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activeX/activeX2.xml" ContentType="application/vnd.ms-office.activeX+xml"/>
  <Override PartName="/xl/activeX/activeX2.bin" ContentType="application/vnd.ms-office.activeX"/>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drawings/drawing4.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abra\GaTech\MGT 8808\Corporate Finance\"/>
    </mc:Choice>
  </mc:AlternateContent>
  <xr:revisionPtr revIDLastSave="0" documentId="13_ncr:1_{3A8BD9EA-26E4-4FD7-87B8-9E79C05666FE}" xr6:coauthVersionLast="47" xr6:coauthVersionMax="47" xr10:uidLastSave="{00000000-0000-0000-0000-000000000000}"/>
  <bookViews>
    <workbookView xWindow="16185" yWindow="90" windowWidth="12450" windowHeight="15600" firstSheet="12" activeTab="13" xr2:uid="{55B52A9A-0ADC-459C-B50F-6654EF1B3359}"/>
  </bookViews>
  <sheets>
    <sheet name="Present Future Values" sheetId="1" r:id="rId1"/>
    <sheet name="WACC" sheetId="6" r:id="rId2"/>
    <sheet name="Stock Prices" sheetId="8" r:id="rId3"/>
    <sheet name="Week 3 Assessment" sheetId="18" r:id="rId4"/>
    <sheet name="Week 3 Assessment Take 2" sheetId="24" r:id="rId5"/>
    <sheet name="Week 4 Assessment" sheetId="9" r:id="rId6"/>
    <sheet name="Week 4 Take 2" sheetId="20" r:id="rId7"/>
    <sheet name="Week 4 Take 3" sheetId="25" r:id="rId8"/>
    <sheet name="Sheet3" sheetId="26" r:id="rId9"/>
    <sheet name="Week 4 Supplemental" sheetId="19" r:id="rId10"/>
    <sheet name="Week 5 Assessment" sheetId="17" r:id="rId11"/>
    <sheet name="Week 5 Take 3" sheetId="21" r:id="rId12"/>
    <sheet name="Week 5 Take 4" sheetId="23" r:id="rId13"/>
    <sheet name="Supplemental 1" sheetId="27" r:id="rId14"/>
    <sheet name="Extra 1" sheetId="28" r:id="rId15"/>
    <sheet name="MVA" sheetId="16" r:id="rId16"/>
    <sheet name="Capital Expense Comparison" sheetId="3" r:id="rId17"/>
    <sheet name="Net Present Value and IRR" sheetId="2" r:id="rId18"/>
    <sheet name="Bonds" sheetId="4" r:id="rId19"/>
    <sheet name="Betas" sheetId="5" r:id="rId20"/>
    <sheet name="Comparables" sheetId="7" r:id="rId21"/>
    <sheet name="Stock Price from Cash Flows" sheetId="11" r:id="rId22"/>
    <sheet name="ROS CT ROTC" sheetId="10" r:id="rId23"/>
    <sheet name="Economic Profit" sheetId="13" r:id="rId24"/>
    <sheet name="NPV EVA" sheetId="12" r:id="rId25"/>
    <sheet name="Sheet1" sheetId="14" r:id="rId26"/>
    <sheet name="Sheet2" sheetId="15"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5" i="27" l="1"/>
  <c r="B52" i="27"/>
  <c r="D44" i="27"/>
  <c r="B48" i="27"/>
  <c r="E40" i="27"/>
  <c r="E41" i="27"/>
  <c r="E42" i="27"/>
  <c r="E43" i="27"/>
  <c r="C14" i="28"/>
  <c r="D12" i="28"/>
  <c r="E11" i="28"/>
  <c r="E10" i="28"/>
  <c r="E9" i="28"/>
  <c r="E5" i="28"/>
  <c r="E6" i="28"/>
  <c r="E7" i="28"/>
  <c r="E8" i="28"/>
  <c r="E4" i="28"/>
  <c r="D9" i="28"/>
  <c r="D4" i="28"/>
  <c r="D5" i="28"/>
  <c r="D6" i="28" s="1"/>
  <c r="D7" i="28" s="1"/>
  <c r="D8" i="28" s="1"/>
  <c r="D10" i="28" s="1"/>
  <c r="D11" i="28" s="1"/>
  <c r="E3" i="28" l="1"/>
  <c r="H132" i="27" l="1"/>
  <c r="F125" i="27"/>
  <c r="B137" i="27"/>
  <c r="C135" i="27"/>
  <c r="B135" i="27"/>
  <c r="C134" i="27"/>
  <c r="B134" i="27"/>
  <c r="B132" i="27"/>
  <c r="G131" i="27"/>
  <c r="G127" i="27"/>
  <c r="G126" i="27"/>
  <c r="F126" i="27"/>
  <c r="C128" i="27"/>
  <c r="B128" i="27"/>
  <c r="G128" i="27"/>
  <c r="G129" i="27"/>
  <c r="G130" i="27"/>
  <c r="G125" i="27"/>
  <c r="C119" i="27"/>
  <c r="D116" i="27"/>
  <c r="C116" i="27"/>
  <c r="C114" i="27"/>
  <c r="H107" i="27"/>
  <c r="G107" i="27"/>
  <c r="I116" i="27"/>
  <c r="D114" i="27"/>
  <c r="D117" i="27"/>
  <c r="C117" i="27"/>
  <c r="D113" i="27"/>
  <c r="C113" i="27"/>
  <c r="D110" i="27"/>
  <c r="C110" i="27"/>
  <c r="B102" i="27"/>
  <c r="H94" i="27"/>
  <c r="H92" i="27"/>
  <c r="H93" i="27"/>
  <c r="H91" i="27"/>
  <c r="H90" i="27"/>
  <c r="G92" i="27"/>
  <c r="G93" i="27"/>
  <c r="G94" i="27"/>
  <c r="G95" i="27"/>
  <c r="G96" i="27"/>
  <c r="G91" i="27"/>
  <c r="C99" i="27"/>
  <c r="D99" i="27"/>
  <c r="E99" i="27"/>
  <c r="F99" i="27"/>
  <c r="B99" i="27"/>
  <c r="C98" i="27"/>
  <c r="D98" i="27"/>
  <c r="E98" i="27"/>
  <c r="F98" i="27"/>
  <c r="B98" i="27"/>
  <c r="B83" i="27"/>
  <c r="B80" i="27"/>
  <c r="B76" i="27"/>
  <c r="I71" i="27"/>
  <c r="H71" i="27"/>
  <c r="I70" i="27"/>
  <c r="I69" i="27"/>
  <c r="I67" i="27"/>
  <c r="I61" i="27"/>
  <c r="C72" i="27"/>
  <c r="D72" i="27"/>
  <c r="E72" i="27"/>
  <c r="F72" i="27"/>
  <c r="G72" i="27"/>
  <c r="H72" i="27"/>
  <c r="B72" i="27"/>
  <c r="H67" i="27"/>
  <c r="C71" i="27"/>
  <c r="D71" i="27"/>
  <c r="E71" i="27"/>
  <c r="F71" i="27"/>
  <c r="G71" i="27"/>
  <c r="B71" i="27"/>
  <c r="C69" i="27"/>
  <c r="D69" i="27"/>
  <c r="E69" i="27"/>
  <c r="F69" i="27"/>
  <c r="G69" i="27"/>
  <c r="H69" i="27"/>
  <c r="B69" i="27"/>
  <c r="C65" i="27"/>
  <c r="D65" i="27" s="1"/>
  <c r="E65" i="27" s="1"/>
  <c r="F65" i="27" s="1"/>
  <c r="G65" i="27" s="1"/>
  <c r="H65" i="27" s="1"/>
  <c r="C70" i="27"/>
  <c r="D70" i="27"/>
  <c r="E70" i="27"/>
  <c r="F70" i="27"/>
  <c r="G70" i="27"/>
  <c r="H70" i="27"/>
  <c r="B70" i="27"/>
  <c r="D35" i="27"/>
  <c r="E35" i="27" s="1"/>
  <c r="G21" i="27"/>
  <c r="G22" i="27"/>
  <c r="G23" i="27"/>
  <c r="G24" i="27"/>
  <c r="G25" i="27"/>
  <c r="G26" i="27"/>
  <c r="G27" i="27"/>
  <c r="G28" i="27"/>
  <c r="G29" i="27"/>
  <c r="G30" i="27"/>
  <c r="G20" i="27"/>
  <c r="C24" i="27"/>
  <c r="C15" i="27"/>
  <c r="C6" i="27"/>
  <c r="I99" i="25"/>
  <c r="I100" i="25"/>
  <c r="I101" i="25"/>
  <c r="I102" i="25"/>
  <c r="I103" i="25"/>
  <c r="I104" i="25"/>
  <c r="I98" i="25"/>
  <c r="G109" i="25"/>
  <c r="H97" i="25"/>
  <c r="I97" i="25"/>
  <c r="D150" i="25"/>
  <c r="D145" i="25"/>
  <c r="D146" i="25"/>
  <c r="D147" i="25"/>
  <c r="D148" i="25"/>
  <c r="D149" i="25"/>
  <c r="D144" i="25"/>
  <c r="E150" i="25"/>
  <c r="F150" i="25"/>
  <c r="G150" i="25"/>
  <c r="H150" i="25"/>
  <c r="C150" i="25"/>
  <c r="B129" i="25"/>
  <c r="B133" i="25" s="1"/>
  <c r="C129" i="25"/>
  <c r="C133" i="25" s="1"/>
  <c r="C134" i="25" s="1"/>
  <c r="C136" i="25" s="1"/>
  <c r="H126" i="25"/>
  <c r="F115" i="25"/>
  <c r="F116" i="25"/>
  <c r="F117" i="25"/>
  <c r="F118" i="25"/>
  <c r="F119" i="25"/>
  <c r="F120" i="25"/>
  <c r="D121" i="25"/>
  <c r="E121" i="25"/>
  <c r="C121" i="25"/>
  <c r="C108" i="25"/>
  <c r="B108" i="25"/>
  <c r="B105" i="25"/>
  <c r="B107" i="25" s="1"/>
  <c r="B100" i="25"/>
  <c r="B104" i="25" s="1"/>
  <c r="C100" i="25"/>
  <c r="C104" i="25" s="1"/>
  <c r="C105" i="25" s="1"/>
  <c r="C107" i="25" s="1"/>
  <c r="H80" i="25"/>
  <c r="I80" i="25" s="1"/>
  <c r="H81" i="25"/>
  <c r="I81" i="25" s="1"/>
  <c r="H82" i="25"/>
  <c r="H83" i="25"/>
  <c r="H79" i="25"/>
  <c r="I83" i="25"/>
  <c r="I82" i="25"/>
  <c r="I79" i="25"/>
  <c r="H78" i="25"/>
  <c r="I78" i="25" s="1"/>
  <c r="C70" i="25"/>
  <c r="C73" i="25" s="1"/>
  <c r="B70" i="25"/>
  <c r="B73" i="25" s="1"/>
  <c r="C71" i="25"/>
  <c r="B71" i="25"/>
  <c r="H60" i="25"/>
  <c r="I60" i="25" s="1"/>
  <c r="B63" i="25"/>
  <c r="C63" i="25"/>
  <c r="B55" i="25"/>
  <c r="H53" i="25"/>
  <c r="I43" i="25"/>
  <c r="I46" i="25"/>
  <c r="I42" i="25"/>
  <c r="H42" i="25"/>
  <c r="H43" i="25"/>
  <c r="H44" i="25" s="1"/>
  <c r="H45" i="25" s="1"/>
  <c r="H46" i="25" s="1"/>
  <c r="C30" i="25"/>
  <c r="C31" i="25" s="1"/>
  <c r="I16" i="25"/>
  <c r="I17" i="25"/>
  <c r="I18" i="25"/>
  <c r="I19" i="25"/>
  <c r="I20" i="25"/>
  <c r="I21" i="25"/>
  <c r="I22" i="25"/>
  <c r="I23" i="25"/>
  <c r="I24" i="25"/>
  <c r="I25" i="25"/>
  <c r="I26" i="25"/>
  <c r="C12" i="25"/>
  <c r="C49" i="24"/>
  <c r="F51" i="24"/>
  <c r="F52" i="24"/>
  <c r="F53" i="24"/>
  <c r="F54" i="24"/>
  <c r="F55" i="24" s="1"/>
  <c r="F56" i="24" s="1"/>
  <c r="F57" i="24" s="1"/>
  <c r="F58" i="24" s="1"/>
  <c r="F59" i="24" s="1"/>
  <c r="F60" i="24" s="1"/>
  <c r="F61" i="24" s="1"/>
  <c r="F62" i="24" s="1"/>
  <c r="F63" i="24" s="1"/>
  <c r="F64" i="24" s="1"/>
  <c r="F50" i="24"/>
  <c r="B44" i="24"/>
  <c r="F39" i="24"/>
  <c r="C39" i="24"/>
  <c r="E30" i="24"/>
  <c r="F25" i="24" s="1"/>
  <c r="F26" i="24" s="1"/>
  <c r="F27" i="24" s="1"/>
  <c r="E25" i="24"/>
  <c r="E26" i="24" s="1"/>
  <c r="E27" i="24" s="1"/>
  <c r="B30" i="24"/>
  <c r="F5" i="24"/>
  <c r="F6" i="24"/>
  <c r="F4" i="24"/>
  <c r="F3" i="24"/>
  <c r="F7" i="24" s="1"/>
  <c r="E7" i="24"/>
  <c r="C7" i="24"/>
  <c r="C9" i="24"/>
  <c r="D4" i="24"/>
  <c r="D5" i="24" s="1"/>
  <c r="D6" i="24" s="1"/>
  <c r="D3" i="24"/>
  <c r="B94" i="23"/>
  <c r="B92" i="23"/>
  <c r="H72" i="23"/>
  <c r="H73" i="23"/>
  <c r="H74" i="23"/>
  <c r="H75" i="23"/>
  <c r="H76" i="23"/>
  <c r="H77" i="23"/>
  <c r="H78" i="23"/>
  <c r="H79" i="23"/>
  <c r="H71" i="23"/>
  <c r="G81" i="23"/>
  <c r="G78" i="23"/>
  <c r="G79" i="23"/>
  <c r="G72" i="23"/>
  <c r="G73" i="23"/>
  <c r="G74" i="23"/>
  <c r="G75" i="23"/>
  <c r="G76" i="23"/>
  <c r="G77" i="23"/>
  <c r="G71" i="23"/>
  <c r="D82" i="23"/>
  <c r="C82" i="23"/>
  <c r="D80" i="23"/>
  <c r="C80" i="23"/>
  <c r="D79" i="23"/>
  <c r="C79" i="23"/>
  <c r="D77" i="23"/>
  <c r="C77" i="23"/>
  <c r="D73" i="23"/>
  <c r="D76" i="23" s="1"/>
  <c r="C73" i="23"/>
  <c r="C76" i="23" s="1"/>
  <c r="G70" i="23"/>
  <c r="D60" i="23"/>
  <c r="D62" i="23" s="1"/>
  <c r="C60" i="23"/>
  <c r="C62" i="23" s="1"/>
  <c r="C45" i="23"/>
  <c r="F45" i="23" s="1"/>
  <c r="F32" i="23"/>
  <c r="F33" i="23" s="1"/>
  <c r="F34" i="23" s="1"/>
  <c r="F35" i="23" s="1"/>
  <c r="F36" i="23" s="1"/>
  <c r="G36" i="23" s="1"/>
  <c r="G31" i="23"/>
  <c r="C38" i="16"/>
  <c r="C39" i="16" s="1"/>
  <c r="C24" i="23"/>
  <c r="D26" i="23"/>
  <c r="C26" i="23"/>
  <c r="C36" i="16"/>
  <c r="D17" i="23"/>
  <c r="D25" i="23" s="1"/>
  <c r="C17" i="23"/>
  <c r="C25" i="23" s="1"/>
  <c r="C27" i="23" s="1"/>
  <c r="D24" i="23"/>
  <c r="D22" i="23"/>
  <c r="C22" i="23"/>
  <c r="K52" i="21"/>
  <c r="K51" i="21"/>
  <c r="C113" i="21"/>
  <c r="B113" i="21"/>
  <c r="C112" i="21"/>
  <c r="B112" i="21"/>
  <c r="C111" i="21"/>
  <c r="B111" i="21"/>
  <c r="D95" i="21"/>
  <c r="D96" i="21" s="1"/>
  <c r="E95" i="21"/>
  <c r="E96" i="21" s="1"/>
  <c r="F95" i="21"/>
  <c r="C97" i="21" s="1"/>
  <c r="C95" i="21"/>
  <c r="C96" i="21"/>
  <c r="B80" i="21"/>
  <c r="C80" i="21"/>
  <c r="D69" i="21"/>
  <c r="D70" i="21" s="1"/>
  <c r="E69" i="21"/>
  <c r="E70" i="21" s="1"/>
  <c r="F69" i="21"/>
  <c r="F70" i="21" s="1"/>
  <c r="G69" i="21"/>
  <c r="G70" i="21" s="1"/>
  <c r="C69" i="21"/>
  <c r="C70" i="21" s="1"/>
  <c r="N12" i="11"/>
  <c r="K46" i="21"/>
  <c r="I47" i="21"/>
  <c r="I48" i="21" s="1"/>
  <c r="C37" i="21"/>
  <c r="C40" i="21" s="1"/>
  <c r="F15" i="21"/>
  <c r="G15" i="21" s="1"/>
  <c r="C27" i="21"/>
  <c r="C23" i="21"/>
  <c r="C18" i="21"/>
  <c r="C21" i="21" s="1"/>
  <c r="B18" i="21"/>
  <c r="B21" i="21" s="1"/>
  <c r="B23" i="21" s="1"/>
  <c r="D6" i="21"/>
  <c r="D7" i="21" s="1"/>
  <c r="D8" i="21" s="1"/>
  <c r="D10" i="21" s="1"/>
  <c r="C6" i="21"/>
  <c r="C159" i="20"/>
  <c r="D159" i="20"/>
  <c r="E159" i="20"/>
  <c r="F159" i="20"/>
  <c r="G159" i="20"/>
  <c r="F157" i="20"/>
  <c r="F156" i="20"/>
  <c r="F155" i="20"/>
  <c r="E155" i="20"/>
  <c r="G155" i="20"/>
  <c r="D155" i="20"/>
  <c r="C155" i="20"/>
  <c r="C132" i="20"/>
  <c r="C135" i="20" s="1"/>
  <c r="C137" i="20" s="1"/>
  <c r="G129" i="20"/>
  <c r="I129" i="20" s="1"/>
  <c r="D132" i="20"/>
  <c r="D135" i="20"/>
  <c r="D137" i="20" s="1"/>
  <c r="F116" i="20"/>
  <c r="F117" i="20"/>
  <c r="F118" i="20"/>
  <c r="F119" i="20"/>
  <c r="F120" i="20"/>
  <c r="F115" i="20"/>
  <c r="G95" i="20"/>
  <c r="I95" i="20" s="1"/>
  <c r="D97" i="20"/>
  <c r="D104" i="20" s="1"/>
  <c r="C97" i="20"/>
  <c r="C104" i="20" s="1"/>
  <c r="G81" i="20"/>
  <c r="I81" i="20" s="1"/>
  <c r="G82" i="20"/>
  <c r="I82" i="20" s="1"/>
  <c r="G83" i="20"/>
  <c r="I83" i="20" s="1"/>
  <c r="G84" i="20"/>
  <c r="I84" i="20" s="1"/>
  <c r="G80" i="20"/>
  <c r="I80" i="20" s="1"/>
  <c r="G79" i="20"/>
  <c r="I79" i="20" s="1"/>
  <c r="G62" i="20"/>
  <c r="I62" i="20" s="1"/>
  <c r="D67" i="20"/>
  <c r="C67" i="20"/>
  <c r="C64" i="20"/>
  <c r="C68" i="20" s="1"/>
  <c r="D64" i="20"/>
  <c r="D68" i="20" s="1"/>
  <c r="C55" i="20"/>
  <c r="E36" i="20"/>
  <c r="D37" i="20"/>
  <c r="E37" i="20" s="1"/>
  <c r="C32" i="20"/>
  <c r="C26" i="20"/>
  <c r="C17" i="20"/>
  <c r="C11" i="20"/>
  <c r="C14" i="19"/>
  <c r="D14" i="19"/>
  <c r="E12" i="19"/>
  <c r="D12" i="19"/>
  <c r="C12" i="19"/>
  <c r="E6" i="19"/>
  <c r="E7" i="19"/>
  <c r="E8" i="19"/>
  <c r="E9" i="19"/>
  <c r="E10" i="19"/>
  <c r="E11" i="19"/>
  <c r="E5" i="19"/>
  <c r="F59" i="18"/>
  <c r="B48" i="18"/>
  <c r="F52" i="18"/>
  <c r="F45" i="18"/>
  <c r="F46" i="18"/>
  <c r="F47" i="18" s="1"/>
  <c r="F48" i="18" s="1"/>
  <c r="F49" i="18" s="1"/>
  <c r="F50" i="18" s="1"/>
  <c r="F51" i="18" s="1"/>
  <c r="F53" i="18" s="1"/>
  <c r="F54" i="18" s="1"/>
  <c r="F55" i="18" s="1"/>
  <c r="F56" i="18" s="1"/>
  <c r="F57" i="18" s="1"/>
  <c r="F58" i="18" s="1"/>
  <c r="B44" i="18"/>
  <c r="B42" i="18"/>
  <c r="F40" i="18"/>
  <c r="C40" i="18"/>
  <c r="D10" i="1"/>
  <c r="B29" i="18"/>
  <c r="F31" i="18"/>
  <c r="F30" i="18"/>
  <c r="F29" i="18"/>
  <c r="D14" i="1"/>
  <c r="D13" i="1"/>
  <c r="C26" i="18"/>
  <c r="E23" i="18"/>
  <c r="E22" i="18"/>
  <c r="E21" i="18"/>
  <c r="E8" i="18"/>
  <c r="E7" i="18"/>
  <c r="C8" i="18"/>
  <c r="B9" i="6"/>
  <c r="E12" i="18"/>
  <c r="D3" i="18"/>
  <c r="D4" i="18" s="1"/>
  <c r="D5" i="18" s="1"/>
  <c r="D6" i="18" s="1"/>
  <c r="C7" i="18"/>
  <c r="B7" i="6"/>
  <c r="B6" i="6"/>
  <c r="D9" i="1"/>
  <c r="D8" i="1"/>
  <c r="D11" i="1"/>
  <c r="C49" i="17"/>
  <c r="C48" i="17"/>
  <c r="C45" i="17"/>
  <c r="C21" i="13"/>
  <c r="B21" i="13"/>
  <c r="B20" i="13"/>
  <c r="C17" i="13"/>
  <c r="C18" i="13" s="1"/>
  <c r="B17" i="13"/>
  <c r="B18" i="13" s="1"/>
  <c r="C39" i="17"/>
  <c r="C36" i="17"/>
  <c r="H13" i="17"/>
  <c r="D45" i="3"/>
  <c r="D18" i="17"/>
  <c r="D19" i="17" s="1"/>
  <c r="D21" i="17" s="1"/>
  <c r="C18" i="17"/>
  <c r="C19" i="17" s="1"/>
  <c r="C21" i="17" s="1"/>
  <c r="D15" i="17"/>
  <c r="C15" i="17"/>
  <c r="D7" i="17"/>
  <c r="D8" i="17" s="1"/>
  <c r="C7" i="17"/>
  <c r="C8" i="17" s="1"/>
  <c r="C46" i="9"/>
  <c r="C47" i="9" s="1"/>
  <c r="J53" i="9"/>
  <c r="E69" i="9"/>
  <c r="R23" i="9"/>
  <c r="J57" i="9"/>
  <c r="J58" i="9"/>
  <c r="I58" i="9"/>
  <c r="I59" i="9" s="1"/>
  <c r="I60" i="9" s="1"/>
  <c r="I61" i="9" s="1"/>
  <c r="J61" i="9" s="1"/>
  <c r="J44" i="9"/>
  <c r="J45" i="9"/>
  <c r="J46" i="9"/>
  <c r="J47" i="9"/>
  <c r="J48" i="9"/>
  <c r="J49" i="9"/>
  <c r="J50" i="9"/>
  <c r="J51" i="9"/>
  <c r="J52" i="9"/>
  <c r="J43" i="9"/>
  <c r="B34" i="9"/>
  <c r="B35" i="9" s="1"/>
  <c r="R22" i="9"/>
  <c r="H15" i="9"/>
  <c r="D39" i="16"/>
  <c r="D36" i="16"/>
  <c r="C37" i="16"/>
  <c r="D32" i="16"/>
  <c r="C32" i="16"/>
  <c r="D38" i="16"/>
  <c r="D37" i="16"/>
  <c r="B14" i="12"/>
  <c r="B13" i="12"/>
  <c r="D13" i="12"/>
  <c r="E13" i="12"/>
  <c r="F13" i="12"/>
  <c r="C13" i="12"/>
  <c r="C20" i="13"/>
  <c r="B131" i="27" l="1"/>
  <c r="C131" i="27"/>
  <c r="C132" i="27" s="1"/>
  <c r="D119" i="27"/>
  <c r="D36" i="27"/>
  <c r="E36" i="27" s="1"/>
  <c r="H64" i="25"/>
  <c r="I64" i="25" s="1"/>
  <c r="H66" i="25"/>
  <c r="I66" i="25" s="1"/>
  <c r="H67" i="25"/>
  <c r="I67" i="25" s="1"/>
  <c r="H63" i="25"/>
  <c r="I63" i="25" s="1"/>
  <c r="H68" i="25"/>
  <c r="I68" i="25" s="1"/>
  <c r="H69" i="25"/>
  <c r="I69" i="25" s="1"/>
  <c r="H70" i="25"/>
  <c r="I70" i="25" s="1"/>
  <c r="H65" i="25"/>
  <c r="I65" i="25" s="1"/>
  <c r="H61" i="25"/>
  <c r="H62" i="25"/>
  <c r="I62" i="25" s="1"/>
  <c r="B134" i="25"/>
  <c r="B136" i="25" s="1"/>
  <c r="C110" i="25"/>
  <c r="B110" i="25"/>
  <c r="I45" i="25"/>
  <c r="I44" i="25"/>
  <c r="I48" i="25" s="1"/>
  <c r="I126" i="25"/>
  <c r="C137" i="25"/>
  <c r="B137" i="25"/>
  <c r="C139" i="25"/>
  <c r="F121" i="25"/>
  <c r="G90" i="25"/>
  <c r="C40" i="24"/>
  <c r="C63" i="23"/>
  <c r="C64" i="23" s="1"/>
  <c r="D63" i="23"/>
  <c r="D64" i="23" s="1"/>
  <c r="G32" i="23"/>
  <c r="D27" i="23"/>
  <c r="G35" i="23"/>
  <c r="G34" i="23"/>
  <c r="C37" i="23"/>
  <c r="G33" i="23"/>
  <c r="F96" i="21"/>
  <c r="G95" i="21"/>
  <c r="B26" i="21"/>
  <c r="B29" i="21"/>
  <c r="C29" i="21"/>
  <c r="I49" i="21"/>
  <c r="K48" i="21"/>
  <c r="B71" i="21"/>
  <c r="C26" i="21"/>
  <c r="B27" i="21"/>
  <c r="K47" i="21"/>
  <c r="C7" i="21"/>
  <c r="C8" i="21" s="1"/>
  <c r="C10" i="21" s="1"/>
  <c r="F122" i="20"/>
  <c r="D139" i="20"/>
  <c r="C100" i="20"/>
  <c r="C102" i="20" s="1"/>
  <c r="C103" i="20" s="1"/>
  <c r="C106" i="20" s="1"/>
  <c r="D100" i="20"/>
  <c r="D102" i="20" s="1"/>
  <c r="D103" i="20" s="1"/>
  <c r="C139" i="20"/>
  <c r="C138" i="20"/>
  <c r="C141" i="20" s="1"/>
  <c r="D138" i="20"/>
  <c r="C90" i="20"/>
  <c r="D70" i="20"/>
  <c r="C70" i="20"/>
  <c r="G68" i="20" s="1"/>
  <c r="I68" i="20" s="1"/>
  <c r="D38" i="20"/>
  <c r="D39" i="20" s="1"/>
  <c r="D40" i="20" s="1"/>
  <c r="D41" i="20" s="1"/>
  <c r="E41" i="20" s="1"/>
  <c r="C46" i="17"/>
  <c r="D22" i="17"/>
  <c r="I62" i="9"/>
  <c r="J62" i="9" s="1"/>
  <c r="J60" i="9"/>
  <c r="J59" i="9"/>
  <c r="H26" i="10"/>
  <c r="G26" i="10"/>
  <c r="B10" i="10"/>
  <c r="L5" i="12"/>
  <c r="L7" i="12" s="1"/>
  <c r="L8" i="12" s="1"/>
  <c r="L9" i="12" s="1"/>
  <c r="M5" i="12"/>
  <c r="M7" i="12" s="1"/>
  <c r="M8" i="12" s="1"/>
  <c r="M9" i="12" s="1"/>
  <c r="N5" i="12"/>
  <c r="N7" i="12" s="1"/>
  <c r="N8" i="12" s="1"/>
  <c r="N9" i="12" s="1"/>
  <c r="K5" i="12"/>
  <c r="K7" i="12" s="1"/>
  <c r="K8" i="12" s="1"/>
  <c r="K9" i="12" s="1"/>
  <c r="I21" i="11"/>
  <c r="I19" i="11"/>
  <c r="I18" i="11"/>
  <c r="J12" i="11"/>
  <c r="J13" i="11" s="1"/>
  <c r="J9" i="11"/>
  <c r="J11" i="11"/>
  <c r="J10" i="11"/>
  <c r="J7" i="11"/>
  <c r="J8" i="11" s="1"/>
  <c r="K6" i="11"/>
  <c r="K11" i="11" s="1"/>
  <c r="D10" i="12"/>
  <c r="E10" i="12"/>
  <c r="F10" i="12"/>
  <c r="C10" i="12"/>
  <c r="D7" i="12"/>
  <c r="E7" i="12"/>
  <c r="F7" i="12"/>
  <c r="C7" i="12"/>
  <c r="C8" i="12" s="1"/>
  <c r="C9" i="12" s="1"/>
  <c r="F32" i="11"/>
  <c r="D6" i="11"/>
  <c r="B7" i="11"/>
  <c r="B8" i="11" s="1"/>
  <c r="B9" i="11" s="1"/>
  <c r="B10" i="11" s="1"/>
  <c r="B11" i="11" s="1"/>
  <c r="B12" i="11" s="1"/>
  <c r="B17" i="11" s="1"/>
  <c r="K6" i="7"/>
  <c r="K7" i="7"/>
  <c r="K8" i="7"/>
  <c r="K5" i="7"/>
  <c r="C17" i="7"/>
  <c r="C20" i="7" s="1"/>
  <c r="D29" i="6"/>
  <c r="E29" i="6"/>
  <c r="F29" i="6"/>
  <c r="C29" i="6"/>
  <c r="B29" i="6"/>
  <c r="B28" i="6"/>
  <c r="M7" i="6"/>
  <c r="M5" i="6"/>
  <c r="M4" i="6"/>
  <c r="K4" i="6"/>
  <c r="J5" i="6"/>
  <c r="J4" i="6"/>
  <c r="H28" i="10"/>
  <c r="G28" i="10"/>
  <c r="H27" i="10"/>
  <c r="G27" i="10"/>
  <c r="H18" i="10"/>
  <c r="G18" i="10"/>
  <c r="C10" i="10"/>
  <c r="R24" i="9"/>
  <c r="R25" i="9"/>
  <c r="R26" i="9"/>
  <c r="R27" i="9"/>
  <c r="R28" i="9"/>
  <c r="R29" i="9"/>
  <c r="R30" i="9"/>
  <c r="R31" i="9"/>
  <c r="R32" i="9"/>
  <c r="A15" i="9"/>
  <c r="E13" i="7"/>
  <c r="F13" i="7" s="1"/>
  <c r="C16" i="7"/>
  <c r="C21" i="7" s="1"/>
  <c r="D16" i="7"/>
  <c r="D17" i="7" s="1"/>
  <c r="D18" i="7" s="1"/>
  <c r="C22" i="6"/>
  <c r="D22" i="6" s="1"/>
  <c r="D25" i="6" s="1"/>
  <c r="B27" i="6"/>
  <c r="B26" i="6"/>
  <c r="B25" i="6"/>
  <c r="B23" i="6"/>
  <c r="B24" i="6" s="1"/>
  <c r="J34" i="3"/>
  <c r="D36" i="3"/>
  <c r="C36" i="3"/>
  <c r="C41" i="3" s="1"/>
  <c r="D41" i="3"/>
  <c r="D29" i="3"/>
  <c r="C23" i="3"/>
  <c r="C24" i="3" s="1"/>
  <c r="C22" i="3"/>
  <c r="D25" i="3"/>
  <c r="C25" i="3"/>
  <c r="D22" i="3"/>
  <c r="D14" i="3"/>
  <c r="D13" i="3"/>
  <c r="D10" i="3"/>
  <c r="D8" i="3"/>
  <c r="D7" i="3"/>
  <c r="G5" i="3"/>
  <c r="B37" i="2"/>
  <c r="C7" i="6"/>
  <c r="C6" i="6"/>
  <c r="D24" i="5"/>
  <c r="D25" i="5"/>
  <c r="D26" i="5"/>
  <c r="D27" i="5"/>
  <c r="D28" i="5"/>
  <c r="D29" i="5"/>
  <c r="D30" i="5"/>
  <c r="D31" i="5"/>
  <c r="C10" i="3"/>
  <c r="C8" i="3"/>
  <c r="C9" i="3" s="1"/>
  <c r="C12" i="3" s="1"/>
  <c r="C30" i="2"/>
  <c r="C31" i="2"/>
  <c r="C29" i="2"/>
  <c r="D16" i="1" a="1"/>
  <c r="D16" i="1" s="1"/>
  <c r="D15" i="1"/>
  <c r="K15" i="2"/>
  <c r="K16" i="2"/>
  <c r="K17" i="2"/>
  <c r="J15" i="2"/>
  <c r="J16" i="2"/>
  <c r="J17" i="2"/>
  <c r="I15" i="2"/>
  <c r="I16" i="2"/>
  <c r="I17" i="2"/>
  <c r="C23" i="2"/>
  <c r="C24" i="2"/>
  <c r="C22" i="2"/>
  <c r="E15" i="2"/>
  <c r="E16" i="2"/>
  <c r="E17" i="2"/>
  <c r="D15" i="2"/>
  <c r="D16" i="2"/>
  <c r="D17" i="2"/>
  <c r="C15" i="2"/>
  <c r="C16" i="2"/>
  <c r="C17" i="2"/>
  <c r="C137" i="27" l="1"/>
  <c r="F131" i="27" s="1"/>
  <c r="G116" i="27"/>
  <c r="H116" i="27" s="1"/>
  <c r="G108" i="27"/>
  <c r="G109" i="27"/>
  <c r="H109" i="27" s="1"/>
  <c r="G113" i="27"/>
  <c r="H113" i="27" s="1"/>
  <c r="G110" i="27"/>
  <c r="H110" i="27" s="1"/>
  <c r="G112" i="27"/>
  <c r="H112" i="27" s="1"/>
  <c r="G111" i="27"/>
  <c r="H111" i="27" s="1"/>
  <c r="G114" i="27"/>
  <c r="H114" i="27" s="1"/>
  <c r="G115" i="27"/>
  <c r="H115" i="27" s="1"/>
  <c r="D37" i="27"/>
  <c r="D38" i="27" s="1"/>
  <c r="E37" i="27"/>
  <c r="B139" i="25"/>
  <c r="H131" i="25"/>
  <c r="I131" i="25" s="1"/>
  <c r="H128" i="25"/>
  <c r="I128" i="25" s="1"/>
  <c r="H129" i="25"/>
  <c r="I129" i="25" s="1"/>
  <c r="H127" i="25"/>
  <c r="H130" i="25"/>
  <c r="I130" i="25" s="1"/>
  <c r="I61" i="25"/>
  <c r="G72" i="25"/>
  <c r="H99" i="25"/>
  <c r="H102" i="25"/>
  <c r="H100" i="25"/>
  <c r="H101" i="25"/>
  <c r="H103" i="25"/>
  <c r="H98" i="25"/>
  <c r="H104" i="25"/>
  <c r="F64" i="23"/>
  <c r="C36" i="23"/>
  <c r="C38" i="23" s="1"/>
  <c r="C39" i="23" s="1"/>
  <c r="F22" i="21"/>
  <c r="G22" i="21" s="1"/>
  <c r="F23" i="21"/>
  <c r="G23" i="21" s="1"/>
  <c r="F24" i="21"/>
  <c r="G24" i="21" s="1"/>
  <c r="F16" i="21"/>
  <c r="F19" i="21"/>
  <c r="G19" i="21" s="1"/>
  <c r="F21" i="21"/>
  <c r="G21" i="21" s="1"/>
  <c r="F17" i="21"/>
  <c r="G17" i="21" s="1"/>
  <c r="F18" i="21"/>
  <c r="G18" i="21" s="1"/>
  <c r="F20" i="21"/>
  <c r="G20" i="21" s="1"/>
  <c r="I50" i="21"/>
  <c r="K49" i="21"/>
  <c r="G63" i="20"/>
  <c r="I63" i="20" s="1"/>
  <c r="G66" i="20"/>
  <c r="I66" i="20" s="1"/>
  <c r="D141" i="20"/>
  <c r="D106" i="20"/>
  <c r="G96" i="20" s="1"/>
  <c r="I96" i="20" s="1"/>
  <c r="G131" i="20"/>
  <c r="I131" i="20" s="1"/>
  <c r="E38" i="20"/>
  <c r="E39" i="20"/>
  <c r="G69" i="20"/>
  <c r="I69" i="20" s="1"/>
  <c r="G70" i="20"/>
  <c r="I70" i="20" s="1"/>
  <c r="G71" i="20"/>
  <c r="I71" i="20" s="1"/>
  <c r="G64" i="20"/>
  <c r="I64" i="20" s="1"/>
  <c r="G65" i="20"/>
  <c r="I65" i="20" s="1"/>
  <c r="G72" i="20"/>
  <c r="I72" i="20" s="1"/>
  <c r="G67" i="20"/>
  <c r="I67" i="20" s="1"/>
  <c r="E40" i="20"/>
  <c r="J63" i="9"/>
  <c r="A38" i="9"/>
  <c r="H25" i="9"/>
  <c r="K10" i="12"/>
  <c r="C11" i="12"/>
  <c r="F8" i="12"/>
  <c r="F9" i="12" s="1"/>
  <c r="F11" i="12" s="1"/>
  <c r="E8" i="12"/>
  <c r="E9" i="12" s="1"/>
  <c r="E11" i="12" s="1"/>
  <c r="D8" i="12"/>
  <c r="D9" i="12" s="1"/>
  <c r="D11" i="12" s="1"/>
  <c r="L6" i="11"/>
  <c r="L9" i="11" s="1"/>
  <c r="L10" i="11"/>
  <c r="K7" i="11"/>
  <c r="K8" i="11" s="1"/>
  <c r="L11" i="11"/>
  <c r="K9" i="11"/>
  <c r="K10" i="11"/>
  <c r="D7" i="11"/>
  <c r="D8" i="11"/>
  <c r="D12" i="11"/>
  <c r="D11" i="11"/>
  <c r="D10" i="11"/>
  <c r="D9" i="11"/>
  <c r="E20" i="7"/>
  <c r="E21" i="7"/>
  <c r="F21" i="7" s="1"/>
  <c r="C18" i="7"/>
  <c r="E18" i="7" s="1"/>
  <c r="F18" i="7" s="1"/>
  <c r="D21" i="7"/>
  <c r="D19" i="7"/>
  <c r="D20" i="7"/>
  <c r="C19" i="7"/>
  <c r="E19" i="7" s="1"/>
  <c r="F19" i="7" s="1"/>
  <c r="E22" i="6"/>
  <c r="D23" i="6"/>
  <c r="D24" i="6" s="1"/>
  <c r="D27" i="6"/>
  <c r="D26" i="6"/>
  <c r="C25" i="6"/>
  <c r="C27" i="6"/>
  <c r="C23" i="6"/>
  <c r="C24" i="6" s="1"/>
  <c r="C26" i="6"/>
  <c r="D39" i="3"/>
  <c r="D40" i="3" s="1"/>
  <c r="D43" i="3" s="1"/>
  <c r="C39" i="3"/>
  <c r="C40" i="3" s="1"/>
  <c r="C43" i="3" s="1"/>
  <c r="C27" i="3"/>
  <c r="D23" i="3"/>
  <c r="D24" i="3" s="1"/>
  <c r="D27" i="3" s="1"/>
  <c r="D28" i="3" s="1"/>
  <c r="D9" i="3"/>
  <c r="D12" i="3" s="1"/>
  <c r="D12" i="1"/>
  <c r="C16" i="28" l="1"/>
  <c r="F128" i="27"/>
  <c r="F127" i="27"/>
  <c r="F130" i="27"/>
  <c r="F129" i="27"/>
  <c r="F132" i="27"/>
  <c r="H108" i="27"/>
  <c r="H119" i="27" s="1"/>
  <c r="G119" i="27"/>
  <c r="D39" i="27"/>
  <c r="E38" i="27"/>
  <c r="G138" i="25"/>
  <c r="I127" i="25"/>
  <c r="G16" i="21"/>
  <c r="B31" i="21" s="1"/>
  <c r="F26" i="21"/>
  <c r="I51" i="21"/>
  <c r="K50" i="21"/>
  <c r="G134" i="20"/>
  <c r="I134" i="20" s="1"/>
  <c r="G130" i="20"/>
  <c r="I130" i="20" s="1"/>
  <c r="G100" i="20"/>
  <c r="I100" i="20" s="1"/>
  <c r="G99" i="20"/>
  <c r="I99" i="20" s="1"/>
  <c r="G102" i="20"/>
  <c r="I102" i="20" s="1"/>
  <c r="G101" i="20"/>
  <c r="I101" i="20" s="1"/>
  <c r="G98" i="20"/>
  <c r="I98" i="20" s="1"/>
  <c r="G97" i="20"/>
  <c r="I97" i="20" s="1"/>
  <c r="C109" i="20" s="1"/>
  <c r="G133" i="20"/>
  <c r="I133" i="20" s="1"/>
  <c r="G132" i="20"/>
  <c r="I132" i="20" s="1"/>
  <c r="C73" i="20"/>
  <c r="D45" i="20"/>
  <c r="H19" i="17"/>
  <c r="H20" i="17"/>
  <c r="H21" i="17"/>
  <c r="H22" i="17"/>
  <c r="H14" i="17"/>
  <c r="D23" i="17" s="1"/>
  <c r="H15" i="17"/>
  <c r="H16" i="17"/>
  <c r="H17" i="17"/>
  <c r="H18" i="17"/>
  <c r="M6" i="11"/>
  <c r="N6" i="11" s="1"/>
  <c r="L7" i="11"/>
  <c r="L8" i="11" s="1"/>
  <c r="L12" i="11" s="1"/>
  <c r="L13" i="11" s="1"/>
  <c r="M9" i="11"/>
  <c r="M7" i="11"/>
  <c r="M10" i="11"/>
  <c r="B24" i="11"/>
  <c r="C28" i="11" s="1"/>
  <c r="K12" i="11"/>
  <c r="K13" i="11" s="1"/>
  <c r="D28" i="6"/>
  <c r="E23" i="6"/>
  <c r="E25" i="6"/>
  <c r="E24" i="6"/>
  <c r="E27" i="6"/>
  <c r="E26" i="6"/>
  <c r="F22" i="6"/>
  <c r="C28" i="6"/>
  <c r="D44" i="3"/>
  <c r="C18" i="28" l="1"/>
  <c r="F137" i="27"/>
  <c r="G132" i="27"/>
  <c r="G137" i="27" s="1"/>
  <c r="D40" i="27"/>
  <c r="E39" i="27"/>
  <c r="I52" i="21"/>
  <c r="C144" i="20"/>
  <c r="M11" i="11"/>
  <c r="N9" i="11"/>
  <c r="N7" i="11"/>
  <c r="N10" i="11"/>
  <c r="N11" i="11"/>
  <c r="M8" i="11"/>
  <c r="E28" i="6"/>
  <c r="F25" i="6"/>
  <c r="F26" i="6"/>
  <c r="F23" i="6"/>
  <c r="F24" i="6" s="1"/>
  <c r="F27" i="6"/>
  <c r="D41" i="27" l="1"/>
  <c r="I53" i="21"/>
  <c r="M12" i="11"/>
  <c r="M13" i="11" s="1"/>
  <c r="N8" i="11"/>
  <c r="F28" i="6"/>
  <c r="D42" i="27" l="1"/>
  <c r="I54" i="21"/>
  <c r="K53" i="21"/>
  <c r="N13" i="11"/>
  <c r="D43" i="27" l="1"/>
  <c r="I55" i="21"/>
  <c r="K55" i="21" s="1"/>
  <c r="K57" i="21" s="1"/>
  <c r="K54" i="21"/>
  <c r="E44" i="2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<sst xmlns="http://schemas.openxmlformats.org/spreadsheetml/2006/main" count="1292" uniqueCount="707">
  <si>
    <t>PV</t>
  </si>
  <si>
    <t>t</t>
  </si>
  <si>
    <t>FV</t>
  </si>
  <si>
    <t>Future Value</t>
  </si>
  <si>
    <t>r (rate)</t>
  </si>
  <si>
    <t>Present Value</t>
  </si>
  <si>
    <t>Interest Rate</t>
  </si>
  <si>
    <t>RATE</t>
  </si>
  <si>
    <t>t (periods)</t>
  </si>
  <si>
    <t>FV(rate,periods,,-PV)</t>
  </si>
  <si>
    <t>years</t>
  </si>
  <si>
    <t>PV(rate, periods,,-FV)</t>
  </si>
  <si>
    <t>RATE(periods,,PV, -FV)</t>
  </si>
  <si>
    <t>Number of Periods</t>
  </si>
  <si>
    <t>NPER</t>
  </si>
  <si>
    <t>NPER(rate,,PV,-FV)</t>
  </si>
  <si>
    <t>Annuity Payments</t>
  </si>
  <si>
    <t>PMT</t>
  </si>
  <si>
    <t>PMT(rate,periods,-PV)</t>
  </si>
  <si>
    <t>IRR</t>
  </si>
  <si>
    <t>IRR(cashflowsperiods)</t>
  </si>
  <si>
    <t>year 0</t>
  </si>
  <si>
    <t>year 1</t>
  </si>
  <si>
    <t>year 2</t>
  </si>
  <si>
    <t>year 3</t>
  </si>
  <si>
    <t>2 decimals</t>
  </si>
  <si>
    <t>DEEP WATER FISHING</t>
  </si>
  <si>
    <t>Deep Water Fishing</t>
  </si>
  <si>
    <t>New Submarine</t>
  </si>
  <si>
    <t>best choice</t>
  </si>
  <si>
    <t>Net Present Value</t>
  </si>
  <si>
    <t>Consider the following investment projects:</t>
  </si>
  <si>
    <t>Future Cash Flows</t>
  </si>
  <si>
    <t>Project</t>
  </si>
  <si>
    <t>t=0</t>
  </si>
  <si>
    <t>t=1</t>
  </si>
  <si>
    <t>t=2</t>
  </si>
  <si>
    <t>t=3</t>
  </si>
  <si>
    <t>A</t>
  </si>
  <si>
    <t>B</t>
  </si>
  <si>
    <t>C</t>
  </si>
  <si>
    <t>What is the net present value created by each of these investment projects for r = 5%, r=15%, and r=25%?</t>
  </si>
  <si>
    <t>r=5%</t>
  </si>
  <si>
    <t>r=15%</t>
  </si>
  <si>
    <t>r=25%</t>
  </si>
  <si>
    <t>Remember to add in t0  the negative investment amount</t>
  </si>
  <si>
    <t>Internal Rate of return for same projects from t= 0 to n</t>
  </si>
  <si>
    <t>NPV</t>
  </si>
  <si>
    <t>manual calculation</t>
  </si>
  <si>
    <t xml:space="preserve">Use NPV excel function. Manually add in investment at t0. </t>
  </si>
  <si>
    <t>NPV(values&gt;t=0) + C_at_t0</t>
  </si>
  <si>
    <t>Profitability Index</t>
  </si>
  <si>
    <t>(NVP + investment) / Investment</t>
  </si>
  <si>
    <t>Profitablity Index for r = 5%</t>
  </si>
  <si>
    <t>PI</t>
  </si>
  <si>
    <t>Baffle Bag and Box Company</t>
  </si>
  <si>
    <t>Gross</t>
  </si>
  <si>
    <t>- Depreciation</t>
  </si>
  <si>
    <t>Profit before tax</t>
  </si>
  <si>
    <t>Old Machine</t>
  </si>
  <si>
    <t>New Machine</t>
  </si>
  <si>
    <t>Profit after tax</t>
  </si>
  <si>
    <t>+ Depreciation</t>
  </si>
  <si>
    <t>After-tax cash flow</t>
  </si>
  <si>
    <t>tax (45%)</t>
  </si>
  <si>
    <t>Quality</t>
  </si>
  <si>
    <t>High</t>
  </si>
  <si>
    <t>Aaa</t>
  </si>
  <si>
    <t>Moody's Debt Rating Description</t>
  </si>
  <si>
    <t>Aa</t>
  </si>
  <si>
    <t>Possess many favorable investment attributes and are considered as upper medium-grade obligations. Factors giving security to principal and interest are considered adequate, but elements may be present which suggest a susceptibility to impairment sometime in the future.</t>
  </si>
  <si>
    <t>Baa</t>
  </si>
  <si>
    <t>Considered as medium-grade obligations. Interest payments and principle security appear adequate for the present but certain protective elements may be lacking or may be characteristically unreliable over any great length of time. Such bonds lack outstanding investment characteristics and in fact have speculative characteristics as well.</t>
  </si>
  <si>
    <t>Ba</t>
  </si>
  <si>
    <t>Judged to have speculative elements; their future cannot be considered as well-assured. Often the protection of interest and principal payments may be very moderate, and thereby not very well safeguarded during both good and bad times over the future. Uncertainty of position characterizes bonds in this class.</t>
  </si>
  <si>
    <t>Generally lack characteristics of the desirable investment. Assurance of interest and principal payments or of maintenance of other terms of the contract over any long period of time may be small.</t>
  </si>
  <si>
    <t>Caa</t>
  </si>
  <si>
    <t>Poor standing. Such issues may be in default or there may be present elements of danger with respect to principal and interest.</t>
  </si>
  <si>
    <t>Ca</t>
  </si>
  <si>
    <t>Represent obligations which are speculative in a high degree. Such issues are often in default or have other marked shortcomings.</t>
  </si>
  <si>
    <t>Lowest rated class of bonds, and issues so rated can be regarded as having extremely poor prospects of ever attaining any real investment standing.</t>
  </si>
  <si>
    <t>Judged to be of the best quality. They carry the smallest degree of investment risk and are generally referred to as “gilt edged.” Interest payments are protected by a large or exceptionally stable margin and principle is secure. While the various protective elements are likely to change, such changes as can be visualized are most unlikely to impair the fundamentally strong position of such issues.</t>
  </si>
  <si>
    <t>Judged to be of high quality by all standards. Together with the Aaa group they comprise the high-grade bonds. They are rated lower than the best bonds because margins of protection may not be as large as in Aaa securities or fluctuation of protective elements amplitude or there may be other elements present which make the long term risk appear to be somewhat larger than the Aaa securities. may be of greater</t>
  </si>
  <si>
    <t>Medium</t>
  </si>
  <si>
    <t>Speculative Grade: Low Quality</t>
  </si>
  <si>
    <t>Lowest</t>
  </si>
  <si>
    <t>S&amp;P</t>
  </si>
  <si>
    <t>Moody</t>
  </si>
  <si>
    <t>AAA</t>
  </si>
  <si>
    <t>AA</t>
  </si>
  <si>
    <t>BBB</t>
  </si>
  <si>
    <t>CCC</t>
  </si>
  <si>
    <t>BB</t>
  </si>
  <si>
    <t>CC</t>
  </si>
  <si>
    <t>Spread</t>
  </si>
  <si>
    <t>A2</t>
  </si>
  <si>
    <t>C2</t>
  </si>
  <si>
    <t>A1</t>
  </si>
  <si>
    <t>Ba1</t>
  </si>
  <si>
    <t>Baa3</t>
  </si>
  <si>
    <t>Stock</t>
  </si>
  <si>
    <t>Beta</t>
  </si>
  <si>
    <t>Amazon.com</t>
  </si>
  <si>
    <t>Wal-Mart</t>
  </si>
  <si>
    <t>Microsoft</t>
  </si>
  <si>
    <t>Intel</t>
  </si>
  <si>
    <t>Merck</t>
  </si>
  <si>
    <t>Ford</t>
  </si>
  <si>
    <t>AT&amp;T</t>
  </si>
  <si>
    <t>Home Depot</t>
  </si>
  <si>
    <t>Semi-conductors</t>
  </si>
  <si>
    <t>Airlines</t>
  </si>
  <si>
    <t>Electronics</t>
  </si>
  <si>
    <t>Steel</t>
  </si>
  <si>
    <t>Restaurants</t>
  </si>
  <si>
    <t>Pharmaceuticals</t>
  </si>
  <si>
    <t>Tobacco</t>
  </si>
  <si>
    <t>Level</t>
  </si>
  <si>
    <t>Industry</t>
  </si>
  <si>
    <t>High Risk</t>
  </si>
  <si>
    <t>Computer Services</t>
  </si>
  <si>
    <t>Motion Pictures</t>
  </si>
  <si>
    <t>Computer Hardware</t>
  </si>
  <si>
    <t>Medium Risk</t>
  </si>
  <si>
    <t>Auto &amp; Trucking</t>
  </si>
  <si>
    <t>Forestry &amp; Wood</t>
  </si>
  <si>
    <t>Retail Dept. Stores</t>
  </si>
  <si>
    <t>Low Risk</t>
  </si>
  <si>
    <t>Communication Services</t>
  </si>
  <si>
    <t>Aerospace &amp; Defense</t>
  </si>
  <si>
    <t>Food Processing</t>
  </si>
  <si>
    <t>Oil &amp; Gas</t>
  </si>
  <si>
    <t>Electric Utilities</t>
  </si>
  <si>
    <t>Investment Return</t>
  </si>
  <si>
    <t>Average Deviation (%)</t>
  </si>
  <si>
    <t>Standard (%)</t>
  </si>
  <si>
    <t>Treasury Bills</t>
  </si>
  <si>
    <t>Long-Term 10-year Treasury Bonds</t>
  </si>
  <si>
    <t>Large Company Stocks (S&amp;P 500)</t>
  </si>
  <si>
    <t xml:space="preserve">Cost of Equity </t>
  </si>
  <si>
    <t>Equation</t>
  </si>
  <si>
    <t>=2.7+6.38*1.83</t>
  </si>
  <si>
    <t>=2.7+6.38*0.52</t>
  </si>
  <si>
    <t>=2.7+6.38*1.11</t>
  </si>
  <si>
    <t>=2.7+6.38*0.76</t>
  </si>
  <si>
    <t>=2.7+6.38*0.57</t>
  </si>
  <si>
    <t>:</t>
  </si>
  <si>
    <t>Year</t>
  </si>
  <si>
    <t>Deepwater Fishing</t>
  </si>
  <si>
    <t>New Submarine Ride</t>
  </si>
  <si>
    <t>payback period</t>
  </si>
  <si>
    <t>Depreciation</t>
  </si>
  <si>
    <t>=15,000/10</t>
  </si>
  <si>
    <t>New Operating Cash Flow</t>
  </si>
  <si>
    <t>C0</t>
  </si>
  <si>
    <t>C1</t>
  </si>
  <si>
    <t>C3</t>
  </si>
  <si>
    <t>C4</t>
  </si>
  <si>
    <t>C5</t>
  </si>
  <si>
    <t>C6</t>
  </si>
  <si>
    <t>C7</t>
  </si>
  <si>
    <t>C8</t>
  </si>
  <si>
    <t>C9</t>
  </si>
  <si>
    <t>C10</t>
  </si>
  <si>
    <t>=2875 - 1150</t>
  </si>
  <si>
    <t>=NPV(rate,10  : $1325 payments) + initial investment</t>
  </si>
  <si>
    <t>Auger Biotech</t>
  </si>
  <si>
    <t>Old Product</t>
  </si>
  <si>
    <t>New Product</t>
  </si>
  <si>
    <t>Caffe Vita Coffee Roasting Co</t>
  </si>
  <si>
    <t>Old Coffee Roasters</t>
  </si>
  <si>
    <t>New Coffee Roasters</t>
  </si>
  <si>
    <t>WACC - Weighted Average Cost of Capital</t>
  </si>
  <si>
    <t>Financial Component</t>
  </si>
  <si>
    <t>Cost of Capital</t>
  </si>
  <si>
    <t>Weight Average</t>
  </si>
  <si>
    <t>2/3 X 4%</t>
  </si>
  <si>
    <t>Equity</t>
  </si>
  <si>
    <t>1/3 X 10%</t>
  </si>
  <si>
    <t>6% WACC</t>
  </si>
  <si>
    <t>Value</t>
  </si>
  <si>
    <t>- Taxes (20%)</t>
  </si>
  <si>
    <t>= Earnings After Taxes</t>
  </si>
  <si>
    <t>- Increase in Net Work Capital</t>
  </si>
  <si>
    <t>= Net Cash Flows (CF)</t>
  </si>
  <si>
    <t>1</t>
  </si>
  <si>
    <t>2</t>
  </si>
  <si>
    <t>3</t>
  </si>
  <si>
    <t>4</t>
  </si>
  <si>
    <t>5</t>
  </si>
  <si>
    <t>+ Depreciation (8% EBIT)</t>
  </si>
  <si>
    <t>- Capital Spending (24% EBIT)</t>
  </si>
  <si>
    <t>Earnings before Interest and Taxes (EBIT) (10% growth)</t>
  </si>
  <si>
    <t>Private Health</t>
  </si>
  <si>
    <t>Happy Healthcare</t>
  </si>
  <si>
    <t>Community Health</t>
  </si>
  <si>
    <t>($MM)</t>
  </si>
  <si>
    <t>Balance Sheet</t>
  </si>
  <si>
    <t>Assets</t>
  </si>
  <si>
    <t>Long-Term Debt</t>
  </si>
  <si>
    <t>Income Statement</t>
  </si>
  <si>
    <t>Revenues</t>
  </si>
  <si>
    <t>EBITDA</t>
  </si>
  <si>
    <t>Net Income</t>
  </si>
  <si>
    <t>Market Data</t>
  </si>
  <si>
    <t>Earnings per Share ($/share)</t>
  </si>
  <si>
    <t>n/a</t>
  </si>
  <si>
    <t>Shares Outstanding (m)</t>
  </si>
  <si>
    <t>Number of Members</t>
  </si>
  <si>
    <t xml:space="preserve"> </t>
  </si>
  <si>
    <t>Market Value = EPS * P/E* Number of shares</t>
  </si>
  <si>
    <t>Enterprise Value = Market Value + Long term + debt</t>
  </si>
  <si>
    <t>Enterprise Value/Sales</t>
  </si>
  <si>
    <t>Enterprise Value/EBITDA</t>
  </si>
  <si>
    <t>Enterprise Value/Member</t>
  </si>
  <si>
    <t>Average</t>
  </si>
  <si>
    <t>3.52 = MV / BV</t>
  </si>
  <si>
    <t>3.52 = 422/ BV</t>
  </si>
  <si>
    <t>BV = 422/3.52</t>
  </si>
  <si>
    <t>BV = 120</t>
  </si>
  <si>
    <t>Net Worth = BV = Book Value</t>
  </si>
  <si>
    <t>Constant Growth</t>
  </si>
  <si>
    <r>
      <t>P</t>
    </r>
    <r>
      <rPr>
        <vertAlign val="subscript"/>
        <sz val="12"/>
        <color theme="1"/>
        <rFont val="Times New Roman"/>
        <family val="1"/>
      </rPr>
      <t xml:space="preserve">0 </t>
    </r>
    <r>
      <rPr>
        <sz val="12"/>
        <color theme="1"/>
        <rFont val="Times New Roman"/>
        <family val="1"/>
      </rPr>
      <t xml:space="preserve">=  </t>
    </r>
  </si>
  <si>
    <t>Q1</t>
  </si>
  <si>
    <t>The next dividend payment by Skippy Inc. will be $2.95 per share. The dividends are anticipated to maintain a growth rate of 4.8 percent, forever. If the stock sells for $53.10 per share, what is the required rate of return (also known as discount rate)?</t>
  </si>
  <si>
    <t>P0 = Div1/(R-g)</t>
  </si>
  <si>
    <t>53.10 = 2.95/(R - 0.048)</t>
  </si>
  <si>
    <t>53.10 * (R-0.048) = 2.95</t>
  </si>
  <si>
    <t>53.10R  - 53.10*0.048 = 2.95/(53.10*0.048)</t>
  </si>
  <si>
    <t>53.10 R = 2.95 + 53.10*0.048</t>
  </si>
  <si>
    <t>53.10 R = (2.95 + 53.10*0.048)/53.10</t>
  </si>
  <si>
    <t xml:space="preserve">Q2 </t>
  </si>
  <si>
    <t>Gruber corp. pays a constant dividend of $8.50 on its stock. The company will maintain this dividend for the next 11 years. And will then cease paying the dividends forever. If the required rate of return on this stock is 9.5 percent, what is current stock price?</t>
  </si>
  <si>
    <t>R= 0.095</t>
  </si>
  <si>
    <t>Div 1-11 = 8.50</t>
  </si>
  <si>
    <t>To value a Differential Growth Stock, we need to:</t>
  </si>
  <si>
    <r>
      <t>·</t>
    </r>
    <r>
      <rPr>
        <sz val="7"/>
        <color theme="1"/>
        <rFont val="Times New Roman"/>
        <family val="1"/>
      </rPr>
      <t xml:space="preserve">         </t>
    </r>
    <r>
      <rPr>
        <sz val="12"/>
        <color theme="1"/>
        <rFont val="Times New Roman"/>
        <family val="1"/>
      </rPr>
      <t>Estimate future dividends in the foreseeable future.</t>
    </r>
  </si>
  <si>
    <r>
      <t>·</t>
    </r>
    <r>
      <rPr>
        <sz val="7"/>
        <color theme="1"/>
        <rFont val="Times New Roman"/>
        <family val="1"/>
      </rPr>
      <t xml:space="preserve">         </t>
    </r>
    <r>
      <rPr>
        <sz val="12"/>
        <color theme="1"/>
        <rFont val="Times New Roman"/>
        <family val="1"/>
      </rPr>
      <t>Estimate the future stock price when the stock becomes a Constant Growth Stock (Case 2).</t>
    </r>
  </si>
  <si>
    <r>
      <t>·</t>
    </r>
    <r>
      <rPr>
        <sz val="7"/>
        <color theme="1"/>
        <rFont val="Times New Roman"/>
        <family val="1"/>
      </rPr>
      <t xml:space="preserve">         </t>
    </r>
    <r>
      <rPr>
        <sz val="12"/>
        <color theme="1"/>
        <rFont val="Times New Roman"/>
        <family val="1"/>
      </rPr>
      <t>Compute the total present value of the estimated future dividends and future stock price at the appropriate discount rate.</t>
    </r>
  </si>
  <si>
    <t>Div</t>
  </si>
  <si>
    <t>year</t>
  </si>
  <si>
    <t>R</t>
  </si>
  <si>
    <t>P 0 = 11*8.50 + 3.13/g</t>
  </si>
  <si>
    <t>Q3</t>
  </si>
  <si>
    <t xml:space="preserve">P 0 = 56.50 </t>
  </si>
  <si>
    <t>Sales</t>
  </si>
  <si>
    <t>Operating Profit (EBIT)</t>
  </si>
  <si>
    <t>- Taxes (35%)</t>
  </si>
  <si>
    <t>- Cost of Goods Sold</t>
  </si>
  <si>
    <t>- Selling, General, and Adm.</t>
  </si>
  <si>
    <t>- Other Expenses</t>
  </si>
  <si>
    <t>Income Statements</t>
  </si>
  <si>
    <t>Company A</t>
  </si>
  <si>
    <t>CompanyB</t>
  </si>
  <si>
    <t>NOPAT Net Operating Profit (After-Tax)</t>
  </si>
  <si>
    <t>Net Working Capital</t>
  </si>
  <si>
    <t>Net Fixed Assets</t>
  </si>
  <si>
    <t>Other Assets</t>
  </si>
  <si>
    <t>Net Assets</t>
  </si>
  <si>
    <t>Stockholders’ Equity</t>
  </si>
  <si>
    <t>Total Capital</t>
  </si>
  <si>
    <t>Total Capital = Net Assets</t>
  </si>
  <si>
    <t>ROTC = NOPAT/TC</t>
  </si>
  <si>
    <t>Total Capital (TC)</t>
  </si>
  <si>
    <t>Market Values ($B)</t>
  </si>
  <si>
    <t>Total</t>
  </si>
  <si>
    <t>Weights MV/Total</t>
  </si>
  <si>
    <t>Tax Rate</t>
  </si>
  <si>
    <t>Cost of Debt</t>
  </si>
  <si>
    <t>Debt Cost = Debt Rate * (1 - Tax Rate)</t>
  </si>
  <si>
    <t>Average * net income</t>
  </si>
  <si>
    <t>Average * Revenue</t>
  </si>
  <si>
    <t>Private Health Estimates ($M)</t>
  </si>
  <si>
    <t>Market Value/Book Value of Equity (Net Worth)</t>
  </si>
  <si>
    <t>PE Price-Earnings Ratio (times revenues)</t>
  </si>
  <si>
    <t>Timeline of Cash Flows for Arras</t>
  </si>
  <si>
    <t>Time</t>
  </si>
  <si>
    <t>Arras Assets ($M)</t>
  </si>
  <si>
    <t>Growth</t>
  </si>
  <si>
    <t>Step 1: Find the Cash Flows</t>
  </si>
  <si>
    <t>Step 2: Find the Terminal Cash Flow</t>
  </si>
  <si>
    <t>TV5 =</t>
  </si>
  <si>
    <t>TV5 = (CF6)/(r-g) = $10.391/(.1 - .04)</t>
  </si>
  <si>
    <t>Step 3: Find the P0</t>
  </si>
  <si>
    <t xml:space="preserve">risk </t>
  </si>
  <si>
    <r>
      <t xml:space="preserve">       </t>
    </r>
    <r>
      <rPr>
        <sz val="14"/>
        <color theme="1"/>
        <rFont val="Times New Roman"/>
        <family val="1"/>
      </rPr>
      <t>PV</t>
    </r>
    <r>
      <rPr>
        <vertAlign val="subscript"/>
        <sz val="14"/>
        <color theme="1"/>
        <rFont val="Times New Roman"/>
        <family val="1"/>
      </rPr>
      <t>5</t>
    </r>
    <r>
      <rPr>
        <sz val="14"/>
        <color theme="1"/>
        <rFont val="Times New Roman"/>
        <family val="1"/>
      </rPr>
      <t xml:space="preserve"> = </t>
    </r>
  </si>
  <si>
    <r>
      <t>PV</t>
    </r>
    <r>
      <rPr>
        <vertAlign val="subscript"/>
        <sz val="14"/>
        <color theme="1"/>
        <rFont val="Times New Roman"/>
        <family val="1"/>
      </rPr>
      <t>5</t>
    </r>
    <r>
      <rPr>
        <sz val="14"/>
        <color theme="1"/>
        <rFont val="Times New Roman"/>
        <family val="1"/>
      </rPr>
      <t xml:space="preserve"> = </t>
    </r>
  </si>
  <si>
    <r>
      <t>CF</t>
    </r>
    <r>
      <rPr>
        <vertAlign val="subscript"/>
        <sz val="11"/>
        <color theme="1"/>
        <rFont val="Calibri"/>
        <family val="2"/>
        <scheme val="minor"/>
      </rPr>
      <t>i</t>
    </r>
    <r>
      <rPr>
        <sz val="11"/>
        <color theme="1"/>
        <rFont val="Calibri"/>
        <family val="2"/>
        <scheme val="minor"/>
      </rPr>
      <t>/(1+r)^t</t>
    </r>
  </si>
  <si>
    <t>Step 4: Find the Equity by subtracting the debt</t>
  </si>
  <si>
    <t>Step 5: Stock Estimate by dividing the equity by the shares outstanding</t>
  </si>
  <si>
    <t xml:space="preserve">Equity = $139.72M - $30 M = </t>
  </si>
  <si>
    <t>Estimate Stock Price = Equity/ Shares Outstanding</t>
  </si>
  <si>
    <t>= 109.72/2.5</t>
  </si>
  <si>
    <t>Standard NPV Analysis</t>
  </si>
  <si>
    <t>Initial investment</t>
  </si>
  <si>
    <t>Revenue</t>
  </si>
  <si>
    <t>Cash Expense</t>
  </si>
  <si>
    <t>Income before tax</t>
  </si>
  <si>
    <t>Tax at 40%</t>
  </si>
  <si>
    <t>NPV at 10% $ 58.50</t>
  </si>
  <si>
    <t>0</t>
  </si>
  <si>
    <t>After tax cash flow</t>
  </si>
  <si>
    <t>Joe’s Party Supply
Year</t>
  </si>
  <si>
    <t>- Taxes (21%)</t>
  </si>
  <si>
    <t>%</t>
  </si>
  <si>
    <t>- Capital Spending (15% EBIT)</t>
  </si>
  <si>
    <t>- Increase in Net Work Capital (9% EBIT)</t>
  </si>
  <si>
    <t xml:space="preserve">r= </t>
  </si>
  <si>
    <r>
      <t>TV</t>
    </r>
    <r>
      <rPr>
        <vertAlign val="subscript"/>
        <sz val="16"/>
        <color theme="1"/>
        <rFont val="Times New Roman"/>
        <family val="1"/>
      </rPr>
      <t>5</t>
    </r>
    <r>
      <rPr>
        <sz val="16"/>
        <color theme="1"/>
        <rFont val="Times New Roman"/>
        <family val="1"/>
      </rPr>
      <t xml:space="preserve"> = </t>
    </r>
  </si>
  <si>
    <t>CF6+ =</t>
  </si>
  <si>
    <t>PV5=</t>
  </si>
  <si>
    <t>(b) Discounted EVA Analysis</t>
  </si>
  <si>
    <t>r</t>
  </si>
  <si>
    <t>r x Capital</t>
  </si>
  <si>
    <t>- r x Capital</t>
  </si>
  <si>
    <t>EVA</t>
  </si>
  <si>
    <t>Company B</t>
  </si>
  <si>
    <t>Return on Sales (ROS) = NOPAT/Sales</t>
  </si>
  <si>
    <t>Capital Turnover (CT) = Sales/TC</t>
  </si>
  <si>
    <t>Economic Profit</t>
  </si>
  <si>
    <t>Method 1: NOPAT - [r X TC]</t>
  </si>
  <si>
    <t>r X TC</t>
  </si>
  <si>
    <t>Economic Value = NOPAT - r X TC</t>
  </si>
  <si>
    <t>NOPAT Net Operating Profit After-Tax</t>
  </si>
  <si>
    <t>Method 2: [r* - r] X TC</t>
  </si>
  <si>
    <t>Economic Value = [r* - r] X TC</t>
  </si>
  <si>
    <t>r* is estimated by ROTC = NOPAT/TC</t>
  </si>
  <si>
    <t>Capital employed - depreciation</t>
  </si>
  <si>
    <t>EBIT(1 - t ) (Income after tax)</t>
  </si>
  <si>
    <t>Income after tax</t>
  </si>
  <si>
    <r>
      <t>NPV</t>
    </r>
    <r>
      <rPr>
        <vertAlign val="subscript"/>
        <sz val="11"/>
        <color theme="1"/>
        <rFont val="Calibri"/>
        <family val="2"/>
        <scheme val="minor"/>
      </rPr>
      <t>t</t>
    </r>
  </si>
  <si>
    <t xml:space="preserve">NPV = </t>
  </si>
  <si>
    <r>
      <t>NPV</t>
    </r>
    <r>
      <rPr>
        <vertAlign val="subscript"/>
        <sz val="11"/>
        <color theme="1"/>
        <rFont val="Calibri"/>
        <family val="2"/>
        <scheme val="minor"/>
      </rPr>
      <t>t</t>
    </r>
    <r>
      <rPr>
        <sz val="11"/>
        <color theme="1"/>
        <rFont val="Calibri"/>
        <family val="2"/>
        <scheme val="minor"/>
      </rPr>
      <t xml:space="preserve"> (using EVA)</t>
    </r>
  </si>
  <si>
    <t xml:space="preserve">r </t>
  </si>
  <si>
    <r>
      <t>NPV = EVA discounted at 10% (r)= sum(NPV</t>
    </r>
    <r>
      <rPr>
        <vertAlign val="subscript"/>
        <sz val="11"/>
        <color theme="0"/>
        <rFont val="Calibri"/>
        <family val="2"/>
        <scheme val="minor"/>
      </rPr>
      <t>t</t>
    </r>
    <r>
      <rPr>
        <sz val="11"/>
        <color theme="0"/>
        <rFont val="Calibri"/>
        <family val="2"/>
        <scheme val="minor"/>
      </rPr>
      <t>)</t>
    </r>
  </si>
  <si>
    <r>
      <t>NPV =  sum(NPV</t>
    </r>
    <r>
      <rPr>
        <vertAlign val="subscript"/>
        <sz val="11"/>
        <color theme="0"/>
        <rFont val="Calibri"/>
        <family val="2"/>
        <scheme val="minor"/>
      </rPr>
      <t>t</t>
    </r>
    <r>
      <rPr>
        <sz val="11"/>
        <color theme="0"/>
        <rFont val="Calibri"/>
        <family val="2"/>
        <scheme val="minor"/>
      </rPr>
      <t>)</t>
    </r>
  </si>
  <si>
    <t>FY2020-FY2024</t>
  </si>
  <si>
    <t>FY2025-FY2027</t>
  </si>
  <si>
    <t>FY2028 to perpetuity</t>
  </si>
  <si>
    <t>Growth rate</t>
  </si>
  <si>
    <t>UltraFit</t>
  </si>
  <si>
    <t>United We Are Strong</t>
  </si>
  <si>
    <t>market value/per member</t>
  </si>
  <si>
    <t>price/earning ratio</t>
  </si>
  <si>
    <t>EBIT</t>
  </si>
  <si>
    <t>Capital Expenditures</t>
  </si>
  <si>
    <t>Changes in Working Capital</t>
  </si>
  <si>
    <t>2020</t>
  </si>
  <si>
    <t>2021</t>
  </si>
  <si>
    <t>2022</t>
  </si>
  <si>
    <t>2023</t>
  </si>
  <si>
    <t>2024</t>
  </si>
  <si>
    <t>2025</t>
  </si>
  <si>
    <t>2026</t>
  </si>
  <si>
    <t>Firm Y</t>
  </si>
  <si>
    <t>Firm Z</t>
  </si>
  <si>
    <t>Debt Basis Points</t>
  </si>
  <si>
    <t>% debt in capital structure</t>
  </si>
  <si>
    <t xml:space="preserve">Market Risk Premium </t>
  </si>
  <si>
    <t xml:space="preserve">Tax Rate </t>
  </si>
  <si>
    <t xml:space="preserve">Total Debt </t>
  </si>
  <si>
    <t>$56.96B</t>
  </si>
  <si>
    <t xml:space="preserve">Rating of Debt A2 </t>
  </si>
  <si>
    <t>(123 basis points)</t>
  </si>
  <si>
    <t>Market Capitalization</t>
  </si>
  <si>
    <t xml:space="preserve"> $254.93B</t>
  </si>
  <si>
    <t>Book Value of Equity</t>
  </si>
  <si>
    <t xml:space="preserve"> 4.57B</t>
  </si>
  <si>
    <t xml:space="preserve">Price </t>
  </si>
  <si>
    <t xml:space="preserve">Price to Sales Ratio </t>
  </si>
  <si>
    <t xml:space="preserve">ROA </t>
  </si>
  <si>
    <t xml:space="preserve">Total Debt to Equity (BV) </t>
  </si>
  <si>
    <t xml:space="preserve">Shares Outstanding </t>
  </si>
  <si>
    <t>1.8B</t>
  </si>
  <si>
    <t xml:space="preserve">BV/Share </t>
  </si>
  <si>
    <t xml:space="preserve">US 10 Year Tbond Yield </t>
  </si>
  <si>
    <t>Column1</t>
  </si>
  <si>
    <t>Column2</t>
  </si>
  <si>
    <t>Profile Information</t>
  </si>
  <si>
    <t>Facebook</t>
  </si>
  <si>
    <t>Netflix</t>
  </si>
  <si>
    <t>Price</t>
  </si>
  <si>
    <t>$27.46B</t>
  </si>
  <si>
    <t>$1.96B</t>
  </si>
  <si>
    <t>Return on Assets</t>
  </si>
  <si>
    <t>Average Volume</t>
  </si>
  <si>
    <t>17.24 million</t>
  </si>
  <si>
    <t>6.39  million</t>
  </si>
  <si>
    <t>Total Debt/Equity (BV)</t>
  </si>
  <si>
    <t>EPS</t>
  </si>
  <si>
    <t>$58.95B</t>
  </si>
  <si>
    <t>$17.63B</t>
  </si>
  <si>
    <t>Book Value/Share</t>
  </si>
  <si>
    <t>Current Ratio</t>
  </si>
  <si>
    <t>Bond Ratings</t>
  </si>
  <si>
    <t>A (111 basis points)</t>
  </si>
  <si>
    <t>BB (323 basis   points)</t>
  </si>
  <si>
    <t>MVA - Market Added Value</t>
  </si>
  <si>
    <t>MVA = Market Value of Equity - Book Value of Equity</t>
  </si>
  <si>
    <t xml:space="preserve">MVA =  Stock Price X # Shares Outstanding - (Assets – Debt from balance sheet OR Stockholder Equity) </t>
  </si>
  <si>
    <t>MVA (B)</t>
  </si>
  <si>
    <t>Shares Outstanding (B)</t>
  </si>
  <si>
    <t>Cost of Equity</t>
  </si>
  <si>
    <t>MVA = ( Stock Price per share – Book Value per share) * Number of shares outstanding</t>
  </si>
  <si>
    <t>Risk Free Rate (T note)</t>
  </si>
  <si>
    <t>Cost of Equity = Risk Free Rate + Beta X (Market Risk Premium)</t>
  </si>
  <si>
    <t>Market Risk Premium</t>
  </si>
  <si>
    <t>WACC = Cost of Debt x (1-Tax Rate) x (Debt/(Debt+Equity)) + Cost of Equity x (Equity/(Debt+Equity))</t>
  </si>
  <si>
    <t>Cost of Capital (WACC)</t>
  </si>
  <si>
    <t>Total Debt (B)</t>
  </si>
  <si>
    <t>Bond Premium</t>
  </si>
  <si>
    <t>Basis/100</t>
  </si>
  <si>
    <t>Cost of Debt = Treasury Bond Rate + Default Premium (dynamic)</t>
  </si>
  <si>
    <t xml:space="preserve">Cost of Capital </t>
  </si>
  <si>
    <t>29.2/255.99(1-0.25% tax rate) (.0381) + 226.79/255.99 ( 0.1.55) = 9.67% ~10%</t>
  </si>
  <si>
    <t>Total Debt = $ 29.2</t>
  </si>
  <si>
    <t xml:space="preserve">Cost of Debt _ 3.81% </t>
  </si>
  <si>
    <t>Total Value of the Firm 255.99B</t>
  </si>
  <si>
    <t>Market Cap (B)</t>
  </si>
  <si>
    <t xml:space="preserve">Market Value of Equity or Market Cap = 226.798 </t>
  </si>
  <si>
    <t>Firm Value = Equity + Debt</t>
  </si>
  <si>
    <t>Cost of Equity 10.55%</t>
  </si>
  <si>
    <t>Total Debt/Firm Value (1- tax rate) ( X Cost of Debt %) + (Cost of Equity)* (Market Value of Equity) /Firm Value  = 9.67% ~10%</t>
  </si>
  <si>
    <t>Cost of Capital =</t>
  </si>
  <si>
    <t xml:space="preserve">P0 = </t>
  </si>
  <si>
    <t>53.1 = 2.95/ (R - 0.048)</t>
  </si>
  <si>
    <t xml:space="preserve">53.1R - 53.1*0.048 = 2.95 </t>
  </si>
  <si>
    <t>53.1R = 2.95  + 53.1*0.048</t>
  </si>
  <si>
    <t>R = (2.95 + 53.1 * 0.048)/ 53.1</t>
  </si>
  <si>
    <t>NPVt</t>
  </si>
  <si>
    <t>TV11+ = CF11 * (1+ g) / (r-g)</t>
  </si>
  <si>
    <t>TV11+ =</t>
  </si>
  <si>
    <t>TV11+ = 8.5 * (1+ 0) / (0.095-0)</t>
  </si>
  <si>
    <t xml:space="preserve">NPV11+ </t>
  </si>
  <si>
    <t>Div = CF</t>
  </si>
  <si>
    <t>PNVt</t>
  </si>
  <si>
    <t>P0</t>
  </si>
  <si>
    <t>Q4</t>
  </si>
  <si>
    <t>Q5</t>
  </si>
  <si>
    <t>g = 0.06</t>
  </si>
  <si>
    <t>1.20 last year</t>
  </si>
  <si>
    <t>= (1.2) * (1+ 0.06) / (.14 - 0.06)</t>
  </si>
  <si>
    <t>TERMINAL</t>
  </si>
  <si>
    <t>DISCOUNT for year 10</t>
  </si>
  <si>
    <t>P10+ = 15.75 * (1+ 0.048) / (0.12 - 0.048)</t>
  </si>
  <si>
    <t>P10+ = CF10 * (1+ g) / (r-g)</t>
  </si>
  <si>
    <t>P10+ =</t>
  </si>
  <si>
    <t>Q20</t>
  </si>
  <si>
    <t>Firm A</t>
  </si>
  <si>
    <t>Firm B</t>
  </si>
  <si>
    <t>Total Sales</t>
  </si>
  <si>
    <t>Cost of Goods Sold</t>
  </si>
  <si>
    <t>Selling, General &amp; Admin.</t>
  </si>
  <si>
    <t>ROS = NOPAT / Sales</t>
  </si>
  <si>
    <t>NOPAT</t>
  </si>
  <si>
    <t>Q19</t>
  </si>
  <si>
    <t>ELE 1800</t>
  </si>
  <si>
    <t>ADV 2000</t>
  </si>
  <si>
    <t>tax (21%)</t>
  </si>
  <si>
    <t>Profit before tax EBITDA</t>
  </si>
  <si>
    <t>EBITDA = earnings before interest, taxes, depreciation, and amortization</t>
  </si>
  <si>
    <t>Q18</t>
  </si>
  <si>
    <t>Economic Profits</t>
  </si>
  <si>
    <t>Undiscounted payback period</t>
  </si>
  <si>
    <t>payback</t>
  </si>
  <si>
    <t xml:space="preserve">payback = 2 years + 60/410 = </t>
  </si>
  <si>
    <t>Q1-3</t>
  </si>
  <si>
    <t>Investment</t>
  </si>
  <si>
    <t>initial Costs</t>
  </si>
  <si>
    <t>$5.5million</t>
  </si>
  <si>
    <t>$3.0million</t>
  </si>
  <si>
    <t>$2.0million</t>
  </si>
  <si>
    <t>Expected life</t>
  </si>
  <si>
    <t>10 yrs</t>
  </si>
  <si>
    <t>NPV@15%</t>
  </si>
  <si>
    <t xml:space="preserve">FV </t>
  </si>
  <si>
    <t>Q12</t>
  </si>
  <si>
    <t>Q13</t>
  </si>
  <si>
    <t>Q14</t>
  </si>
  <si>
    <t>Q15</t>
  </si>
  <si>
    <t xml:space="preserve">Q16 </t>
  </si>
  <si>
    <t>Q1 Crossover Rate</t>
  </si>
  <si>
    <t>Project A</t>
  </si>
  <si>
    <t>Project B</t>
  </si>
  <si>
    <t>B-A</t>
  </si>
  <si>
    <t>Q2</t>
  </si>
  <si>
    <t>Kiost</t>
  </si>
  <si>
    <t>Food Truck</t>
  </si>
  <si>
    <t>FY2021</t>
  </si>
  <si>
    <t>FY2022</t>
  </si>
  <si>
    <t>FY2023</t>
  </si>
  <si>
    <t>FY2024</t>
  </si>
  <si>
    <t>FY2025</t>
  </si>
  <si>
    <t>Fy2026</t>
  </si>
  <si>
    <t>Q3 ??</t>
  </si>
  <si>
    <t xml:space="preserve">Div1 </t>
  </si>
  <si>
    <t>g</t>
  </si>
  <si>
    <t xml:space="preserve">P0 </t>
  </si>
  <si>
    <t>P0 = Div1 / (r - g)</t>
  </si>
  <si>
    <t>P0 * r - P0*g = Div1</t>
  </si>
  <si>
    <t>P0*r = Div1 + P0*g</t>
  </si>
  <si>
    <t>r = (Div1 + P0*g)/P0</t>
  </si>
  <si>
    <t>r = (2.95 + 53.10*0.048)/53.10</t>
  </si>
  <si>
    <t xml:space="preserve">r = </t>
  </si>
  <si>
    <t>period</t>
  </si>
  <si>
    <t xml:space="preserve">PV = </t>
  </si>
  <si>
    <t>div10</t>
  </si>
  <si>
    <t xml:space="preserve">P9 = </t>
  </si>
  <si>
    <t>div10/(r-g)</t>
  </si>
  <si>
    <t>=15.75/(0.12-0.048)</t>
  </si>
  <si>
    <t>P9 Discounted</t>
  </si>
  <si>
    <t>218.75/(1+0.12)^9</t>
  </si>
  <si>
    <t>cf</t>
  </si>
  <si>
    <t>div0</t>
  </si>
  <si>
    <t>P0 = (div0 *(1+g))/(r-g)</t>
  </si>
  <si>
    <t>P0 = (1.2 *(1+.06))/(.14-0.06)</t>
  </si>
  <si>
    <t>Q6</t>
  </si>
  <si>
    <t>R1</t>
  </si>
  <si>
    <t>R2</t>
  </si>
  <si>
    <t>Cost ($M)</t>
  </si>
  <si>
    <t>Years</t>
  </si>
  <si>
    <t>Taxable Income</t>
  </si>
  <si>
    <t>CF</t>
  </si>
  <si>
    <t>Salvage</t>
  </si>
  <si>
    <t>Taxes 0.45</t>
  </si>
  <si>
    <t xml:space="preserve">NPV </t>
  </si>
  <si>
    <t>Q7 NO DON'T BUY</t>
  </si>
  <si>
    <t>Q8</t>
  </si>
  <si>
    <t>Q9</t>
  </si>
  <si>
    <t>Old Fryer</t>
  </si>
  <si>
    <t>New Fryer</t>
  </si>
  <si>
    <t>Taxes 0.21</t>
  </si>
  <si>
    <t>Q10</t>
  </si>
  <si>
    <t>Alpha</t>
  </si>
  <si>
    <t>Omega</t>
  </si>
  <si>
    <t>Dogwood</t>
  </si>
  <si>
    <t xml:space="preserve"> SuperMax 1000</t>
  </si>
  <si>
    <t>Sampson 1800</t>
  </si>
  <si>
    <t>"Who's the Boss" Board Game</t>
  </si>
  <si>
    <t>Family Trivia Interactive DVD</t>
  </si>
  <si>
    <t>Parent Swap Phone App</t>
  </si>
  <si>
    <t>Baby Bounce Racing Game Release 1.0 </t>
  </si>
  <si>
    <t>Twister On-Line Game with Chat</t>
  </si>
  <si>
    <t>ROS - return on sales</t>
  </si>
  <si>
    <t>Tax</t>
  </si>
  <si>
    <t>After Tax</t>
  </si>
  <si>
    <t>Revenue Before Tax</t>
  </si>
  <si>
    <t>Cost</t>
  </si>
  <si>
    <t>tax rate</t>
  </si>
  <si>
    <t>taxes</t>
  </si>
  <si>
    <t>Taxable Revenue</t>
  </si>
  <si>
    <t>TC*R</t>
  </si>
  <si>
    <t>TC</t>
  </si>
  <si>
    <t>Economic</t>
  </si>
  <si>
    <t>Q17</t>
  </si>
  <si>
    <t>TV9+ = (CF8 * (1+0.01) / ( 0.045 - 0.01)</t>
  </si>
  <si>
    <t>NPV9+ = TV9+/(1+r)^8</t>
  </si>
  <si>
    <t>Q16</t>
  </si>
  <si>
    <t>ons)</t>
  </si>
  <si>
    <t>  2020 </t>
  </si>
  <si>
    <t>  2021  </t>
  </si>
  <si>
    <t>  2022  </t>
  </si>
  <si>
    <t>  2023  </t>
  </si>
  <si>
    <t>   2024</t>
  </si>
  <si>
    <t>Capital Expenditures (Capex)</t>
  </si>
  <si>
    <t>FCF</t>
  </si>
  <si>
    <t>Brillo Brushes</t>
  </si>
  <si>
    <t>Cleaners</t>
  </si>
  <si>
    <t>market value</t>
  </si>
  <si>
    <t>CURRENT YEAR</t>
  </si>
  <si>
    <t>Loss Carry Forward (from 2019)</t>
  </si>
  <si>
    <t>Changes in Working Capital </t>
  </si>
  <si>
    <t xml:space="preserve">FCF = </t>
  </si>
  <si>
    <t xml:space="preserve">FCF </t>
  </si>
  <si>
    <t xml:space="preserve">Q1 </t>
  </si>
  <si>
    <t>price</t>
  </si>
  <si>
    <t>market cap</t>
  </si>
  <si>
    <t>Book/Share</t>
  </si>
  <si>
    <t>Shares Outstanding</t>
  </si>
  <si>
    <t>Book</t>
  </si>
  <si>
    <t>MVA</t>
  </si>
  <si>
    <t> Profile Information</t>
  </si>
  <si>
    <t>    Facebook</t>
  </si>
  <si>
    <t>        Netflix</t>
  </si>
  <si>
    <t>Beta </t>
  </si>
  <si>
    <t>Market Cap</t>
  </si>
  <si>
    <t> 14.35%</t>
  </si>
  <si>
    <t>  4.41%</t>
  </si>
  <si>
    <t> 17.24 million</t>
  </si>
  <si>
    <t>  6.39  million</t>
  </si>
  <si>
    <t>  $6.74</t>
  </si>
  <si>
    <t>  $2.54</t>
  </si>
  <si>
    <t>  $58.95B</t>
  </si>
  <si>
    <t>   $17.63B</t>
  </si>
  <si>
    <t>  5.38</t>
  </si>
  <si>
    <t>   .85</t>
  </si>
  <si>
    <t> Total Debt</t>
  </si>
  <si>
    <t>  A (111 basis points)</t>
  </si>
  <si>
    <t>   BB (323 basis   points)</t>
  </si>
  <si>
    <t>10 year treasury note =  1.96%</t>
  </si>
  <si>
    <t>Market Risk Premium =  6.25%</t>
  </si>
  <si>
    <t>Tax rate = 21%</t>
  </si>
  <si>
    <t>MVA = market value - book value</t>
  </si>
  <si>
    <t>cost of equity</t>
  </si>
  <si>
    <t>Bonds % penalty</t>
  </si>
  <si>
    <t>cost of debt</t>
  </si>
  <si>
    <t>Cost of Capital WAAC</t>
  </si>
  <si>
    <t>Debt + Equity (market cap)</t>
  </si>
  <si>
    <t>Stock Price</t>
  </si>
  <si>
    <t>shares</t>
  </si>
  <si>
    <t>cost</t>
  </si>
  <si>
    <t>debt</t>
  </si>
  <si>
    <t>PNV</t>
  </si>
  <si>
    <t xml:space="preserve">P15 = </t>
  </si>
  <si>
    <t>TV =  CF5(1+0.03)/(.08-.03)</t>
  </si>
  <si>
    <t>PNV = P15 + TV/(1+.08)^5</t>
  </si>
  <si>
    <t>share price = net / # shares = (PNV - debt)/#shares</t>
  </si>
  <si>
    <t>Enterprise Value</t>
  </si>
  <si>
    <t>EV = market value of equity + market value of debt - cash</t>
  </si>
  <si>
    <t>Million</t>
  </si>
  <si>
    <t>Net income</t>
  </si>
  <si>
    <t xml:space="preserve">Sales </t>
  </si>
  <si>
    <t xml:space="preserve">Debt </t>
  </si>
  <si>
    <t>Equity + Debt</t>
  </si>
  <si>
    <t>Equity = shares outstanding * price</t>
  </si>
  <si>
    <t>Net</t>
  </si>
  <si>
    <t>ROS</t>
  </si>
  <si>
    <t>Taxes</t>
  </si>
  <si>
    <t xml:space="preserve">cost </t>
  </si>
  <si>
    <t>depreciation</t>
  </si>
  <si>
    <t>taxable</t>
  </si>
  <si>
    <t xml:space="preserve">CF </t>
  </si>
  <si>
    <t>Income</t>
  </si>
  <si>
    <t>Capital</t>
  </si>
  <si>
    <t>Eco cost</t>
  </si>
  <si>
    <t>Eco Profit</t>
  </si>
  <si>
    <t xml:space="preserve">Year </t>
  </si>
  <si>
    <t>Deep</t>
  </si>
  <si>
    <t>New</t>
  </si>
  <si>
    <t>Payback</t>
  </si>
  <si>
    <t>Payback = 2 + 60/410</t>
  </si>
  <si>
    <t>pv</t>
  </si>
  <si>
    <t>fv</t>
  </si>
  <si>
    <t>Michael</t>
  </si>
  <si>
    <t>Bert</t>
  </si>
  <si>
    <t>price1 = div1/(r-g)</t>
  </si>
  <si>
    <t>price1 * r- price1*g = div1</t>
  </si>
  <si>
    <t>price1*r = div1 + price1*g</t>
  </si>
  <si>
    <t>r = (div1 + price1*g)/ price1</t>
  </si>
  <si>
    <t>r = (2.95 + 53.1 * 0.048) / 53.1</t>
  </si>
  <si>
    <t>dividend</t>
  </si>
  <si>
    <t>P10</t>
  </si>
  <si>
    <t>DIV</t>
  </si>
  <si>
    <t>P1 = Div1/(r-g)</t>
  </si>
  <si>
    <t>P1 = 1.272/ (0.14 - 0.06)</t>
  </si>
  <si>
    <t>Old Roaster</t>
  </si>
  <si>
    <t>New Roaster</t>
  </si>
  <si>
    <t xml:space="preserve">years </t>
  </si>
  <si>
    <t>salvage</t>
  </si>
  <si>
    <t>Margin</t>
  </si>
  <si>
    <t>taxable income</t>
  </si>
  <si>
    <t>tax</t>
  </si>
  <si>
    <t>No Campaign</t>
  </si>
  <si>
    <t>Campaign</t>
  </si>
  <si>
    <t>investment</t>
  </si>
  <si>
    <t>Combined</t>
  </si>
  <si>
    <t>SuperMax</t>
  </si>
  <si>
    <t>Market</t>
  </si>
  <si>
    <t>w</t>
  </si>
  <si>
    <t>f</t>
  </si>
  <si>
    <t>p</t>
  </si>
  <si>
    <t>b</t>
  </si>
  <si>
    <t>pmt</t>
  </si>
  <si>
    <t>periods</t>
  </si>
  <si>
    <t>pmts</t>
  </si>
  <si>
    <t>div</t>
  </si>
  <si>
    <t>NV</t>
  </si>
  <si>
    <t>TV</t>
  </si>
  <si>
    <t>=TV/(1+r)^9</t>
  </si>
  <si>
    <t xml:space="preserve">PNV = </t>
  </si>
  <si>
    <t>NPV = NPV1_9 + NPVTV  # not 0 amount</t>
  </si>
  <si>
    <t>=Div1/(r-g)</t>
  </si>
  <si>
    <t>=8,197/(.0575 - .0150)</t>
  </si>
  <si>
    <t>DiscountedTV</t>
  </si>
  <si>
    <t>Changes</t>
  </si>
  <si>
    <t>carry forward</t>
  </si>
  <si>
    <t xml:space="preserve">growth </t>
  </si>
  <si>
    <t>cost of capital</t>
  </si>
  <si>
    <t>DCF</t>
  </si>
  <si>
    <t>=TV/(1+r)^7</t>
  </si>
  <si>
    <t>=86,374/(1+0.0725)^7</t>
  </si>
  <si>
    <t>=3,651/(.0725 - .027)</t>
  </si>
  <si>
    <t>The Screamer</t>
  </si>
  <si>
    <t>The Human Slingshot</t>
  </si>
  <si>
    <t>Logan's Trip</t>
  </si>
  <si>
    <t>Penny wise's House</t>
  </si>
  <si>
    <t>Chuckie's</t>
  </si>
  <si>
    <t>Discounted payback = 3years + 21408/329365</t>
  </si>
  <si>
    <t>Q11</t>
  </si>
  <si>
    <t>Adam 1</t>
  </si>
  <si>
    <t>Adam 2</t>
  </si>
  <si>
    <t>growth</t>
  </si>
  <si>
    <t>2028+</t>
  </si>
  <si>
    <t>NCV</t>
  </si>
  <si>
    <t xml:space="preserve">TV </t>
  </si>
  <si>
    <t>DTV</t>
  </si>
  <si>
    <t>=192,864/((1+0.052)^4 * (1+.0425)^5)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</si>
</sst>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_);[Red]\(&quot;$&quot;#,##0\)"/>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_(&quot;$&quot;* #,##0_);_(&quot;$&quot;* \(#,##0\);_(&quot;$&quot;* &quot;-&quot;??_);_(@_)"/>
    <numFmt numFmtId="165" formatCode="0.0%"/>
    <numFmt numFmtId="166" formatCode="&quot;$&quot;#,##0"/>
    <numFmt numFmtId="167" formatCode="_(* #,##0_);_(* \(#,##0\);_(* &quot;-&quot;??_);_(@_)"/>
    <numFmt numFmtId="168" formatCode="0.0"/>
    <numFmt numFmtId="169" formatCode="&quot;$&quot;#,##0.00"/>
    <numFmt numFmtId="170" formatCode="&quot;$&quot;#,##0.000"/>
    <numFmt numFmtId="171" formatCode="_(* #,##0.000_);_(* \(#,##0.000\);_(* &quot;-&quot;??_);_(@_)"/>
    <numFmt numFmtId="172" formatCode="_(&quot;$&quot;* #,##0_);_(&quot;$&quot;* \(#,##0\);_(&quot;$&quot;* &quot;-&quot;?_);_(@_)"/>
    <numFmt numFmtId="173" formatCode="_(&quot;$&quot;* #,##0.0_);_(&quot;$&quot;* \(#,##0.0\);_(&quot;$&quot;* &quot;-&quot;??_);_(@_)"/>
  </numFmts>
  <fonts count="3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4"/>
      <color theme="1"/>
      <name val="Calibri"/>
      <family val="2"/>
      <scheme val="minor"/>
    </font>
    <font>
      <b/>
      <sz val="11"/>
      <color rgb="FFFFFFFF"/>
      <name val="Calibri"/>
      <family val="2"/>
      <scheme val="minor"/>
    </font>
    <font>
      <sz val="11"/>
      <color rgb="FF000000"/>
      <name val="Calibri"/>
      <family val="2"/>
      <scheme val="minor"/>
    </font>
    <font>
      <sz val="8"/>
      <name val="Calibri"/>
      <family val="2"/>
      <scheme val="minor"/>
    </font>
    <font>
      <sz val="12"/>
      <color rgb="FF2D3B45"/>
      <name val="Arial"/>
      <family val="2"/>
    </font>
    <font>
      <sz val="12"/>
      <color theme="1"/>
      <name val="Times New Roman"/>
      <family val="1"/>
    </font>
    <font>
      <vertAlign val="subscript"/>
      <sz val="12"/>
      <color theme="1"/>
      <name val="Times New Roman"/>
      <family val="1"/>
    </font>
    <font>
      <sz val="12"/>
      <color theme="1"/>
      <name val="Symbol"/>
      <family val="1"/>
      <charset val="2"/>
    </font>
    <font>
      <sz val="7"/>
      <color theme="1"/>
      <name val="Times New Roman"/>
      <family val="1"/>
    </font>
    <font>
      <sz val="12"/>
      <color theme="1"/>
      <name val="Calibri"/>
      <family val="2"/>
      <scheme val="minor"/>
    </font>
    <font>
      <vertAlign val="subscript"/>
      <sz val="11"/>
      <color theme="1"/>
      <name val="Calibri"/>
      <family val="2"/>
      <scheme val="minor"/>
    </font>
    <font>
      <sz val="14"/>
      <color theme="1"/>
      <name val="Times New Roman"/>
      <family val="1"/>
    </font>
    <font>
      <vertAlign val="subscript"/>
      <sz val="14"/>
      <color theme="1"/>
      <name val="Times New Roman"/>
      <family val="1"/>
    </font>
    <font>
      <sz val="16"/>
      <color theme="1"/>
      <name val="Times New Roman"/>
      <family val="1"/>
    </font>
    <font>
      <vertAlign val="subscript"/>
      <sz val="16"/>
      <color theme="1"/>
      <name val="Times New Roman"/>
      <family val="1"/>
    </font>
    <font>
      <sz val="11"/>
      <color theme="0"/>
      <name val="Calibri"/>
      <family val="2"/>
      <scheme val="minor"/>
    </font>
    <font>
      <b/>
      <sz val="14"/>
      <color theme="1"/>
      <name val="Calibri"/>
      <family val="2"/>
      <scheme val="minor"/>
    </font>
    <font>
      <vertAlign val="subscript"/>
      <sz val="11"/>
      <color theme="0"/>
      <name val="Calibri"/>
      <family val="2"/>
      <scheme val="minor"/>
    </font>
    <font>
      <b/>
      <sz val="16"/>
      <color theme="1"/>
      <name val="Calibri"/>
      <family val="2"/>
      <scheme val="minor"/>
    </font>
    <font>
      <b/>
      <sz val="14"/>
      <color theme="1"/>
      <name val="Times New Roman"/>
      <family val="1"/>
    </font>
    <font>
      <b/>
      <sz val="16"/>
      <color theme="1"/>
      <name val="Times New Roman"/>
      <family val="1"/>
    </font>
    <font>
      <sz val="9"/>
      <color theme="1"/>
      <name val="Calibri"/>
      <family val="2"/>
      <scheme val="minor"/>
    </font>
    <font>
      <sz val="9"/>
      <color rgb="FF2D3B45"/>
      <name val="Arial"/>
      <family val="2"/>
    </font>
    <font>
      <sz val="11"/>
      <color rgb="FF2D3B45"/>
      <name val="Calibri"/>
      <family val="2"/>
      <scheme val="minor"/>
    </font>
    <font>
      <sz val="11"/>
      <color theme="1"/>
      <name val="Arial"/>
      <family val="2"/>
    </font>
    <font>
      <sz val="11"/>
      <color rgb="FF2D3B45"/>
      <name val="Arial"/>
      <family val="2"/>
    </font>
    <font>
      <b/>
      <sz val="12"/>
      <color rgb="FF2D3B45"/>
      <name val="Arial"/>
      <family val="2"/>
    </font>
    <font>
      <b/>
      <sz val="12"/>
      <color theme="0"/>
      <name val="Arial"/>
      <family val="2"/>
    </font>
  </fonts>
  <fills count="3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rgb="FF4472C4"/>
        <bgColor indexed="64"/>
      </patternFill>
    </fill>
    <fill>
      <patternFill patternType="solid">
        <fgColor rgb="FFA8D08D"/>
        <bgColor indexed="64"/>
      </patternFill>
    </fill>
    <fill>
      <patternFill patternType="solid">
        <fgColor rgb="FFE2EFD9"/>
        <bgColor indexed="64"/>
      </patternFill>
    </fill>
    <fill>
      <patternFill patternType="solid">
        <fgColor rgb="FFFFE1E1"/>
        <bgColor indexed="64"/>
      </patternFill>
    </fill>
    <fill>
      <patternFill patternType="solid">
        <fgColor rgb="FFFFA7A7"/>
        <bgColor indexed="64"/>
      </patternFill>
    </fill>
    <fill>
      <patternFill patternType="solid">
        <fgColor rgb="FFFFA3A3"/>
        <bgColor indexed="64"/>
      </patternFill>
    </fill>
    <fill>
      <patternFill patternType="solid">
        <fgColor rgb="FFC0C0C0"/>
        <bgColor indexed="64"/>
      </patternFill>
    </fill>
    <fill>
      <patternFill patternType="solid">
        <fgColor theme="9" tint="0.39997558519241921"/>
        <bgColor indexed="64"/>
      </patternFill>
    </fill>
    <fill>
      <patternFill patternType="solid">
        <fgColor rgb="FFFFFFFF"/>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rgb="FFFFC000"/>
        <bgColor theme="4" tint="0.79998168889431442"/>
      </patternFill>
    </fill>
    <fill>
      <patternFill patternType="solid">
        <fgColor theme="9" tint="0.79998168889431442"/>
        <bgColor indexed="64"/>
      </patternFill>
    </fill>
    <fill>
      <patternFill patternType="solid">
        <fgColor rgb="FF00B0F0"/>
        <bgColor indexed="64"/>
      </patternFill>
    </fill>
    <fill>
      <patternFill patternType="solid">
        <fgColor rgb="FFB482DA"/>
        <bgColor indexed="64"/>
      </patternFill>
    </fill>
    <fill>
      <patternFill patternType="solid">
        <fgColor theme="9" tint="-0.249977111117893"/>
        <bgColor theme="4"/>
      </patternFill>
    </fill>
    <fill>
      <patternFill patternType="solid">
        <fgColor theme="5" tint="-0.249977111117893"/>
        <bgColor theme="4"/>
      </patternFill>
    </fill>
    <fill>
      <patternFill patternType="solid">
        <fgColor theme="4" tint="-0.249977111117893"/>
        <bgColor theme="4"/>
      </patternFill>
    </fill>
    <fill>
      <patternFill patternType="solid">
        <fgColor rgb="FFFFC30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4"/>
        <bgColor indexed="64"/>
      </patternFill>
    </fill>
    <fill>
      <patternFill patternType="solid">
        <fgColor theme="0" tint="-0.249977111117893"/>
        <bgColor indexed="64"/>
      </patternFill>
    </fill>
    <fill>
      <patternFill patternType="solid">
        <fgColor theme="5" tint="0.59999389629810485"/>
        <bgColor indexed="64"/>
      </patternFill>
    </fill>
  </fills>
  <borders count="4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rgb="FF8EA9DB"/>
      </left>
      <right/>
      <top style="medium">
        <color rgb="FF8EA9DB"/>
      </top>
      <bottom style="medium">
        <color rgb="FF8EA9DB"/>
      </bottom>
      <diagonal/>
    </border>
    <border>
      <left/>
      <right/>
      <top style="medium">
        <color rgb="FF8EA9DB"/>
      </top>
      <bottom style="medium">
        <color rgb="FF8EA9DB"/>
      </bottom>
      <diagonal/>
    </border>
    <border>
      <left/>
      <right style="medium">
        <color rgb="FF8EA9DB"/>
      </right>
      <top style="medium">
        <color rgb="FF8EA9DB"/>
      </top>
      <bottom style="medium">
        <color rgb="FF8EA9DB"/>
      </bottom>
      <diagonal/>
    </border>
    <border>
      <left style="medium">
        <color rgb="FF8EA9DB"/>
      </left>
      <right/>
      <top/>
      <bottom style="medium">
        <color rgb="FF8EA9DB"/>
      </bottom>
      <diagonal/>
    </border>
    <border>
      <left/>
      <right/>
      <top/>
      <bottom style="medium">
        <color rgb="FF8EA9DB"/>
      </bottom>
      <diagonal/>
    </border>
    <border>
      <left/>
      <right style="medium">
        <color rgb="FF8EA9DB"/>
      </right>
      <top/>
      <bottom style="medium">
        <color rgb="FF8EA9DB"/>
      </bottom>
      <diagonal/>
    </border>
    <border>
      <left style="medium">
        <color rgb="FF000000"/>
      </left>
      <right style="medium">
        <color rgb="FF000000"/>
      </right>
      <top style="medium">
        <color rgb="FF000000"/>
      </top>
      <bottom style="medium">
        <color rgb="FF000000"/>
      </bottom>
      <diagonal/>
    </border>
    <border>
      <left/>
      <right style="thin">
        <color theme="4" tint="0.39997558519241921"/>
      </right>
      <top style="thin">
        <color theme="4" tint="0.39997558519241921"/>
      </top>
      <bottom style="thin">
        <color theme="4" tint="0.39997558519241921"/>
      </bottom>
      <diagonal/>
    </border>
    <border>
      <left/>
      <right style="thin">
        <color theme="4" tint="0.39994506668294322"/>
      </right>
      <top/>
      <bottom style="thin">
        <color theme="4" tint="0.39994506668294322"/>
      </bottom>
      <diagonal/>
    </border>
    <border>
      <left style="thin">
        <color theme="4" tint="0.39994506668294322"/>
      </left>
      <right style="thin">
        <color theme="4" tint="0.39994506668294322"/>
      </right>
      <top/>
      <bottom style="thin">
        <color theme="4" tint="0.39994506668294322"/>
      </bottom>
      <diagonal/>
    </border>
    <border>
      <left style="thin">
        <color theme="4" tint="0.39994506668294322"/>
      </left>
      <right/>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4506668294322"/>
      </left>
      <right/>
      <top style="thin">
        <color theme="4" tint="0.39994506668294322"/>
      </top>
      <bottom style="thin">
        <color theme="4" tint="0.39994506668294322"/>
      </bottom>
      <diagonal/>
    </border>
    <border>
      <left style="thin">
        <color theme="4" tint="0.39997558519241921"/>
      </left>
      <right style="thin">
        <color theme="4" tint="0.39994506668294322"/>
      </right>
      <top style="thin">
        <color theme="4" tint="0.39994506668294322"/>
      </top>
      <bottom style="thin">
        <color theme="4" tint="0.39994506668294322"/>
      </bottom>
      <diagonal/>
    </border>
    <border>
      <left style="thin">
        <color theme="4" tint="0.39997558519241921"/>
      </left>
      <right style="thin">
        <color theme="4" tint="0.39994506668294322"/>
      </right>
      <top style="thin">
        <color theme="4" tint="0.39994506668294322"/>
      </top>
      <bottom style="thin">
        <color theme="4" tint="0.39997558519241921"/>
      </bottom>
      <diagonal/>
    </border>
    <border>
      <left style="thin">
        <color theme="4" tint="0.39994506668294322"/>
      </left>
      <right style="thin">
        <color theme="4" tint="0.39994506668294322"/>
      </right>
      <top style="thin">
        <color theme="4" tint="0.39994506668294322"/>
      </top>
      <bottom style="thin">
        <color theme="4" tint="0.39997558519241921"/>
      </bottom>
      <diagonal/>
    </border>
    <border>
      <left style="thin">
        <color theme="4" tint="0.39994506668294322"/>
      </left>
      <right/>
      <top style="thin">
        <color theme="4" tint="0.39994506668294322"/>
      </top>
      <bottom style="thin">
        <color theme="4" tint="0.3999755851924192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style="thin">
        <color theme="4"/>
      </left>
      <right/>
      <top/>
      <bottom/>
      <diagonal/>
    </border>
    <border>
      <left/>
      <right style="thin">
        <color theme="4"/>
      </right>
      <top/>
      <bottom/>
      <diagonal/>
    </border>
    <border>
      <left/>
      <right style="thin">
        <color theme="4" tint="0.39994506668294322"/>
      </right>
      <top style="thin">
        <color theme="4" tint="0.39994506668294322"/>
      </top>
      <bottom/>
      <diagonal/>
    </border>
    <border>
      <left style="thin">
        <color theme="4" tint="0.39994506668294322"/>
      </left>
      <right style="thin">
        <color theme="4" tint="0.39994506668294322"/>
      </right>
      <top style="thin">
        <color theme="4" tint="0.39994506668294322"/>
      </top>
      <bottom/>
      <diagonal/>
    </border>
    <border>
      <left/>
      <right style="thin">
        <color theme="4" tint="0.39994506668294322"/>
      </right>
      <top style="thin">
        <color theme="4" tint="0.39994506668294322"/>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right/>
      <top style="medium">
        <color rgb="FFDDDDDD"/>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317">
    <xf numFmtId="0" fontId="0" fillId="0" borderId="0" xfId="0"/>
    <xf numFmtId="164" fontId="0" fillId="0" borderId="0" xfId="1" applyNumberFormat="1" applyFont="1"/>
    <xf numFmtId="164" fontId="0" fillId="2" borderId="0" xfId="1" applyNumberFormat="1" applyFont="1" applyFill="1"/>
    <xf numFmtId="0" fontId="0" fillId="2" borderId="0" xfId="0" applyFill="1"/>
    <xf numFmtId="9" fontId="0" fillId="2" borderId="0" xfId="2" applyFont="1" applyFill="1"/>
    <xf numFmtId="1" fontId="0" fillId="2" borderId="0" xfId="1" applyNumberFormat="1" applyFont="1" applyFill="1"/>
    <xf numFmtId="8" fontId="0" fillId="3" borderId="0" xfId="0" applyNumberFormat="1" applyFill="1"/>
    <xf numFmtId="10" fontId="0" fillId="3" borderId="0" xfId="0" applyNumberFormat="1" applyFill="1"/>
    <xf numFmtId="0" fontId="0" fillId="0" borderId="0" xfId="0" applyAlignment="1">
      <alignment wrapText="1"/>
    </xf>
    <xf numFmtId="2" fontId="0" fillId="3" borderId="0" xfId="0" applyNumberFormat="1" applyFill="1"/>
    <xf numFmtId="0" fontId="2" fillId="4" borderId="1" xfId="0" applyFont="1" applyFill="1" applyBorder="1"/>
    <xf numFmtId="0" fontId="2" fillId="4" borderId="2" xfId="0" applyFont="1" applyFill="1" applyBorder="1"/>
    <xf numFmtId="0" fontId="0" fillId="5" borderId="1" xfId="0" applyFont="1" applyFill="1" applyBorder="1"/>
    <xf numFmtId="0" fontId="0" fillId="0" borderId="1" xfId="0" applyFont="1" applyBorder="1"/>
    <xf numFmtId="44" fontId="0" fillId="0" borderId="0" xfId="1" applyFont="1"/>
    <xf numFmtId="165" fontId="0" fillId="5" borderId="1" xfId="2" applyNumberFormat="1" applyFont="1" applyFill="1" applyBorder="1"/>
    <xf numFmtId="165" fontId="0" fillId="0" borderId="1" xfId="2" applyNumberFormat="1" applyFont="1" applyBorder="1"/>
    <xf numFmtId="8" fontId="0" fillId="0" borderId="0" xfId="1" applyNumberFormat="1" applyFont="1"/>
    <xf numFmtId="2" fontId="0" fillId="5" borderId="1" xfId="2" applyNumberFormat="1" applyFont="1" applyFill="1" applyBorder="1"/>
    <xf numFmtId="0" fontId="4" fillId="0" borderId="0" xfId="0" applyFont="1"/>
    <xf numFmtId="0" fontId="3" fillId="0" borderId="0" xfId="0" applyFont="1"/>
    <xf numFmtId="0" fontId="2" fillId="6" borderId="3" xfId="0" applyFont="1" applyFill="1" applyBorder="1" applyAlignment="1">
      <alignment wrapText="1"/>
    </xf>
    <xf numFmtId="0" fontId="0" fillId="0" borderId="6" xfId="0" applyBorder="1" applyAlignment="1">
      <alignment wrapText="1"/>
    </xf>
    <xf numFmtId="0" fontId="0" fillId="0" borderId="6" xfId="0" quotePrefix="1" applyBorder="1" applyAlignment="1">
      <alignment wrapText="1"/>
    </xf>
    <xf numFmtId="0" fontId="0" fillId="0" borderId="8" xfId="0" applyBorder="1" applyAlignment="1">
      <alignment wrapText="1"/>
    </xf>
    <xf numFmtId="166" fontId="0" fillId="0" borderId="0" xfId="0" applyNumberFormat="1"/>
    <xf numFmtId="166" fontId="2" fillId="6" borderId="4" xfId="0" applyNumberFormat="1" applyFont="1" applyFill="1" applyBorder="1"/>
    <xf numFmtId="166" fontId="0" fillId="0" borderId="0" xfId="0" applyNumberFormat="1" applyBorder="1"/>
    <xf numFmtId="166" fontId="0" fillId="0" borderId="9" xfId="0" applyNumberFormat="1" applyBorder="1"/>
    <xf numFmtId="166" fontId="0" fillId="2" borderId="0" xfId="0" applyNumberFormat="1" applyFill="1" applyBorder="1"/>
    <xf numFmtId="166" fontId="0" fillId="3" borderId="9" xfId="0" applyNumberFormat="1" applyFill="1" applyBorder="1"/>
    <xf numFmtId="166" fontId="0" fillId="0" borderId="0" xfId="0" applyNumberFormat="1" applyFill="1" applyBorder="1"/>
    <xf numFmtId="166" fontId="2" fillId="6" borderId="5" xfId="0" applyNumberFormat="1" applyFont="1" applyFill="1" applyBorder="1"/>
    <xf numFmtId="166" fontId="0" fillId="0" borderId="7" xfId="0" applyNumberFormat="1" applyBorder="1"/>
    <xf numFmtId="166" fontId="0" fillId="2" borderId="7" xfId="0" applyNumberFormat="1" applyFill="1" applyBorder="1"/>
    <xf numFmtId="166" fontId="0" fillId="2" borderId="10" xfId="0" applyNumberFormat="1" applyFill="1" applyBorder="1"/>
    <xf numFmtId="0" fontId="0" fillId="0" borderId="0" xfId="0" applyAlignment="1">
      <alignment vertical="top"/>
    </xf>
    <xf numFmtId="0" fontId="0" fillId="0" borderId="0" xfId="0" applyAlignment="1">
      <alignment vertical="top" wrapText="1"/>
    </xf>
    <xf numFmtId="0" fontId="5" fillId="7" borderId="11" xfId="0" applyFont="1" applyFill="1" applyBorder="1" applyAlignment="1">
      <alignment vertical="top" wrapText="1"/>
    </xf>
    <xf numFmtId="0" fontId="5" fillId="7" borderId="12" xfId="0" applyFont="1" applyFill="1" applyBorder="1" applyAlignment="1">
      <alignment vertical="top"/>
    </xf>
    <xf numFmtId="0" fontId="5" fillId="7" borderId="13" xfId="0" applyFont="1" applyFill="1" applyBorder="1" applyAlignment="1">
      <alignment vertical="top" wrapText="1"/>
    </xf>
    <xf numFmtId="0" fontId="6" fillId="8" borderId="14" xfId="0" applyFont="1" applyFill="1" applyBorder="1" applyAlignment="1">
      <alignment vertical="top" wrapText="1"/>
    </xf>
    <xf numFmtId="0" fontId="6" fillId="8" borderId="15" xfId="0" applyFont="1" applyFill="1" applyBorder="1" applyAlignment="1">
      <alignment vertical="top"/>
    </xf>
    <xf numFmtId="10" fontId="6" fillId="8" borderId="15" xfId="0" applyNumberFormat="1" applyFont="1" applyFill="1" applyBorder="1" applyAlignment="1">
      <alignment vertical="top"/>
    </xf>
    <xf numFmtId="0" fontId="6" fillId="8" borderId="16" xfId="0" applyFont="1" applyFill="1" applyBorder="1" applyAlignment="1">
      <alignment vertical="top" wrapText="1"/>
    </xf>
    <xf numFmtId="0" fontId="6" fillId="9" borderId="14" xfId="0" applyFont="1" applyFill="1" applyBorder="1" applyAlignment="1">
      <alignment vertical="top" wrapText="1"/>
    </xf>
    <xf numFmtId="0" fontId="6" fillId="9" borderId="15" xfId="0" applyFont="1" applyFill="1" applyBorder="1" applyAlignment="1">
      <alignment vertical="top"/>
    </xf>
    <xf numFmtId="10" fontId="6" fillId="9" borderId="15" xfId="0" applyNumberFormat="1" applyFont="1" applyFill="1" applyBorder="1" applyAlignment="1">
      <alignment vertical="top"/>
    </xf>
    <xf numFmtId="0" fontId="6" fillId="9" borderId="16" xfId="0" applyFont="1" applyFill="1" applyBorder="1" applyAlignment="1">
      <alignment vertical="top" wrapText="1"/>
    </xf>
    <xf numFmtId="0" fontId="6" fillId="10" borderId="14" xfId="0" applyFont="1" applyFill="1" applyBorder="1" applyAlignment="1">
      <alignment vertical="top" wrapText="1"/>
    </xf>
    <xf numFmtId="0" fontId="6" fillId="10" borderId="15" xfId="0" applyFont="1" applyFill="1" applyBorder="1" applyAlignment="1">
      <alignment vertical="top"/>
    </xf>
    <xf numFmtId="10" fontId="6" fillId="10" borderId="15" xfId="0" applyNumberFormat="1" applyFont="1" applyFill="1" applyBorder="1" applyAlignment="1">
      <alignment vertical="top"/>
    </xf>
    <xf numFmtId="0" fontId="6" fillId="10" borderId="16" xfId="0" applyFont="1" applyFill="1" applyBorder="1" applyAlignment="1">
      <alignment vertical="top" wrapText="1"/>
    </xf>
    <xf numFmtId="0" fontId="6" fillId="11" borderId="14" xfId="0" applyFont="1" applyFill="1" applyBorder="1" applyAlignment="1">
      <alignment vertical="top" wrapText="1"/>
    </xf>
    <xf numFmtId="0" fontId="6" fillId="11" borderId="15" xfId="0" applyFont="1" applyFill="1" applyBorder="1" applyAlignment="1">
      <alignment vertical="top"/>
    </xf>
    <xf numFmtId="10" fontId="6" fillId="11" borderId="15" xfId="0" applyNumberFormat="1" applyFont="1" applyFill="1" applyBorder="1" applyAlignment="1">
      <alignment vertical="top"/>
    </xf>
    <xf numFmtId="0" fontId="6" fillId="11" borderId="16" xfId="0" applyFont="1" applyFill="1" applyBorder="1" applyAlignment="1">
      <alignment vertical="top" wrapText="1"/>
    </xf>
    <xf numFmtId="0" fontId="0" fillId="12" borderId="0" xfId="0" applyFill="1" applyAlignment="1">
      <alignment wrapText="1"/>
    </xf>
    <xf numFmtId="0" fontId="0" fillId="12" borderId="0" xfId="0" applyFill="1"/>
    <xf numFmtId="0" fontId="0" fillId="13" borderId="0" xfId="0" applyFill="1" applyAlignment="1">
      <alignment wrapText="1"/>
    </xf>
    <xf numFmtId="0" fontId="0" fillId="13" borderId="0" xfId="0" applyFill="1"/>
    <xf numFmtId="0" fontId="0" fillId="14" borderId="0" xfId="0" applyFill="1" applyAlignment="1">
      <alignment wrapText="1"/>
    </xf>
    <xf numFmtId="0" fontId="0" fillId="14" borderId="0" xfId="0" applyFill="1"/>
    <xf numFmtId="0" fontId="0" fillId="0" borderId="0" xfId="0" quotePrefix="1"/>
    <xf numFmtId="10" fontId="0" fillId="12" borderId="0" xfId="2" applyNumberFormat="1" applyFont="1" applyFill="1" applyAlignment="1">
      <alignment wrapText="1"/>
    </xf>
    <xf numFmtId="10" fontId="0" fillId="14" borderId="0" xfId="2" applyNumberFormat="1" applyFont="1" applyFill="1" applyAlignment="1">
      <alignment wrapText="1"/>
    </xf>
    <xf numFmtId="10" fontId="0" fillId="13" borderId="0" xfId="2" applyNumberFormat="1" applyFont="1" applyFill="1" applyAlignment="1">
      <alignment wrapText="1"/>
    </xf>
    <xf numFmtId="0" fontId="8" fillId="15" borderId="17" xfId="0" applyFont="1" applyFill="1" applyBorder="1" applyAlignment="1">
      <alignment horizontal="center" vertical="center" wrapText="1"/>
    </xf>
    <xf numFmtId="0" fontId="8" fillId="15" borderId="17" xfId="0" applyFont="1" applyFill="1" applyBorder="1" applyAlignment="1">
      <alignment vertical="center" wrapText="1"/>
    </xf>
    <xf numFmtId="6" fontId="8" fillId="15" borderId="17" xfId="0" applyNumberFormat="1" applyFont="1" applyFill="1" applyBorder="1" applyAlignment="1">
      <alignment vertical="center" wrapText="1"/>
    </xf>
    <xf numFmtId="8" fontId="0" fillId="0" borderId="0" xfId="0" applyNumberFormat="1"/>
    <xf numFmtId="9" fontId="0" fillId="0" borderId="0" xfId="0" applyNumberFormat="1"/>
    <xf numFmtId="2" fontId="0" fillId="0" borderId="0" xfId="0" applyNumberFormat="1"/>
    <xf numFmtId="167" fontId="0" fillId="0" borderId="0" xfId="3" applyNumberFormat="1" applyFont="1"/>
    <xf numFmtId="166" fontId="0" fillId="3" borderId="10" xfId="0" applyNumberFormat="1" applyFill="1" applyBorder="1"/>
    <xf numFmtId="166" fontId="0" fillId="0" borderId="7" xfId="0" applyNumberFormat="1" applyFill="1" applyBorder="1"/>
    <xf numFmtId="166" fontId="0" fillId="0" borderId="10" xfId="0" applyNumberFormat="1" applyBorder="1"/>
    <xf numFmtId="166" fontId="0" fillId="3" borderId="7" xfId="0" applyNumberFormat="1" applyFill="1" applyBorder="1"/>
    <xf numFmtId="166" fontId="0" fillId="0" borderId="9" xfId="0" quotePrefix="1" applyNumberFormat="1" applyBorder="1" applyAlignment="1">
      <alignment wrapText="1"/>
    </xf>
    <xf numFmtId="166" fontId="0" fillId="0" borderId="0" xfId="0" quotePrefix="1" applyNumberFormat="1" applyBorder="1"/>
    <xf numFmtId="166" fontId="0" fillId="2" borderId="9" xfId="0" applyNumberFormat="1" applyFill="1" applyBorder="1"/>
    <xf numFmtId="0" fontId="0" fillId="5" borderId="2" xfId="0" applyFont="1" applyFill="1" applyBorder="1"/>
    <xf numFmtId="10" fontId="0" fillId="0" borderId="0" xfId="2" applyNumberFormat="1" applyFont="1"/>
    <xf numFmtId="10" fontId="0" fillId="0" borderId="0" xfId="2" applyNumberFormat="1" applyFont="1" applyAlignment="1">
      <alignment wrapText="1"/>
    </xf>
    <xf numFmtId="0" fontId="0" fillId="0" borderId="19" xfId="0" applyBorder="1" applyAlignment="1">
      <alignment wrapText="1"/>
    </xf>
    <xf numFmtId="0" fontId="0" fillId="0" borderId="22" xfId="0" applyBorder="1" applyAlignment="1">
      <alignment wrapText="1"/>
    </xf>
    <xf numFmtId="168" fontId="0" fillId="5" borderId="23" xfId="0" applyNumberFormat="1" applyFont="1" applyFill="1" applyBorder="1"/>
    <xf numFmtId="168" fontId="0" fillId="5" borderId="24" xfId="0" applyNumberFormat="1" applyFont="1" applyFill="1" applyBorder="1"/>
    <xf numFmtId="3" fontId="0" fillId="0" borderId="0" xfId="0" applyNumberFormat="1" applyAlignment="1">
      <alignment vertical="top"/>
    </xf>
    <xf numFmtId="1" fontId="0" fillId="0" borderId="0" xfId="0" applyNumberFormat="1" applyAlignment="1">
      <alignment vertical="top"/>
    </xf>
    <xf numFmtId="0" fontId="0" fillId="2" borderId="0" xfId="0" applyFill="1" applyAlignment="1">
      <alignment vertical="top" wrapText="1"/>
    </xf>
    <xf numFmtId="0" fontId="0" fillId="2" borderId="0" xfId="0" applyFill="1" applyAlignment="1">
      <alignment vertical="top"/>
    </xf>
    <xf numFmtId="2" fontId="0" fillId="2" borderId="0" xfId="0" applyNumberFormat="1" applyFill="1" applyAlignment="1">
      <alignment vertical="top"/>
    </xf>
    <xf numFmtId="1" fontId="0" fillId="2" borderId="0" xfId="0" applyNumberFormat="1" applyFill="1" applyAlignment="1">
      <alignment vertical="top"/>
    </xf>
    <xf numFmtId="0" fontId="0" fillId="16" borderId="0" xfId="0" applyFill="1" applyAlignment="1">
      <alignment vertical="top" wrapText="1"/>
    </xf>
    <xf numFmtId="0" fontId="0" fillId="16" borderId="0" xfId="0" applyFill="1" applyAlignment="1">
      <alignment vertical="top"/>
    </xf>
    <xf numFmtId="1" fontId="0" fillId="16" borderId="0" xfId="0" applyNumberFormat="1" applyFill="1" applyAlignment="1">
      <alignment vertical="top"/>
    </xf>
    <xf numFmtId="0" fontId="9" fillId="0" borderId="0" xfId="0" applyFont="1"/>
    <xf numFmtId="0" fontId="8" fillId="0" borderId="0" xfId="0" applyFont="1"/>
    <xf numFmtId="0" fontId="9" fillId="0" borderId="0" xfId="0" applyFont="1" applyAlignment="1">
      <alignment vertical="center"/>
    </xf>
    <xf numFmtId="0" fontId="11" fillId="0" borderId="0" xfId="0" applyFont="1" applyAlignment="1">
      <alignment horizontal="left" vertical="center" indent="5"/>
    </xf>
    <xf numFmtId="0" fontId="13" fillId="0" borderId="0" xfId="0" quotePrefix="1" applyFont="1" applyAlignment="1">
      <alignment horizontal="left" vertical="center" indent="5"/>
    </xf>
    <xf numFmtId="0" fontId="0" fillId="0" borderId="0" xfId="0" applyAlignment="1"/>
    <xf numFmtId="6" fontId="0" fillId="0" borderId="0" xfId="0" applyNumberFormat="1"/>
    <xf numFmtId="3" fontId="0" fillId="0" borderId="0" xfId="0" applyNumberFormat="1"/>
    <xf numFmtId="0" fontId="2" fillId="4" borderId="29" xfId="0" applyFont="1" applyFill="1" applyBorder="1"/>
    <xf numFmtId="0" fontId="2" fillId="4" borderId="30" xfId="0" applyFont="1" applyFill="1" applyBorder="1"/>
    <xf numFmtId="0" fontId="2" fillId="4" borderId="31" xfId="0" applyFont="1" applyFill="1" applyBorder="1"/>
    <xf numFmtId="0" fontId="0" fillId="17" borderId="0" xfId="0" applyFill="1"/>
    <xf numFmtId="6" fontId="0" fillId="17" borderId="0" xfId="0" applyNumberFormat="1" applyFill="1"/>
    <xf numFmtId="6" fontId="0" fillId="17" borderId="30" xfId="0" applyNumberFormat="1" applyFont="1" applyFill="1" applyBorder="1"/>
    <xf numFmtId="6" fontId="0" fillId="17" borderId="31" xfId="0" applyNumberFormat="1" applyFont="1" applyFill="1" applyBorder="1"/>
    <xf numFmtId="0" fontId="0" fillId="17" borderId="29" xfId="0" applyFont="1" applyFill="1" applyBorder="1" applyAlignment="1">
      <alignment wrapText="1"/>
    </xf>
    <xf numFmtId="0" fontId="0" fillId="5" borderId="1" xfId="0" applyFont="1" applyFill="1" applyBorder="1" applyAlignment="1">
      <alignment wrapText="1"/>
    </xf>
    <xf numFmtId="0" fontId="0" fillId="5" borderId="25" xfId="0" applyFont="1" applyFill="1" applyBorder="1" applyAlignment="1">
      <alignment wrapText="1"/>
    </xf>
    <xf numFmtId="0" fontId="0" fillId="5" borderId="26" xfId="0" applyFont="1" applyFill="1" applyBorder="1" applyAlignment="1">
      <alignment wrapText="1"/>
    </xf>
    <xf numFmtId="165" fontId="0" fillId="3" borderId="0" xfId="2" applyNumberFormat="1" applyFont="1" applyFill="1"/>
    <xf numFmtId="2" fontId="0" fillId="3" borderId="0" xfId="0" quotePrefix="1" applyNumberFormat="1" applyFill="1"/>
    <xf numFmtId="0" fontId="0" fillId="18" borderId="2" xfId="0" applyFont="1" applyFill="1" applyBorder="1"/>
    <xf numFmtId="10" fontId="0" fillId="3" borderId="0" xfId="2" applyNumberFormat="1" applyFont="1" applyFill="1"/>
    <xf numFmtId="10" fontId="0" fillId="18" borderId="18" xfId="2" applyNumberFormat="1" applyFont="1" applyFill="1" applyBorder="1"/>
    <xf numFmtId="165" fontId="0" fillId="2" borderId="0" xfId="2" applyNumberFormat="1" applyFont="1" applyFill="1" applyAlignment="1">
      <alignment wrapText="1"/>
    </xf>
    <xf numFmtId="165" fontId="0" fillId="2" borderId="0" xfId="0" applyNumberFormat="1" applyFill="1"/>
    <xf numFmtId="168" fontId="0" fillId="18" borderId="27" xfId="0" applyNumberFormat="1" applyFont="1" applyFill="1" applyBorder="1"/>
    <xf numFmtId="168" fontId="0" fillId="18" borderId="28" xfId="0" applyNumberFormat="1" applyFont="1" applyFill="1" applyBorder="1"/>
    <xf numFmtId="0" fontId="0" fillId="19" borderId="22" xfId="0" quotePrefix="1" applyFill="1" applyBorder="1" applyAlignment="1">
      <alignment wrapText="1"/>
    </xf>
    <xf numFmtId="168" fontId="0" fillId="19" borderId="23" xfId="0" applyNumberFormat="1" applyFill="1" applyBorder="1"/>
    <xf numFmtId="168" fontId="0" fillId="19" borderId="24" xfId="0" applyNumberFormat="1" applyFill="1" applyBorder="1"/>
    <xf numFmtId="0" fontId="0" fillId="12" borderId="22" xfId="0" quotePrefix="1" applyFill="1" applyBorder="1" applyAlignment="1">
      <alignment wrapText="1"/>
    </xf>
    <xf numFmtId="168" fontId="0" fillId="12" borderId="23" xfId="0" applyNumberFormat="1" applyFill="1" applyBorder="1"/>
    <xf numFmtId="168" fontId="0" fillId="12" borderId="24" xfId="0" applyNumberFormat="1" applyFill="1" applyBorder="1"/>
    <xf numFmtId="168" fontId="0" fillId="3" borderId="20" xfId="0" applyNumberFormat="1" applyFill="1" applyBorder="1"/>
    <xf numFmtId="168" fontId="0" fillId="3" borderId="21" xfId="0" applyNumberFormat="1" applyFill="1" applyBorder="1"/>
    <xf numFmtId="168" fontId="0" fillId="2" borderId="20" xfId="0" applyNumberFormat="1" applyFill="1" applyBorder="1"/>
    <xf numFmtId="168" fontId="0" fillId="3" borderId="23" xfId="0" applyNumberFormat="1" applyFill="1" applyBorder="1"/>
    <xf numFmtId="168" fontId="0" fillId="3" borderId="24" xfId="0" applyNumberFormat="1" applyFill="1" applyBorder="1"/>
    <xf numFmtId="0" fontId="0" fillId="0" borderId="36" xfId="0" applyBorder="1" applyAlignment="1">
      <alignment wrapText="1"/>
    </xf>
    <xf numFmtId="2" fontId="0" fillId="0" borderId="37" xfId="0" applyNumberFormat="1" applyBorder="1"/>
    <xf numFmtId="0" fontId="0" fillId="20" borderId="0" xfId="0" applyFill="1" applyAlignment="1">
      <alignment vertical="top" wrapText="1"/>
    </xf>
    <xf numFmtId="0" fontId="0" fillId="20" borderId="0" xfId="0" applyFill="1" applyAlignment="1">
      <alignment vertical="top"/>
    </xf>
    <xf numFmtId="2" fontId="0" fillId="0" borderId="0" xfId="0" applyNumberFormat="1" applyAlignment="1">
      <alignment vertical="top"/>
    </xf>
    <xf numFmtId="2" fontId="0" fillId="21" borderId="0" xfId="0" applyNumberFormat="1" applyFill="1" applyAlignment="1">
      <alignment vertical="top"/>
    </xf>
    <xf numFmtId="0" fontId="0" fillId="21" borderId="0" xfId="0" applyFill="1" applyAlignment="1">
      <alignment vertical="top"/>
    </xf>
    <xf numFmtId="1" fontId="0" fillId="21" borderId="0" xfId="0" applyNumberFormat="1" applyFill="1" applyAlignment="1">
      <alignment vertical="top"/>
    </xf>
    <xf numFmtId="1" fontId="0" fillId="3" borderId="0" xfId="0" applyNumberFormat="1" applyFill="1" applyAlignment="1">
      <alignment vertical="top"/>
    </xf>
    <xf numFmtId="0" fontId="0" fillId="0" borderId="0" xfId="0" applyAlignment="1">
      <alignment horizontal="center"/>
    </xf>
    <xf numFmtId="0" fontId="0" fillId="0" borderId="0" xfId="0" applyAlignment="1">
      <alignment horizontal="center" wrapText="1"/>
    </xf>
    <xf numFmtId="169" fontId="0" fillId="0" borderId="0" xfId="0" applyNumberFormat="1"/>
    <xf numFmtId="170" fontId="0" fillId="0" borderId="0" xfId="0" applyNumberFormat="1" applyAlignment="1">
      <alignment horizontal="center"/>
    </xf>
    <xf numFmtId="0" fontId="2" fillId="4" borderId="1" xfId="0" applyFont="1" applyFill="1" applyBorder="1" applyAlignment="1">
      <alignment horizontal="center"/>
    </xf>
    <xf numFmtId="170" fontId="0" fillId="2" borderId="0" xfId="0" applyNumberFormat="1" applyFill="1" applyAlignment="1">
      <alignment horizontal="center"/>
    </xf>
    <xf numFmtId="9" fontId="0" fillId="2" borderId="0" xfId="2" applyFont="1" applyFill="1" applyAlignment="1">
      <alignment horizontal="center"/>
    </xf>
    <xf numFmtId="0" fontId="9" fillId="0" borderId="0" xfId="0" applyFont="1" applyAlignment="1">
      <alignment horizontal="center" vertical="center"/>
    </xf>
    <xf numFmtId="0" fontId="15" fillId="0" borderId="0" xfId="0" applyFont="1" applyAlignment="1">
      <alignment horizontal="center" vertical="center"/>
    </xf>
    <xf numFmtId="8" fontId="0" fillId="2" borderId="0" xfId="0" applyNumberFormat="1" applyFill="1"/>
    <xf numFmtId="8" fontId="0" fillId="17" borderId="0" xfId="0" applyNumberFormat="1" applyFill="1"/>
    <xf numFmtId="0" fontId="0" fillId="0" borderId="22" xfId="0" quotePrefix="1" applyBorder="1" applyAlignment="1">
      <alignment wrapText="1"/>
    </xf>
    <xf numFmtId="9" fontId="0" fillId="0" borderId="0" xfId="2" applyFont="1"/>
    <xf numFmtId="9" fontId="0" fillId="0" borderId="0" xfId="2" applyFont="1" applyAlignment="1">
      <alignment wrapText="1"/>
    </xf>
    <xf numFmtId="9" fontId="0" fillId="0" borderId="19" xfId="2" applyFont="1" applyBorder="1" applyAlignment="1">
      <alignment wrapText="1"/>
    </xf>
    <xf numFmtId="9" fontId="0" fillId="0" borderId="22" xfId="2" quotePrefix="1" applyFont="1" applyBorder="1" applyAlignment="1">
      <alignment wrapText="1"/>
    </xf>
    <xf numFmtId="9" fontId="0" fillId="5" borderId="22" xfId="2" applyFont="1" applyFill="1" applyBorder="1" applyAlignment="1">
      <alignment wrapText="1"/>
    </xf>
    <xf numFmtId="9" fontId="0" fillId="19" borderId="22" xfId="2" quotePrefix="1" applyFont="1" applyFill="1" applyBorder="1" applyAlignment="1">
      <alignment wrapText="1"/>
    </xf>
    <xf numFmtId="9" fontId="0" fillId="12" borderId="22" xfId="2" quotePrefix="1" applyFont="1" applyFill="1" applyBorder="1" applyAlignment="1">
      <alignment wrapText="1"/>
    </xf>
    <xf numFmtId="9" fontId="0" fillId="5" borderId="38" xfId="2" applyFont="1" applyFill="1" applyBorder="1" applyAlignment="1">
      <alignment wrapText="1"/>
    </xf>
    <xf numFmtId="9" fontId="0" fillId="0" borderId="36" xfId="2" applyFont="1" applyBorder="1" applyAlignment="1">
      <alignment wrapText="1"/>
    </xf>
    <xf numFmtId="0" fontId="0" fillId="0" borderId="29" xfId="0" applyFont="1" applyBorder="1"/>
    <xf numFmtId="0" fontId="17" fillId="0" borderId="0" xfId="0" applyFont="1" applyAlignment="1">
      <alignment horizontal="center" vertical="center"/>
    </xf>
    <xf numFmtId="169" fontId="0" fillId="0" borderId="0" xfId="2" applyNumberFormat="1" applyFont="1"/>
    <xf numFmtId="8" fontId="0" fillId="0" borderId="30" xfId="0" applyNumberFormat="1" applyFont="1" applyBorder="1"/>
    <xf numFmtId="169" fontId="0" fillId="3" borderId="30" xfId="0" applyNumberFormat="1" applyFont="1" applyFill="1" applyBorder="1"/>
    <xf numFmtId="0" fontId="0" fillId="0" borderId="29" xfId="0" applyFont="1" applyFill="1" applyBorder="1"/>
    <xf numFmtId="6" fontId="0" fillId="2" borderId="0" xfId="0" applyNumberFormat="1" applyFill="1"/>
    <xf numFmtId="0" fontId="2" fillId="22" borderId="32" xfId="0" applyFont="1" applyFill="1" applyBorder="1" applyAlignment="1">
      <alignment wrapText="1"/>
    </xf>
    <xf numFmtId="10" fontId="2" fillId="22" borderId="33" xfId="2" applyNumberFormat="1" applyFont="1" applyFill="1" applyBorder="1"/>
    <xf numFmtId="0" fontId="2" fillId="23" borderId="34" xfId="0" applyFont="1" applyFill="1" applyBorder="1" applyAlignment="1">
      <alignment wrapText="1"/>
    </xf>
    <xf numFmtId="0" fontId="2" fillId="23" borderId="0" xfId="0" applyFont="1" applyFill="1" applyBorder="1"/>
    <xf numFmtId="0" fontId="2" fillId="23" borderId="35" xfId="0" applyFont="1" applyFill="1" applyBorder="1"/>
    <xf numFmtId="0" fontId="2" fillId="23" borderId="29" xfId="0" applyFont="1" applyFill="1" applyBorder="1" applyAlignment="1">
      <alignment wrapText="1"/>
    </xf>
    <xf numFmtId="0" fontId="2" fillId="23" borderId="30" xfId="0" applyFont="1" applyFill="1" applyBorder="1"/>
    <xf numFmtId="0" fontId="2" fillId="23" borderId="31" xfId="0" applyFont="1" applyFill="1" applyBorder="1"/>
    <xf numFmtId="0" fontId="2" fillId="23" borderId="32" xfId="0" applyFont="1" applyFill="1" applyBorder="1" applyAlignment="1">
      <alignment wrapText="1"/>
    </xf>
    <xf numFmtId="165" fontId="2" fillId="23" borderId="33" xfId="2" applyNumberFormat="1" applyFont="1" applyFill="1" applyBorder="1"/>
    <xf numFmtId="0" fontId="2" fillId="24" borderId="29" xfId="0" applyFont="1" applyFill="1" applyBorder="1" applyAlignment="1">
      <alignment wrapText="1"/>
    </xf>
    <xf numFmtId="0" fontId="2" fillId="24" borderId="30" xfId="0" applyFont="1" applyFill="1" applyBorder="1"/>
    <xf numFmtId="0" fontId="2" fillId="24" borderId="31" xfId="0" applyFont="1" applyFill="1" applyBorder="1"/>
    <xf numFmtId="0" fontId="2" fillId="24" borderId="32" xfId="0" applyFont="1" applyFill="1" applyBorder="1" applyAlignment="1">
      <alignment wrapText="1"/>
    </xf>
    <xf numFmtId="165" fontId="2" fillId="24" borderId="33" xfId="2" applyNumberFormat="1" applyFont="1" applyFill="1" applyBorder="1"/>
    <xf numFmtId="0" fontId="0" fillId="6" borderId="0" xfId="0" applyFill="1"/>
    <xf numFmtId="0" fontId="2" fillId="24" borderId="29" xfId="0" applyFont="1" applyFill="1" applyBorder="1"/>
    <xf numFmtId="165" fontId="2" fillId="24" borderId="30" xfId="2" applyNumberFormat="1" applyFont="1" applyFill="1" applyBorder="1"/>
    <xf numFmtId="165" fontId="2" fillId="24" borderId="31" xfId="2" applyNumberFormat="1" applyFont="1" applyFill="1" applyBorder="1"/>
    <xf numFmtId="0" fontId="2" fillId="23" borderId="34" xfId="0" applyFont="1" applyFill="1" applyBorder="1" applyAlignment="1"/>
    <xf numFmtId="6" fontId="2" fillId="23" borderId="0" xfId="0" applyNumberFormat="1" applyFont="1" applyFill="1" applyBorder="1"/>
    <xf numFmtId="6" fontId="2" fillId="23" borderId="35" xfId="0" applyNumberFormat="1" applyFont="1" applyFill="1" applyBorder="1"/>
    <xf numFmtId="0" fontId="0" fillId="0" borderId="29" xfId="0" applyFont="1" applyFill="1" applyBorder="1" applyAlignment="1">
      <alignment wrapText="1"/>
    </xf>
    <xf numFmtId="6" fontId="0" fillId="0" borderId="30" xfId="0" applyNumberFormat="1" applyFont="1" applyFill="1" applyBorder="1"/>
    <xf numFmtId="6" fontId="0" fillId="0" borderId="31" xfId="0" applyNumberFormat="1" applyFont="1" applyFill="1" applyBorder="1"/>
    <xf numFmtId="0" fontId="20" fillId="0" borderId="0" xfId="0" applyFont="1"/>
    <xf numFmtId="0" fontId="0" fillId="3" borderId="0" xfId="0" applyFill="1" applyAlignment="1">
      <alignment wrapText="1"/>
    </xf>
    <xf numFmtId="6" fontId="0" fillId="3" borderId="0" xfId="0" applyNumberFormat="1" applyFill="1"/>
    <xf numFmtId="6" fontId="0" fillId="0" borderId="0" xfId="0" applyNumberFormat="1" applyFont="1" applyFill="1" applyBorder="1"/>
    <xf numFmtId="0" fontId="20" fillId="0" borderId="0" xfId="0" applyFont="1" applyAlignment="1">
      <alignment wrapText="1"/>
    </xf>
    <xf numFmtId="169" fontId="0" fillId="0" borderId="30" xfId="0" applyNumberFormat="1" applyFont="1" applyFill="1" applyBorder="1"/>
    <xf numFmtId="169" fontId="0" fillId="0" borderId="31" xfId="0" applyNumberFormat="1" applyFont="1" applyFill="1" applyBorder="1"/>
    <xf numFmtId="169" fontId="2" fillId="4" borderId="30" xfId="0" applyNumberFormat="1" applyFont="1" applyFill="1" applyBorder="1"/>
    <xf numFmtId="9" fontId="0" fillId="2" borderId="30" xfId="2" applyFont="1" applyFill="1" applyBorder="1"/>
    <xf numFmtId="8" fontId="2" fillId="4" borderId="30" xfId="0" applyNumberFormat="1" applyFont="1" applyFill="1" applyBorder="1"/>
    <xf numFmtId="10" fontId="0" fillId="0" borderId="0" xfId="0" applyNumberFormat="1"/>
    <xf numFmtId="0" fontId="22" fillId="0" borderId="0" xfId="0" applyFont="1"/>
    <xf numFmtId="0" fontId="23" fillId="0" borderId="0" xfId="0" applyFont="1"/>
    <xf numFmtId="0" fontId="23" fillId="0" borderId="0" xfId="0" applyFont="1" applyAlignment="1">
      <alignment vertical="center"/>
    </xf>
    <xf numFmtId="0" fontId="0" fillId="3" borderId="0" xfId="0" applyFill="1"/>
    <xf numFmtId="171" fontId="0" fillId="2" borderId="0" xfId="3" applyNumberFormat="1" applyFont="1" applyFill="1"/>
    <xf numFmtId="0" fontId="24" fillId="0" borderId="0" xfId="0" applyFont="1" applyAlignment="1">
      <alignment vertical="center"/>
    </xf>
    <xf numFmtId="0" fontId="0" fillId="25" borderId="0" xfId="0" applyFill="1"/>
    <xf numFmtId="10" fontId="0" fillId="25" borderId="0" xfId="0" applyNumberFormat="1" applyFill="1"/>
    <xf numFmtId="169" fontId="0" fillId="3" borderId="0" xfId="3" applyNumberFormat="1" applyFont="1" applyFill="1"/>
    <xf numFmtId="0" fontId="0" fillId="26" borderId="0" xfId="0" applyFill="1"/>
    <xf numFmtId="0" fontId="8" fillId="26" borderId="0" xfId="0" applyFont="1" applyFill="1" applyAlignment="1">
      <alignment vertical="center"/>
    </xf>
    <xf numFmtId="0" fontId="0" fillId="26" borderId="0" xfId="0" applyFill="1" applyAlignment="1"/>
    <xf numFmtId="169" fontId="0" fillId="26" borderId="0" xfId="0" applyNumberFormat="1" applyFill="1"/>
    <xf numFmtId="0" fontId="25" fillId="0" borderId="0" xfId="0" applyFont="1"/>
    <xf numFmtId="0" fontId="26" fillId="15" borderId="39" xfId="0" applyFont="1" applyFill="1" applyBorder="1" applyAlignment="1">
      <alignment vertical="center" wrapText="1"/>
    </xf>
    <xf numFmtId="0" fontId="26" fillId="15" borderId="40" xfId="0" applyFont="1" applyFill="1" applyBorder="1" applyAlignment="1">
      <alignment vertical="center" wrapText="1"/>
    </xf>
    <xf numFmtId="6" fontId="26" fillId="15" borderId="39" xfId="0" applyNumberFormat="1" applyFont="1" applyFill="1" applyBorder="1" applyAlignment="1">
      <alignment vertical="center" wrapText="1"/>
    </xf>
    <xf numFmtId="6" fontId="26" fillId="15" borderId="40" xfId="0" applyNumberFormat="1" applyFont="1" applyFill="1" applyBorder="1" applyAlignment="1">
      <alignment vertical="center" wrapText="1"/>
    </xf>
    <xf numFmtId="0" fontId="26" fillId="15" borderId="41" xfId="0" applyFont="1" applyFill="1" applyBorder="1" applyAlignment="1">
      <alignment vertical="center" wrapText="1"/>
    </xf>
    <xf numFmtId="6" fontId="26" fillId="15" borderId="41" xfId="0" applyNumberFormat="1" applyFont="1" applyFill="1" applyBorder="1" applyAlignment="1">
      <alignment vertical="center" wrapText="1"/>
    </xf>
    <xf numFmtId="6" fontId="26" fillId="15" borderId="42" xfId="0" applyNumberFormat="1" applyFont="1" applyFill="1" applyBorder="1" applyAlignment="1">
      <alignment vertical="center" wrapText="1"/>
    </xf>
    <xf numFmtId="9" fontId="26" fillId="15" borderId="41" xfId="2" applyFont="1" applyFill="1" applyBorder="1" applyAlignment="1">
      <alignment vertical="center" wrapText="1"/>
    </xf>
    <xf numFmtId="9" fontId="26" fillId="15" borderId="42" xfId="2" applyFont="1" applyFill="1" applyBorder="1" applyAlignment="1">
      <alignment vertical="center" wrapText="1"/>
    </xf>
    <xf numFmtId="165" fontId="26" fillId="15" borderId="41" xfId="2" applyNumberFormat="1" applyFont="1" applyFill="1" applyBorder="1" applyAlignment="1">
      <alignment vertical="center" wrapText="1"/>
    </xf>
    <xf numFmtId="166" fontId="0" fillId="20" borderId="7" xfId="0" applyNumberFormat="1" applyFill="1" applyBorder="1"/>
    <xf numFmtId="167" fontId="0" fillId="20" borderId="0" xfId="3" applyNumberFormat="1" applyFont="1" applyFill="1"/>
    <xf numFmtId="0" fontId="0" fillId="0" borderId="0" xfId="0" applyFont="1" applyFill="1" applyBorder="1" applyAlignment="1">
      <alignment wrapText="1"/>
    </xf>
    <xf numFmtId="9" fontId="0" fillId="0" borderId="0" xfId="2" applyFont="1" applyFill="1" applyBorder="1"/>
    <xf numFmtId="0" fontId="0" fillId="27" borderId="0" xfId="0" applyFill="1"/>
    <xf numFmtId="0" fontId="8" fillId="0" borderId="0" xfId="0" applyFont="1" applyAlignment="1">
      <alignment vertical="center" wrapText="1"/>
    </xf>
    <xf numFmtId="9" fontId="8" fillId="15" borderId="17" xfId="0" applyNumberFormat="1" applyFont="1" applyFill="1" applyBorder="1" applyAlignment="1">
      <alignment vertical="center" wrapText="1"/>
    </xf>
    <xf numFmtId="0" fontId="8" fillId="15" borderId="0" xfId="0" applyFont="1" applyFill="1" applyBorder="1" applyAlignment="1">
      <alignment vertical="center" wrapText="1"/>
    </xf>
    <xf numFmtId="43" fontId="0" fillId="0" borderId="0" xfId="0" applyNumberFormat="1"/>
    <xf numFmtId="167" fontId="0" fillId="0" borderId="0" xfId="0" applyNumberFormat="1"/>
    <xf numFmtId="3" fontId="8" fillId="0" borderId="0" xfId="0" applyNumberFormat="1" applyFont="1"/>
    <xf numFmtId="166" fontId="0" fillId="0" borderId="0" xfId="0" applyNumberFormat="1" applyFont="1"/>
    <xf numFmtId="166" fontId="27" fillId="0" borderId="0" xfId="0" applyNumberFormat="1" applyFont="1"/>
    <xf numFmtId="0" fontId="8" fillId="15" borderId="39" xfId="0" applyFont="1" applyFill="1" applyBorder="1" applyAlignment="1">
      <alignment vertical="center" wrapText="1"/>
    </xf>
    <xf numFmtId="6" fontId="8" fillId="15" borderId="39" xfId="0" applyNumberFormat="1" applyFont="1" applyFill="1" applyBorder="1" applyAlignment="1">
      <alignment vertical="center" wrapText="1"/>
    </xf>
    <xf numFmtId="0" fontId="8" fillId="15" borderId="43" xfId="0" applyFont="1" applyFill="1" applyBorder="1" applyAlignment="1">
      <alignment vertical="center" wrapText="1"/>
    </xf>
    <xf numFmtId="0" fontId="0" fillId="28" borderId="0" xfId="0" applyFill="1"/>
    <xf numFmtId="0" fontId="28" fillId="0" borderId="39" xfId="0" applyFont="1" applyBorder="1" applyAlignment="1">
      <alignment vertical="center" wrapText="1"/>
    </xf>
    <xf numFmtId="6" fontId="28" fillId="0" borderId="39" xfId="0" applyNumberFormat="1" applyFont="1" applyBorder="1" applyAlignment="1">
      <alignment vertical="center" wrapText="1"/>
    </xf>
    <xf numFmtId="0" fontId="8" fillId="0" borderId="44" xfId="0" applyFont="1" applyBorder="1" applyAlignment="1">
      <alignment vertical="center" wrapText="1"/>
    </xf>
    <xf numFmtId="0" fontId="28" fillId="0" borderId="43" xfId="0" applyFont="1" applyFill="1" applyBorder="1" applyAlignment="1">
      <alignment vertical="center" wrapText="1"/>
    </xf>
    <xf numFmtId="0" fontId="8" fillId="29" borderId="0" xfId="0" applyFont="1" applyFill="1" applyAlignment="1">
      <alignment vertical="center" wrapText="1"/>
    </xf>
    <xf numFmtId="8" fontId="0" fillId="29" borderId="0" xfId="0" applyNumberFormat="1" applyFill="1"/>
    <xf numFmtId="165" fontId="0" fillId="0" borderId="0" xfId="2" applyNumberFormat="1" applyFont="1"/>
    <xf numFmtId="1" fontId="0" fillId="0" borderId="0" xfId="0" applyNumberFormat="1"/>
    <xf numFmtId="44" fontId="0" fillId="0" borderId="0" xfId="0" applyNumberFormat="1"/>
    <xf numFmtId="164" fontId="0" fillId="0" borderId="0" xfId="0" applyNumberFormat="1"/>
    <xf numFmtId="0" fontId="0" fillId="30" borderId="0" xfId="0" applyFill="1"/>
    <xf numFmtId="9" fontId="8" fillId="15" borderId="39" xfId="0" applyNumberFormat="1" applyFont="1" applyFill="1" applyBorder="1" applyAlignment="1">
      <alignment vertical="center" wrapText="1"/>
    </xf>
    <xf numFmtId="10" fontId="8" fillId="15" borderId="39" xfId="0" applyNumberFormat="1" applyFont="1" applyFill="1" applyBorder="1" applyAlignment="1">
      <alignment vertical="center" wrapText="1"/>
    </xf>
    <xf numFmtId="0" fontId="29" fillId="0" borderId="0" xfId="0" applyFont="1" applyFill="1" applyAlignment="1">
      <alignment vertical="center" wrapText="1"/>
    </xf>
    <xf numFmtId="6" fontId="29" fillId="0" borderId="0" xfId="0" applyNumberFormat="1" applyFont="1" applyFill="1" applyAlignment="1">
      <alignment vertical="center" wrapText="1"/>
    </xf>
    <xf numFmtId="0" fontId="29" fillId="0" borderId="0" xfId="0" applyFont="1" applyFill="1" applyAlignment="1">
      <alignment horizontal="center" vertical="center" wrapText="1"/>
    </xf>
    <xf numFmtId="9" fontId="29" fillId="0" borderId="0" xfId="2" applyFont="1" applyFill="1" applyAlignment="1">
      <alignment vertical="center" wrapText="1"/>
    </xf>
    <xf numFmtId="172" fontId="0" fillId="0" borderId="0" xfId="0" applyNumberFormat="1"/>
    <xf numFmtId="0" fontId="0" fillId="0" borderId="39" xfId="0" applyBorder="1" applyAlignment="1">
      <alignment vertical="center" wrapText="1"/>
    </xf>
    <xf numFmtId="6" fontId="0" fillId="0" borderId="39" xfId="0" applyNumberFormat="1" applyBorder="1" applyAlignment="1">
      <alignment vertical="center" wrapText="1"/>
    </xf>
    <xf numFmtId="0" fontId="0" fillId="0" borderId="45" xfId="0" applyFill="1" applyBorder="1" applyAlignment="1">
      <alignment vertical="center" wrapText="1"/>
    </xf>
    <xf numFmtId="9" fontId="0" fillId="0" borderId="45" xfId="2" applyFont="1" applyFill="1" applyBorder="1" applyAlignment="1">
      <alignment vertical="center" wrapText="1"/>
    </xf>
    <xf numFmtId="0" fontId="0" fillId="0" borderId="0" xfId="0" applyFill="1" applyBorder="1" applyAlignment="1">
      <alignment vertical="center" wrapText="1"/>
    </xf>
    <xf numFmtId="0" fontId="30" fillId="0" borderId="39" xfId="0" applyFont="1" applyFill="1" applyBorder="1" applyAlignment="1">
      <alignment vertical="center" wrapText="1"/>
    </xf>
    <xf numFmtId="166" fontId="30" fillId="0" borderId="39" xfId="0" applyNumberFormat="1" applyFont="1" applyFill="1" applyBorder="1" applyAlignment="1">
      <alignment vertical="center" wrapText="1"/>
    </xf>
    <xf numFmtId="0" fontId="8" fillId="0" borderId="39" xfId="0" applyFont="1" applyFill="1" applyBorder="1" applyAlignment="1">
      <alignment vertical="center" wrapText="1"/>
    </xf>
    <xf numFmtId="166" fontId="8" fillId="0" borderId="39" xfId="0" applyNumberFormat="1" applyFont="1" applyFill="1" applyBorder="1" applyAlignment="1">
      <alignment vertical="center" wrapText="1"/>
    </xf>
    <xf numFmtId="0" fontId="8" fillId="0" borderId="41" xfId="0" applyFont="1" applyFill="1" applyBorder="1" applyAlignment="1">
      <alignment vertical="center" wrapText="1"/>
    </xf>
    <xf numFmtId="166" fontId="8" fillId="0" borderId="41" xfId="0" applyNumberFormat="1" applyFont="1" applyFill="1" applyBorder="1" applyAlignment="1">
      <alignment vertical="center" wrapText="1"/>
    </xf>
    <xf numFmtId="0" fontId="8" fillId="0" borderId="46" xfId="0" applyFont="1" applyFill="1" applyBorder="1" applyAlignment="1">
      <alignment vertical="center" wrapText="1"/>
    </xf>
    <xf numFmtId="166" fontId="8" fillId="0" borderId="46" xfId="0" applyNumberFormat="1" applyFont="1" applyFill="1" applyBorder="1" applyAlignment="1">
      <alignment vertical="center" wrapText="1"/>
    </xf>
    <xf numFmtId="0" fontId="8" fillId="0" borderId="0" xfId="0" applyFont="1" applyFill="1" applyBorder="1" applyAlignment="1">
      <alignment vertical="center" wrapText="1"/>
    </xf>
    <xf numFmtId="169" fontId="8" fillId="0" borderId="41" xfId="0" applyNumberFormat="1" applyFont="1" applyFill="1" applyBorder="1" applyAlignment="1">
      <alignment vertical="center" wrapText="1"/>
    </xf>
    <xf numFmtId="0" fontId="8" fillId="3" borderId="0" xfId="0" applyFont="1" applyFill="1" applyBorder="1" applyAlignment="1">
      <alignment vertical="center" wrapText="1"/>
    </xf>
    <xf numFmtId="42" fontId="0" fillId="3" borderId="0" xfId="0" applyNumberFormat="1" applyFill="1"/>
    <xf numFmtId="2" fontId="8" fillId="0" borderId="39" xfId="0" applyNumberFormat="1" applyFont="1" applyFill="1" applyBorder="1" applyAlignment="1">
      <alignment vertical="center" wrapText="1"/>
    </xf>
    <xf numFmtId="10" fontId="8" fillId="0" borderId="0" xfId="2" applyNumberFormat="1" applyFont="1" applyFill="1" applyBorder="1" applyAlignment="1">
      <alignment vertical="center" wrapText="1"/>
    </xf>
    <xf numFmtId="0" fontId="31" fillId="31" borderId="39" xfId="0" applyFont="1" applyFill="1" applyBorder="1" applyAlignment="1">
      <alignment vertical="center" wrapText="1"/>
    </xf>
    <xf numFmtId="166" fontId="31" fillId="31" borderId="39" xfId="0" applyNumberFormat="1" applyFont="1" applyFill="1" applyBorder="1" applyAlignment="1">
      <alignment vertical="center" wrapText="1"/>
    </xf>
    <xf numFmtId="169" fontId="8" fillId="0" borderId="39" xfId="0" applyNumberFormat="1" applyFont="1" applyFill="1" applyBorder="1" applyAlignment="1">
      <alignment vertical="center" wrapText="1"/>
    </xf>
    <xf numFmtId="166" fontId="0" fillId="0" borderId="0" xfId="2" applyNumberFormat="1" applyFont="1" applyFill="1"/>
    <xf numFmtId="10" fontId="0" fillId="25" borderId="0" xfId="2" applyNumberFormat="1" applyFont="1" applyFill="1"/>
    <xf numFmtId="2" fontId="8" fillId="0" borderId="46" xfId="0" applyNumberFormat="1" applyFont="1" applyFill="1" applyBorder="1" applyAlignment="1">
      <alignment vertical="center" wrapText="1"/>
    </xf>
    <xf numFmtId="0" fontId="0" fillId="0" borderId="0" xfId="0" applyFill="1" applyAlignment="1">
      <alignment wrapText="1"/>
    </xf>
    <xf numFmtId="0" fontId="0" fillId="25" borderId="0" xfId="0" applyFill="1" applyAlignment="1">
      <alignment wrapText="1"/>
    </xf>
    <xf numFmtId="0" fontId="0" fillId="30" borderId="0" xfId="0" applyFill="1" applyAlignment="1">
      <alignment wrapText="1"/>
    </xf>
    <xf numFmtId="166" fontId="0" fillId="30" borderId="0" xfId="0" applyNumberFormat="1" applyFill="1"/>
    <xf numFmtId="165" fontId="0" fillId="0" borderId="0" xfId="0" applyNumberFormat="1"/>
    <xf numFmtId="173" fontId="0" fillId="0" borderId="0" xfId="0" applyNumberFormat="1"/>
    <xf numFmtId="9" fontId="0" fillId="0" borderId="0" xfId="2" applyNumberFormat="1" applyFont="1"/>
    <xf numFmtId="0" fontId="0" fillId="32" borderId="0" xfId="0" applyFill="1"/>
    <xf numFmtId="164" fontId="0" fillId="32" borderId="0" xfId="0" applyNumberFormat="1" applyFill="1"/>
    <xf numFmtId="164" fontId="0" fillId="0" borderId="0" xfId="0" quotePrefix="1" applyNumberFormat="1"/>
    <xf numFmtId="1" fontId="0" fillId="0" borderId="0" xfId="0" quotePrefix="1" applyNumberFormat="1"/>
    <xf numFmtId="164" fontId="0" fillId="2" borderId="0" xfId="0" applyNumberFormat="1" applyFill="1"/>
    <xf numFmtId="164" fontId="0" fillId="33" borderId="0" xfId="0" applyNumberFormat="1" applyFill="1"/>
    <xf numFmtId="164" fontId="0" fillId="0" borderId="0" xfId="2" applyNumberFormat="1" applyFont="1"/>
    <xf numFmtId="0" fontId="0" fillId="0" borderId="0" xfId="0" applyAlignment="1">
      <alignment horizontal="center" vertical="center" wrapText="1"/>
    </xf>
    <xf numFmtId="164" fontId="0" fillId="0" borderId="0" xfId="0" applyNumberFormat="1" applyAlignment="1">
      <alignment horizontal="center" vertical="center" wrapText="1"/>
    </xf>
    <xf numFmtId="42" fontId="0" fillId="0" borderId="0" xfId="0" applyNumberFormat="1"/>
    <xf numFmtId="42" fontId="0" fillId="17" borderId="0" xfId="0" applyNumberFormat="1" applyFill="1"/>
    <xf numFmtId="10" fontId="0" fillId="17" borderId="0" xfId="2" applyNumberFormat="1" applyFont="1" applyFill="1"/>
    <xf numFmtId="10" fontId="0" fillId="17" borderId="0" xfId="0" applyNumberFormat="1" applyFill="1"/>
    <xf numFmtId="42" fontId="0" fillId="27" borderId="0" xfId="0" applyNumberFormat="1" applyFill="1"/>
    <xf numFmtId="164" fontId="0" fillId="0" borderId="0" xfId="0" applyNumberFormat="1" applyFill="1"/>
    <xf numFmtId="0" fontId="0" fillId="0" borderId="0" xfId="0" applyFill="1"/>
    <xf numFmtId="10" fontId="0" fillId="0" borderId="0" xfId="0" applyNumberFormat="1" applyFill="1"/>
  </cellXfs>
  <cellStyles count="4">
    <cellStyle name="Comma" xfId="3" builtinId="3"/>
    <cellStyle name="Currency" xfId="1" builtinId="4"/>
    <cellStyle name="Normal" xfId="0" builtinId="0"/>
    <cellStyle name="Percent" xfId="2" builtinId="5"/>
  </cellStyles>
  <dxfs count="80">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4" formatCode="0.00%"/>
    </dxf>
    <dxf>
      <numFmt numFmtId="14" formatCode="0.00%"/>
    </dxf>
    <dxf>
      <numFmt numFmtId="10" formatCode="&quot;$&quot;#,##0_);[Red]\(&quot;$&quot;#,##0\)"/>
    </dxf>
    <dxf>
      <numFmt numFmtId="10" formatCode="&quot;$&quot;#,##0_);[Red]\(&quot;$&quot;#,##0\)"/>
    </dxf>
    <dxf>
      <alignment horizontal="general" vertical="bottom" textRotation="0" wrapText="1" indent="0" justifyLastLine="0" shrinkToFit="0" readingOrder="0"/>
    </dxf>
    <dxf>
      <border outline="0">
        <top style="thin">
          <color theme="4"/>
        </top>
        <bottom style="thin">
          <color theme="4"/>
        </bottom>
      </border>
    </dxf>
    <dxf>
      <font>
        <b/>
        <i val="0"/>
        <strike val="0"/>
        <condense val="0"/>
        <extend val="0"/>
        <outline val="0"/>
        <shadow val="0"/>
        <u val="none"/>
        <vertAlign val="baseline"/>
        <sz val="11"/>
        <color theme="0"/>
        <name val="Calibri"/>
        <family val="2"/>
        <scheme val="minor"/>
      </font>
      <fill>
        <patternFill patternType="solid">
          <fgColor theme="4"/>
          <bgColor theme="5" tint="-0.249977111117893"/>
        </patternFill>
      </fill>
    </dxf>
    <dxf>
      <numFmt numFmtId="10" formatCode="&quot;$&quot;#,##0_);[Red]\(&quot;$&quot;#,##0\)"/>
    </dxf>
    <dxf>
      <numFmt numFmtId="10" formatCode="&quot;$&quot;#,##0_);[Red]\(&quot;$&quot;#,##0\)"/>
    </dxf>
    <dxf>
      <alignment horizontal="general" vertical="bottom" textRotation="0" wrapText="1" indent="0" justifyLastLine="0" shrinkToFit="0" readingOrder="0"/>
    </dxf>
    <dxf>
      <border outline="0">
        <top style="thin">
          <color theme="4"/>
        </top>
        <bottom style="thin">
          <color theme="4"/>
        </bottom>
      </border>
    </dxf>
    <dxf>
      <font>
        <b/>
        <i val="0"/>
        <strike val="0"/>
        <condense val="0"/>
        <extend val="0"/>
        <outline val="0"/>
        <shadow val="0"/>
        <u val="none"/>
        <vertAlign val="baseline"/>
        <sz val="11"/>
        <color theme="0"/>
        <name val="Calibri"/>
        <family val="2"/>
        <scheme val="minor"/>
      </font>
      <fill>
        <patternFill patternType="solid">
          <fgColor theme="4"/>
          <bgColor theme="5" tint="-0.249977111117893"/>
        </patternFill>
      </fill>
    </dxf>
    <dxf>
      <fill>
        <patternFill patternType="solid">
          <fgColor indexed="64"/>
          <bgColor theme="4" tint="-0.249977111117893"/>
        </patternFill>
      </fill>
    </dxf>
    <dxf>
      <border diagonalUp="0" diagonalDown="0">
        <left style="thin">
          <color theme="4" tint="0.39994506668294322"/>
        </left>
        <right/>
        <top style="thin">
          <color theme="4" tint="0.39994506668294322"/>
        </top>
        <bottom style="thin">
          <color theme="4" tint="0.39994506668294322"/>
        </bottom>
        <vertical style="thin">
          <color theme="4" tint="0.39994506668294322"/>
        </vertical>
        <horizontal style="thin">
          <color theme="4" tint="0.39994506668294322"/>
        </horizontal>
      </border>
    </dxf>
    <dxf>
      <border diagonalUp="0" diagonalDown="0">
        <left style="thin">
          <color theme="4" tint="0.39994506668294322"/>
        </left>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border diagonalUp="0" diagonalDown="0">
        <left style="thin">
          <color theme="4" tint="0.39994506668294322"/>
        </left>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border diagonalUp="0" diagonalDown="0">
        <left style="thin">
          <color theme="4" tint="0.39994506668294322"/>
        </left>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border diagonalUp="0" diagonalDown="0">
        <left style="thin">
          <color theme="4" tint="0.39994506668294322"/>
        </left>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alignment horizontal="general" vertical="bottom" textRotation="0" wrapText="1" indent="0" justifyLastLine="0" shrinkToFit="0" readingOrder="0"/>
      <border diagonalUp="0" diagonalDown="0">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numFmt numFmtId="170" formatCode="&quot;$&quot;#,##0.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70" formatCode="&quot;$&quot;#,##0.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top" textRotation="0" indent="0" justifyLastLine="0" shrinkToFit="0" readingOrder="0"/>
    </dxf>
    <dxf>
      <numFmt numFmtId="0" formatCode="General"/>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theme="9" tint="0.39997558519241921"/>
        </patternFill>
      </fill>
      <alignment horizontal="general" vertical="bottom" textRotation="0" wrapText="1" indent="0" justifyLastLine="0" shrinkToFit="0" readingOrder="0"/>
    </dxf>
    <dxf>
      <numFmt numFmtId="14" formatCode="0.00%"/>
      <fill>
        <patternFill patternType="solid">
          <fgColor indexed="64"/>
          <bgColor theme="9" tint="0.3999755851924192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A7A7"/>
        </patternFill>
      </fill>
      <alignment horizontal="general" vertical="top" textRotation="0" wrapText="0" indent="0" justifyLastLine="0" shrinkToFit="0" readingOrder="0"/>
      <border diagonalUp="0" diagonalDown="0" outline="0">
        <left/>
        <right/>
        <top/>
        <bottom style="medium">
          <color rgb="FF8EA9DB"/>
        </bottom>
      </border>
    </dxf>
    <dxf>
      <font>
        <b val="0"/>
        <i val="0"/>
        <strike val="0"/>
        <condense val="0"/>
        <extend val="0"/>
        <outline val="0"/>
        <shadow val="0"/>
        <u val="none"/>
        <vertAlign val="baseline"/>
        <sz val="11"/>
        <color rgb="FF000000"/>
        <name val="Calibri"/>
        <family val="2"/>
        <scheme val="minor"/>
      </font>
      <fill>
        <patternFill patternType="solid">
          <fgColor indexed="64"/>
          <bgColor rgb="FFFFA7A7"/>
        </patternFill>
      </fill>
      <alignment horizontal="general" vertical="top" textRotation="0" wrapText="0" indent="0" justifyLastLine="0" shrinkToFit="0" readingOrder="0"/>
      <border diagonalUp="0" diagonalDown="0" outline="0">
        <left/>
        <right/>
        <top/>
        <bottom style="medium">
          <color rgb="FF8EA9DB"/>
        </bottom>
      </border>
    </dxf>
    <dxf>
      <font>
        <b val="0"/>
        <i val="0"/>
        <strike val="0"/>
        <condense val="0"/>
        <extend val="0"/>
        <outline val="0"/>
        <shadow val="0"/>
        <u val="none"/>
        <vertAlign val="baseline"/>
        <sz val="11"/>
        <color rgb="FF000000"/>
        <name val="Calibri"/>
        <family val="2"/>
        <scheme val="minor"/>
      </font>
      <fill>
        <patternFill patternType="solid">
          <fgColor indexed="64"/>
          <bgColor rgb="FFFFA7A7"/>
        </patternFill>
      </fill>
      <alignment horizontal="general" vertical="top" textRotation="0" wrapText="0" indent="0" justifyLastLine="0" shrinkToFit="0" readingOrder="0"/>
      <border diagonalUp="0" diagonalDown="0" outline="0">
        <left/>
        <right/>
        <top/>
        <bottom style="medium">
          <color rgb="FF8EA9DB"/>
        </bottom>
      </border>
    </dxf>
    <dxf>
      <font>
        <b val="0"/>
        <i val="0"/>
        <strike val="0"/>
        <condense val="0"/>
        <extend val="0"/>
        <outline val="0"/>
        <shadow val="0"/>
        <u val="none"/>
        <vertAlign val="baseline"/>
        <sz val="11"/>
        <color rgb="FF000000"/>
        <name val="Calibri"/>
        <family val="2"/>
        <scheme val="minor"/>
      </font>
      <fill>
        <patternFill patternType="solid">
          <fgColor indexed="64"/>
          <bgColor rgb="FFFFA7A7"/>
        </patternFill>
      </fill>
      <alignment horizontal="general" vertical="top" textRotation="0" wrapText="0" indent="0" justifyLastLine="0" shrinkToFit="0" readingOrder="0"/>
      <border diagonalUp="0" diagonalDown="0">
        <left/>
        <right/>
        <top/>
        <bottom style="medium">
          <color rgb="FF8EA9DB"/>
        </bottom>
        <vertical/>
        <horizontal/>
      </border>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12" formatCode="&quot;$&quot;#,##0.00_);[Red]\(&quot;$&quot;#,##0.00\)"/>
    </dxf>
    <dxf>
      <numFmt numFmtId="12" formatCode="&quot;$&quot;#,##0.00_);[Red]\(&quot;$&quot;#,##0.00\)"/>
    </dxf>
    <dxf>
      <numFmt numFmtId="12" formatCode="&quot;$&quot;#,##0.00_);[Red]\(&quot;$&quot;#,##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0" formatCode="&quot;$&quot;#,##0_);[Red]\(&quot;$&quot;#,##0\)"/>
    </dxf>
    <dxf>
      <alignment horizontal="general" vertical="bottom" textRotation="0" wrapText="1" indent="0" justifyLastLine="0" shrinkToFit="0" readingOrder="0"/>
    </dxf>
    <dxf>
      <border outline="0">
        <top style="thin">
          <color theme="4"/>
        </top>
        <bottom style="thin">
          <color theme="4"/>
        </bottom>
      </border>
    </dxf>
    <dxf>
      <font>
        <b/>
        <i val="0"/>
        <strike val="0"/>
        <condense val="0"/>
        <extend val="0"/>
        <outline val="0"/>
        <shadow val="0"/>
        <u val="none"/>
        <vertAlign val="baseline"/>
        <sz val="11"/>
        <color theme="0"/>
        <name val="Calibri"/>
        <family val="2"/>
        <scheme val="minor"/>
      </font>
      <fill>
        <patternFill patternType="solid">
          <fgColor theme="4"/>
          <bgColor theme="5" tint="-0.249977111117893"/>
        </patternFill>
      </fill>
    </dxf>
    <dxf>
      <font>
        <b val="0"/>
        <i val="0"/>
        <strike val="0"/>
        <condense val="0"/>
        <extend val="0"/>
        <outline val="0"/>
        <shadow val="0"/>
        <u val="none"/>
        <vertAlign val="baseline"/>
        <sz val="9"/>
        <color rgb="FF2D3B45"/>
        <name val="Arial"/>
        <family val="2"/>
        <scheme val="none"/>
      </font>
      <numFmt numFmtId="10" formatCode="&quot;$&quot;#,##0_);[Red]\(&quot;$&quot;#,##0\)"/>
      <fill>
        <patternFill patternType="solid">
          <fgColor indexed="64"/>
          <bgColor rgb="FFFFFFFF"/>
        </patternFill>
      </fill>
      <alignment horizontal="general"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rgb="FF2D3B45"/>
        <name val="Arial"/>
        <family val="2"/>
        <scheme val="none"/>
      </font>
      <numFmt numFmtId="10" formatCode="&quot;$&quot;#,##0_);[Red]\(&quot;$&quot;#,##0\)"/>
      <fill>
        <patternFill patternType="solid">
          <fgColor indexed="64"/>
          <bgColor rgb="FFFFFFFF"/>
        </patternFill>
      </fill>
      <alignment horizontal="general"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2D3B45"/>
        <name val="Arial"/>
        <family val="2"/>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right style="thin">
          <color rgb="FF000000"/>
        </right>
        <bottom style="thin">
          <color rgb="FF000000"/>
        </bottom>
      </border>
    </dxf>
    <dxf>
      <font>
        <strike val="0"/>
        <outline val="0"/>
        <shadow val="0"/>
        <u val="none"/>
        <vertAlign val="baseline"/>
        <sz val="9"/>
      </font>
    </dxf>
    <dxf>
      <font>
        <strike val="0"/>
        <outline val="0"/>
        <shadow val="0"/>
        <u val="none"/>
        <vertAlign val="baseline"/>
        <sz val="9"/>
      </font>
    </dxf>
    <dxf>
      <border diagonalUp="0" diagonalDown="0">
        <left style="thin">
          <color theme="4" tint="0.39994506668294322"/>
        </left>
        <right/>
        <top style="thin">
          <color theme="4" tint="0.39994506668294322"/>
        </top>
        <bottom style="thin">
          <color theme="4" tint="0.39994506668294322"/>
        </bottom>
        <vertical style="thin">
          <color theme="4" tint="0.39994506668294322"/>
        </vertical>
        <horizontal style="thin">
          <color theme="4" tint="0.39994506668294322"/>
        </horizontal>
      </border>
    </dxf>
    <dxf>
      <border diagonalUp="0" diagonalDown="0">
        <left style="thin">
          <color theme="4" tint="0.39994506668294322"/>
        </left>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border diagonalUp="0" diagonalDown="0">
        <left style="thin">
          <color theme="4" tint="0.39994506668294322"/>
        </left>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border diagonalUp="0" diagonalDown="0">
        <left style="thin">
          <color theme="4" tint="0.39994506668294322"/>
        </left>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border diagonalUp="0" diagonalDown="0">
        <left style="thin">
          <color theme="4" tint="0.39994506668294322"/>
        </left>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alignment horizontal="general" vertical="bottom" textRotation="0" wrapText="1" indent="0" justifyLastLine="0" shrinkToFit="0" readingOrder="0"/>
      <border diagonalUp="0" diagonalDown="0">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numFmt numFmtId="14" formatCode="0.00%"/>
    </dxf>
    <dxf>
      <alignment textRotation="0" wrapText="1"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FC301"/>
      <color rgb="FFB889DB"/>
      <color rgb="FFB482DA"/>
      <color rgb="FFFFA3A3"/>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476250</xdr:colOff>
      <xdr:row>1</xdr:row>
      <xdr:rowOff>161925</xdr:rowOff>
    </xdr:from>
    <xdr:to>
      <xdr:col>2</xdr:col>
      <xdr:colOff>228600</xdr:colOff>
      <xdr:row>3</xdr:row>
      <xdr:rowOff>19050</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0" y="352425"/>
          <a:ext cx="1428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41</xdr:row>
          <xdr:rowOff>0</xdr:rowOff>
        </xdr:from>
        <xdr:to>
          <xdr:col>1</xdr:col>
          <xdr:colOff>257175</xdr:colOff>
          <xdr:row>42</xdr:row>
          <xdr:rowOff>76200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4</xdr:col>
      <xdr:colOff>0</xdr:colOff>
      <xdr:row>10</xdr:row>
      <xdr:rowOff>0</xdr:rowOff>
    </xdr:from>
    <xdr:to>
      <xdr:col>6</xdr:col>
      <xdr:colOff>209550</xdr:colOff>
      <xdr:row>11</xdr:row>
      <xdr:rowOff>95250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38400" y="1914525"/>
          <a:ext cx="1428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64</xdr:row>
      <xdr:rowOff>0</xdr:rowOff>
    </xdr:from>
    <xdr:to>
      <xdr:col>6</xdr:col>
      <xdr:colOff>209550</xdr:colOff>
      <xdr:row>65</xdr:row>
      <xdr:rowOff>95250</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38400" y="1914525"/>
          <a:ext cx="1428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122</xdr:row>
          <xdr:rowOff>0</xdr:rowOff>
        </xdr:from>
        <xdr:to>
          <xdr:col>1</xdr:col>
          <xdr:colOff>257175</xdr:colOff>
          <xdr:row>123</xdr:row>
          <xdr:rowOff>76200</xdr:rowOff>
        </xdr:to>
        <xdr:sp macro="" textlink="">
          <xdr:nvSpPr>
            <xdr:cNvPr id="9217" name="Control 1" hidden="1">
              <a:extLst>
                <a:ext uri="{63B3BB69-23CF-44E3-9099-C40C66FF867C}">
                  <a14:compatExt spid="_x0000_s9217"/>
                </a:ext>
                <a:ext uri="{FF2B5EF4-FFF2-40B4-BE49-F238E27FC236}">
                  <a16:creationId xmlns:a16="http://schemas.microsoft.com/office/drawing/2014/main" id="{00000000-0008-0000-0600-0000012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0</xdr:colOff>
      <xdr:row>21</xdr:row>
      <xdr:rowOff>0</xdr:rowOff>
    </xdr:from>
    <xdr:to>
      <xdr:col>4</xdr:col>
      <xdr:colOff>476250</xdr:colOff>
      <xdr:row>22</xdr:row>
      <xdr:rowOff>133350</xdr:rowOff>
    </xdr:to>
    <xdr:pic>
      <xdr:nvPicPr>
        <xdr:cNvPr id="2" name="Picture 1">
          <a:extLst>
            <a:ext uri="{FF2B5EF4-FFF2-40B4-BE49-F238E27FC236}">
              <a16:creationId xmlns:a16="http://schemas.microsoft.com/office/drawing/2014/main" id="{00000000-0008-0000-12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67225"/>
          <a:ext cx="333375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209550</xdr:colOff>
      <xdr:row>15</xdr:row>
      <xdr:rowOff>28575</xdr:rowOff>
    </xdr:from>
    <xdr:to>
      <xdr:col>14</xdr:col>
      <xdr:colOff>9525</xdr:colOff>
      <xdr:row>16</xdr:row>
      <xdr:rowOff>228600</xdr:rowOff>
    </xdr:to>
    <xdr:pic>
      <xdr:nvPicPr>
        <xdr:cNvPr id="3" name="Picture 2">
          <a:extLst>
            <a:ext uri="{FF2B5EF4-FFF2-40B4-BE49-F238E27FC236}">
              <a16:creationId xmlns:a16="http://schemas.microsoft.com/office/drawing/2014/main" id="{00000000-0008-0000-12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305675" y="3476625"/>
          <a:ext cx="31718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8</xdr:col>
      <xdr:colOff>1628775</xdr:colOff>
      <xdr:row>10</xdr:row>
      <xdr:rowOff>152400</xdr:rowOff>
    </xdr:from>
    <xdr:to>
      <xdr:col>11</xdr:col>
      <xdr:colOff>114300</xdr:colOff>
      <xdr:row>12</xdr:row>
      <xdr:rowOff>38100</xdr:rowOff>
    </xdr:to>
    <xdr:pic>
      <xdr:nvPicPr>
        <xdr:cNvPr id="2" name="Picture 1">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58075" y="2095500"/>
          <a:ext cx="171450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7586D2-C443-4720-8AD8-63A47A558306}" name="Table15" displayName="Table15" ref="K2:O3" totalsRowShown="0">
  <autoFilter ref="K2:O3" xr:uid="{017586D2-C443-4720-8AD8-63A47A558306}"/>
  <tableColumns count="5">
    <tableColumn id="1" xr3:uid="{1F134A85-D9A9-4CB5-AA51-DB4964259F6C}" name="Project"/>
    <tableColumn id="2" xr3:uid="{C18AE961-3643-4040-BCF8-D82A5BFD2377}" name="t=0"/>
    <tableColumn id="3" xr3:uid="{51233D2E-AFA2-48AF-AAB1-A146D99E0C3D}" name="t=1"/>
    <tableColumn id="4" xr3:uid="{0FAD3FE5-E5E7-450A-B07C-FCD3C6C50ED1}" name="t=2"/>
    <tableColumn id="5" xr3:uid="{74039F3B-0889-45EA-BA7B-56F02B59B787}" name="t=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4D8006B-F688-44FB-9FBB-5D8C702B4F17}" name="Table7" displayName="Table7" ref="H1:M5" totalsRowShown="0" headerRowDxfId="79">
  <autoFilter ref="H1:M5" xr:uid="{E4D8006B-F688-44FB-9FBB-5D8C702B4F17}"/>
  <tableColumns count="6">
    <tableColumn id="1" xr3:uid="{405655C0-B558-4D87-9A31-CB215E17068F}" name="Financial Component" dataDxfId="78"/>
    <tableColumn id="2" xr3:uid="{5439C8D0-3F6A-4F3E-BC35-8D901C6CB1DE}" name="Market Values ($B)"/>
    <tableColumn id="3" xr3:uid="{D8BC10BC-B985-4B28-A1AC-412FB02D2FD5}" name="Weights MV/Total"/>
    <tableColumn id="4" xr3:uid="{9C890B26-1E61-42A8-90C2-120C6B4317B4}" name="Cost of Capital"/>
    <tableColumn id="5" xr3:uid="{0EF26F63-4FDC-4FC6-9137-AE2127945AAB}" name="Weight Average"/>
    <tableColumn id="6" xr3:uid="{8275D9D6-960B-4E02-A025-6D17A348D8CA}" name="Value" dataDxfId="77"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9C76C47-FD3E-4569-97EF-680CEFEEB7F5}" name="Table11" displayName="Table11" ref="A21:F29" totalsRowShown="0">
  <autoFilter ref="A21:F29" xr:uid="{79C76C47-FD3E-4569-97EF-680CEFEEB7F5}"/>
  <tableColumns count="6">
    <tableColumn id="1" xr3:uid="{CA642890-5042-4518-BCA9-53F2BDF70902}" name="Year" dataDxfId="76"/>
    <tableColumn id="2" xr3:uid="{DF8B456A-F4D3-48C4-8220-75174340B95B}" name="1" dataDxfId="75"/>
    <tableColumn id="3" xr3:uid="{9B96AB61-22A6-4EE3-B500-9BF611109E95}" name="2" dataDxfId="74"/>
    <tableColumn id="4" xr3:uid="{55D55E6E-2867-4C6F-804A-82E4A716C77F}" name="3" dataDxfId="73"/>
    <tableColumn id="5" xr3:uid="{4777D55C-CCC5-4215-AB5D-A1D018B18982}" name="4" dataDxfId="72"/>
    <tableColumn id="6" xr3:uid="{978F8963-92CD-4A92-94E9-067F5C63EFE9}" name="5" dataDxfId="7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8D65E7AE-6A91-4F64-862C-AE1392DD8AF1}" name="Table25" displayName="Table25" ref="B2:D8" totalsRowShown="0" headerRowDxfId="70" dataDxfId="69" tableBorderDxfId="68">
  <autoFilter ref="B2:D8" xr:uid="{8D65E7AE-6A91-4F64-862C-AE1392DD8AF1}"/>
  <tableColumns count="3">
    <tableColumn id="1" xr3:uid="{40BBE9BF-C740-4CCC-8844-EB78ACAD8C23}" name=" " dataDxfId="67"/>
    <tableColumn id="2" xr3:uid="{EA5737EB-63D2-4D1B-83D4-A593BE484238}" name="Firm A" dataDxfId="66"/>
    <tableColumn id="3" xr3:uid="{A13C0A4F-AB9C-404A-831A-4408FA74A909}" name="Firm B" dataDxfId="6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0BC432A-36C6-4D7E-98DC-9D3766620B67}" name="Table131826" displayName="Table131826" ref="B32:C49" totalsRowShown="0" headerRowDxfId="64" tableBorderDxfId="63">
  <autoFilter ref="B32:C49" xr:uid="{90BC432A-36C6-4D7E-98DC-9D3766620B67}"/>
  <tableColumns count="2">
    <tableColumn id="1" xr3:uid="{3BE5B63A-1673-49ED-A6E8-30A9220622A6}" name="Balance Sheet" dataDxfId="62"/>
    <tableColumn id="2" xr3:uid="{A06F4211-96AB-44BF-8F9B-F5C79D3DFC55}" name="Company A" dataDxfId="61"/>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3605D39-7E1C-42BE-8393-CD86EE7C5BDF}" name="Table23" displayName="Table23" ref="B16:D39" totalsRowShown="0">
  <autoFilter ref="B16:D39" xr:uid="{83605D39-7E1C-42BE-8393-CD86EE7C5BDF}"/>
  <tableColumns count="3">
    <tableColumn id="1" xr3:uid="{B990436C-8E5E-4F5E-9718-E1AAF1B12CF5}" name="Profile Information"/>
    <tableColumn id="2" xr3:uid="{92004DE2-766C-441D-8A3E-7B1D32136837}" name="Facebook"/>
    <tableColumn id="3" xr3:uid="{B170CABD-E819-40E3-8421-F5F42A799BAC}" name="Netflix"/>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2B51E6-A6E7-4101-9FAF-285C41FF3E2B}" name="Table1" displayName="Table1" ref="B6:F9" totalsRowShown="0">
  <autoFilter ref="B6:F9" xr:uid="{532B51E6-A6E7-4101-9FAF-285C41FF3E2B}"/>
  <tableColumns count="5">
    <tableColumn id="1" xr3:uid="{CB2A7F6D-362B-461C-B5DE-4947AA4E9A85}" name="Project"/>
    <tableColumn id="2" xr3:uid="{20170170-5F68-4861-AC28-FB66ED3A0149}" name="t=0"/>
    <tableColumn id="3" xr3:uid="{47A2FC0E-3A99-43F8-AC37-6524609D8925}" name="t=1"/>
    <tableColumn id="4" xr3:uid="{1DA59994-1E3D-4760-BCE0-BBA94EAB527B}" name="t=2"/>
    <tableColumn id="5" xr3:uid="{84B819A3-6666-44A4-9B8D-12ED991D76CB}" name="t=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0DFD41-5D3C-48CD-9CC5-36455B26EB16}" name="Table2" displayName="Table2" ref="B14:E17" totalsRowShown="0">
  <autoFilter ref="B14:E17" xr:uid="{A30DFD41-5D3C-48CD-9CC5-36455B26EB16}"/>
  <tableColumns count="4">
    <tableColumn id="1" xr3:uid="{0F1364EB-0394-468A-AC4F-931FEB2B33A0}" name="Project"/>
    <tableColumn id="2" xr3:uid="{BFC79D36-FB6D-41F0-8104-DC3449DB69E8}" name="r=5%" dataDxfId="60" dataCellStyle="Currency">
      <calculatedColumnFormula>D7/1.05+E7/(1.05)^2+F7/(1.05)^3 + C7</calculatedColumnFormula>
    </tableColumn>
    <tableColumn id="3" xr3:uid="{A5E21158-E1BD-4844-B594-AEF103F2E501}" name="r=15%" dataDxfId="59" dataCellStyle="Currency">
      <calculatedColumnFormula>D7/1.15 +E7/(1.15)^2 +F7/(1.15)^3 +C7</calculatedColumnFormula>
    </tableColumn>
    <tableColumn id="4" xr3:uid="{B40D70C0-AC92-419C-9FA5-FB62F211D928}" name="r=25%" dataDxfId="58" dataCellStyle="Currency">
      <calculatedColumnFormula>D7/1.25 +E7/(1.25)^2 +F7/(1.25)^3 + C7</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2EFB02-0A26-43A9-9B04-51284D12F05A}" name="Table24" displayName="Table24" ref="H14:K17" totalsRowShown="0">
  <autoFilter ref="H14:K17" xr:uid="{0A2EFB02-0A26-43A9-9B04-51284D12F05A}"/>
  <tableColumns count="4">
    <tableColumn id="1" xr3:uid="{1E4920A2-F8CD-4E76-A50A-E8F70AA6F8F6}" name="Project"/>
    <tableColumn id="2" xr3:uid="{55670D7F-951C-431D-9DED-D21D7152FFA7}" name="r=5%" dataDxfId="57" dataCellStyle="Currency">
      <calculatedColumnFormula>NPV(0.05, D7:F7) +C7</calculatedColumnFormula>
    </tableColumn>
    <tableColumn id="3" xr3:uid="{A97E6696-77F2-4AD3-861D-9281AEC92461}" name="r=15%" dataDxfId="56" dataCellStyle="Currency">
      <calculatedColumnFormula>NPV(0.15,D7:F7) +C7</calculatedColumnFormula>
    </tableColumn>
    <tableColumn id="4" xr3:uid="{1DEFA446-81BA-4EEC-B2CD-A00745565979}" name="r=25%" dataDxfId="55" dataCellStyle="Currency">
      <calculatedColumnFormula>NPV(0.25,D7:F7) +C7</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5EE9C9-0505-4231-908B-A49E55AFB28D}" name="Table5" displayName="Table5" ref="A2:G11" totalsRowShown="0" headerRowDxfId="54" dataDxfId="53">
  <autoFilter ref="A2:G11" xr:uid="{FC5EE9C9-0505-4231-908B-A49E55AFB28D}"/>
  <tableColumns count="7">
    <tableColumn id="1" xr3:uid="{DD5E0A93-FCE0-4319-89CF-61D7F0164F68}" name="Quality" dataDxfId="52"/>
    <tableColumn id="2" xr3:uid="{D18ADCA9-4615-40D7-9748-44CCE6234F01}" name="Moody" dataDxfId="51"/>
    <tableColumn id="9" xr3:uid="{A89BEC2E-651F-4474-9BDE-EEA36146DFCD}" name="B" dataDxfId="50"/>
    <tableColumn id="6" xr3:uid="{595DA187-CCDE-4D78-978B-A273C306092E}" name="S&amp;P" dataDxfId="49"/>
    <tableColumn id="7" xr3:uid="{0CA94CD6-7EBB-4889-8EEA-52081429AE86}" name="Spread" dataDxfId="48"/>
    <tableColumn id="8" xr3:uid="{09B45B45-588F-4DC1-9334-44268B5D153F}" name="Basis/100" dataDxfId="47"/>
    <tableColumn id="3" xr3:uid="{532D8241-6A09-4102-8C30-00CDC2F32329}" name="Moody's Debt Rating Description" dataDxfId="4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C67982-4A79-4219-B6DB-AAFA4C31BB18}" name="Table6" displayName="Table6" ref="B23:E31" totalsRowShown="0" headerRowDxfId="45">
  <autoFilter ref="B23:E31" xr:uid="{79C67982-4A79-4219-B6DB-AAFA4C31BB18}"/>
  <tableColumns count="4">
    <tableColumn id="1" xr3:uid="{AD642D61-EAA5-462B-B22B-293665749B85}" name="Stock"/>
    <tableColumn id="2" xr3:uid="{D9983442-FCBA-4615-A312-53E4A0DC6ED7}" name="Beta"/>
    <tableColumn id="3" xr3:uid="{9CBC1937-7DF6-424B-88BE-5F908908BF97}" name="Cost of Equity " dataDxfId="44" dataCellStyle="Percent">
      <calculatedColumnFormula>1/100*(2.7 + 6.38*Table6[[#This Row],[Beta]])</calculatedColumnFormula>
    </tableColumn>
    <tableColumn id="4" xr3:uid="{A470A1E2-BAF1-4723-8347-69AAD1A10344}" name="Equation" dataDxfId="4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BDCB50-0707-4D56-BBAA-1E11DB2E6DF7}" name="Table8" displayName="Table8" ref="F2:H20" totalsRowShown="0">
  <autoFilter ref="F2:H20" xr:uid="{B9BDCB50-0707-4D56-BBAA-1E11DB2E6DF7}"/>
  <tableColumns count="3">
    <tableColumn id="1" xr3:uid="{92B8C8EA-81B5-46F2-A5AD-00A0A97A493D}" name="Level" dataDxfId="42"/>
    <tableColumn id="2" xr3:uid="{E79130A9-E116-4259-BB98-052B3C471A83}" name="Industry" dataDxfId="41"/>
    <tableColumn id="3" xr3:uid="{1D1C04A6-AC74-435D-81DE-F15460D71792}" name="Beta"/>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0F364F4-74D4-41CE-BC58-2A150BFB8E30}" name="Table9" displayName="Table9" ref="J33:L36" totalsRowShown="0" headerRowDxfId="40">
  <autoFilter ref="J33:L36" xr:uid="{D0F364F4-74D4-41CE-BC58-2A150BFB8E30}"/>
  <tableColumns count="3">
    <tableColumn id="1" xr3:uid="{B869538B-DE81-422D-95FC-EBA565A5824F}" name="Investment Return" dataDxfId="39"/>
    <tableColumn id="2" xr3:uid="{8727DB06-243E-43AF-9FDB-D1E5B03DB918}" name="Average Deviation (%)"/>
    <tableColumn id="3" xr3:uid="{FDEF83DC-FA09-49BD-BFD4-FF6F7C999AD9}" name="Standard (%)"/>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E2ECB2B-9DB1-45A2-BBC0-40EAA3ADE865}" name="Table10" displayName="Table10" ref="A1:F21" totalsRowShown="0" headerRowDxfId="38" dataDxfId="37">
  <tableColumns count="6">
    <tableColumn id="1" xr3:uid="{60ED1A91-7CCB-4F9C-AFBF-731A7D1019AB}" name=" " dataDxfId="36"/>
    <tableColumn id="2" xr3:uid="{93383C0F-5FD0-49F0-AAA8-4B780793B802}" name="Private Health" dataDxfId="35"/>
    <tableColumn id="3" xr3:uid="{4EEEFB60-82CA-4A6D-9A5E-CEBD6D6D0A0B}" name="Happy Healthcare" dataDxfId="34"/>
    <tableColumn id="4" xr3:uid="{AC16B5D5-F6ED-411F-86CD-6FFFEAE65059}" name="Community Health" dataDxfId="33"/>
    <tableColumn id="5" xr3:uid="{403078FA-D553-4C00-A55A-DD78BB5D5931}" name="Average" dataDxfId="32">
      <calculatedColumnFormula>AVERAGE(Table10[[#This Row],[Happy Healthcare]:[Community Health]])</calculatedColumnFormula>
    </tableColumn>
    <tableColumn id="6" xr3:uid="{13CF1243-E486-46EA-8407-E81E8D01E701}" name="Private Health Estimates ($M)" dataDxfId="31"/>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E3771C6-1DF0-4B45-AEDE-D199C62BF6AD}" name="Table14" displayName="Table14" ref="A5:D12" totalsRowShown="0" dataDxfId="30">
  <autoFilter ref="A5:D12" xr:uid="{0E3771C6-1DF0-4B45-AEDE-D199C62BF6AD}"/>
  <tableColumns count="4">
    <tableColumn id="1" xr3:uid="{CBF11583-7FAB-440D-AB37-59CB8122F52B}" name="Time" dataDxfId="29"/>
    <tableColumn id="2" xr3:uid="{6DFD0E73-6FC8-4277-BC07-EB1E9771C0FF}" name="Arras Assets ($M)" dataDxfId="28">
      <calculatedColumnFormula>B5*(1+C6)</calculatedColumnFormula>
    </tableColumn>
    <tableColumn id="3" xr3:uid="{85C2C3AA-2F13-4A33-91C0-4D43D08D8DB2}" name="Growth" dataDxfId="27" dataCellStyle="Percent"/>
    <tableColumn id="4" xr3:uid="{11380883-36A8-40B8-AB10-AFDDDA8ACC12}" name="CFi/(1+r)^t" dataDxfId="26">
      <calculatedColumnFormula>Table14[[#This Row],[Arras Assets ($M)]]/(1+C$2)^Table14[[#This Row],[Time]]</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DBD71E3-5DC1-44FF-AA46-278227B6F684}" name="Table1117" displayName="Table1117" ref="H5:N13" totalsRowShown="0">
  <autoFilter ref="H5:N13" xr:uid="{CDBD71E3-5DC1-44FF-AA46-278227B6F684}"/>
  <tableColumns count="7">
    <tableColumn id="1" xr3:uid="{1C6361DD-7FFB-4B5E-813F-1E86FBBAC8FC}" name="Joe’s Party Supply_x000a_Year" dataDxfId="25"/>
    <tableColumn id="7" xr3:uid="{834EFA1A-4D56-4600-AE4C-4748A199DEA7}" name="%" dataCellStyle="Percent"/>
    <tableColumn id="2" xr3:uid="{EC9A3B0B-2EC1-4833-B746-46FA1FF261A5}" name="1" dataDxfId="24"/>
    <tableColumn id="3" xr3:uid="{F9CC2015-E8A6-4FA9-9AF0-3AC2767CE48C}" name="2" dataDxfId="23"/>
    <tableColumn id="4" xr3:uid="{2322F917-0E13-4FFF-B83A-8ACEC2834ECA}" name="3" dataDxfId="22"/>
    <tableColumn id="5" xr3:uid="{61F36A1C-0232-4621-B6C3-7918676122FD}" name="4" dataDxfId="21"/>
    <tableColumn id="6" xr3:uid="{46E6530B-5252-457E-8A4A-127D8BEC8ED5}" name="5" dataDxfId="20"/>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F3888F0-3AFE-485C-9603-96A861B3D633}" name="Table12" displayName="Table12" ref="A2:C10" totalsRowShown="0" headerRowDxfId="19">
  <autoFilter ref="A2:C10" xr:uid="{7F3888F0-3AFE-485C-9603-96A861B3D633}"/>
  <tableColumns count="3">
    <tableColumn id="1" xr3:uid="{BED51866-D1D0-40AB-80DC-76B816D9FF73}" name="Income Statements"/>
    <tableColumn id="2" xr3:uid="{DED55640-E917-423D-89E3-B3D891C45F8E}" name="Company A"/>
    <tableColumn id="3" xr3:uid="{43585F79-934D-4434-805F-200195A6FD37}" name="Company B"/>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FAA2B83-854E-4A29-9632-892C7D99C39C}" name="Table13" displayName="Table13" ref="F2:H10" totalsRowShown="0" headerRowDxfId="18" tableBorderDxfId="17">
  <autoFilter ref="F2:H10" xr:uid="{FFAA2B83-854E-4A29-9632-892C7D99C39C}"/>
  <tableColumns count="3">
    <tableColumn id="1" xr3:uid="{D1E7CFEE-9324-47AA-9DDA-A3B68A65FCA6}" name="Balance Sheet" dataDxfId="16"/>
    <tableColumn id="2" xr3:uid="{9596100F-3094-4704-96AE-733181DEF1C1}" name="Company A" dataDxfId="15"/>
    <tableColumn id="3" xr3:uid="{F61A8D05-3846-44B4-86B1-18084C8168B5}" name="Company B" dataDxfId="14"/>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8B10500-05C9-4AEE-8091-01F89B8E4B60}" name="Table1318" displayName="Table1318" ref="A4:C21" totalsRowShown="0" headerRowDxfId="13" tableBorderDxfId="12">
  <autoFilter ref="A4:C21" xr:uid="{E8B10500-05C9-4AEE-8091-01F89B8E4B60}"/>
  <tableColumns count="3">
    <tableColumn id="1" xr3:uid="{6C7EB76D-5C2E-4E19-A5D7-081EA3FBD883}" name="Balance Sheet" dataDxfId="11"/>
    <tableColumn id="2" xr3:uid="{B64F7EB8-4B1E-48B7-BF9B-7E9646639B66}" name="Company A" dataDxfId="10"/>
    <tableColumn id="3" xr3:uid="{04A6DD24-604F-462B-9D9C-88C6FF2DB379}" name="Company B" dataDxfId="9"/>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5A7C514-3E23-49FC-BB99-0D545D04634F}" name="Table16" displayName="Table16" ref="A2:F14" totalsRowShown="0">
  <autoFilter ref="A2:F14" xr:uid="{35A7C514-3E23-49FC-BB99-0D545D04634F}"/>
  <tableColumns count="6">
    <tableColumn id="1" xr3:uid="{B9B7BB8A-9715-447B-B597-DAB24916E3CB}" name="Standard NPV Analysis"/>
    <tableColumn id="2" xr3:uid="{AB254505-DE10-4AE8-9C1E-35CAA8E4B614}" name="0"/>
    <tableColumn id="3" xr3:uid="{5B4F3181-5665-4BE5-8A74-58FD871CD222}" name="1"/>
    <tableColumn id="4" xr3:uid="{B2282127-6747-45AF-9BC7-6EA78C7CCA6A}" name="2"/>
    <tableColumn id="5" xr3:uid="{6145DF29-951B-440A-8D59-ACDC33D444CC}" name="3"/>
    <tableColumn id="6" xr3:uid="{D479AA12-758C-4A61-B591-83E999C05ECA}" name="4"/>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F1DEEA-DEBE-4668-92BD-1B531076FA28}" name="Table18" displayName="Table18" ref="B2:E4" totalsRowShown="0">
  <autoFilter ref="B2:E4" xr:uid="{D1F1DEEA-DEBE-4668-92BD-1B531076FA28}"/>
  <tableColumns count="4">
    <tableColumn id="1" xr3:uid="{403A4E33-CAA2-4EC6-8B69-2C62B63EEEE0}" name=" "/>
    <tableColumn id="2" xr3:uid="{14ADF61C-6DE2-46D6-A5BF-F54F05BAFB44}" name="FY2020-FY2024"/>
    <tableColumn id="3" xr3:uid="{0D342981-ABCA-49CB-9DB2-E2BF6003BA81}" name="FY2025-FY2027" dataDxfId="8"/>
    <tableColumn id="4" xr3:uid="{07A628BC-3F35-4D64-AC16-4F2FB45766AC}" name="FY2028 to perpetuity" dataDxfId="7"/>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D1B48-DC08-4E15-B5B9-9C1A620B7D98}" name="Table19" displayName="Table19" ref="B8:D10" totalsRowShown="0">
  <autoFilter ref="B8:D10" xr:uid="{11BD1B48-DC08-4E15-B5B9-9C1A620B7D98}"/>
  <tableColumns count="3">
    <tableColumn id="1" xr3:uid="{B902B844-4D1B-406C-AE6A-8CC64E5812CF}" name=" "/>
    <tableColumn id="2" xr3:uid="{1310372A-8683-4C3C-A72A-A6EEC8066ACC}" name="UltraFit"/>
    <tableColumn id="3" xr3:uid="{964E5738-A34A-4C36-9F66-2AF9F743BC96}" name="United We Are Strong"/>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DBFCED4-046D-4051-8487-AD26686661F0}" name="Table20" displayName="Table20" ref="B13:I17" totalsRowShown="0">
  <autoFilter ref="B13:I17" xr:uid="{0DBFCED4-046D-4051-8487-AD26686661F0}"/>
  <tableColumns count="8">
    <tableColumn id="1" xr3:uid="{F89557A6-347A-4A9C-AA97-BEC09091FC7D}" name=" "/>
    <tableColumn id="2" xr3:uid="{2E950406-8B3D-4286-9E76-92B533C5D37F}" name="2020" dataDxfId="6"/>
    <tableColumn id="3" xr3:uid="{178AABF0-D5F8-493B-B6C6-3F0D46F71BC9}" name="2021" dataDxfId="5"/>
    <tableColumn id="4" xr3:uid="{80F5CAED-BECD-4863-9929-55759947887E}" name="2022" dataDxfId="4"/>
    <tableColumn id="5" xr3:uid="{BC26CBF6-7128-4FA5-9D90-FDF61FB291DC}" name="2023" dataDxfId="3"/>
    <tableColumn id="6" xr3:uid="{2C80CEEF-038A-4F82-A7F6-26621B05AD6D}" name="2024" dataDxfId="2"/>
    <tableColumn id="7" xr3:uid="{9493D5C7-5034-4F19-81C4-6462454879FF}" name="2025" dataDxfId="1"/>
    <tableColumn id="8" xr3:uid="{7FA7F03F-2C06-47BA-9FFF-172EA6C9F597}" name="2026" dataDxfId="0"/>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396EB33-CDF6-4976-ACAD-2FC6DFEE002B}" name="Table21" displayName="Table21" ref="B20:D23" totalsRowShown="0">
  <autoFilter ref="B20:D23" xr:uid="{C396EB33-CDF6-4976-ACAD-2FC6DFEE002B}"/>
  <tableColumns count="3">
    <tableColumn id="1" xr3:uid="{3385AADA-25CA-4A31-A8C7-947724C5596D}" name=" "/>
    <tableColumn id="2" xr3:uid="{CC207CE3-71BD-45C2-9FBE-EC3ED9FDD8B6}" name="Firm Y"/>
    <tableColumn id="3" xr3:uid="{B8922A04-ACBF-44F2-982C-EF6EED9E04BD}" name="Firm Z"/>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D076A54-45E3-4CCB-8097-F11B633C457A}" name="Table22" displayName="Table22" ref="B3:C17" totalsRowShown="0">
  <autoFilter ref="B3:C17" xr:uid="{AD076A54-45E3-4CCB-8097-F11B633C457A}"/>
  <tableColumns count="2">
    <tableColumn id="1" xr3:uid="{BAEB06C6-5471-4436-85F1-8BE82A9AE53E}" name="Column1"/>
    <tableColumn id="2" xr3:uid="{1A7AF49E-123E-43B0-A124-B1E7E62A7170}" name="Column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image" Target="../media/image2.emf"/></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2.emf"/><Relationship Id="rId4" Type="http://schemas.openxmlformats.org/officeDocument/2006/relationships/control" Target="../activeX/activeX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rinterSettings" Target="../printerSettings/printerSettings13.bin"/><Relationship Id="rId4" Type="http://schemas.openxmlformats.org/officeDocument/2006/relationships/table" Target="../tables/table16.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5.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drawing" Target="../drawings/drawing5.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 Id="rId4"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D82EF-D02D-4AEA-B949-6EB6FD1C7C83}">
  <dimension ref="A1:O16"/>
  <sheetViews>
    <sheetView workbookViewId="0">
      <selection activeCell="D10" sqref="D10"/>
    </sheetView>
  </sheetViews>
  <sheetFormatPr defaultRowHeight="15" x14ac:dyDescent="0.25"/>
  <cols>
    <col min="1" max="1" width="13.5703125" bestFit="1" customWidth="1"/>
    <col min="2" max="2" width="9" bestFit="1" customWidth="1"/>
    <col min="3" max="3" width="30.85546875" bestFit="1" customWidth="1"/>
    <col min="4" max="4" width="11.85546875" bestFit="1" customWidth="1"/>
    <col min="5" max="5" width="10.28515625" bestFit="1" customWidth="1"/>
    <col min="7" max="7" width="14.42578125" bestFit="1" customWidth="1"/>
    <col min="9" max="9" width="15" style="1" bestFit="1" customWidth="1"/>
  </cols>
  <sheetData>
    <row r="1" spans="1:15" x14ac:dyDescent="0.25">
      <c r="A1" t="s">
        <v>0</v>
      </c>
      <c r="B1" s="2">
        <v>16000</v>
      </c>
      <c r="F1" t="s">
        <v>21</v>
      </c>
      <c r="G1" s="2">
        <v>-850000</v>
      </c>
      <c r="I1" s="2">
        <v>-1650000</v>
      </c>
      <c r="K1" t="s">
        <v>32</v>
      </c>
    </row>
    <row r="2" spans="1:15" x14ac:dyDescent="0.25">
      <c r="A2" t="s">
        <v>1</v>
      </c>
      <c r="B2" s="3">
        <v>10</v>
      </c>
      <c r="F2" t="s">
        <v>22</v>
      </c>
      <c r="G2" s="2">
        <v>320000</v>
      </c>
      <c r="I2" s="2">
        <v>810000</v>
      </c>
      <c r="K2" t="s">
        <v>33</v>
      </c>
      <c r="L2" t="s">
        <v>34</v>
      </c>
      <c r="M2" t="s">
        <v>35</v>
      </c>
      <c r="N2" t="s">
        <v>36</v>
      </c>
      <c r="O2" t="s">
        <v>37</v>
      </c>
    </row>
    <row r="3" spans="1:15" x14ac:dyDescent="0.25">
      <c r="A3" t="s">
        <v>2</v>
      </c>
      <c r="B3" s="2">
        <v>20000</v>
      </c>
      <c r="F3" t="s">
        <v>23</v>
      </c>
      <c r="G3" s="2">
        <v>470000</v>
      </c>
      <c r="I3" s="2">
        <v>750000</v>
      </c>
      <c r="K3" t="s">
        <v>38</v>
      </c>
      <c r="L3">
        <v>-100</v>
      </c>
      <c r="M3">
        <v>125</v>
      </c>
      <c r="N3">
        <v>0</v>
      </c>
      <c r="O3">
        <v>0</v>
      </c>
    </row>
    <row r="4" spans="1:15" x14ac:dyDescent="0.25">
      <c r="A4" t="s">
        <v>4</v>
      </c>
      <c r="B4" s="4">
        <v>0.06</v>
      </c>
      <c r="F4" t="s">
        <v>24</v>
      </c>
      <c r="G4" s="2">
        <v>410000</v>
      </c>
      <c r="I4" s="2">
        <v>690000</v>
      </c>
    </row>
    <row r="5" spans="1:15" x14ac:dyDescent="0.25">
      <c r="A5" t="s">
        <v>8</v>
      </c>
      <c r="B5" s="5">
        <v>10</v>
      </c>
      <c r="C5" t="s">
        <v>10</v>
      </c>
    </row>
    <row r="6" spans="1:15" x14ac:dyDescent="0.25">
      <c r="G6" t="s">
        <v>26</v>
      </c>
    </row>
    <row r="8" spans="1:15" x14ac:dyDescent="0.25">
      <c r="A8" s="8" t="s">
        <v>3</v>
      </c>
      <c r="B8" t="s">
        <v>2</v>
      </c>
      <c r="C8" t="s">
        <v>9</v>
      </c>
      <c r="D8" s="6">
        <f>FV(B4,B5,,-B1)</f>
        <v>28653.563144685675</v>
      </c>
    </row>
    <row r="9" spans="1:15" x14ac:dyDescent="0.25">
      <c r="A9" s="8" t="s">
        <v>5</v>
      </c>
      <c r="B9" t="s">
        <v>0</v>
      </c>
      <c r="C9" t="s">
        <v>11</v>
      </c>
      <c r="D9" s="6">
        <f>PV(B4,B5,,-B3)</f>
        <v>11167.895538302357</v>
      </c>
    </row>
    <row r="10" spans="1:15" x14ac:dyDescent="0.25">
      <c r="A10" s="8" t="s">
        <v>6</v>
      </c>
      <c r="B10" t="s">
        <v>7</v>
      </c>
      <c r="C10" t="s">
        <v>12</v>
      </c>
      <c r="D10" s="7">
        <f>RATE(B5,,B1,-B3)</f>
        <v>2.2565182563572983E-2</v>
      </c>
    </row>
    <row r="11" spans="1:15" ht="30" x14ac:dyDescent="0.25">
      <c r="A11" s="8" t="s">
        <v>13</v>
      </c>
      <c r="B11" t="s">
        <v>14</v>
      </c>
      <c r="C11" t="s">
        <v>15</v>
      </c>
      <c r="D11" s="9">
        <f>NPER(B4,,B1,-B3)</f>
        <v>3.8295474979458763</v>
      </c>
    </row>
    <row r="12" spans="1:15" ht="30" x14ac:dyDescent="0.25">
      <c r="A12" s="8" t="s">
        <v>16</v>
      </c>
      <c r="B12" t="s">
        <v>17</v>
      </c>
      <c r="C12" t="s">
        <v>18</v>
      </c>
      <c r="D12" s="6">
        <f>PMT(B4,B5,-B1)</f>
        <v>2173.8873315261412</v>
      </c>
    </row>
    <row r="13" spans="1:15" ht="30" x14ac:dyDescent="0.25">
      <c r="A13" s="8" t="s">
        <v>27</v>
      </c>
      <c r="B13" t="s">
        <v>19</v>
      </c>
      <c r="C13" t="s">
        <v>20</v>
      </c>
      <c r="D13" s="7">
        <f>IRR(G1:G4)</f>
        <v>0.18580540591743211</v>
      </c>
      <c r="E13" t="s">
        <v>25</v>
      </c>
      <c r="F13" t="s">
        <v>29</v>
      </c>
    </row>
    <row r="14" spans="1:15" ht="30" x14ac:dyDescent="0.25">
      <c r="A14" s="8" t="s">
        <v>28</v>
      </c>
      <c r="B14" t="s">
        <v>19</v>
      </c>
      <c r="C14" t="s">
        <v>20</v>
      </c>
      <c r="D14" s="7">
        <f>IRR(I1:I4)</f>
        <v>0.17806712142929859</v>
      </c>
    </row>
    <row r="15" spans="1:15" ht="30" x14ac:dyDescent="0.25">
      <c r="A15" s="8" t="s">
        <v>30</v>
      </c>
      <c r="B15" t="s">
        <v>47</v>
      </c>
      <c r="C15" t="s">
        <v>50</v>
      </c>
      <c r="D15" s="6">
        <f>NPV(0.05, M3:O3) +L3</f>
        <v>19.047619047619037</v>
      </c>
    </row>
    <row r="16" spans="1:15" ht="30" x14ac:dyDescent="0.25">
      <c r="A16" s="8" t="s">
        <v>51</v>
      </c>
      <c r="C16" t="s">
        <v>52</v>
      </c>
      <c r="D16" s="9" cm="1">
        <f t="array" ref="D16">(D15-Table15[t=0])/-Table15[t=0]</f>
        <v>1.1904761904761905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4F3E1-0CE2-49D2-9D38-C177A2B03AC1}">
  <dimension ref="A1:M29"/>
  <sheetViews>
    <sheetView workbookViewId="0">
      <selection activeCell="B13" sqref="B13"/>
    </sheetView>
  </sheetViews>
  <sheetFormatPr defaultRowHeight="15" x14ac:dyDescent="0.25"/>
  <cols>
    <col min="1" max="1" width="27" style="8" customWidth="1"/>
    <col min="2" max="2" width="12.28515625" bestFit="1" customWidth="1"/>
    <col min="3" max="3" width="14.28515625" bestFit="1" customWidth="1"/>
    <col min="4" max="4" width="11.85546875" bestFit="1" customWidth="1"/>
    <col min="5" max="5" width="11.140625" bestFit="1" customWidth="1"/>
    <col min="7" max="7" width="9.140625" style="82"/>
    <col min="8" max="8" width="22.85546875" customWidth="1"/>
  </cols>
  <sheetData>
    <row r="1" spans="1:13" ht="45.75" thickBot="1" x14ac:dyDescent="0.3">
      <c r="A1" s="67" t="s">
        <v>147</v>
      </c>
      <c r="B1" s="67" t="s">
        <v>148</v>
      </c>
      <c r="C1" s="67" t="s">
        <v>149</v>
      </c>
      <c r="H1" s="8" t="s">
        <v>173</v>
      </c>
      <c r="I1" s="8" t="s">
        <v>264</v>
      </c>
      <c r="J1" s="8" t="s">
        <v>266</v>
      </c>
      <c r="K1" s="8" t="s">
        <v>174</v>
      </c>
      <c r="L1" s="8" t="s">
        <v>175</v>
      </c>
      <c r="M1" s="83" t="s">
        <v>180</v>
      </c>
    </row>
    <row r="2" spans="1:13" ht="15.75" thickBot="1" x14ac:dyDescent="0.3">
      <c r="A2" s="68">
        <v>0</v>
      </c>
      <c r="B2" s="69">
        <v>-850000</v>
      </c>
      <c r="C2" s="69">
        <v>-1650000</v>
      </c>
      <c r="H2" s="8" t="s">
        <v>267</v>
      </c>
      <c r="I2" s="8"/>
      <c r="J2" s="8"/>
      <c r="K2" s="121">
        <v>0.2</v>
      </c>
      <c r="L2" s="8"/>
      <c r="M2" s="83"/>
    </row>
    <row r="3" spans="1:13" ht="15.75" thickBot="1" x14ac:dyDescent="0.3">
      <c r="A3" s="68">
        <v>1</v>
      </c>
      <c r="B3" s="69">
        <v>320000</v>
      </c>
      <c r="C3" s="69">
        <v>810000</v>
      </c>
      <c r="H3" s="8" t="s">
        <v>268</v>
      </c>
      <c r="I3" s="8"/>
      <c r="J3" s="8"/>
      <c r="K3" s="121">
        <v>0.05</v>
      </c>
      <c r="L3" s="8"/>
      <c r="M3" s="83"/>
    </row>
    <row r="4" spans="1:13" ht="30.75" thickBot="1" x14ac:dyDescent="0.3">
      <c r="A4" s="68">
        <v>2</v>
      </c>
      <c r="B4" s="69">
        <v>470000</v>
      </c>
      <c r="C4" s="69">
        <v>750000</v>
      </c>
      <c r="H4" s="8" t="s">
        <v>269</v>
      </c>
      <c r="I4" s="3">
        <v>4</v>
      </c>
      <c r="J4" s="117">
        <f>Table7[[#This Row],[Market Values ($B)]]/I7</f>
        <v>0.66666666666666663</v>
      </c>
      <c r="K4" s="116">
        <f>K3*(1-K2)</f>
        <v>4.0000000000000008E-2</v>
      </c>
      <c r="L4" t="s">
        <v>176</v>
      </c>
      <c r="M4" s="119">
        <f>Table7[[#This Row],[Cost of Capital]]*Table7[[#This Row],[Weights MV/Total]]</f>
        <v>2.6666666666666672E-2</v>
      </c>
    </row>
    <row r="5" spans="1:13" ht="15.75" thickBot="1" x14ac:dyDescent="0.3">
      <c r="A5" s="68">
        <v>3</v>
      </c>
      <c r="B5" s="69">
        <v>410000</v>
      </c>
      <c r="C5" s="69">
        <v>690000</v>
      </c>
      <c r="H5" s="8" t="s">
        <v>177</v>
      </c>
      <c r="I5" s="3">
        <v>2</v>
      </c>
      <c r="J5" s="117">
        <f>Table7[[#This Row],[Market Values ($B)]]/I7</f>
        <v>0.33333333333333331</v>
      </c>
      <c r="K5" s="122">
        <v>0.1</v>
      </c>
      <c r="L5" t="s">
        <v>178</v>
      </c>
      <c r="M5" s="119">
        <f>Table7[[#This Row],[Cost of Capital]]*Table7[[#This Row],[Weights MV/Total]]</f>
        <v>3.3333333333333333E-2</v>
      </c>
    </row>
    <row r="6" spans="1:13" x14ac:dyDescent="0.25">
      <c r="A6" s="8" t="s">
        <v>47</v>
      </c>
      <c r="B6" s="70">
        <f>NPV(0.14,B3:B5) +B2</f>
        <v>69089.814409831655</v>
      </c>
      <c r="C6" s="70">
        <f>NPV(0.14,C3:C5) + C2</f>
        <v>103357.30832158844</v>
      </c>
      <c r="H6" s="8"/>
      <c r="M6" s="82"/>
    </row>
    <row r="7" spans="1:13" x14ac:dyDescent="0.25">
      <c r="A7" s="8" t="s">
        <v>19</v>
      </c>
      <c r="B7" s="71">
        <f>IRR(B2:B5)</f>
        <v>0.18580540591743211</v>
      </c>
      <c r="C7" s="71">
        <f>IRR(C2:C5)</f>
        <v>0.17806712142929859</v>
      </c>
      <c r="H7" s="113" t="s">
        <v>265</v>
      </c>
      <c r="I7" s="118">
        <v>6</v>
      </c>
      <c r="J7" s="81"/>
      <c r="K7" s="81"/>
      <c r="L7" s="81" t="s">
        <v>179</v>
      </c>
      <c r="M7" s="120">
        <f>SUM(Table7[Value])</f>
        <v>6.0000000000000005E-2</v>
      </c>
    </row>
    <row r="9" spans="1:13" x14ac:dyDescent="0.25">
      <c r="A9" s="8" t="s">
        <v>150</v>
      </c>
      <c r="B9" s="72">
        <f>2-(B2+SUM(B3:B4))/B5</f>
        <v>2.1463414634146343</v>
      </c>
    </row>
    <row r="10" spans="1:13" ht="30" x14ac:dyDescent="0.25">
      <c r="A10" s="8" t="s">
        <v>172</v>
      </c>
    </row>
    <row r="12" spans="1:13" s="8" customFormat="1" x14ac:dyDescent="0.25"/>
    <row r="13" spans="1:13" s="8" customFormat="1" x14ac:dyDescent="0.25"/>
    <row r="14" spans="1:13" s="8" customFormat="1" x14ac:dyDescent="0.25"/>
    <row r="21" spans="1:6" x14ac:dyDescent="0.25">
      <c r="A21" s="8" t="s">
        <v>147</v>
      </c>
      <c r="B21" t="s">
        <v>185</v>
      </c>
      <c r="C21" t="s">
        <v>186</v>
      </c>
      <c r="D21" t="s">
        <v>187</v>
      </c>
      <c r="E21" t="s">
        <v>188</v>
      </c>
      <c r="F21" t="s">
        <v>189</v>
      </c>
    </row>
    <row r="22" spans="1:6" ht="30" x14ac:dyDescent="0.25">
      <c r="A22" s="84" t="s">
        <v>192</v>
      </c>
      <c r="B22" s="133">
        <v>150</v>
      </c>
      <c r="C22" s="131">
        <f>Table11[[#This Row],[1]]*1.1</f>
        <v>165</v>
      </c>
      <c r="D22" s="131">
        <f>Table11[[#This Row],[2]]*1.1</f>
        <v>181.50000000000003</v>
      </c>
      <c r="E22" s="131">
        <f>Table11[[#This Row],[3]]*1.1</f>
        <v>199.65000000000003</v>
      </c>
      <c r="F22" s="132">
        <f>Table11[[#This Row],[4]]*1.1</f>
        <v>219.61500000000007</v>
      </c>
    </row>
    <row r="23" spans="1:6" x14ac:dyDescent="0.25">
      <c r="A23" s="85" t="s">
        <v>181</v>
      </c>
      <c r="B23" s="134">
        <f>0.2*B22</f>
        <v>30</v>
      </c>
      <c r="C23" s="134">
        <f t="shared" ref="C23:F23" si="0">0.2*C22</f>
        <v>33</v>
      </c>
      <c r="D23" s="134">
        <f t="shared" si="0"/>
        <v>36.300000000000004</v>
      </c>
      <c r="E23" s="134">
        <f t="shared" si="0"/>
        <v>39.930000000000007</v>
      </c>
      <c r="F23" s="135">
        <f t="shared" si="0"/>
        <v>43.923000000000016</v>
      </c>
    </row>
    <row r="24" spans="1:6" x14ac:dyDescent="0.25">
      <c r="A24" s="114" t="s">
        <v>182</v>
      </c>
      <c r="B24" s="86">
        <f>B22-B23</f>
        <v>120</v>
      </c>
      <c r="C24" s="86">
        <f t="shared" ref="C24:F24" si="1">C22-C23</f>
        <v>132</v>
      </c>
      <c r="D24" s="86">
        <f t="shared" si="1"/>
        <v>145.20000000000002</v>
      </c>
      <c r="E24" s="86">
        <f t="shared" si="1"/>
        <v>159.72000000000003</v>
      </c>
      <c r="F24" s="87">
        <f t="shared" si="1"/>
        <v>175.69200000000006</v>
      </c>
    </row>
    <row r="25" spans="1:6" x14ac:dyDescent="0.25">
      <c r="A25" s="125" t="s">
        <v>190</v>
      </c>
      <c r="B25" s="126">
        <f>B22*0.08</f>
        <v>12</v>
      </c>
      <c r="C25" s="126">
        <f t="shared" ref="C25:F25" si="2">C22*0.08</f>
        <v>13.200000000000001</v>
      </c>
      <c r="D25" s="126">
        <f t="shared" si="2"/>
        <v>14.520000000000003</v>
      </c>
      <c r="E25" s="126">
        <f t="shared" si="2"/>
        <v>15.972000000000003</v>
      </c>
      <c r="F25" s="127">
        <f t="shared" si="2"/>
        <v>17.569200000000006</v>
      </c>
    </row>
    <row r="26" spans="1:6" x14ac:dyDescent="0.25">
      <c r="A26" s="128" t="s">
        <v>191</v>
      </c>
      <c r="B26" s="129">
        <f>0.24*B22</f>
        <v>36</v>
      </c>
      <c r="C26" s="129">
        <f t="shared" ref="C26:F26" si="3">0.24*C22</f>
        <v>39.6</v>
      </c>
      <c r="D26" s="129">
        <f t="shared" si="3"/>
        <v>43.56</v>
      </c>
      <c r="E26" s="129">
        <f t="shared" si="3"/>
        <v>47.916000000000004</v>
      </c>
      <c r="F26" s="130">
        <f t="shared" si="3"/>
        <v>52.707600000000014</v>
      </c>
    </row>
    <row r="27" spans="1:6" x14ac:dyDescent="0.25">
      <c r="A27" s="128" t="s">
        <v>183</v>
      </c>
      <c r="B27" s="129">
        <f>0.24*B22</f>
        <v>36</v>
      </c>
      <c r="C27" s="129">
        <f t="shared" ref="C27:F27" si="4">0.24*C22</f>
        <v>39.6</v>
      </c>
      <c r="D27" s="129">
        <f t="shared" si="4"/>
        <v>43.56</v>
      </c>
      <c r="E27" s="129">
        <f t="shared" si="4"/>
        <v>47.916000000000004</v>
      </c>
      <c r="F27" s="130">
        <f t="shared" si="4"/>
        <v>52.707600000000014</v>
      </c>
    </row>
    <row r="28" spans="1:6" x14ac:dyDescent="0.25">
      <c r="A28" s="115" t="s">
        <v>184</v>
      </c>
      <c r="B28" s="123">
        <f>B24+B25-B26-B27</f>
        <v>60</v>
      </c>
      <c r="C28" s="123">
        <f t="shared" ref="C28:F28" si="5">C24+C25-C26-C27</f>
        <v>66</v>
      </c>
      <c r="D28" s="123">
        <f t="shared" si="5"/>
        <v>72.600000000000023</v>
      </c>
      <c r="E28" s="123">
        <f t="shared" si="5"/>
        <v>79.860000000000042</v>
      </c>
      <c r="F28" s="124">
        <f t="shared" si="5"/>
        <v>87.846000000000032</v>
      </c>
    </row>
    <row r="29" spans="1:6" x14ac:dyDescent="0.25">
      <c r="A29" s="136" t="s">
        <v>47</v>
      </c>
      <c r="B29" s="137">
        <f>B28/(1.06)</f>
        <v>56.60377358490566</v>
      </c>
      <c r="C29" s="137">
        <f>C28/(1.06)^Table11[[#Headers],[2]]</f>
        <v>58.73976504093983</v>
      </c>
      <c r="D29" s="137">
        <f>D28/(1.06)^Table11[[#Headers],[3]]</f>
        <v>60.956359948145113</v>
      </c>
      <c r="E29" s="137">
        <f>E28/(1.06)^Table11[[#Headers],[4]]</f>
        <v>63.256599946188345</v>
      </c>
      <c r="F29" s="137">
        <f>F28/(1.06)^Table11[[#Headers],[5]]</f>
        <v>65.643641453591655</v>
      </c>
    </row>
  </sheetData>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71AB3-E20A-40E2-92B6-F9463D00B1EE}">
  <dimension ref="A1:A3"/>
  <sheetViews>
    <sheetView workbookViewId="0">
      <selection activeCell="A3" sqref="A3"/>
    </sheetView>
  </sheetViews>
  <sheetFormatPr defaultRowHeight="15" x14ac:dyDescent="0.25"/>
  <cols>
    <col min="1" max="1" width="16" bestFit="1" customWidth="1"/>
  </cols>
  <sheetData>
    <row r="1" spans="1:1" x14ac:dyDescent="0.25">
      <c r="A1" t="s">
        <v>221</v>
      </c>
    </row>
    <row r="3" spans="1:1" ht="18.75" x14ac:dyDescent="0.35">
      <c r="A3" s="97" t="s">
        <v>222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C8049-0D95-4504-831B-7585210EB91F}">
  <dimension ref="A1:G59"/>
  <sheetViews>
    <sheetView topLeftCell="A17" workbookViewId="0">
      <selection activeCell="E44" sqref="E44:E59"/>
    </sheetView>
  </sheetViews>
  <sheetFormatPr defaultRowHeight="15" x14ac:dyDescent="0.25"/>
  <cols>
    <col min="2" max="2" width="16.5703125" customWidth="1"/>
    <col min="3" max="3" width="15.28515625" bestFit="1" customWidth="1"/>
    <col min="4" max="4" width="12.28515625" bestFit="1" customWidth="1"/>
    <col min="5" max="5" width="14.28515625" bestFit="1" customWidth="1"/>
    <col min="6" max="6" width="14" style="244" customWidth="1"/>
    <col min="7" max="7" width="9.7109375" bestFit="1" customWidth="1"/>
  </cols>
  <sheetData>
    <row r="1" spans="1:5" ht="15.75" thickBot="1" x14ac:dyDescent="0.3">
      <c r="A1" t="s">
        <v>466</v>
      </c>
    </row>
    <row r="2" spans="1:5" ht="45.75" thickBot="1" x14ac:dyDescent="0.3">
      <c r="B2" s="67" t="s">
        <v>147</v>
      </c>
      <c r="C2" s="67" t="s">
        <v>148</v>
      </c>
      <c r="D2" s="67" t="s">
        <v>464</v>
      </c>
      <c r="E2" s="67" t="s">
        <v>149</v>
      </c>
    </row>
    <row r="3" spans="1:5" ht="15.75" thickBot="1" x14ac:dyDescent="0.3">
      <c r="B3" s="68">
        <v>0</v>
      </c>
      <c r="C3" s="69">
        <v>-850000</v>
      </c>
      <c r="D3" s="69">
        <f>C3</f>
        <v>-850000</v>
      </c>
      <c r="E3" s="69">
        <v>-1650000</v>
      </c>
    </row>
    <row r="4" spans="1:5" ht="15.75" thickBot="1" x14ac:dyDescent="0.3">
      <c r="B4" s="68">
        <v>1</v>
      </c>
      <c r="C4" s="69">
        <v>320000</v>
      </c>
      <c r="D4" s="69">
        <f>C4+D3</f>
        <v>-530000</v>
      </c>
      <c r="E4" s="69">
        <v>810000</v>
      </c>
    </row>
    <row r="5" spans="1:5" ht="15.75" thickBot="1" x14ac:dyDescent="0.3">
      <c r="B5" s="68">
        <v>2</v>
      </c>
      <c r="C5" s="69">
        <v>470000</v>
      </c>
      <c r="D5" s="69">
        <f t="shared" ref="D5:D6" si="0">C5+D4</f>
        <v>-60000</v>
      </c>
      <c r="E5" s="69">
        <v>750000</v>
      </c>
    </row>
    <row r="6" spans="1:5" ht="15.75" thickBot="1" x14ac:dyDescent="0.3">
      <c r="B6" s="68">
        <v>3</v>
      </c>
      <c r="C6" s="69">
        <v>410000</v>
      </c>
      <c r="D6" s="69">
        <f t="shared" si="0"/>
        <v>350000</v>
      </c>
      <c r="E6" s="69">
        <v>690000</v>
      </c>
    </row>
    <row r="7" spans="1:5" x14ac:dyDescent="0.25">
      <c r="B7" s="238" t="s">
        <v>47</v>
      </c>
      <c r="C7" s="70">
        <f>NPV(0.14,C4:C6) +C3</f>
        <v>69089.814409831655</v>
      </c>
      <c r="D7" s="70"/>
      <c r="E7" s="70">
        <f>NPV(0.14,E4:E6) +E3</f>
        <v>103357.30832158844</v>
      </c>
    </row>
    <row r="8" spans="1:5" x14ac:dyDescent="0.25">
      <c r="B8" s="238" t="s">
        <v>19</v>
      </c>
      <c r="C8" s="208">
        <f>IRR(C3:C6)</f>
        <v>0.18580540591743211</v>
      </c>
      <c r="D8" s="208"/>
      <c r="E8" s="208">
        <f>IRR(E3:E6)</f>
        <v>0.17806712142929859</v>
      </c>
    </row>
    <row r="10" spans="1:5" x14ac:dyDescent="0.25">
      <c r="B10" t="s">
        <v>463</v>
      </c>
    </row>
    <row r="12" spans="1:5" x14ac:dyDescent="0.25">
      <c r="B12" t="s">
        <v>465</v>
      </c>
      <c r="E12">
        <f>2+ 6/41</f>
        <v>2.1463414634146343</v>
      </c>
    </row>
    <row r="14" spans="1:5" ht="15.75" thickBot="1" x14ac:dyDescent="0.3">
      <c r="A14" t="s">
        <v>437</v>
      </c>
    </row>
    <row r="15" spans="1:5" ht="15.75" thickBot="1" x14ac:dyDescent="0.3">
      <c r="B15" s="68" t="s">
        <v>467</v>
      </c>
      <c r="C15" s="68" t="s">
        <v>38</v>
      </c>
      <c r="D15" s="68" t="s">
        <v>39</v>
      </c>
      <c r="E15" s="68" t="s">
        <v>40</v>
      </c>
    </row>
    <row r="16" spans="1:5" ht="15.75" thickBot="1" x14ac:dyDescent="0.3">
      <c r="B16" s="68" t="s">
        <v>468</v>
      </c>
      <c r="C16" s="68" t="s">
        <v>469</v>
      </c>
      <c r="D16" s="68" t="s">
        <v>470</v>
      </c>
      <c r="E16" s="68" t="s">
        <v>471</v>
      </c>
    </row>
    <row r="17" spans="1:7" ht="15.75" thickBot="1" x14ac:dyDescent="0.3">
      <c r="B17" s="68" t="s">
        <v>472</v>
      </c>
      <c r="C17" s="68" t="s">
        <v>473</v>
      </c>
      <c r="D17" s="68" t="s">
        <v>473</v>
      </c>
      <c r="E17" s="68" t="s">
        <v>473</v>
      </c>
    </row>
    <row r="18" spans="1:7" ht="15.75" thickBot="1" x14ac:dyDescent="0.3">
      <c r="B18" s="68" t="s">
        <v>474</v>
      </c>
      <c r="C18" s="69">
        <v>340000</v>
      </c>
      <c r="D18" s="69">
        <v>300000</v>
      </c>
      <c r="E18" s="69">
        <v>200000</v>
      </c>
    </row>
    <row r="19" spans="1:7" ht="15.75" thickBot="1" x14ac:dyDescent="0.3">
      <c r="B19" s="68" t="s">
        <v>19</v>
      </c>
      <c r="C19" s="239">
        <v>0.2</v>
      </c>
      <c r="D19" s="239">
        <v>0.3</v>
      </c>
      <c r="E19" s="239">
        <v>0.4</v>
      </c>
    </row>
    <row r="20" spans="1:7" x14ac:dyDescent="0.25">
      <c r="B20" s="238"/>
    </row>
    <row r="21" spans="1:7" x14ac:dyDescent="0.25">
      <c r="A21" t="s">
        <v>476</v>
      </c>
      <c r="B21" s="240" t="s">
        <v>0</v>
      </c>
      <c r="C21" s="73">
        <v>105000</v>
      </c>
      <c r="E21" s="241">
        <f>C21*1.08</f>
        <v>113400.00000000001</v>
      </c>
    </row>
    <row r="22" spans="1:7" x14ac:dyDescent="0.25">
      <c r="B22" s="240" t="s">
        <v>475</v>
      </c>
      <c r="C22" s="73">
        <v>150000</v>
      </c>
      <c r="E22" s="241">
        <f>E21*1.08</f>
        <v>122472.00000000003</v>
      </c>
    </row>
    <row r="23" spans="1:7" x14ac:dyDescent="0.25">
      <c r="B23" s="240" t="s">
        <v>1</v>
      </c>
      <c r="C23">
        <v>3</v>
      </c>
      <c r="E23" s="241">
        <f>E22*1.08</f>
        <v>132269.76000000004</v>
      </c>
    </row>
    <row r="24" spans="1:7" x14ac:dyDescent="0.25">
      <c r="B24" s="240" t="s">
        <v>312</v>
      </c>
      <c r="C24" s="71">
        <v>0.08</v>
      </c>
    </row>
    <row r="26" spans="1:7" x14ac:dyDescent="0.25">
      <c r="B26" s="240" t="s">
        <v>2</v>
      </c>
      <c r="C26" s="70">
        <f>FV(0.08,3,,-C21)</f>
        <v>132269.76000000001</v>
      </c>
    </row>
    <row r="29" spans="1:7" x14ac:dyDescent="0.25">
      <c r="A29" t="s">
        <v>477</v>
      </c>
      <c r="B29" s="208">
        <f>RATE(3,,-F29,F32)</f>
        <v>0.12624788044374047</v>
      </c>
      <c r="C29" s="71"/>
      <c r="E29">
        <v>0</v>
      </c>
      <c r="F29" s="244">
        <f>C21</f>
        <v>105000</v>
      </c>
      <c r="G29" s="242"/>
    </row>
    <row r="30" spans="1:7" x14ac:dyDescent="0.25">
      <c r="E30">
        <v>1</v>
      </c>
      <c r="F30" s="244">
        <f>F29*1.08</f>
        <v>113400.00000000001</v>
      </c>
      <c r="G30" s="241"/>
    </row>
    <row r="31" spans="1:7" x14ac:dyDescent="0.25">
      <c r="E31">
        <v>2</v>
      </c>
      <c r="F31" s="244">
        <f t="shared" ref="F31" si="1">F30*1.08</f>
        <v>122472.00000000003</v>
      </c>
      <c r="G31" s="241"/>
    </row>
    <row r="32" spans="1:7" x14ac:dyDescent="0.25">
      <c r="E32">
        <v>3</v>
      </c>
      <c r="F32" s="244">
        <v>150000</v>
      </c>
      <c r="G32" s="241"/>
    </row>
    <row r="34" spans="1:6" ht="15.75" x14ac:dyDescent="0.25">
      <c r="A34" t="s">
        <v>478</v>
      </c>
      <c r="B34">
        <v>1</v>
      </c>
      <c r="C34" s="243">
        <v>7000000</v>
      </c>
      <c r="D34">
        <v>0.06</v>
      </c>
      <c r="E34">
        <v>1</v>
      </c>
      <c r="F34" s="245">
        <v>16000000</v>
      </c>
    </row>
    <row r="35" spans="1:6" ht="15.75" x14ac:dyDescent="0.25">
      <c r="B35">
        <v>2</v>
      </c>
      <c r="C35" s="243">
        <v>7000000</v>
      </c>
      <c r="E35">
        <v>2</v>
      </c>
      <c r="F35" s="245">
        <v>16000000</v>
      </c>
    </row>
    <row r="36" spans="1:6" ht="15.75" x14ac:dyDescent="0.25">
      <c r="B36">
        <v>3</v>
      </c>
      <c r="C36" s="243">
        <v>7000000</v>
      </c>
    </row>
    <row r="37" spans="1:6" ht="15.75" x14ac:dyDescent="0.25">
      <c r="B37">
        <v>4</v>
      </c>
      <c r="C37" s="243">
        <v>7000000</v>
      </c>
    </row>
    <row r="38" spans="1:6" ht="15.75" x14ac:dyDescent="0.25">
      <c r="B38">
        <v>5</v>
      </c>
      <c r="C38" s="243">
        <v>7000000</v>
      </c>
    </row>
    <row r="40" spans="1:6" x14ac:dyDescent="0.25">
      <c r="B40" t="s">
        <v>0</v>
      </c>
      <c r="C40" s="70">
        <f>PV(0.06,5,-C38)</f>
        <v>29486546.498960029</v>
      </c>
      <c r="F40" s="244">
        <f>PV(0.06,2,-F35)</f>
        <v>29334282.662869383</v>
      </c>
    </row>
    <row r="42" spans="1:6" x14ac:dyDescent="0.25">
      <c r="A42" t="s">
        <v>479</v>
      </c>
      <c r="B42" s="103">
        <f>FV(0.027,30,,-50000)</f>
        <v>111194.50151882332</v>
      </c>
    </row>
    <row r="44" spans="1:6" x14ac:dyDescent="0.25">
      <c r="A44" t="s">
        <v>480</v>
      </c>
      <c r="B44" s="103">
        <f>FV(0.032,15,6000,-20000)</f>
        <v>-81164.491366685237</v>
      </c>
      <c r="E44">
        <v>0</v>
      </c>
      <c r="F44" s="244">
        <v>20000</v>
      </c>
    </row>
    <row r="45" spans="1:6" x14ac:dyDescent="0.25">
      <c r="E45">
        <v>1</v>
      </c>
      <c r="F45" s="244">
        <f>(F44*1.032) + 6000</f>
        <v>26640</v>
      </c>
    </row>
    <row r="46" spans="1:6" x14ac:dyDescent="0.25">
      <c r="E46">
        <v>2</v>
      </c>
      <c r="F46" s="244">
        <f t="shared" ref="F46:F59" si="2">(F45*1.032) + 6000</f>
        <v>33492.479999999996</v>
      </c>
    </row>
    <row r="47" spans="1:6" x14ac:dyDescent="0.25">
      <c r="E47">
        <v>3</v>
      </c>
      <c r="F47" s="244">
        <f t="shared" si="2"/>
        <v>40564.23936</v>
      </c>
    </row>
    <row r="48" spans="1:6" x14ac:dyDescent="0.25">
      <c r="B48" s="70">
        <f>FV(0.032,15,-6000,-20000)</f>
        <v>145323.1758721623</v>
      </c>
      <c r="E48">
        <v>4</v>
      </c>
      <c r="F48" s="244">
        <f t="shared" si="2"/>
        <v>47862.295019520003</v>
      </c>
    </row>
    <row r="49" spans="5:6" x14ac:dyDescent="0.25">
      <c r="E49">
        <v>5</v>
      </c>
      <c r="F49" s="244">
        <f t="shared" si="2"/>
        <v>55393.888460144641</v>
      </c>
    </row>
    <row r="50" spans="5:6" x14ac:dyDescent="0.25">
      <c r="E50">
        <v>6</v>
      </c>
      <c r="F50" s="244">
        <f t="shared" si="2"/>
        <v>63166.492890869267</v>
      </c>
    </row>
    <row r="51" spans="5:6" x14ac:dyDescent="0.25">
      <c r="E51">
        <v>7</v>
      </c>
      <c r="F51" s="244">
        <f t="shared" si="2"/>
        <v>71187.82066337709</v>
      </c>
    </row>
    <row r="52" spans="5:6" x14ac:dyDescent="0.25">
      <c r="E52">
        <v>8</v>
      </c>
      <c r="F52" s="244">
        <f>(F51*1.032) + 6000</f>
        <v>79465.830924605165</v>
      </c>
    </row>
    <row r="53" spans="5:6" x14ac:dyDescent="0.25">
      <c r="E53">
        <v>9</v>
      </c>
      <c r="F53" s="244">
        <f t="shared" si="2"/>
        <v>88008.737514192529</v>
      </c>
    </row>
    <row r="54" spans="5:6" x14ac:dyDescent="0.25">
      <c r="E54">
        <v>10</v>
      </c>
      <c r="F54" s="244">
        <f t="shared" si="2"/>
        <v>96825.017114646689</v>
      </c>
    </row>
    <row r="55" spans="5:6" x14ac:dyDescent="0.25">
      <c r="E55">
        <v>11</v>
      </c>
      <c r="F55" s="244">
        <f t="shared" si="2"/>
        <v>105923.41766231539</v>
      </c>
    </row>
    <row r="56" spans="5:6" x14ac:dyDescent="0.25">
      <c r="E56">
        <v>12</v>
      </c>
      <c r="F56" s="244">
        <f t="shared" si="2"/>
        <v>115312.96702750948</v>
      </c>
    </row>
    <row r="57" spans="5:6" x14ac:dyDescent="0.25">
      <c r="E57">
        <v>13</v>
      </c>
      <c r="F57" s="244">
        <f t="shared" si="2"/>
        <v>125002.9819723898</v>
      </c>
    </row>
    <row r="58" spans="5:6" x14ac:dyDescent="0.25">
      <c r="E58">
        <v>14</v>
      </c>
      <c r="F58" s="244">
        <f t="shared" si="2"/>
        <v>135003.07739550626</v>
      </c>
    </row>
    <row r="59" spans="5:6" x14ac:dyDescent="0.25">
      <c r="E59">
        <v>15</v>
      </c>
      <c r="F59" s="244">
        <f t="shared" si="2"/>
        <v>145323.17587216248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DCC1E-F013-46C5-AA6C-3A92475FF8B8}">
  <dimension ref="A1:F64"/>
  <sheetViews>
    <sheetView topLeftCell="A33" workbookViewId="0">
      <selection activeCell="C49" sqref="C49"/>
    </sheetView>
  </sheetViews>
  <sheetFormatPr defaultRowHeight="15" x14ac:dyDescent="0.25"/>
  <cols>
    <col min="2" max="2" width="11.85546875" bestFit="1" customWidth="1"/>
    <col min="3" max="3" width="20.42578125" style="259" bestFit="1" customWidth="1"/>
    <col min="4" max="4" width="10.7109375" style="259" customWidth="1"/>
    <col min="5" max="5" width="14.140625" style="259" customWidth="1"/>
    <col min="6" max="6" width="14.5703125" bestFit="1" customWidth="1"/>
  </cols>
  <sheetData>
    <row r="1" spans="1:6" x14ac:dyDescent="0.25">
      <c r="A1" t="s">
        <v>223</v>
      </c>
    </row>
    <row r="2" spans="1:6" x14ac:dyDescent="0.25">
      <c r="B2" t="s">
        <v>636</v>
      </c>
      <c r="C2" s="259" t="s">
        <v>637</v>
      </c>
      <c r="D2" s="259" t="s">
        <v>639</v>
      </c>
      <c r="E2" s="259" t="s">
        <v>638</v>
      </c>
    </row>
    <row r="3" spans="1:6" x14ac:dyDescent="0.25">
      <c r="B3">
        <v>0</v>
      </c>
      <c r="C3" s="259">
        <v>-850000</v>
      </c>
      <c r="D3" s="259">
        <f>C3</f>
        <v>-850000</v>
      </c>
      <c r="E3" s="259">
        <v>-1650000</v>
      </c>
      <c r="F3" s="259">
        <f>E3</f>
        <v>-1650000</v>
      </c>
    </row>
    <row r="4" spans="1:6" x14ac:dyDescent="0.25">
      <c r="B4">
        <v>1</v>
      </c>
      <c r="C4" s="259">
        <v>320000</v>
      </c>
      <c r="D4" s="259">
        <f>D3+C4</f>
        <v>-530000</v>
      </c>
      <c r="E4" s="259">
        <v>810000</v>
      </c>
      <c r="F4" s="258">
        <f>E4/(1+0.14)^B4</f>
        <v>710526.31578947359</v>
      </c>
    </row>
    <row r="5" spans="1:6" x14ac:dyDescent="0.25">
      <c r="B5">
        <v>2</v>
      </c>
      <c r="C5" s="259">
        <v>470000</v>
      </c>
      <c r="D5" s="259">
        <f t="shared" ref="D5:D6" si="0">D4+C5</f>
        <v>-60000</v>
      </c>
      <c r="E5" s="259">
        <v>750000</v>
      </c>
      <c r="F5" s="258">
        <f t="shared" ref="F5:F6" si="1">E5/(1+0.14)^B5</f>
        <v>577100.64635272382</v>
      </c>
    </row>
    <row r="6" spans="1:6" x14ac:dyDescent="0.25">
      <c r="B6">
        <v>3</v>
      </c>
      <c r="C6" s="259">
        <v>410000</v>
      </c>
      <c r="D6" s="259">
        <f t="shared" si="0"/>
        <v>350000</v>
      </c>
      <c r="E6" s="259">
        <v>690000</v>
      </c>
      <c r="F6" s="258">
        <f t="shared" si="1"/>
        <v>465730.34617939108</v>
      </c>
    </row>
    <row r="7" spans="1:6" x14ac:dyDescent="0.25">
      <c r="B7" t="s">
        <v>19</v>
      </c>
      <c r="C7" s="299">
        <f>IRR(C3:C6)</f>
        <v>0.18580540591743211</v>
      </c>
      <c r="D7" s="299"/>
      <c r="E7" s="299">
        <f>IRR(E3:E6)</f>
        <v>0.17806712142929859</v>
      </c>
      <c r="F7" s="71">
        <f>IRR(F3:F6)</f>
        <v>3.3392211780086223E-2</v>
      </c>
    </row>
    <row r="8" spans="1:6" x14ac:dyDescent="0.25">
      <c r="C8" s="259" t="s">
        <v>640</v>
      </c>
    </row>
    <row r="9" spans="1:6" x14ac:dyDescent="0.25">
      <c r="C9" s="72">
        <f xml:space="preserve"> 2 + 60/410</f>
        <v>2.1463414634146343</v>
      </c>
    </row>
    <row r="10" spans="1:6" x14ac:dyDescent="0.25">
      <c r="A10" s="300"/>
      <c r="B10" s="300"/>
      <c r="C10" s="301"/>
      <c r="D10" s="301"/>
      <c r="E10" s="301"/>
      <c r="F10" s="300"/>
    </row>
    <row r="11" spans="1:6" x14ac:dyDescent="0.25">
      <c r="A11" t="s">
        <v>516</v>
      </c>
    </row>
    <row r="12" spans="1:6" x14ac:dyDescent="0.25">
      <c r="B12">
        <v>5.5</v>
      </c>
      <c r="D12" s="259" t="s">
        <v>38</v>
      </c>
      <c r="E12" s="298">
        <v>5.5</v>
      </c>
      <c r="F12">
        <v>340</v>
      </c>
    </row>
    <row r="13" spans="1:6" x14ac:dyDescent="0.25">
      <c r="D13" s="259" t="s">
        <v>39</v>
      </c>
      <c r="E13" s="298">
        <v>3</v>
      </c>
      <c r="F13">
        <v>300</v>
      </c>
    </row>
    <row r="14" spans="1:6" x14ac:dyDescent="0.25">
      <c r="D14" s="259" t="s">
        <v>40</v>
      </c>
      <c r="E14" s="298">
        <v>2</v>
      </c>
      <c r="F14">
        <v>200</v>
      </c>
    </row>
    <row r="17" spans="1:6" x14ac:dyDescent="0.25">
      <c r="A17" s="300"/>
      <c r="B17" s="300"/>
      <c r="C17" s="301"/>
      <c r="D17" s="301"/>
      <c r="E17" s="301"/>
      <c r="F17" s="300"/>
    </row>
    <row r="19" spans="1:6" x14ac:dyDescent="0.25">
      <c r="A19" t="s">
        <v>527</v>
      </c>
      <c r="C19" s="259" t="s">
        <v>19</v>
      </c>
    </row>
    <row r="20" spans="1:6" x14ac:dyDescent="0.25">
      <c r="B20" t="s">
        <v>38</v>
      </c>
      <c r="C20" s="157">
        <v>0.22</v>
      </c>
    </row>
    <row r="21" spans="1:6" x14ac:dyDescent="0.25">
      <c r="B21" t="s">
        <v>39</v>
      </c>
      <c r="C21" s="157">
        <v>0.18</v>
      </c>
    </row>
    <row r="23" spans="1:6" x14ac:dyDescent="0.25">
      <c r="A23" s="300"/>
      <c r="B23" s="300"/>
      <c r="C23" s="301"/>
      <c r="D23" s="301"/>
      <c r="E23" s="301"/>
      <c r="F23" s="300"/>
    </row>
    <row r="24" spans="1:6" x14ac:dyDescent="0.25">
      <c r="F24" s="259">
        <v>105000</v>
      </c>
    </row>
    <row r="25" spans="1:6" x14ac:dyDescent="0.25">
      <c r="A25" t="s">
        <v>476</v>
      </c>
      <c r="B25" t="s">
        <v>641</v>
      </c>
      <c r="C25" s="259">
        <v>105000</v>
      </c>
      <c r="E25" s="259">
        <f>C25*1.08</f>
        <v>113400.00000000001</v>
      </c>
      <c r="F25" s="258">
        <f>F24*(1+E$30)</f>
        <v>118256.02744659274</v>
      </c>
    </row>
    <row r="26" spans="1:6" x14ac:dyDescent="0.25">
      <c r="B26" t="s">
        <v>642</v>
      </c>
      <c r="C26" s="259">
        <v>150000</v>
      </c>
      <c r="E26" s="259">
        <f>E25*1.08</f>
        <v>122472.00000000003</v>
      </c>
      <c r="F26" s="258">
        <f t="shared" ref="F26:F27" si="2">F25*(1+E$30)</f>
        <v>133185.60026142185</v>
      </c>
    </row>
    <row r="27" spans="1:6" x14ac:dyDescent="0.25">
      <c r="B27" t="s">
        <v>10</v>
      </c>
      <c r="C27" s="257">
        <v>3</v>
      </c>
      <c r="E27" s="259">
        <f>E26*1.08</f>
        <v>132269.76000000004</v>
      </c>
      <c r="F27" s="258">
        <f t="shared" si="2"/>
        <v>150000.00000005364</v>
      </c>
    </row>
    <row r="28" spans="1:6" x14ac:dyDescent="0.25">
      <c r="B28" t="s">
        <v>312</v>
      </c>
      <c r="C28" s="157">
        <v>0.08</v>
      </c>
    </row>
    <row r="30" spans="1:6" x14ac:dyDescent="0.25">
      <c r="B30" s="70">
        <f>FV(C28,C27,,-C25)</f>
        <v>132269.76000000001</v>
      </c>
      <c r="E30" s="82">
        <f>RATE(3,,-C25,C26)</f>
        <v>0.12624788044374047</v>
      </c>
    </row>
    <row r="32" spans="1:6" x14ac:dyDescent="0.25">
      <c r="A32" s="300"/>
      <c r="B32" s="300"/>
      <c r="C32" s="301"/>
      <c r="D32" s="301"/>
      <c r="E32" s="301"/>
      <c r="F32" s="300"/>
    </row>
    <row r="34" spans="1:6" x14ac:dyDescent="0.25">
      <c r="A34" t="s">
        <v>478</v>
      </c>
      <c r="C34" s="259" t="s">
        <v>643</v>
      </c>
      <c r="F34" t="s">
        <v>644</v>
      </c>
    </row>
    <row r="35" spans="1:6" x14ac:dyDescent="0.25">
      <c r="B35" t="s">
        <v>641</v>
      </c>
      <c r="C35" s="259">
        <v>-7000000</v>
      </c>
      <c r="E35" t="s">
        <v>641</v>
      </c>
      <c r="F35" s="259">
        <v>-16000000</v>
      </c>
    </row>
    <row r="36" spans="1:6" x14ac:dyDescent="0.25">
      <c r="B36" t="s">
        <v>10</v>
      </c>
      <c r="C36" s="257">
        <v>5</v>
      </c>
      <c r="E36" t="s">
        <v>10</v>
      </c>
      <c r="F36" s="257">
        <v>2</v>
      </c>
    </row>
    <row r="37" spans="1:6" x14ac:dyDescent="0.25">
      <c r="B37" t="s">
        <v>312</v>
      </c>
      <c r="C37" s="157">
        <v>0.06</v>
      </c>
      <c r="E37" t="s">
        <v>312</v>
      </c>
      <c r="F37" s="157">
        <v>0.06</v>
      </c>
    </row>
    <row r="39" spans="1:6" x14ac:dyDescent="0.25">
      <c r="B39" t="s">
        <v>47</v>
      </c>
      <c r="C39" s="103">
        <f>PV(C37,C36,C35)</f>
        <v>29486546.498960029</v>
      </c>
      <c r="F39" s="70">
        <f>PV(F37,F36,F35)</f>
        <v>29334282.662869383</v>
      </c>
    </row>
    <row r="40" spans="1:6" x14ac:dyDescent="0.25">
      <c r="C40" s="259">
        <f>C39-F39</f>
        <v>152263.83609064668</v>
      </c>
    </row>
    <row r="42" spans="1:6" x14ac:dyDescent="0.25">
      <c r="A42" s="300"/>
      <c r="B42" s="300"/>
      <c r="C42" s="301"/>
      <c r="D42" s="301"/>
      <c r="E42" s="301"/>
      <c r="F42" s="300"/>
    </row>
    <row r="44" spans="1:6" x14ac:dyDescent="0.25">
      <c r="A44" t="s">
        <v>479</v>
      </c>
      <c r="B44" s="70">
        <f>FV(0.027,30,,-50000)</f>
        <v>111194.50151882332</v>
      </c>
    </row>
    <row r="47" spans="1:6" x14ac:dyDescent="0.25">
      <c r="A47" s="300"/>
      <c r="B47" s="300"/>
      <c r="C47" s="301"/>
      <c r="D47" s="301"/>
      <c r="E47" s="301"/>
      <c r="F47" s="300"/>
    </row>
    <row r="48" spans="1:6" x14ac:dyDescent="0.25">
      <c r="A48" t="s">
        <v>557</v>
      </c>
    </row>
    <row r="49" spans="3:6" x14ac:dyDescent="0.25">
      <c r="C49" s="259">
        <f>FV(0.032,15,6000,20000)</f>
        <v>-145323.1758721623</v>
      </c>
      <c r="E49" s="257">
        <v>0</v>
      </c>
      <c r="F49" s="259">
        <v>20000</v>
      </c>
    </row>
    <row r="50" spans="3:6" x14ac:dyDescent="0.25">
      <c r="E50" s="257">
        <v>1</v>
      </c>
      <c r="F50" s="259">
        <f>F49*1.032 + 6000</f>
        <v>26640</v>
      </c>
    </row>
    <row r="51" spans="3:6" x14ac:dyDescent="0.25">
      <c r="E51" s="257">
        <v>2</v>
      </c>
      <c r="F51" s="259">
        <f t="shared" ref="F51:F64" si="3">F50*1.032 + 6000</f>
        <v>33492.479999999996</v>
      </c>
    </row>
    <row r="52" spans="3:6" x14ac:dyDescent="0.25">
      <c r="E52" s="257">
        <v>3</v>
      </c>
      <c r="F52" s="259">
        <f t="shared" si="3"/>
        <v>40564.23936</v>
      </c>
    </row>
    <row r="53" spans="3:6" x14ac:dyDescent="0.25">
      <c r="E53" s="257">
        <v>4</v>
      </c>
      <c r="F53" s="259">
        <f t="shared" si="3"/>
        <v>47862.295019520003</v>
      </c>
    </row>
    <row r="54" spans="3:6" x14ac:dyDescent="0.25">
      <c r="E54" s="257">
        <v>5</v>
      </c>
      <c r="F54" s="259">
        <f t="shared" si="3"/>
        <v>55393.888460144641</v>
      </c>
    </row>
    <row r="55" spans="3:6" x14ac:dyDescent="0.25">
      <c r="E55" s="257">
        <v>6</v>
      </c>
      <c r="F55" s="259">
        <f t="shared" si="3"/>
        <v>63166.492890869267</v>
      </c>
    </row>
    <row r="56" spans="3:6" x14ac:dyDescent="0.25">
      <c r="E56" s="257">
        <v>7</v>
      </c>
      <c r="F56" s="259">
        <f t="shared" si="3"/>
        <v>71187.82066337709</v>
      </c>
    </row>
    <row r="57" spans="3:6" x14ac:dyDescent="0.25">
      <c r="E57" s="257">
        <v>8</v>
      </c>
      <c r="F57" s="259">
        <f t="shared" si="3"/>
        <v>79465.830924605165</v>
      </c>
    </row>
    <row r="58" spans="3:6" x14ac:dyDescent="0.25">
      <c r="E58" s="257">
        <v>9</v>
      </c>
      <c r="F58" s="259">
        <f t="shared" si="3"/>
        <v>88008.737514192529</v>
      </c>
    </row>
    <row r="59" spans="3:6" x14ac:dyDescent="0.25">
      <c r="E59" s="257">
        <v>10</v>
      </c>
      <c r="F59" s="259">
        <f t="shared" si="3"/>
        <v>96825.017114646689</v>
      </c>
    </row>
    <row r="60" spans="3:6" x14ac:dyDescent="0.25">
      <c r="E60" s="257">
        <v>11</v>
      </c>
      <c r="F60" s="259">
        <f t="shared" si="3"/>
        <v>105923.41766231539</v>
      </c>
    </row>
    <row r="61" spans="3:6" x14ac:dyDescent="0.25">
      <c r="E61" s="257">
        <v>12</v>
      </c>
      <c r="F61" s="259">
        <f t="shared" si="3"/>
        <v>115312.96702750948</v>
      </c>
    </row>
    <row r="62" spans="3:6" x14ac:dyDescent="0.25">
      <c r="E62" s="257">
        <v>13</v>
      </c>
      <c r="F62" s="259">
        <f t="shared" si="3"/>
        <v>125002.9819723898</v>
      </c>
    </row>
    <row r="63" spans="3:6" x14ac:dyDescent="0.25">
      <c r="E63" s="257">
        <v>14</v>
      </c>
      <c r="F63" s="259">
        <f t="shared" si="3"/>
        <v>135003.07739550626</v>
      </c>
    </row>
    <row r="64" spans="3:6" x14ac:dyDescent="0.25">
      <c r="E64" s="257">
        <v>15</v>
      </c>
      <c r="F64" s="259">
        <f t="shared" si="3"/>
        <v>145323.17587216248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DC873-44A5-4844-8435-3DF80F0AC885}">
  <sheetPr codeName="Sheet1"/>
  <dimension ref="A1:S69"/>
  <sheetViews>
    <sheetView topLeftCell="A15" workbookViewId="0">
      <selection activeCell="C47" sqref="C47"/>
    </sheetView>
  </sheetViews>
  <sheetFormatPr defaultRowHeight="15" x14ac:dyDescent="0.25"/>
  <sheetData>
    <row r="1" spans="1:8" ht="15.75" x14ac:dyDescent="0.25">
      <c r="A1" t="s">
        <v>223</v>
      </c>
      <c r="B1" s="98" t="s">
        <v>224</v>
      </c>
    </row>
    <row r="3" spans="1:8" x14ac:dyDescent="0.25">
      <c r="A3" s="63" t="s">
        <v>225</v>
      </c>
    </row>
    <row r="5" spans="1:8" x14ac:dyDescent="0.25">
      <c r="A5" t="s">
        <v>226</v>
      </c>
    </row>
    <row r="7" spans="1:8" x14ac:dyDescent="0.25">
      <c r="A7" t="s">
        <v>227</v>
      </c>
    </row>
    <row r="9" spans="1:8" x14ac:dyDescent="0.25">
      <c r="A9" t="s">
        <v>228</v>
      </c>
    </row>
    <row r="11" spans="1:8" x14ac:dyDescent="0.25">
      <c r="A11" t="s">
        <v>229</v>
      </c>
      <c r="D11" t="s">
        <v>424</v>
      </c>
      <c r="H11" s="63" t="s">
        <v>425</v>
      </c>
    </row>
    <row r="12" spans="1:8" x14ac:dyDescent="0.25">
      <c r="H12" s="63" t="s">
        <v>426</v>
      </c>
    </row>
    <row r="13" spans="1:8" x14ac:dyDescent="0.25">
      <c r="A13" t="s">
        <v>230</v>
      </c>
      <c r="H13" s="63" t="s">
        <v>427</v>
      </c>
    </row>
    <row r="14" spans="1:8" x14ac:dyDescent="0.25">
      <c r="H14" s="63" t="s">
        <v>428</v>
      </c>
    </row>
    <row r="15" spans="1:8" x14ac:dyDescent="0.25">
      <c r="A15" s="82">
        <f>(2.95 + 53.1*0.048)/53.1</f>
        <v>0.10355555555555555</v>
      </c>
      <c r="H15" s="82">
        <f xml:space="preserve"> (2.95 + 53.1 * 0.048)/ 53.1</f>
        <v>0.10355555555555555</v>
      </c>
    </row>
    <row r="18" spans="1:19" ht="15.75" x14ac:dyDescent="0.25">
      <c r="A18" t="s">
        <v>231</v>
      </c>
      <c r="B18" s="98" t="s">
        <v>232</v>
      </c>
    </row>
    <row r="20" spans="1:19" x14ac:dyDescent="0.25">
      <c r="A20" t="s">
        <v>233</v>
      </c>
    </row>
    <row r="21" spans="1:19" x14ac:dyDescent="0.25">
      <c r="A21" t="s">
        <v>234</v>
      </c>
      <c r="P21" t="s">
        <v>240</v>
      </c>
      <c r="Q21" t="s">
        <v>239</v>
      </c>
      <c r="R21" t="s">
        <v>429</v>
      </c>
      <c r="S21" t="s">
        <v>241</v>
      </c>
    </row>
    <row r="22" spans="1:19" x14ac:dyDescent="0.25">
      <c r="P22">
        <v>1</v>
      </c>
      <c r="Q22">
        <v>8.5</v>
      </c>
      <c r="R22">
        <f>Q22/(1+S22)*P22</f>
        <v>7.762557077625571</v>
      </c>
      <c r="S22">
        <v>9.5000000000000001E-2</v>
      </c>
    </row>
    <row r="23" spans="1:19" ht="15.75" x14ac:dyDescent="0.25">
      <c r="A23" s="99" t="s">
        <v>235</v>
      </c>
      <c r="P23">
        <v>2</v>
      </c>
      <c r="Q23">
        <v>8.5</v>
      </c>
      <c r="R23">
        <f>Q23/(1+S23)^P23</f>
        <v>7.0890932215758635</v>
      </c>
      <c r="S23">
        <v>9.5000000000000001E-2</v>
      </c>
    </row>
    <row r="24" spans="1:19" ht="15.75" x14ac:dyDescent="0.25">
      <c r="A24" s="99"/>
      <c r="P24">
        <v>3</v>
      </c>
      <c r="Q24">
        <v>8.5</v>
      </c>
      <c r="R24">
        <f t="shared" ref="R24:R32" si="0">Q24/(1+S24)^P24</f>
        <v>6.4740577365989624</v>
      </c>
      <c r="S24">
        <v>9.5000000000000001E-2</v>
      </c>
    </row>
    <row r="25" spans="1:19" ht="15.75" x14ac:dyDescent="0.25">
      <c r="A25" s="100" t="s">
        <v>236</v>
      </c>
      <c r="H25">
        <f>SUM(R22:R32)</f>
        <v>56.502085197930512</v>
      </c>
      <c r="P25">
        <v>4</v>
      </c>
      <c r="Q25">
        <v>8.5</v>
      </c>
      <c r="R25">
        <f t="shared" si="0"/>
        <v>5.9123814946109245</v>
      </c>
      <c r="S25">
        <v>9.5000000000000001E-2</v>
      </c>
    </row>
    <row r="26" spans="1:19" ht="15.75" x14ac:dyDescent="0.25">
      <c r="A26" s="100" t="s">
        <v>237</v>
      </c>
      <c r="P26">
        <v>5</v>
      </c>
      <c r="Q26">
        <v>8.5</v>
      </c>
      <c r="R26">
        <f t="shared" si="0"/>
        <v>5.399435154895821</v>
      </c>
      <c r="S26">
        <v>9.5000000000000001E-2</v>
      </c>
    </row>
    <row r="27" spans="1:19" ht="15.75" x14ac:dyDescent="0.25">
      <c r="A27" s="100" t="s">
        <v>238</v>
      </c>
      <c r="P27">
        <v>6</v>
      </c>
      <c r="Q27">
        <v>8.5</v>
      </c>
      <c r="R27">
        <f t="shared" si="0"/>
        <v>4.9309910090372799</v>
      </c>
      <c r="S27">
        <v>9.5000000000000001E-2</v>
      </c>
    </row>
    <row r="28" spans="1:19" x14ac:dyDescent="0.25">
      <c r="P28">
        <v>7</v>
      </c>
      <c r="Q28">
        <v>8.5</v>
      </c>
      <c r="R28">
        <f t="shared" si="0"/>
        <v>4.5031881361071049</v>
      </c>
      <c r="S28">
        <v>9.5000000000000001E-2</v>
      </c>
    </row>
    <row r="29" spans="1:19" x14ac:dyDescent="0.25">
      <c r="P29">
        <v>8</v>
      </c>
      <c r="Q29">
        <v>8.5</v>
      </c>
      <c r="R29">
        <f t="shared" si="0"/>
        <v>4.1125005809197299</v>
      </c>
      <c r="S29">
        <v>9.5000000000000001E-2</v>
      </c>
    </row>
    <row r="30" spans="1:19" ht="15.75" x14ac:dyDescent="0.25">
      <c r="A30" s="101" t="s">
        <v>242</v>
      </c>
      <c r="P30">
        <v>9</v>
      </c>
      <c r="Q30">
        <v>8.5</v>
      </c>
      <c r="R30">
        <f t="shared" si="0"/>
        <v>3.7557082930773795</v>
      </c>
      <c r="S30">
        <v>9.5000000000000001E-2</v>
      </c>
    </row>
    <row r="31" spans="1:19" x14ac:dyDescent="0.25">
      <c r="P31">
        <v>10</v>
      </c>
      <c r="Q31">
        <v>8.5</v>
      </c>
      <c r="R31">
        <f t="shared" si="0"/>
        <v>3.4298705872852775</v>
      </c>
      <c r="S31">
        <v>9.5000000000000001E-2</v>
      </c>
    </row>
    <row r="32" spans="1:19" x14ac:dyDescent="0.25">
      <c r="A32" t="s">
        <v>430</v>
      </c>
      <c r="P32">
        <v>11</v>
      </c>
      <c r="Q32">
        <v>8.5</v>
      </c>
      <c r="R32">
        <f t="shared" si="0"/>
        <v>3.1323019061966009</v>
      </c>
      <c r="S32">
        <v>9.5000000000000001E-2</v>
      </c>
    </row>
    <row r="33" spans="1:11" x14ac:dyDescent="0.25">
      <c r="A33" t="s">
        <v>432</v>
      </c>
    </row>
    <row r="34" spans="1:11" x14ac:dyDescent="0.25">
      <c r="A34" t="s">
        <v>431</v>
      </c>
      <c r="B34" s="147">
        <f xml:space="preserve"> 0 * (1+ 0) / (0.095-0)</f>
        <v>0</v>
      </c>
    </row>
    <row r="35" spans="1:11" x14ac:dyDescent="0.25">
      <c r="A35" t="s">
        <v>433</v>
      </c>
      <c r="B35" s="147">
        <f>B34/(1+S32)^11</f>
        <v>0</v>
      </c>
    </row>
    <row r="36" spans="1:11" ht="15.75" x14ac:dyDescent="0.25">
      <c r="A36" s="101" t="s">
        <v>244</v>
      </c>
    </row>
    <row r="38" spans="1:11" x14ac:dyDescent="0.25">
      <c r="A38" s="72">
        <f>SUM(R22:R32) +B34/(1.095)^P32</f>
        <v>56.502085197930512</v>
      </c>
    </row>
    <row r="40" spans="1:11" x14ac:dyDescent="0.25">
      <c r="A40" s="218" t="s">
        <v>243</v>
      </c>
      <c r="B40" s="219"/>
      <c r="C40" s="218"/>
      <c r="D40" s="218"/>
      <c r="E40" s="218"/>
      <c r="F40" s="218"/>
      <c r="G40" s="218"/>
      <c r="H40" s="218"/>
      <c r="I40" s="218"/>
      <c r="J40" s="218"/>
      <c r="K40" s="218"/>
    </row>
    <row r="41" spans="1:11" x14ac:dyDescent="0.25">
      <c r="A41" s="218"/>
      <c r="B41" s="220"/>
      <c r="C41" s="218"/>
      <c r="D41" s="218"/>
      <c r="E41" s="218"/>
      <c r="F41" s="218"/>
      <c r="G41" s="218"/>
      <c r="H41" s="218"/>
      <c r="I41" s="218"/>
      <c r="J41" s="218"/>
      <c r="K41" s="218"/>
    </row>
    <row r="42" spans="1:11" x14ac:dyDescent="0.25">
      <c r="A42" s="218"/>
      <c r="B42" s="218"/>
      <c r="C42" s="218"/>
      <c r="D42" s="218"/>
      <c r="E42" s="218"/>
      <c r="F42" s="218"/>
      <c r="G42" s="218"/>
      <c r="H42" s="218" t="s">
        <v>240</v>
      </c>
      <c r="I42" s="218" t="s">
        <v>434</v>
      </c>
      <c r="J42" s="218" t="s">
        <v>429</v>
      </c>
      <c r="K42" s="218" t="s">
        <v>241</v>
      </c>
    </row>
    <row r="43" spans="1:11" x14ac:dyDescent="0.25">
      <c r="A43" s="218"/>
      <c r="B43" s="218"/>
      <c r="C43" s="218"/>
      <c r="D43" s="218"/>
      <c r="E43" s="218"/>
      <c r="F43" s="218"/>
      <c r="G43" s="218"/>
      <c r="H43" s="218">
        <v>1</v>
      </c>
      <c r="I43" s="218">
        <v>0</v>
      </c>
      <c r="J43" s="218">
        <f>I43/(1+K43)^H43</f>
        <v>0</v>
      </c>
      <c r="K43" s="218">
        <v>0.12</v>
      </c>
    </row>
    <row r="44" spans="1:11" x14ac:dyDescent="0.25">
      <c r="A44" s="218"/>
      <c r="B44" s="218" t="s">
        <v>445</v>
      </c>
      <c r="C44" s="218"/>
      <c r="D44" s="218"/>
      <c r="E44" s="218"/>
      <c r="F44" s="218"/>
      <c r="G44" s="218"/>
      <c r="H44" s="218">
        <v>2</v>
      </c>
      <c r="I44" s="218">
        <v>0</v>
      </c>
      <c r="J44" s="218">
        <f t="shared" ref="J44:J52" si="1">I44/(1+K44)^H44</f>
        <v>0</v>
      </c>
      <c r="K44" s="218">
        <v>0.12</v>
      </c>
    </row>
    <row r="45" spans="1:11" x14ac:dyDescent="0.25">
      <c r="A45" s="218"/>
      <c r="B45" s="218" t="s">
        <v>444</v>
      </c>
      <c r="C45" s="218"/>
      <c r="D45" s="218"/>
      <c r="E45" s="218"/>
      <c r="F45" s="218"/>
      <c r="G45" s="218"/>
      <c r="H45" s="218">
        <v>3</v>
      </c>
      <c r="I45" s="218">
        <v>0</v>
      </c>
      <c r="J45" s="218">
        <f t="shared" si="1"/>
        <v>0</v>
      </c>
      <c r="K45" s="218">
        <v>0.12</v>
      </c>
    </row>
    <row r="46" spans="1:11" x14ac:dyDescent="0.25">
      <c r="A46" s="218"/>
      <c r="B46" s="218" t="s">
        <v>446</v>
      </c>
      <c r="C46" s="221">
        <f>15.75*(1+ 0.048) / (0.12 - 0.048)</f>
        <v>229.25000000000003</v>
      </c>
      <c r="D46" s="218" t="s">
        <v>442</v>
      </c>
      <c r="E46" s="218"/>
      <c r="F46" s="218"/>
      <c r="G46" s="218"/>
      <c r="H46" s="218">
        <v>4</v>
      </c>
      <c r="I46" s="218">
        <v>0</v>
      </c>
      <c r="J46" s="218">
        <f t="shared" si="1"/>
        <v>0</v>
      </c>
      <c r="K46" s="218">
        <v>0.12</v>
      </c>
    </row>
    <row r="47" spans="1:11" x14ac:dyDescent="0.25">
      <c r="A47" s="218"/>
      <c r="B47" s="218" t="s">
        <v>424</v>
      </c>
      <c r="C47" s="221">
        <f>C46/(1+0.12)^10</f>
        <v>73.812364488417074</v>
      </c>
      <c r="D47" s="218" t="s">
        <v>443</v>
      </c>
      <c r="E47" s="218"/>
      <c r="F47" s="218"/>
      <c r="G47" s="218"/>
      <c r="H47" s="218">
        <v>5</v>
      </c>
      <c r="I47" s="218">
        <v>0</v>
      </c>
      <c r="J47" s="218">
        <f t="shared" si="1"/>
        <v>0</v>
      </c>
      <c r="K47" s="218">
        <v>0.12</v>
      </c>
    </row>
    <row r="48" spans="1:11" x14ac:dyDescent="0.25">
      <c r="A48" s="218"/>
      <c r="B48" s="218"/>
      <c r="C48" s="218"/>
      <c r="D48" s="218"/>
      <c r="E48" s="218"/>
      <c r="F48" s="218"/>
      <c r="G48" s="218"/>
      <c r="H48" s="218">
        <v>6</v>
      </c>
      <c r="I48" s="218">
        <v>0</v>
      </c>
      <c r="J48" s="218">
        <f t="shared" si="1"/>
        <v>0</v>
      </c>
      <c r="K48" s="218">
        <v>0.12</v>
      </c>
    </row>
    <row r="49" spans="1:11" x14ac:dyDescent="0.25">
      <c r="A49" s="218"/>
      <c r="B49" s="218"/>
      <c r="C49" s="218"/>
      <c r="D49" s="218"/>
      <c r="E49" s="218"/>
      <c r="F49" s="218"/>
      <c r="G49" s="218"/>
      <c r="H49" s="218">
        <v>7</v>
      </c>
      <c r="I49" s="218">
        <v>0</v>
      </c>
      <c r="J49" s="218">
        <f t="shared" si="1"/>
        <v>0</v>
      </c>
      <c r="K49" s="218">
        <v>0.12</v>
      </c>
    </row>
    <row r="50" spans="1:11" x14ac:dyDescent="0.25">
      <c r="A50" s="218"/>
      <c r="B50" s="218"/>
      <c r="C50" s="218"/>
      <c r="D50" s="218"/>
      <c r="E50" s="218"/>
      <c r="F50" s="218"/>
      <c r="G50" s="218"/>
      <c r="H50" s="218">
        <v>8</v>
      </c>
      <c r="I50" s="218">
        <v>0</v>
      </c>
      <c r="J50" s="218">
        <f t="shared" si="1"/>
        <v>0</v>
      </c>
      <c r="K50" s="218">
        <v>0.12</v>
      </c>
    </row>
    <row r="51" spans="1:11" x14ac:dyDescent="0.25">
      <c r="A51" s="218"/>
      <c r="B51" s="218"/>
      <c r="C51" s="218"/>
      <c r="D51" s="218"/>
      <c r="E51" s="218"/>
      <c r="F51" s="218"/>
      <c r="G51" s="218"/>
      <c r="H51" s="218">
        <v>9</v>
      </c>
      <c r="I51" s="218">
        <v>0</v>
      </c>
      <c r="J51" s="218">
        <f t="shared" si="1"/>
        <v>0</v>
      </c>
      <c r="K51" s="218">
        <v>0.12</v>
      </c>
    </row>
    <row r="52" spans="1:11" x14ac:dyDescent="0.25">
      <c r="A52" s="218"/>
      <c r="B52" s="218" t="s">
        <v>424</v>
      </c>
      <c r="C52" s="218"/>
      <c r="D52" s="218"/>
      <c r="E52" s="218"/>
      <c r="F52" s="218"/>
      <c r="G52" s="218"/>
      <c r="H52" s="218">
        <v>10</v>
      </c>
      <c r="I52" s="218">
        <v>15.75</v>
      </c>
      <c r="J52" s="218">
        <f t="shared" si="1"/>
        <v>5.0710784763034624</v>
      </c>
      <c r="K52" s="218">
        <v>0.12</v>
      </c>
    </row>
    <row r="53" spans="1:11" x14ac:dyDescent="0.25">
      <c r="A53" s="218"/>
      <c r="B53" s="218"/>
      <c r="C53" s="218"/>
      <c r="D53" s="218"/>
      <c r="E53" s="218"/>
      <c r="F53" s="218"/>
      <c r="G53" s="218"/>
      <c r="H53" s="218">
        <v>11</v>
      </c>
      <c r="I53" s="218">
        <v>16.75</v>
      </c>
      <c r="J53" s="218">
        <f t="shared" ref="J53" si="2">I53/(1+K53)^H53</f>
        <v>4.8152247436554978</v>
      </c>
      <c r="K53" s="218">
        <v>0.12</v>
      </c>
    </row>
    <row r="56" spans="1:11" x14ac:dyDescent="0.25">
      <c r="A56" t="s">
        <v>437</v>
      </c>
      <c r="H56" t="s">
        <v>240</v>
      </c>
      <c r="I56" t="s">
        <v>434</v>
      </c>
      <c r="J56" t="s">
        <v>435</v>
      </c>
      <c r="K56" t="s">
        <v>241</v>
      </c>
    </row>
    <row r="57" spans="1:11" x14ac:dyDescent="0.25">
      <c r="H57">
        <v>0</v>
      </c>
      <c r="I57">
        <v>15</v>
      </c>
      <c r="J57" s="147">
        <f>I57/(1+K57)^H57</f>
        <v>15</v>
      </c>
      <c r="K57">
        <v>0.11</v>
      </c>
    </row>
    <row r="58" spans="1:11" x14ac:dyDescent="0.25">
      <c r="H58">
        <v>1</v>
      </c>
      <c r="I58">
        <f>I57+3</f>
        <v>18</v>
      </c>
      <c r="J58" s="147">
        <f t="shared" ref="J58:J61" si="3">I58/(1+K58)^H58</f>
        <v>16.216216216216214</v>
      </c>
      <c r="K58">
        <v>0.11</v>
      </c>
    </row>
    <row r="59" spans="1:11" x14ac:dyDescent="0.25">
      <c r="H59">
        <v>2</v>
      </c>
      <c r="I59">
        <f t="shared" ref="I59:I61" si="4">I58+3</f>
        <v>21</v>
      </c>
      <c r="J59" s="147">
        <f t="shared" si="3"/>
        <v>17.044071098125148</v>
      </c>
      <c r="K59">
        <v>0.11</v>
      </c>
    </row>
    <row r="60" spans="1:11" x14ac:dyDescent="0.25">
      <c r="H60">
        <v>3</v>
      </c>
      <c r="I60">
        <f t="shared" si="4"/>
        <v>24</v>
      </c>
      <c r="J60" s="147">
        <f t="shared" si="3"/>
        <v>17.548593151222803</v>
      </c>
      <c r="K60">
        <v>0.11</v>
      </c>
    </row>
    <row r="61" spans="1:11" x14ac:dyDescent="0.25">
      <c r="H61">
        <v>4</v>
      </c>
      <c r="I61">
        <f t="shared" si="4"/>
        <v>27</v>
      </c>
      <c r="J61" s="147">
        <f t="shared" si="3"/>
        <v>17.785736301915001</v>
      </c>
      <c r="K61">
        <v>0.11</v>
      </c>
    </row>
    <row r="62" spans="1:11" x14ac:dyDescent="0.25">
      <c r="H62">
        <v>5</v>
      </c>
      <c r="I62">
        <f t="shared" ref="I62" si="5">I61+3</f>
        <v>30</v>
      </c>
      <c r="J62" s="147">
        <f t="shared" ref="J62" si="6">I62/(1+K62)^H62</f>
        <v>17.803539841756759</v>
      </c>
      <c r="K62">
        <v>0.11</v>
      </c>
    </row>
    <row r="63" spans="1:11" x14ac:dyDescent="0.25">
      <c r="I63" t="s">
        <v>436</v>
      </c>
      <c r="J63" s="147">
        <f>SUM(J58:J62)</f>
        <v>86.398156609235926</v>
      </c>
    </row>
    <row r="65" spans="1:5" x14ac:dyDescent="0.25">
      <c r="A65" t="s">
        <v>438</v>
      </c>
      <c r="B65" t="s">
        <v>439</v>
      </c>
      <c r="D65" t="s">
        <v>424</v>
      </c>
    </row>
    <row r="66" spans="1:5" x14ac:dyDescent="0.25">
      <c r="B66" t="s">
        <v>440</v>
      </c>
    </row>
    <row r="68" spans="1:5" x14ac:dyDescent="0.25">
      <c r="E68" s="63" t="s">
        <v>441</v>
      </c>
    </row>
    <row r="69" spans="1:5" x14ac:dyDescent="0.25">
      <c r="E69" s="63">
        <f xml:space="preserve"> (1.2) * (1+ 0.06) / (0.14 - 0.06)</f>
        <v>15.899999999999997</v>
      </c>
    </row>
  </sheetData>
  <pageMargins left="0.7" right="0.7" top="0.75" bottom="0.75" header="0.3" footer="0.3"/>
  <drawing r:id="rId1"/>
  <legacyDrawing r:id="rId2"/>
  <controls>
    <mc:AlternateContent xmlns:mc="http://schemas.openxmlformats.org/markup-compatibility/2006">
      <mc:Choice Requires="x14">
        <control shapeId="3073" r:id="rId3" name="Control 1">
          <controlPr defaultSize="0" r:id="rId4">
            <anchor moveWithCells="1">
              <from>
                <xdr:col>1</xdr:col>
                <xdr:colOff>0</xdr:colOff>
                <xdr:row>41</xdr:row>
                <xdr:rowOff>0</xdr:rowOff>
              </from>
              <to>
                <xdr:col>1</xdr:col>
                <xdr:colOff>257175</xdr:colOff>
                <xdr:row>42</xdr:row>
                <xdr:rowOff>76200</xdr:rowOff>
              </to>
            </anchor>
          </controlPr>
        </control>
      </mc:Choice>
      <mc:Fallback>
        <control shapeId="3073" r:id="rId3" name="Control 1"/>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7C477-40DB-4684-BE4B-1AC2978B5054}">
  <sheetPr codeName="Sheet2"/>
  <dimension ref="A1:K159"/>
  <sheetViews>
    <sheetView topLeftCell="A82" workbookViewId="0">
      <selection activeCell="D159" sqref="D159"/>
    </sheetView>
  </sheetViews>
  <sheetFormatPr defaultRowHeight="15" x14ac:dyDescent="0.25"/>
  <cols>
    <col min="2" max="2" width="17.85546875" customWidth="1"/>
    <col min="3" max="3" width="13.140625" customWidth="1"/>
    <col min="4" max="4" width="12.5703125" bestFit="1" customWidth="1"/>
    <col min="5" max="5" width="11" customWidth="1"/>
    <col min="6" max="6" width="11.5703125" bestFit="1" customWidth="1"/>
    <col min="7" max="7" width="12.28515625" bestFit="1" customWidth="1"/>
    <col min="8" max="8" width="10.5703125" bestFit="1" customWidth="1"/>
    <col min="9" max="9" width="14.28515625" customWidth="1"/>
    <col min="10" max="10" width="1.7109375" bestFit="1" customWidth="1"/>
    <col min="11" max="11" width="5.5703125" customWidth="1"/>
  </cols>
  <sheetData>
    <row r="1" spans="1:3" x14ac:dyDescent="0.25">
      <c r="A1" t="s">
        <v>223</v>
      </c>
      <c r="B1" t="s">
        <v>495</v>
      </c>
      <c r="C1">
        <v>2.95</v>
      </c>
    </row>
    <row r="2" spans="1:3" x14ac:dyDescent="0.25">
      <c r="B2" t="s">
        <v>496</v>
      </c>
      <c r="C2">
        <v>4.8</v>
      </c>
    </row>
    <row r="4" spans="1:3" x14ac:dyDescent="0.25">
      <c r="B4" t="s">
        <v>497</v>
      </c>
      <c r="C4">
        <v>53.1</v>
      </c>
    </row>
    <row r="6" spans="1:3" x14ac:dyDescent="0.25">
      <c r="B6" t="s">
        <v>498</v>
      </c>
    </row>
    <row r="7" spans="1:3" x14ac:dyDescent="0.25">
      <c r="B7" t="s">
        <v>499</v>
      </c>
    </row>
    <row r="8" spans="1:3" x14ac:dyDescent="0.25">
      <c r="B8" t="s">
        <v>500</v>
      </c>
    </row>
    <row r="9" spans="1:3" x14ac:dyDescent="0.25">
      <c r="B9" t="s">
        <v>501</v>
      </c>
    </row>
    <row r="10" spans="1:3" x14ac:dyDescent="0.25">
      <c r="B10" t="s">
        <v>502</v>
      </c>
    </row>
    <row r="11" spans="1:3" x14ac:dyDescent="0.25">
      <c r="B11" t="s">
        <v>503</v>
      </c>
      <c r="C11" s="82">
        <f>(2.95 + 53.1*0.048)/53.1</f>
        <v>0.10355555555555555</v>
      </c>
    </row>
    <row r="13" spans="1:3" x14ac:dyDescent="0.25">
      <c r="A13" t="s">
        <v>485</v>
      </c>
      <c r="B13" t="s">
        <v>239</v>
      </c>
      <c r="C13">
        <v>8.5</v>
      </c>
    </row>
    <row r="14" spans="1:3" x14ac:dyDescent="0.25">
      <c r="B14" t="s">
        <v>504</v>
      </c>
      <c r="C14">
        <v>1</v>
      </c>
    </row>
    <row r="15" spans="1:3" x14ac:dyDescent="0.25">
      <c r="B15" t="s">
        <v>312</v>
      </c>
      <c r="C15">
        <v>9.5000000000000001E-2</v>
      </c>
    </row>
    <row r="17" spans="1:7" x14ac:dyDescent="0.25">
      <c r="B17" t="s">
        <v>505</v>
      </c>
      <c r="C17" s="70">
        <f>PV(C15,11,-8.5)</f>
        <v>56.502085197930519</v>
      </c>
    </row>
    <row r="19" spans="1:7" x14ac:dyDescent="0.25">
      <c r="A19" s="249"/>
      <c r="B19" s="249"/>
      <c r="C19" s="249"/>
      <c r="D19" s="249"/>
      <c r="E19" s="249"/>
      <c r="F19" s="249"/>
      <c r="G19" s="249"/>
    </row>
    <row r="20" spans="1:7" x14ac:dyDescent="0.25">
      <c r="A20" t="s">
        <v>243</v>
      </c>
      <c r="B20" t="s">
        <v>506</v>
      </c>
      <c r="C20">
        <v>15.75</v>
      </c>
    </row>
    <row r="21" spans="1:7" x14ac:dyDescent="0.25">
      <c r="B21" t="s">
        <v>496</v>
      </c>
      <c r="C21">
        <v>4.8000000000000001E-2</v>
      </c>
    </row>
    <row r="22" spans="1:7" x14ac:dyDescent="0.25">
      <c r="B22" t="s">
        <v>312</v>
      </c>
      <c r="C22">
        <v>0.12</v>
      </c>
    </row>
    <row r="24" spans="1:7" x14ac:dyDescent="0.25">
      <c r="B24" t="s">
        <v>507</v>
      </c>
      <c r="C24" t="s">
        <v>508</v>
      </c>
    </row>
    <row r="25" spans="1:7" x14ac:dyDescent="0.25">
      <c r="C25" s="63" t="s">
        <v>509</v>
      </c>
    </row>
    <row r="26" spans="1:7" x14ac:dyDescent="0.25">
      <c r="C26">
        <f>15.75/(0.12-0.048)</f>
        <v>218.75000000000003</v>
      </c>
    </row>
    <row r="28" spans="1:7" x14ac:dyDescent="0.25">
      <c r="B28" t="s">
        <v>424</v>
      </c>
      <c r="C28" t="s">
        <v>510</v>
      </c>
    </row>
    <row r="30" spans="1:7" x14ac:dyDescent="0.25">
      <c r="B30" t="s">
        <v>424</v>
      </c>
      <c r="C30" s="63" t="s">
        <v>511</v>
      </c>
    </row>
    <row r="32" spans="1:7" x14ac:dyDescent="0.25">
      <c r="B32" t="s">
        <v>424</v>
      </c>
      <c r="C32">
        <f>218.75/(1+0.12)^9</f>
        <v>78.88344296472053</v>
      </c>
    </row>
    <row r="34" spans="1:7" x14ac:dyDescent="0.25">
      <c r="A34" s="249"/>
      <c r="B34" s="249"/>
      <c r="C34" s="249"/>
      <c r="D34" s="249"/>
      <c r="E34" s="249"/>
      <c r="F34" s="249"/>
      <c r="G34" s="249"/>
    </row>
    <row r="35" spans="1:7" x14ac:dyDescent="0.25">
      <c r="C35" t="s">
        <v>504</v>
      </c>
      <c r="D35" t="s">
        <v>512</v>
      </c>
      <c r="E35" t="s">
        <v>429</v>
      </c>
    </row>
    <row r="36" spans="1:7" x14ac:dyDescent="0.25">
      <c r="A36" t="s">
        <v>437</v>
      </c>
      <c r="C36">
        <v>0</v>
      </c>
      <c r="D36">
        <v>15</v>
      </c>
      <c r="E36" s="147">
        <f>D36/(1+$D$43)^C36</f>
        <v>15</v>
      </c>
    </row>
    <row r="37" spans="1:7" x14ac:dyDescent="0.25">
      <c r="C37">
        <v>1</v>
      </c>
      <c r="D37">
        <f>D36+3</f>
        <v>18</v>
      </c>
      <c r="E37" s="147">
        <f t="shared" ref="E37:E40" si="0">D37/(1+$D$43)^C37</f>
        <v>16.216216216216214</v>
      </c>
    </row>
    <row r="38" spans="1:7" x14ac:dyDescent="0.25">
      <c r="C38">
        <v>2</v>
      </c>
      <c r="D38">
        <f t="shared" ref="D38:D41" si="1">D37+3</f>
        <v>21</v>
      </c>
      <c r="E38" s="147">
        <f t="shared" si="0"/>
        <v>17.044071098125148</v>
      </c>
    </row>
    <row r="39" spans="1:7" x14ac:dyDescent="0.25">
      <c r="C39">
        <v>3</v>
      </c>
      <c r="D39">
        <f t="shared" si="1"/>
        <v>24</v>
      </c>
      <c r="E39" s="147">
        <f t="shared" si="0"/>
        <v>17.548593151222803</v>
      </c>
    </row>
    <row r="40" spans="1:7" x14ac:dyDescent="0.25">
      <c r="C40">
        <v>4</v>
      </c>
      <c r="D40">
        <f t="shared" si="1"/>
        <v>27</v>
      </c>
      <c r="E40" s="147">
        <f t="shared" si="0"/>
        <v>17.785736301915001</v>
      </c>
    </row>
    <row r="41" spans="1:7" x14ac:dyDescent="0.25">
      <c r="C41">
        <v>5</v>
      </c>
      <c r="D41">
        <f t="shared" si="1"/>
        <v>30</v>
      </c>
      <c r="E41" s="147">
        <f>D41/(1+$D$43)^C41</f>
        <v>17.803539841756759</v>
      </c>
    </row>
    <row r="43" spans="1:7" x14ac:dyDescent="0.25">
      <c r="C43" t="s">
        <v>333</v>
      </c>
      <c r="D43">
        <v>0.11</v>
      </c>
    </row>
    <row r="45" spans="1:7" x14ac:dyDescent="0.25">
      <c r="C45" s="70" t="s">
        <v>497</v>
      </c>
      <c r="D45" s="147">
        <f>SUM(E37:E41)</f>
        <v>86.398156609235926</v>
      </c>
    </row>
    <row r="47" spans="1:7" x14ac:dyDescent="0.25">
      <c r="A47" s="249"/>
      <c r="B47" s="249"/>
      <c r="C47" s="249"/>
      <c r="D47" s="249"/>
      <c r="E47" s="249"/>
      <c r="F47" s="249"/>
      <c r="G47" s="249"/>
    </row>
    <row r="49" spans="1:11" x14ac:dyDescent="0.25">
      <c r="A49" t="s">
        <v>438</v>
      </c>
      <c r="B49" t="s">
        <v>496</v>
      </c>
      <c r="C49">
        <v>0.06</v>
      </c>
    </row>
    <row r="50" spans="1:11" x14ac:dyDescent="0.25">
      <c r="B50" t="s">
        <v>513</v>
      </c>
      <c r="C50">
        <v>1.2</v>
      </c>
    </row>
    <row r="51" spans="1:11" x14ac:dyDescent="0.25">
      <c r="B51" t="s">
        <v>312</v>
      </c>
      <c r="C51">
        <v>0.14000000000000001</v>
      </c>
    </row>
    <row r="53" spans="1:11" x14ac:dyDescent="0.25">
      <c r="B53" t="s">
        <v>514</v>
      </c>
    </row>
    <row r="54" spans="1:11" x14ac:dyDescent="0.25">
      <c r="B54" t="s">
        <v>515</v>
      </c>
    </row>
    <row r="55" spans="1:11" x14ac:dyDescent="0.25">
      <c r="B55" t="s">
        <v>436</v>
      </c>
      <c r="C55">
        <f xml:space="preserve"> (1.2 *(1+0.06))/(0.14-0.06)</f>
        <v>15.899999999999997</v>
      </c>
    </row>
    <row r="57" spans="1:11" x14ac:dyDescent="0.25">
      <c r="A57" s="249"/>
      <c r="B57" s="249"/>
      <c r="C57" s="249"/>
      <c r="D57" s="249"/>
      <c r="E57" s="249"/>
      <c r="F57" s="249"/>
      <c r="G57" s="249"/>
    </row>
    <row r="59" spans="1:11" x14ac:dyDescent="0.25">
      <c r="A59" t="s">
        <v>516</v>
      </c>
    </row>
    <row r="61" spans="1:11" x14ac:dyDescent="0.25">
      <c r="C61" t="s">
        <v>517</v>
      </c>
      <c r="D61" t="s">
        <v>518</v>
      </c>
      <c r="F61" t="s">
        <v>276</v>
      </c>
      <c r="G61" t="s">
        <v>522</v>
      </c>
      <c r="H61" t="s">
        <v>523</v>
      </c>
      <c r="I61" t="s">
        <v>429</v>
      </c>
      <c r="J61" t="s">
        <v>312</v>
      </c>
      <c r="K61">
        <v>0.1</v>
      </c>
    </row>
    <row r="62" spans="1:11" x14ac:dyDescent="0.25">
      <c r="B62" t="s">
        <v>519</v>
      </c>
      <c r="C62" s="73">
        <v>3300000</v>
      </c>
      <c r="D62" s="73">
        <v>4500000</v>
      </c>
      <c r="F62">
        <v>0</v>
      </c>
      <c r="G62" s="242">
        <f>H62-D62</f>
        <v>-3000000</v>
      </c>
      <c r="H62" s="242">
        <v>1500000</v>
      </c>
      <c r="I62" s="242">
        <f>G62</f>
        <v>-3000000</v>
      </c>
    </row>
    <row r="63" spans="1:11" x14ac:dyDescent="0.25">
      <c r="B63" t="s">
        <v>520</v>
      </c>
      <c r="C63" s="73">
        <v>11</v>
      </c>
      <c r="D63" s="73">
        <v>10</v>
      </c>
      <c r="F63">
        <v>1</v>
      </c>
      <c r="G63" s="242">
        <f>D$70-C$70</f>
        <v>397500</v>
      </c>
      <c r="I63" s="242">
        <f>G63/(1+K$61)^F63</f>
        <v>361363.63636363635</v>
      </c>
    </row>
    <row r="64" spans="1:11" x14ac:dyDescent="0.25">
      <c r="B64" t="s">
        <v>151</v>
      </c>
      <c r="C64" s="73">
        <f>C62/C63</f>
        <v>300000</v>
      </c>
      <c r="D64" s="73">
        <f>D62/D63</f>
        <v>450000</v>
      </c>
      <c r="F64">
        <v>2</v>
      </c>
      <c r="G64" s="242">
        <f t="shared" ref="G64:G72" si="2">D$70-C$70</f>
        <v>397500</v>
      </c>
      <c r="I64" s="242">
        <f t="shared" ref="I64:I72" si="3">G64/(1+K$61)^F64</f>
        <v>328512.39669421484</v>
      </c>
    </row>
    <row r="65" spans="1:11" x14ac:dyDescent="0.25">
      <c r="C65" s="73"/>
      <c r="D65" s="73"/>
      <c r="F65">
        <v>3</v>
      </c>
      <c r="G65" s="242">
        <f t="shared" si="2"/>
        <v>397500</v>
      </c>
      <c r="I65" s="242">
        <f t="shared" si="3"/>
        <v>298647.63335837709</v>
      </c>
    </row>
    <row r="66" spans="1:11" x14ac:dyDescent="0.25">
      <c r="B66" t="s">
        <v>521</v>
      </c>
      <c r="C66" s="73">
        <v>300000</v>
      </c>
      <c r="D66" s="73">
        <v>750000</v>
      </c>
      <c r="F66">
        <v>4</v>
      </c>
      <c r="G66" s="242">
        <f t="shared" si="2"/>
        <v>397500</v>
      </c>
      <c r="I66" s="242">
        <f t="shared" si="3"/>
        <v>271497.8485076155</v>
      </c>
    </row>
    <row r="67" spans="1:11" x14ac:dyDescent="0.25">
      <c r="B67" t="s">
        <v>524</v>
      </c>
      <c r="C67" s="73">
        <f>-0.45*C66</f>
        <v>-135000</v>
      </c>
      <c r="D67" s="73">
        <f>-0.45*D66</f>
        <v>-337500</v>
      </c>
      <c r="F67">
        <v>5</v>
      </c>
      <c r="G67" s="242">
        <f t="shared" si="2"/>
        <v>397500</v>
      </c>
      <c r="I67" s="242">
        <f t="shared" si="3"/>
        <v>246816.22591601411</v>
      </c>
    </row>
    <row r="68" spans="1:11" x14ac:dyDescent="0.25">
      <c r="B68" t="s">
        <v>151</v>
      </c>
      <c r="C68" s="73">
        <f>C64</f>
        <v>300000</v>
      </c>
      <c r="D68" s="73">
        <f>D64</f>
        <v>450000</v>
      </c>
      <c r="F68">
        <v>6</v>
      </c>
      <c r="G68" s="242">
        <f t="shared" si="2"/>
        <v>397500</v>
      </c>
      <c r="I68" s="242">
        <f t="shared" si="3"/>
        <v>224378.38719637642</v>
      </c>
    </row>
    <row r="69" spans="1:11" x14ac:dyDescent="0.25">
      <c r="F69">
        <v>7</v>
      </c>
      <c r="G69" s="242">
        <f t="shared" si="2"/>
        <v>397500</v>
      </c>
      <c r="I69" s="242">
        <f t="shared" si="3"/>
        <v>203980.35199670581</v>
      </c>
    </row>
    <row r="70" spans="1:11" x14ac:dyDescent="0.25">
      <c r="B70" t="s">
        <v>522</v>
      </c>
      <c r="C70" s="242">
        <f>SUM(C66:C68)</f>
        <v>465000</v>
      </c>
      <c r="D70" s="242">
        <f>SUM(D66:D68)</f>
        <v>862500</v>
      </c>
      <c r="F70">
        <v>8</v>
      </c>
      <c r="G70" s="242">
        <f t="shared" si="2"/>
        <v>397500</v>
      </c>
      <c r="I70" s="242">
        <f t="shared" si="3"/>
        <v>185436.68363336893</v>
      </c>
    </row>
    <row r="71" spans="1:11" x14ac:dyDescent="0.25">
      <c r="F71">
        <v>9</v>
      </c>
      <c r="G71" s="242">
        <f t="shared" si="2"/>
        <v>397500</v>
      </c>
      <c r="I71" s="242">
        <f t="shared" si="3"/>
        <v>168578.80330306265</v>
      </c>
    </row>
    <row r="72" spans="1:11" x14ac:dyDescent="0.25">
      <c r="F72">
        <v>10</v>
      </c>
      <c r="G72" s="242">
        <f t="shared" si="2"/>
        <v>397500</v>
      </c>
      <c r="I72" s="242">
        <f t="shared" si="3"/>
        <v>153253.45754823877</v>
      </c>
    </row>
    <row r="73" spans="1:11" x14ac:dyDescent="0.25">
      <c r="B73" t="s">
        <v>525</v>
      </c>
      <c r="C73" s="242">
        <f>SUM(I62:I72)</f>
        <v>-557534.57548238942</v>
      </c>
      <c r="G73" s="242"/>
    </row>
    <row r="74" spans="1:11" x14ac:dyDescent="0.25">
      <c r="A74" t="s">
        <v>526</v>
      </c>
    </row>
    <row r="76" spans="1:11" x14ac:dyDescent="0.25">
      <c r="A76" s="249"/>
      <c r="B76" s="249"/>
      <c r="C76" s="249"/>
      <c r="D76" s="249"/>
      <c r="E76" s="249"/>
      <c r="F76" s="249"/>
      <c r="G76" s="249"/>
    </row>
    <row r="78" spans="1:11" x14ac:dyDescent="0.25">
      <c r="A78" t="s">
        <v>527</v>
      </c>
      <c r="C78" t="s">
        <v>517</v>
      </c>
      <c r="D78" t="s">
        <v>518</v>
      </c>
      <c r="F78" t="s">
        <v>276</v>
      </c>
      <c r="G78" t="s">
        <v>522</v>
      </c>
      <c r="H78" t="s">
        <v>523</v>
      </c>
      <c r="I78" t="s">
        <v>429</v>
      </c>
      <c r="J78" t="s">
        <v>312</v>
      </c>
      <c r="K78">
        <v>0.1</v>
      </c>
    </row>
    <row r="79" spans="1:11" x14ac:dyDescent="0.25">
      <c r="B79" t="s">
        <v>519</v>
      </c>
      <c r="D79" s="73">
        <v>60000000</v>
      </c>
      <c r="F79">
        <v>0</v>
      </c>
      <c r="G79" s="242">
        <f>-D79</f>
        <v>-60000000</v>
      </c>
      <c r="H79" s="242"/>
      <c r="I79" s="242">
        <f>G79</f>
        <v>-60000000</v>
      </c>
    </row>
    <row r="80" spans="1:11" x14ac:dyDescent="0.25">
      <c r="D80" s="73"/>
      <c r="F80">
        <v>1</v>
      </c>
      <c r="G80" s="242">
        <f>D$87-C$87</f>
        <v>18700000</v>
      </c>
      <c r="I80" s="242">
        <f>G80/(1+K$78)^F80</f>
        <v>17000000</v>
      </c>
    </row>
    <row r="81" spans="1:11" x14ac:dyDescent="0.25">
      <c r="D81" s="73"/>
      <c r="F81">
        <v>2</v>
      </c>
      <c r="G81" s="242">
        <f t="shared" ref="G81:G84" si="4">D$87-C$87</f>
        <v>18700000</v>
      </c>
      <c r="I81" s="242">
        <f t="shared" ref="I81:I84" si="5">G81/(1+K$61)^F81</f>
        <v>15454545.454545451</v>
      </c>
    </row>
    <row r="82" spans="1:11" x14ac:dyDescent="0.25">
      <c r="D82" s="73"/>
      <c r="F82">
        <v>3</v>
      </c>
      <c r="G82" s="242">
        <f t="shared" si="4"/>
        <v>18700000</v>
      </c>
      <c r="I82" s="242">
        <f t="shared" si="5"/>
        <v>14049586.7768595</v>
      </c>
    </row>
    <row r="83" spans="1:11" x14ac:dyDescent="0.25">
      <c r="B83" t="s">
        <v>521</v>
      </c>
      <c r="D83" s="73"/>
      <c r="F83">
        <v>4</v>
      </c>
      <c r="G83" s="242">
        <f t="shared" si="4"/>
        <v>18700000</v>
      </c>
      <c r="I83" s="242">
        <f t="shared" si="5"/>
        <v>12772351.615326818</v>
      </c>
    </row>
    <row r="84" spans="1:11" x14ac:dyDescent="0.25">
      <c r="B84" t="s">
        <v>524</v>
      </c>
      <c r="D84" s="73"/>
      <c r="F84">
        <v>5</v>
      </c>
      <c r="G84" s="242">
        <f t="shared" si="4"/>
        <v>18700000</v>
      </c>
      <c r="I84" s="242">
        <f t="shared" si="5"/>
        <v>11611228.741206197</v>
      </c>
    </row>
    <row r="85" spans="1:11" x14ac:dyDescent="0.25">
      <c r="B85" t="s">
        <v>151</v>
      </c>
      <c r="D85" s="73"/>
      <c r="G85" s="242"/>
      <c r="I85" s="242"/>
    </row>
    <row r="86" spans="1:11" x14ac:dyDescent="0.25">
      <c r="G86" s="242"/>
      <c r="I86" s="242"/>
    </row>
    <row r="87" spans="1:11" x14ac:dyDescent="0.25">
      <c r="B87" t="s">
        <v>522</v>
      </c>
      <c r="C87" s="242">
        <v>-18000000</v>
      </c>
      <c r="D87" s="242">
        <v>700000</v>
      </c>
      <c r="G87" s="242"/>
      <c r="I87" s="242"/>
    </row>
    <row r="88" spans="1:11" x14ac:dyDescent="0.25">
      <c r="G88" s="242"/>
      <c r="I88" s="242"/>
    </row>
    <row r="89" spans="1:11" x14ac:dyDescent="0.25">
      <c r="G89" s="242"/>
      <c r="I89" s="242"/>
    </row>
    <row r="90" spans="1:11" x14ac:dyDescent="0.25">
      <c r="B90" t="s">
        <v>525</v>
      </c>
      <c r="C90" s="242">
        <f>SUM(I79:I84)</f>
        <v>10887712.587937968</v>
      </c>
      <c r="G90" s="242"/>
    </row>
    <row r="92" spans="1:11" x14ac:dyDescent="0.25">
      <c r="A92" s="249"/>
      <c r="B92" s="249"/>
      <c r="C92" s="249"/>
      <c r="D92" s="249"/>
      <c r="E92" s="249"/>
      <c r="F92" s="249"/>
      <c r="G92" s="249"/>
    </row>
    <row r="94" spans="1:11" x14ac:dyDescent="0.25">
      <c r="A94" t="s">
        <v>528</v>
      </c>
      <c r="C94" t="s">
        <v>529</v>
      </c>
      <c r="D94" t="s">
        <v>530</v>
      </c>
      <c r="F94" t="s">
        <v>276</v>
      </c>
      <c r="G94" t="s">
        <v>522</v>
      </c>
      <c r="H94" t="s">
        <v>523</v>
      </c>
      <c r="I94" t="s">
        <v>429</v>
      </c>
      <c r="J94" t="s">
        <v>312</v>
      </c>
      <c r="K94">
        <v>0.12</v>
      </c>
    </row>
    <row r="95" spans="1:11" x14ac:dyDescent="0.25">
      <c r="B95" t="s">
        <v>519</v>
      </c>
      <c r="C95" s="73">
        <v>308000</v>
      </c>
      <c r="D95" s="73">
        <v>440000</v>
      </c>
      <c r="F95">
        <v>0</v>
      </c>
      <c r="G95" s="242">
        <f>H95-D95</f>
        <v>-170500</v>
      </c>
      <c r="H95" s="242">
        <v>269500</v>
      </c>
      <c r="I95" s="242">
        <f>G95</f>
        <v>-170500</v>
      </c>
    </row>
    <row r="96" spans="1:11" x14ac:dyDescent="0.25">
      <c r="B96" t="s">
        <v>520</v>
      </c>
      <c r="C96" s="73">
        <v>8</v>
      </c>
      <c r="D96" s="73">
        <v>7</v>
      </c>
      <c r="F96">
        <v>1</v>
      </c>
      <c r="G96" s="242">
        <f t="shared" ref="G96:G102" si="6">D$106-C$106</f>
        <v>45405</v>
      </c>
      <c r="I96" s="242">
        <f>G96/(1+K$94)^F96</f>
        <v>40540.178571428565</v>
      </c>
    </row>
    <row r="97" spans="1:9" x14ac:dyDescent="0.25">
      <c r="B97" t="s">
        <v>151</v>
      </c>
      <c r="C97" s="73">
        <f>C95/C96</f>
        <v>38500</v>
      </c>
      <c r="D97" s="73">
        <f>D95/D96</f>
        <v>62857.142857142855</v>
      </c>
      <c r="F97">
        <v>2</v>
      </c>
      <c r="G97" s="242">
        <f t="shared" si="6"/>
        <v>45405</v>
      </c>
      <c r="I97" s="242">
        <f t="shared" ref="I97:I102" si="7">G97/(1+K$94)^F97</f>
        <v>36196.588010204076</v>
      </c>
    </row>
    <row r="98" spans="1:9" x14ac:dyDescent="0.25">
      <c r="C98" s="73"/>
      <c r="D98" s="73"/>
      <c r="F98">
        <v>3</v>
      </c>
      <c r="G98" s="242">
        <f t="shared" si="6"/>
        <v>45405</v>
      </c>
      <c r="I98" s="242">
        <f t="shared" si="7"/>
        <v>32318.382151967922</v>
      </c>
    </row>
    <row r="99" spans="1:9" x14ac:dyDescent="0.25">
      <c r="B99" t="s">
        <v>202</v>
      </c>
      <c r="C99" s="73">
        <v>49000</v>
      </c>
      <c r="D99" s="73">
        <v>100000</v>
      </c>
      <c r="F99">
        <v>4</v>
      </c>
      <c r="G99" s="242">
        <f t="shared" si="6"/>
        <v>45405</v>
      </c>
      <c r="I99" s="242">
        <f t="shared" si="7"/>
        <v>28855.698349971361</v>
      </c>
    </row>
    <row r="100" spans="1:9" x14ac:dyDescent="0.25">
      <c r="B100" t="s">
        <v>151</v>
      </c>
      <c r="C100" s="73">
        <f>C97</f>
        <v>38500</v>
      </c>
      <c r="D100" s="73">
        <f>D97</f>
        <v>62857.142857142855</v>
      </c>
      <c r="F100">
        <v>5</v>
      </c>
      <c r="G100" s="242">
        <f t="shared" si="6"/>
        <v>45405</v>
      </c>
      <c r="I100" s="242">
        <f>G100/(1+K$94)^F100</f>
        <v>25764.016383902999</v>
      </c>
    </row>
    <row r="101" spans="1:9" x14ac:dyDescent="0.25">
      <c r="C101" s="73"/>
      <c r="D101" s="73"/>
      <c r="F101">
        <v>6</v>
      </c>
      <c r="G101" s="242">
        <f t="shared" si="6"/>
        <v>45405</v>
      </c>
      <c r="I101" s="242">
        <f t="shared" si="7"/>
        <v>23003.586057056244</v>
      </c>
    </row>
    <row r="102" spans="1:9" x14ac:dyDescent="0.25">
      <c r="B102" t="s">
        <v>521</v>
      </c>
      <c r="C102" s="73">
        <f>C99-C100</f>
        <v>10500</v>
      </c>
      <c r="D102" s="73">
        <f>D99-D100</f>
        <v>37142.857142857145</v>
      </c>
      <c r="F102">
        <v>7</v>
      </c>
      <c r="G102" s="242">
        <f t="shared" si="6"/>
        <v>45405</v>
      </c>
      <c r="I102" s="242">
        <f t="shared" si="7"/>
        <v>20538.916122371647</v>
      </c>
    </row>
    <row r="103" spans="1:9" x14ac:dyDescent="0.25">
      <c r="B103" t="s">
        <v>531</v>
      </c>
      <c r="C103" s="73">
        <f>-0.21*C102</f>
        <v>-2205</v>
      </c>
      <c r="D103" s="73">
        <f>-0.21*D102</f>
        <v>-7800</v>
      </c>
      <c r="G103" s="242"/>
      <c r="I103" s="242"/>
    </row>
    <row r="104" spans="1:9" x14ac:dyDescent="0.25">
      <c r="B104" t="s">
        <v>151</v>
      </c>
      <c r="C104" s="73">
        <f>C97</f>
        <v>38500</v>
      </c>
      <c r="D104" s="73">
        <f>D97</f>
        <v>62857.142857142855</v>
      </c>
      <c r="G104" s="242"/>
      <c r="I104" s="242"/>
    </row>
    <row r="105" spans="1:9" x14ac:dyDescent="0.25">
      <c r="G105" s="242"/>
      <c r="I105" s="242"/>
    </row>
    <row r="106" spans="1:9" x14ac:dyDescent="0.25">
      <c r="B106" t="s">
        <v>522</v>
      </c>
      <c r="C106" s="242">
        <f>SUM(C102:C104)</f>
        <v>46795</v>
      </c>
      <c r="D106" s="242">
        <f>SUM(D102:D104)</f>
        <v>92200</v>
      </c>
      <c r="G106" s="242"/>
    </row>
    <row r="109" spans="1:9" x14ac:dyDescent="0.25">
      <c r="B109" t="s">
        <v>525</v>
      </c>
      <c r="C109" s="242">
        <f>SUM(I95:I102)</f>
        <v>36717.365646902806</v>
      </c>
    </row>
    <row r="111" spans="1:9" x14ac:dyDescent="0.25">
      <c r="A111" s="249"/>
      <c r="B111" s="249"/>
      <c r="C111" s="249"/>
      <c r="D111" s="249"/>
      <c r="E111" s="249"/>
      <c r="F111" s="249"/>
      <c r="G111" s="249"/>
    </row>
    <row r="113" spans="1:11" x14ac:dyDescent="0.25">
      <c r="A113" t="s">
        <v>532</v>
      </c>
    </row>
    <row r="114" spans="1:11" x14ac:dyDescent="0.25">
      <c r="B114" s="250" t="s">
        <v>147</v>
      </c>
      <c r="C114" s="250" t="s">
        <v>533</v>
      </c>
      <c r="D114" s="250" t="s">
        <v>534</v>
      </c>
      <c r="E114" s="250" t="s">
        <v>535</v>
      </c>
      <c r="F114" s="253" t="s">
        <v>265</v>
      </c>
    </row>
    <row r="115" spans="1:11" x14ac:dyDescent="0.25">
      <c r="B115" s="250" t="s">
        <v>467</v>
      </c>
      <c r="C115" s="251">
        <v>-1000000</v>
      </c>
      <c r="D115" s="251">
        <v>-267000</v>
      </c>
      <c r="E115" s="251">
        <v>-150000</v>
      </c>
      <c r="F115" s="103">
        <f>SUM(C115:E115)</f>
        <v>-1417000</v>
      </c>
    </row>
    <row r="116" spans="1:11" x14ac:dyDescent="0.25">
      <c r="B116" s="250">
        <v>1</v>
      </c>
      <c r="C116" s="251">
        <v>600000</v>
      </c>
      <c r="D116" s="251">
        <v>200000</v>
      </c>
      <c r="E116" s="251">
        <v>20000</v>
      </c>
      <c r="F116" s="103">
        <f t="shared" ref="F116:F120" si="8">SUM(C116:E116)</f>
        <v>820000</v>
      </c>
    </row>
    <row r="117" spans="1:11" x14ac:dyDescent="0.25">
      <c r="B117" s="250">
        <v>2</v>
      </c>
      <c r="C117" s="251">
        <v>400000</v>
      </c>
      <c r="D117" s="251">
        <v>200000</v>
      </c>
      <c r="E117" s="251">
        <v>20000</v>
      </c>
      <c r="F117" s="103">
        <f t="shared" si="8"/>
        <v>620000</v>
      </c>
    </row>
    <row r="118" spans="1:11" x14ac:dyDescent="0.25">
      <c r="B118" s="250">
        <v>3</v>
      </c>
      <c r="C118" s="251">
        <v>250000</v>
      </c>
      <c r="D118" s="251">
        <v>50000</v>
      </c>
      <c r="E118" s="251">
        <v>120000</v>
      </c>
      <c r="F118" s="103">
        <f t="shared" si="8"/>
        <v>420000</v>
      </c>
    </row>
    <row r="119" spans="1:11" x14ac:dyDescent="0.25">
      <c r="B119" s="250">
        <v>4</v>
      </c>
      <c r="C119" s="251">
        <v>100000</v>
      </c>
      <c r="D119" s="250">
        <v>0</v>
      </c>
      <c r="E119" s="251">
        <v>150000</v>
      </c>
      <c r="F119" s="103">
        <f t="shared" si="8"/>
        <v>250000</v>
      </c>
    </row>
    <row r="120" spans="1:11" x14ac:dyDescent="0.25">
      <c r="B120" s="250">
        <v>5</v>
      </c>
      <c r="C120" s="251">
        <v>75000</v>
      </c>
      <c r="D120" s="250">
        <v>0</v>
      </c>
      <c r="E120" s="251">
        <v>50000</v>
      </c>
      <c r="F120" s="103">
        <f t="shared" si="8"/>
        <v>125000</v>
      </c>
    </row>
    <row r="122" spans="1:11" ht="15.75" thickBot="1" x14ac:dyDescent="0.3">
      <c r="B122" s="238"/>
      <c r="E122" t="s">
        <v>19</v>
      </c>
      <c r="F122" s="208">
        <f>IRR(F115:F120)</f>
        <v>0.24733391238084801</v>
      </c>
    </row>
    <row r="123" spans="1:11" x14ac:dyDescent="0.25">
      <c r="B123" s="252"/>
    </row>
    <row r="126" spans="1:11" x14ac:dyDescent="0.25">
      <c r="A126" s="249"/>
      <c r="B126" s="249"/>
      <c r="C126" s="249"/>
      <c r="D126" s="249"/>
      <c r="E126" s="249"/>
      <c r="F126" s="249"/>
      <c r="G126" s="249"/>
    </row>
    <row r="128" spans="1:11" x14ac:dyDescent="0.25">
      <c r="A128" t="s">
        <v>476</v>
      </c>
      <c r="C128" t="s">
        <v>537</v>
      </c>
      <c r="D128" t="s">
        <v>536</v>
      </c>
      <c r="F128" t="s">
        <v>276</v>
      </c>
      <c r="G128" t="s">
        <v>522</v>
      </c>
      <c r="H128" t="s">
        <v>523</v>
      </c>
      <c r="I128" t="s">
        <v>429</v>
      </c>
      <c r="J128" t="s">
        <v>312</v>
      </c>
      <c r="K128">
        <v>0.14000000000000001</v>
      </c>
    </row>
    <row r="129" spans="2:9" x14ac:dyDescent="0.25">
      <c r="B129" t="s">
        <v>519</v>
      </c>
      <c r="C129" s="73">
        <v>650000</v>
      </c>
      <c r="D129" s="73">
        <v>730000</v>
      </c>
      <c r="F129">
        <v>0</v>
      </c>
      <c r="G129" s="242">
        <f>H129-D129</f>
        <v>-255000</v>
      </c>
      <c r="H129" s="242">
        <v>475000</v>
      </c>
      <c r="I129" s="242">
        <f>G129</f>
        <v>-255000</v>
      </c>
    </row>
    <row r="130" spans="2:9" x14ac:dyDescent="0.25">
      <c r="B130" t="s">
        <v>520</v>
      </c>
      <c r="C130" s="73">
        <v>6</v>
      </c>
      <c r="D130" s="73">
        <v>5</v>
      </c>
      <c r="F130">
        <v>1</v>
      </c>
      <c r="G130" s="242">
        <f>D$141-C$141</f>
        <v>83450</v>
      </c>
      <c r="I130" s="242">
        <f>G130/(1+K$128)^F130</f>
        <v>73201.754385964901</v>
      </c>
    </row>
    <row r="131" spans="2:9" x14ac:dyDescent="0.25">
      <c r="B131" t="s">
        <v>523</v>
      </c>
      <c r="C131" s="73">
        <v>50000</v>
      </c>
      <c r="D131" s="73">
        <v>30000</v>
      </c>
      <c r="F131">
        <v>2</v>
      </c>
      <c r="G131" s="242">
        <f t="shared" ref="G131:G133" si="9">D$141-C$141</f>
        <v>83450</v>
      </c>
      <c r="I131" s="242">
        <f t="shared" ref="I131:I133" si="10">G131/(1+K$128)^F131</f>
        <v>64212.065250846397</v>
      </c>
    </row>
    <row r="132" spans="2:9" x14ac:dyDescent="0.25">
      <c r="B132" t="s">
        <v>151</v>
      </c>
      <c r="C132" s="73">
        <f>(C129-C131)/C130</f>
        <v>100000</v>
      </c>
      <c r="D132" s="73">
        <f>(D129-D131)/D130</f>
        <v>140000</v>
      </c>
      <c r="F132">
        <v>3</v>
      </c>
      <c r="G132" s="242">
        <f t="shared" si="9"/>
        <v>83450</v>
      </c>
      <c r="I132" s="242">
        <f t="shared" si="10"/>
        <v>56326.373027058245</v>
      </c>
    </row>
    <row r="133" spans="2:9" x14ac:dyDescent="0.25">
      <c r="C133" s="73"/>
      <c r="D133" s="73"/>
      <c r="F133">
        <v>4</v>
      </c>
      <c r="G133" s="242">
        <f t="shared" si="9"/>
        <v>83450</v>
      </c>
      <c r="I133" s="242">
        <f t="shared" si="10"/>
        <v>49409.099146542307</v>
      </c>
    </row>
    <row r="134" spans="2:9" x14ac:dyDescent="0.25">
      <c r="B134" t="s">
        <v>202</v>
      </c>
      <c r="C134" s="73">
        <v>365000</v>
      </c>
      <c r="D134" s="73">
        <v>460000</v>
      </c>
      <c r="F134">
        <v>5</v>
      </c>
      <c r="G134" s="242">
        <f>D$141-C$141 +D131</f>
        <v>113450</v>
      </c>
      <c r="I134" s="242">
        <f>G134/(1+K$128)^F134</f>
        <v>58922.374971621037</v>
      </c>
    </row>
    <row r="135" spans="2:9" x14ac:dyDescent="0.25">
      <c r="B135" t="s">
        <v>151</v>
      </c>
      <c r="C135" s="73">
        <f>C132</f>
        <v>100000</v>
      </c>
      <c r="D135" s="73">
        <f>D132</f>
        <v>140000</v>
      </c>
      <c r="G135" s="242"/>
      <c r="I135" s="242"/>
    </row>
    <row r="136" spans="2:9" x14ac:dyDescent="0.25">
      <c r="C136" s="73"/>
      <c r="D136" s="73"/>
      <c r="G136" s="242"/>
      <c r="I136" s="242"/>
    </row>
    <row r="137" spans="2:9" x14ac:dyDescent="0.25">
      <c r="B137" t="s">
        <v>521</v>
      </c>
      <c r="C137" s="73">
        <f>C134-C135</f>
        <v>265000</v>
      </c>
      <c r="D137" s="73">
        <f>D134-D135</f>
        <v>320000</v>
      </c>
      <c r="G137" s="242"/>
      <c r="I137" s="242"/>
    </row>
    <row r="138" spans="2:9" x14ac:dyDescent="0.25">
      <c r="B138" t="s">
        <v>531</v>
      </c>
      <c r="C138" s="73">
        <f>-0.21*C137</f>
        <v>-55650</v>
      </c>
      <c r="D138" s="73">
        <f>-0.21*D137</f>
        <v>-67200</v>
      </c>
      <c r="G138" s="242"/>
      <c r="I138" s="242"/>
    </row>
    <row r="139" spans="2:9" x14ac:dyDescent="0.25">
      <c r="B139" t="s">
        <v>151</v>
      </c>
      <c r="C139" s="73">
        <f>C132</f>
        <v>100000</v>
      </c>
      <c r="D139" s="73">
        <f>D132</f>
        <v>140000</v>
      </c>
      <c r="G139" s="242"/>
      <c r="I139" s="242"/>
    </row>
    <row r="140" spans="2:9" x14ac:dyDescent="0.25">
      <c r="G140" s="242"/>
    </row>
    <row r="141" spans="2:9" x14ac:dyDescent="0.25">
      <c r="B141" t="s">
        <v>522</v>
      </c>
      <c r="C141" s="242">
        <f>SUM(C137:C139)</f>
        <v>309350</v>
      </c>
      <c r="D141" s="242">
        <f>SUM(D137:D139)</f>
        <v>392800</v>
      </c>
    </row>
    <row r="144" spans="2:9" x14ac:dyDescent="0.25">
      <c r="B144" t="s">
        <v>525</v>
      </c>
      <c r="C144" s="242">
        <f>SUM(I129:I134)</f>
        <v>47071.666782032873</v>
      </c>
    </row>
    <row r="146" spans="1:7" x14ac:dyDescent="0.25">
      <c r="A146" s="249"/>
      <c r="B146" s="249"/>
      <c r="C146" s="249"/>
      <c r="D146" s="249"/>
      <c r="E146" s="249"/>
      <c r="F146" s="249"/>
      <c r="G146" s="249"/>
    </row>
    <row r="147" spans="1:7" ht="15.75" thickBot="1" x14ac:dyDescent="0.3">
      <c r="A147" t="s">
        <v>477</v>
      </c>
    </row>
    <row r="148" spans="1:7" ht="90.75" thickBot="1" x14ac:dyDescent="0.3">
      <c r="B148" s="68" t="s">
        <v>147</v>
      </c>
      <c r="C148" s="67" t="s">
        <v>538</v>
      </c>
      <c r="D148" s="67" t="s">
        <v>539</v>
      </c>
      <c r="E148" s="68" t="s">
        <v>540</v>
      </c>
      <c r="F148" s="67" t="s">
        <v>541</v>
      </c>
      <c r="G148" s="67" t="s">
        <v>542</v>
      </c>
    </row>
    <row r="149" spans="1:7" ht="15.75" thickBot="1" x14ac:dyDescent="0.3">
      <c r="B149" s="68">
        <v>0</v>
      </c>
      <c r="C149" s="69">
        <v>-950</v>
      </c>
      <c r="D149" s="69">
        <v>-2100</v>
      </c>
      <c r="E149" s="69">
        <v>-500</v>
      </c>
      <c r="F149" s="69">
        <v>-1800</v>
      </c>
      <c r="G149" s="69">
        <v>-2000</v>
      </c>
    </row>
    <row r="150" spans="1:7" ht="15.75" thickBot="1" x14ac:dyDescent="0.3">
      <c r="B150" s="68">
        <v>1</v>
      </c>
      <c r="C150" s="69">
        <v>875</v>
      </c>
      <c r="D150" s="69">
        <v>1600</v>
      </c>
      <c r="E150" s="69">
        <v>600</v>
      </c>
      <c r="F150" s="69">
        <v>1500</v>
      </c>
      <c r="G150" s="69">
        <v>800</v>
      </c>
    </row>
    <row r="151" spans="1:7" ht="15.75" thickBot="1" x14ac:dyDescent="0.3">
      <c r="B151" s="68">
        <v>2</v>
      </c>
      <c r="C151" s="69">
        <v>550</v>
      </c>
      <c r="D151" s="69">
        <v>1050</v>
      </c>
      <c r="E151" s="69">
        <v>200</v>
      </c>
      <c r="F151" s="69">
        <v>1200</v>
      </c>
      <c r="G151" s="69">
        <v>700</v>
      </c>
    </row>
    <row r="152" spans="1:7" ht="15.75" thickBot="1" x14ac:dyDescent="0.3">
      <c r="B152" s="68">
        <v>3</v>
      </c>
      <c r="C152" s="69">
        <v>130</v>
      </c>
      <c r="D152" s="69">
        <v>900</v>
      </c>
      <c r="E152" s="69">
        <v>50</v>
      </c>
      <c r="F152" s="69">
        <v>-1000</v>
      </c>
      <c r="G152" s="69">
        <v>600</v>
      </c>
    </row>
    <row r="153" spans="1:7" ht="15.75" thickBot="1" x14ac:dyDescent="0.3">
      <c r="B153" s="68">
        <v>4</v>
      </c>
      <c r="C153" s="69">
        <v>100</v>
      </c>
      <c r="D153" s="69">
        <v>50</v>
      </c>
      <c r="E153" s="69">
        <v>50</v>
      </c>
      <c r="F153" s="69">
        <v>1000</v>
      </c>
      <c r="G153" s="69">
        <v>200</v>
      </c>
    </row>
    <row r="154" spans="1:7" ht="15.75" thickBot="1" x14ac:dyDescent="0.3">
      <c r="B154" s="68">
        <v>5</v>
      </c>
      <c r="C154" s="69">
        <v>75</v>
      </c>
      <c r="D154" s="69">
        <v>25</v>
      </c>
      <c r="E154" s="69">
        <v>50</v>
      </c>
      <c r="F154" s="69">
        <v>500</v>
      </c>
      <c r="G154" s="69">
        <v>100</v>
      </c>
    </row>
    <row r="155" spans="1:7" x14ac:dyDescent="0.25">
      <c r="B155" s="238" t="s">
        <v>19</v>
      </c>
      <c r="C155" s="71">
        <f>IRR(C149:C154)</f>
        <v>0.44181004891460418</v>
      </c>
      <c r="D155" s="71">
        <f>IRR(D149:D154)</f>
        <v>0.36867983850557917</v>
      </c>
      <c r="E155" s="71">
        <f t="shared" ref="E155:G155" si="11">IRR(E149:E154)</f>
        <v>0.54534740285002381</v>
      </c>
      <c r="F155" s="71">
        <f>IRR(F149:F151)</f>
        <v>0.33333333333333326</v>
      </c>
      <c r="G155" s="71">
        <f t="shared" si="11"/>
        <v>8.8214457136339686E-2</v>
      </c>
    </row>
    <row r="156" spans="1:7" x14ac:dyDescent="0.25">
      <c r="B156" s="238"/>
      <c r="F156" s="71">
        <f>IRR(F152:F154)</f>
        <v>0.36602540378443837</v>
      </c>
    </row>
    <row r="157" spans="1:7" x14ac:dyDescent="0.25">
      <c r="F157" s="71">
        <f>IRR(F149:F154)</f>
        <v>0.33910732891468287</v>
      </c>
    </row>
    <row r="159" spans="1:7" x14ac:dyDescent="0.25">
      <c r="B159" t="s">
        <v>47</v>
      </c>
      <c r="C159" s="70">
        <f>NPV(0.14,C149:C154)</f>
        <v>374.26138155969647</v>
      </c>
      <c r="D159" s="70">
        <f t="shared" ref="D159:G159" si="12">NPV(0.14,D149:D154)</f>
        <v>667.99322094996228</v>
      </c>
      <c r="E159" s="70">
        <f t="shared" si="12"/>
        <v>236.43010356521481</v>
      </c>
      <c r="F159" s="70">
        <f t="shared" si="12"/>
        <v>540.30140455846436</v>
      </c>
      <c r="G159" s="70">
        <f t="shared" si="12"/>
        <v>-161.65132673214896</v>
      </c>
    </row>
  </sheetData>
  <pageMargins left="0.7" right="0.7" top="0.75" bottom="0.75" header="0.3" footer="0.3"/>
  <pageSetup orientation="portrait" r:id="rId1"/>
  <drawing r:id="rId2"/>
  <legacyDrawing r:id="rId3"/>
  <controls>
    <mc:AlternateContent xmlns:mc="http://schemas.openxmlformats.org/markup-compatibility/2006">
      <mc:Choice Requires="x14">
        <control shapeId="9217" r:id="rId4" name="Control 1">
          <controlPr defaultSize="0" r:id="rId5">
            <anchor moveWithCells="1">
              <from>
                <xdr:col>1</xdr:col>
                <xdr:colOff>0</xdr:colOff>
                <xdr:row>122</xdr:row>
                <xdr:rowOff>0</xdr:rowOff>
              </from>
              <to>
                <xdr:col>1</xdr:col>
                <xdr:colOff>257175</xdr:colOff>
                <xdr:row>123</xdr:row>
                <xdr:rowOff>76200</xdr:rowOff>
              </to>
            </anchor>
          </controlPr>
        </control>
      </mc:Choice>
      <mc:Fallback>
        <control shapeId="9217" r:id="rId4" name="Control 1"/>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2E05-3498-4790-BDB8-E075AB169785}">
  <dimension ref="A1:L150"/>
  <sheetViews>
    <sheetView topLeftCell="E85" workbookViewId="0">
      <selection activeCell="I97" sqref="I97:I104"/>
    </sheetView>
  </sheetViews>
  <sheetFormatPr defaultRowHeight="15" x14ac:dyDescent="0.25"/>
  <cols>
    <col min="1" max="1" width="16.5703125" customWidth="1"/>
    <col min="2" max="2" width="14.140625" customWidth="1"/>
    <col min="3" max="3" width="13.85546875" customWidth="1"/>
    <col min="4" max="5" width="13.42578125" bestFit="1" customWidth="1"/>
    <col min="6" max="6" width="15" bestFit="1" customWidth="1"/>
    <col min="7" max="7" width="15.28515625" customWidth="1"/>
    <col min="8" max="8" width="13.5703125" customWidth="1"/>
    <col min="9" max="9" width="14.5703125" customWidth="1"/>
    <col min="11" max="11" width="11.5703125" bestFit="1" customWidth="1"/>
    <col min="12" max="12" width="6" customWidth="1"/>
  </cols>
  <sheetData>
    <row r="1" spans="1:9" x14ac:dyDescent="0.25">
      <c r="A1" t="s">
        <v>223</v>
      </c>
    </row>
    <row r="2" spans="1:9" x14ac:dyDescent="0.25">
      <c r="B2" t="s">
        <v>645</v>
      </c>
    </row>
    <row r="4" spans="1:9" x14ac:dyDescent="0.25">
      <c r="B4" t="s">
        <v>646</v>
      </c>
    </row>
    <row r="6" spans="1:9" x14ac:dyDescent="0.25">
      <c r="B6" t="s">
        <v>647</v>
      </c>
    </row>
    <row r="8" spans="1:9" x14ac:dyDescent="0.25">
      <c r="B8" t="s">
        <v>648</v>
      </c>
    </row>
    <row r="10" spans="1:9" x14ac:dyDescent="0.25">
      <c r="B10" t="s">
        <v>649</v>
      </c>
    </row>
    <row r="12" spans="1:9" x14ac:dyDescent="0.25">
      <c r="B12" t="s">
        <v>503</v>
      </c>
      <c r="C12" s="82">
        <f xml:space="preserve"> (2.95 + 53.1 * 0.048) / 53.1</f>
        <v>0.10355555555555555</v>
      </c>
    </row>
    <row r="14" spans="1:9" x14ac:dyDescent="0.25">
      <c r="A14" s="300"/>
      <c r="B14" s="300"/>
      <c r="C14" s="300"/>
      <c r="D14" s="300"/>
      <c r="E14" s="300"/>
      <c r="F14" s="300"/>
    </row>
    <row r="16" spans="1:9" x14ac:dyDescent="0.25">
      <c r="A16" t="s">
        <v>485</v>
      </c>
      <c r="B16" t="s">
        <v>650</v>
      </c>
      <c r="C16">
        <v>8.5</v>
      </c>
      <c r="G16">
        <v>1</v>
      </c>
      <c r="H16">
        <v>8.5</v>
      </c>
      <c r="I16">
        <f>H16/(1+0.095)^G16</f>
        <v>7.762557077625571</v>
      </c>
    </row>
    <row r="17" spans="1:9" x14ac:dyDescent="0.25">
      <c r="G17">
        <v>2</v>
      </c>
      <c r="H17">
        <v>8.5</v>
      </c>
      <c r="I17">
        <f t="shared" ref="I17:I26" si="0">H17/(1+0.095)^G17</f>
        <v>7.0890932215758635</v>
      </c>
    </row>
    <row r="18" spans="1:9" x14ac:dyDescent="0.25">
      <c r="B18" s="70"/>
      <c r="G18">
        <v>3</v>
      </c>
      <c r="H18">
        <v>8.5</v>
      </c>
      <c r="I18">
        <f t="shared" si="0"/>
        <v>6.4740577365989624</v>
      </c>
    </row>
    <row r="19" spans="1:9" x14ac:dyDescent="0.25">
      <c r="G19">
        <v>4</v>
      </c>
      <c r="H19">
        <v>8.5</v>
      </c>
      <c r="I19">
        <f t="shared" si="0"/>
        <v>5.9123814946109245</v>
      </c>
    </row>
    <row r="20" spans="1:9" x14ac:dyDescent="0.25">
      <c r="G20">
        <v>5</v>
      </c>
      <c r="H20">
        <v>8.5</v>
      </c>
      <c r="I20">
        <f t="shared" si="0"/>
        <v>5.399435154895821</v>
      </c>
    </row>
    <row r="21" spans="1:9" x14ac:dyDescent="0.25">
      <c r="G21">
        <v>6</v>
      </c>
      <c r="H21">
        <v>8.5</v>
      </c>
      <c r="I21">
        <f t="shared" si="0"/>
        <v>4.9309910090372799</v>
      </c>
    </row>
    <row r="22" spans="1:9" x14ac:dyDescent="0.25">
      <c r="G22">
        <v>7</v>
      </c>
      <c r="H22">
        <v>8.5</v>
      </c>
      <c r="I22">
        <f t="shared" si="0"/>
        <v>4.5031881361071049</v>
      </c>
    </row>
    <row r="23" spans="1:9" x14ac:dyDescent="0.25">
      <c r="G23">
        <v>8</v>
      </c>
      <c r="H23">
        <v>8.5</v>
      </c>
      <c r="I23">
        <f t="shared" si="0"/>
        <v>4.1125005809197299</v>
      </c>
    </row>
    <row r="24" spans="1:9" x14ac:dyDescent="0.25">
      <c r="G24">
        <v>9</v>
      </c>
      <c r="H24">
        <v>8.5</v>
      </c>
      <c r="I24">
        <f t="shared" si="0"/>
        <v>3.7557082930773795</v>
      </c>
    </row>
    <row r="25" spans="1:9" x14ac:dyDescent="0.25">
      <c r="G25">
        <v>10</v>
      </c>
      <c r="H25">
        <v>8.5</v>
      </c>
      <c r="I25">
        <f t="shared" si="0"/>
        <v>3.4298705872852775</v>
      </c>
    </row>
    <row r="26" spans="1:9" x14ac:dyDescent="0.25">
      <c r="G26">
        <v>11</v>
      </c>
      <c r="H26">
        <v>8.5</v>
      </c>
      <c r="I26">
        <f t="shared" si="0"/>
        <v>3.1323019061966009</v>
      </c>
    </row>
    <row r="28" spans="1:9" x14ac:dyDescent="0.25">
      <c r="A28" s="300"/>
      <c r="B28" s="300"/>
      <c r="C28" s="300"/>
      <c r="D28" s="300"/>
      <c r="E28" s="300"/>
      <c r="F28" s="300"/>
    </row>
    <row r="29" spans="1:9" x14ac:dyDescent="0.25">
      <c r="G29">
        <v>1</v>
      </c>
      <c r="H29">
        <v>0</v>
      </c>
    </row>
    <row r="30" spans="1:9" x14ac:dyDescent="0.25">
      <c r="A30" t="s">
        <v>243</v>
      </c>
      <c r="B30" t="s">
        <v>651</v>
      </c>
      <c r="C30" s="14">
        <f xml:space="preserve"> 15.75 / ( 0.12 -0.048)</f>
        <v>218.75000000000003</v>
      </c>
      <c r="G30">
        <v>2</v>
      </c>
      <c r="H30">
        <v>0</v>
      </c>
    </row>
    <row r="31" spans="1:9" x14ac:dyDescent="0.25">
      <c r="B31" t="s">
        <v>525</v>
      </c>
      <c r="C31" s="14">
        <f>C30/(1+0.12)^9</f>
        <v>78.883442964720544</v>
      </c>
      <c r="G31">
        <v>3</v>
      </c>
      <c r="H31">
        <v>0</v>
      </c>
    </row>
    <row r="32" spans="1:9" x14ac:dyDescent="0.25">
      <c r="C32" s="70"/>
      <c r="G32">
        <v>4</v>
      </c>
      <c r="H32">
        <v>0</v>
      </c>
    </row>
    <row r="33" spans="1:9" x14ac:dyDescent="0.25">
      <c r="G33">
        <v>5</v>
      </c>
      <c r="H33">
        <v>0</v>
      </c>
    </row>
    <row r="34" spans="1:9" x14ac:dyDescent="0.25">
      <c r="G34">
        <v>6</v>
      </c>
      <c r="H34">
        <v>0</v>
      </c>
    </row>
    <row r="35" spans="1:9" x14ac:dyDescent="0.25">
      <c r="G35">
        <v>7</v>
      </c>
      <c r="H35">
        <v>0</v>
      </c>
    </row>
    <row r="36" spans="1:9" x14ac:dyDescent="0.25">
      <c r="G36">
        <v>8</v>
      </c>
      <c r="H36">
        <v>0</v>
      </c>
    </row>
    <row r="37" spans="1:9" x14ac:dyDescent="0.25">
      <c r="G37">
        <v>9</v>
      </c>
      <c r="H37">
        <v>0</v>
      </c>
    </row>
    <row r="38" spans="1:9" x14ac:dyDescent="0.25">
      <c r="G38">
        <v>10</v>
      </c>
      <c r="H38">
        <v>15.75</v>
      </c>
    </row>
    <row r="41" spans="1:9" x14ac:dyDescent="0.25">
      <c r="A41" s="300"/>
      <c r="B41" s="300"/>
      <c r="C41" s="300"/>
      <c r="D41" s="300"/>
      <c r="E41" s="300"/>
      <c r="F41" s="300"/>
      <c r="G41">
        <v>0</v>
      </c>
      <c r="H41">
        <v>15</v>
      </c>
    </row>
    <row r="42" spans="1:9" x14ac:dyDescent="0.25">
      <c r="G42">
        <v>1</v>
      </c>
      <c r="H42">
        <f>H41+3</f>
        <v>18</v>
      </c>
      <c r="I42" s="258">
        <f>H42/(1+0.11)^G42</f>
        <v>16.216216216216214</v>
      </c>
    </row>
    <row r="43" spans="1:9" x14ac:dyDescent="0.25">
      <c r="A43" t="s">
        <v>437</v>
      </c>
      <c r="G43">
        <v>2</v>
      </c>
      <c r="H43">
        <f>H42+3</f>
        <v>21</v>
      </c>
      <c r="I43" s="258">
        <f t="shared" ref="I43:I46" si="1">H43/(1+0.11)^G43</f>
        <v>17.044071098125148</v>
      </c>
    </row>
    <row r="44" spans="1:9" x14ac:dyDescent="0.25">
      <c r="G44">
        <v>3</v>
      </c>
      <c r="H44">
        <f t="shared" ref="H44:H46" si="2">H43+3</f>
        <v>24</v>
      </c>
      <c r="I44" s="258">
        <f t="shared" si="1"/>
        <v>17.548593151222803</v>
      </c>
    </row>
    <row r="45" spans="1:9" x14ac:dyDescent="0.25">
      <c r="G45">
        <v>4</v>
      </c>
      <c r="H45">
        <f t="shared" si="2"/>
        <v>27</v>
      </c>
      <c r="I45" s="258">
        <f t="shared" si="1"/>
        <v>17.785736301915001</v>
      </c>
    </row>
    <row r="46" spans="1:9" x14ac:dyDescent="0.25">
      <c r="G46">
        <v>5</v>
      </c>
      <c r="H46">
        <f t="shared" si="2"/>
        <v>30</v>
      </c>
      <c r="I46" s="258">
        <f t="shared" si="1"/>
        <v>17.803539841756759</v>
      </c>
    </row>
    <row r="47" spans="1:9" x14ac:dyDescent="0.25">
      <c r="I47" s="258"/>
    </row>
    <row r="48" spans="1:9" x14ac:dyDescent="0.25">
      <c r="H48" t="s">
        <v>100</v>
      </c>
      <c r="I48" s="258">
        <f>SUM(I42:I46)</f>
        <v>86.398156609235926</v>
      </c>
    </row>
    <row r="50" spans="1:12" x14ac:dyDescent="0.25">
      <c r="A50" s="300"/>
      <c r="B50" s="300"/>
      <c r="C50" s="300"/>
      <c r="D50" s="300"/>
      <c r="E50" s="300"/>
      <c r="F50" s="300"/>
    </row>
    <row r="51" spans="1:12" x14ac:dyDescent="0.25">
      <c r="G51" t="s">
        <v>652</v>
      </c>
    </row>
    <row r="52" spans="1:12" x14ac:dyDescent="0.25">
      <c r="A52" t="s">
        <v>438</v>
      </c>
      <c r="G52">
        <v>0</v>
      </c>
      <c r="H52">
        <v>1.2</v>
      </c>
    </row>
    <row r="53" spans="1:12" x14ac:dyDescent="0.25">
      <c r="B53" t="s">
        <v>653</v>
      </c>
      <c r="G53">
        <v>1</v>
      </c>
      <c r="H53">
        <f>1.2*1.06</f>
        <v>1.272</v>
      </c>
    </row>
    <row r="54" spans="1:12" x14ac:dyDescent="0.25">
      <c r="B54" t="s">
        <v>654</v>
      </c>
    </row>
    <row r="55" spans="1:12" x14ac:dyDescent="0.25">
      <c r="B55" s="14">
        <f xml:space="preserve"> 1.272/ (0.14 - 0.06)</f>
        <v>15.899999999999997</v>
      </c>
    </row>
    <row r="57" spans="1:12" x14ac:dyDescent="0.25">
      <c r="A57" s="300"/>
      <c r="B57" s="300"/>
      <c r="C57" s="300"/>
      <c r="D57" s="300"/>
      <c r="E57" s="300"/>
      <c r="F57" s="300"/>
    </row>
    <row r="59" spans="1:12" x14ac:dyDescent="0.25">
      <c r="A59" t="s">
        <v>516</v>
      </c>
      <c r="B59" t="s">
        <v>655</v>
      </c>
      <c r="C59" t="s">
        <v>656</v>
      </c>
      <c r="G59" t="s">
        <v>147</v>
      </c>
      <c r="H59" t="s">
        <v>522</v>
      </c>
      <c r="K59" t="s">
        <v>523</v>
      </c>
      <c r="L59" t="s">
        <v>241</v>
      </c>
    </row>
    <row r="60" spans="1:12" x14ac:dyDescent="0.25">
      <c r="B60" s="259">
        <v>3300000</v>
      </c>
      <c r="C60" s="259">
        <v>4500000</v>
      </c>
      <c r="G60">
        <v>0</v>
      </c>
      <c r="H60" s="259">
        <f>K60-C60</f>
        <v>-3000000</v>
      </c>
      <c r="I60" s="259">
        <f>H60/(1+L$60)^G60</f>
        <v>-3000000</v>
      </c>
      <c r="K60" s="259">
        <v>1500000</v>
      </c>
      <c r="L60">
        <v>0.1</v>
      </c>
    </row>
    <row r="61" spans="1:12" x14ac:dyDescent="0.25">
      <c r="A61" t="s">
        <v>657</v>
      </c>
      <c r="B61" s="257">
        <v>11</v>
      </c>
      <c r="C61" s="257">
        <v>10</v>
      </c>
      <c r="G61">
        <v>1</v>
      </c>
      <c r="H61" s="259">
        <f>C$73-B$73</f>
        <v>397500</v>
      </c>
      <c r="I61" s="259">
        <f t="shared" ref="I61:I69" si="3">H61/(1+L$60)^G61</f>
        <v>361363.63636363635</v>
      </c>
    </row>
    <row r="62" spans="1:12" x14ac:dyDescent="0.25">
      <c r="A62" t="s">
        <v>658</v>
      </c>
      <c r="B62" s="259"/>
      <c r="C62" s="259">
        <v>0</v>
      </c>
      <c r="G62">
        <v>2</v>
      </c>
      <c r="H62" s="259">
        <f t="shared" ref="H62:H70" si="4">C$73-B$73</f>
        <v>397500</v>
      </c>
      <c r="I62" s="259">
        <f t="shared" si="3"/>
        <v>328512.39669421484</v>
      </c>
    </row>
    <row r="63" spans="1:12" x14ac:dyDescent="0.25">
      <c r="A63" t="s">
        <v>629</v>
      </c>
      <c r="B63" s="259">
        <f>B60/B61</f>
        <v>300000</v>
      </c>
      <c r="C63" s="259">
        <f>C60/C61</f>
        <v>450000</v>
      </c>
      <c r="G63">
        <v>3</v>
      </c>
      <c r="H63" s="259">
        <f t="shared" si="4"/>
        <v>397500</v>
      </c>
      <c r="I63" s="259">
        <f t="shared" si="3"/>
        <v>298647.63335837709</v>
      </c>
    </row>
    <row r="64" spans="1:12" x14ac:dyDescent="0.25">
      <c r="B64" s="259"/>
      <c r="C64" s="259"/>
      <c r="G64">
        <v>4</v>
      </c>
      <c r="H64" s="259">
        <f t="shared" si="4"/>
        <v>397500</v>
      </c>
      <c r="I64" s="259">
        <f t="shared" si="3"/>
        <v>271497.8485076155</v>
      </c>
    </row>
    <row r="65" spans="1:12" x14ac:dyDescent="0.25">
      <c r="B65" s="259"/>
      <c r="C65" s="259"/>
      <c r="G65">
        <v>5</v>
      </c>
      <c r="H65" s="259">
        <f t="shared" si="4"/>
        <v>397500</v>
      </c>
      <c r="I65" s="259">
        <f t="shared" si="3"/>
        <v>246816.22591601411</v>
      </c>
    </row>
    <row r="66" spans="1:12" x14ac:dyDescent="0.25">
      <c r="A66" t="s">
        <v>659</v>
      </c>
      <c r="B66" s="259"/>
      <c r="C66" s="259">
        <v>1200000</v>
      </c>
      <c r="D66" s="259"/>
      <c r="G66">
        <v>6</v>
      </c>
      <c r="H66" s="259">
        <f t="shared" si="4"/>
        <v>397500</v>
      </c>
      <c r="I66" s="259">
        <f t="shared" si="3"/>
        <v>224378.38719637642</v>
      </c>
    </row>
    <row r="67" spans="1:12" x14ac:dyDescent="0.25">
      <c r="B67" s="259"/>
      <c r="C67" s="259"/>
      <c r="G67">
        <v>7</v>
      </c>
      <c r="H67" s="259">
        <f t="shared" si="4"/>
        <v>397500</v>
      </c>
      <c r="I67" s="259">
        <f t="shared" si="3"/>
        <v>203980.35199670581</v>
      </c>
    </row>
    <row r="68" spans="1:12" x14ac:dyDescent="0.25">
      <c r="A68" t="s">
        <v>660</v>
      </c>
      <c r="B68" s="259">
        <v>300000</v>
      </c>
      <c r="C68" s="259">
        <v>750000</v>
      </c>
      <c r="G68">
        <v>8</v>
      </c>
      <c r="H68" s="259">
        <f t="shared" si="4"/>
        <v>397500</v>
      </c>
      <c r="I68" s="259">
        <f t="shared" si="3"/>
        <v>185436.68363336893</v>
      </c>
    </row>
    <row r="69" spans="1:12" x14ac:dyDescent="0.25">
      <c r="A69" t="s">
        <v>548</v>
      </c>
      <c r="B69">
        <v>0.45</v>
      </c>
      <c r="C69">
        <v>0.45</v>
      </c>
      <c r="G69">
        <v>9</v>
      </c>
      <c r="H69" s="259">
        <f t="shared" si="4"/>
        <v>397500</v>
      </c>
      <c r="I69" s="259">
        <f t="shared" si="3"/>
        <v>168578.80330306265</v>
      </c>
    </row>
    <row r="70" spans="1:12" x14ac:dyDescent="0.25">
      <c r="A70" t="s">
        <v>661</v>
      </c>
      <c r="B70" s="259">
        <f>-B68*B69</f>
        <v>-135000</v>
      </c>
      <c r="C70" s="259">
        <f>-C68*C69</f>
        <v>-337500</v>
      </c>
      <c r="G70">
        <v>10</v>
      </c>
      <c r="H70" s="259">
        <f t="shared" si="4"/>
        <v>397500</v>
      </c>
      <c r="I70" s="259">
        <f>H70/(1+L$60)^G70</f>
        <v>153253.45754823877</v>
      </c>
    </row>
    <row r="71" spans="1:12" x14ac:dyDescent="0.25">
      <c r="A71" t="s">
        <v>629</v>
      </c>
      <c r="B71" s="259">
        <f>B63</f>
        <v>300000</v>
      </c>
      <c r="C71" s="259">
        <f>C63</f>
        <v>450000</v>
      </c>
    </row>
    <row r="72" spans="1:12" x14ac:dyDescent="0.25">
      <c r="F72" t="s">
        <v>47</v>
      </c>
      <c r="G72" s="70">
        <f>NPV(L60,H61:H70) + H60</f>
        <v>-557534.57548238989</v>
      </c>
    </row>
    <row r="73" spans="1:12" x14ac:dyDescent="0.25">
      <c r="A73" t="s">
        <v>512</v>
      </c>
      <c r="B73" s="259">
        <f>B68+B70+B71</f>
        <v>465000</v>
      </c>
      <c r="C73" s="259">
        <f>C68+C70+C71</f>
        <v>862500</v>
      </c>
    </row>
    <row r="75" spans="1:12" x14ac:dyDescent="0.25">
      <c r="A75" s="300"/>
      <c r="B75" s="300"/>
      <c r="C75" s="300"/>
      <c r="D75" s="300"/>
      <c r="E75" s="300"/>
      <c r="F75" s="300"/>
    </row>
    <row r="77" spans="1:12" x14ac:dyDescent="0.25">
      <c r="A77" t="s">
        <v>527</v>
      </c>
      <c r="B77" t="s">
        <v>662</v>
      </c>
      <c r="C77" t="s">
        <v>663</v>
      </c>
      <c r="G77" t="s">
        <v>147</v>
      </c>
      <c r="H77" t="s">
        <v>522</v>
      </c>
      <c r="K77" t="s">
        <v>523</v>
      </c>
      <c r="L77" t="s">
        <v>241</v>
      </c>
    </row>
    <row r="78" spans="1:12" x14ac:dyDescent="0.25">
      <c r="B78" s="259"/>
      <c r="C78" s="259">
        <v>60000000</v>
      </c>
      <c r="G78">
        <v>0</v>
      </c>
      <c r="H78" s="259">
        <f>K78-C78</f>
        <v>-60000000</v>
      </c>
      <c r="I78" s="259">
        <f>H78/(1+L$60)^G78</f>
        <v>-60000000</v>
      </c>
      <c r="K78" s="259"/>
      <c r="L78">
        <v>0.1</v>
      </c>
    </row>
    <row r="79" spans="1:12" x14ac:dyDescent="0.25">
      <c r="A79" t="s">
        <v>657</v>
      </c>
      <c r="B79" s="257"/>
      <c r="C79" s="257"/>
      <c r="G79">
        <v>1</v>
      </c>
      <c r="H79" s="259">
        <f>C$91-B$91</f>
        <v>18700000</v>
      </c>
      <c r="I79" s="259">
        <f t="shared" ref="I79:I83" si="5">H79/(1+L$60)^G79</f>
        <v>17000000</v>
      </c>
    </row>
    <row r="80" spans="1:12" x14ac:dyDescent="0.25">
      <c r="A80" t="s">
        <v>658</v>
      </c>
      <c r="B80" s="259"/>
      <c r="C80" s="259">
        <v>0</v>
      </c>
      <c r="G80">
        <v>2</v>
      </c>
      <c r="H80" s="259">
        <f t="shared" ref="H80:H83" si="6">C$91-B$91</f>
        <v>18700000</v>
      </c>
      <c r="I80" s="259">
        <f t="shared" si="5"/>
        <v>15454545.454545451</v>
      </c>
    </row>
    <row r="81" spans="1:12" x14ac:dyDescent="0.25">
      <c r="A81" t="s">
        <v>629</v>
      </c>
      <c r="B81" s="259"/>
      <c r="C81" s="259"/>
      <c r="G81">
        <v>3</v>
      </c>
      <c r="H81" s="259">
        <f t="shared" si="6"/>
        <v>18700000</v>
      </c>
      <c r="I81" s="259">
        <f t="shared" si="5"/>
        <v>14049586.7768595</v>
      </c>
    </row>
    <row r="82" spans="1:12" x14ac:dyDescent="0.25">
      <c r="B82" s="259"/>
      <c r="C82" s="259"/>
      <c r="G82">
        <v>4</v>
      </c>
      <c r="H82" s="259">
        <f t="shared" si="6"/>
        <v>18700000</v>
      </c>
      <c r="I82" s="259">
        <f t="shared" si="5"/>
        <v>12772351.615326818</v>
      </c>
    </row>
    <row r="83" spans="1:12" x14ac:dyDescent="0.25">
      <c r="B83" s="259"/>
      <c r="C83" s="259"/>
      <c r="G83">
        <v>5</v>
      </c>
      <c r="H83" s="259">
        <f t="shared" si="6"/>
        <v>18700000</v>
      </c>
      <c r="I83" s="259">
        <f t="shared" si="5"/>
        <v>11611228.741206197</v>
      </c>
    </row>
    <row r="84" spans="1:12" x14ac:dyDescent="0.25">
      <c r="A84" t="s">
        <v>659</v>
      </c>
      <c r="B84" s="259"/>
      <c r="C84" s="259"/>
      <c r="D84" s="259"/>
      <c r="H84" s="259"/>
      <c r="I84" s="259"/>
    </row>
    <row r="85" spans="1:12" x14ac:dyDescent="0.25">
      <c r="B85" s="259"/>
      <c r="C85" s="259"/>
      <c r="H85" s="259"/>
      <c r="I85" s="259"/>
    </row>
    <row r="86" spans="1:12" x14ac:dyDescent="0.25">
      <c r="A86" t="s">
        <v>660</v>
      </c>
      <c r="B86" s="259"/>
      <c r="C86" s="259"/>
      <c r="H86" s="259"/>
      <c r="I86" s="259"/>
    </row>
    <row r="87" spans="1:12" x14ac:dyDescent="0.25">
      <c r="A87" t="s">
        <v>548</v>
      </c>
      <c r="H87" s="259"/>
      <c r="I87" s="259"/>
    </row>
    <row r="88" spans="1:12" x14ac:dyDescent="0.25">
      <c r="A88" t="s">
        <v>661</v>
      </c>
      <c r="B88" s="259"/>
      <c r="C88" s="259"/>
      <c r="H88" s="259"/>
      <c r="I88" s="259"/>
    </row>
    <row r="89" spans="1:12" x14ac:dyDescent="0.25">
      <c r="A89" t="s">
        <v>629</v>
      </c>
      <c r="B89" s="259"/>
      <c r="C89" s="259"/>
    </row>
    <row r="90" spans="1:12" x14ac:dyDescent="0.25">
      <c r="F90" t="s">
        <v>47</v>
      </c>
      <c r="G90" s="103">
        <f>NPV(L78,H79:H88) + H78</f>
        <v>10887712.587937966</v>
      </c>
    </row>
    <row r="91" spans="1:12" x14ac:dyDescent="0.25">
      <c r="A91" t="s">
        <v>512</v>
      </c>
      <c r="B91" s="259">
        <v>-18000000</v>
      </c>
      <c r="C91" s="259">
        <v>700000</v>
      </c>
    </row>
    <row r="94" spans="1:12" x14ac:dyDescent="0.25">
      <c r="A94" s="300"/>
      <c r="B94" s="300"/>
      <c r="C94" s="300"/>
      <c r="D94" s="300"/>
      <c r="E94" s="300"/>
      <c r="F94" s="300"/>
    </row>
    <row r="96" spans="1:12" x14ac:dyDescent="0.25">
      <c r="A96" t="s">
        <v>528</v>
      </c>
      <c r="B96" t="s">
        <v>529</v>
      </c>
      <c r="C96" t="s">
        <v>530</v>
      </c>
      <c r="G96" t="s">
        <v>147</v>
      </c>
      <c r="H96" t="s">
        <v>522</v>
      </c>
      <c r="K96" t="s">
        <v>523</v>
      </c>
      <c r="L96" t="s">
        <v>241</v>
      </c>
    </row>
    <row r="97" spans="1:12" x14ac:dyDescent="0.25">
      <c r="B97" s="259">
        <v>308000</v>
      </c>
      <c r="C97" s="259">
        <v>440000</v>
      </c>
      <c r="G97">
        <v>0</v>
      </c>
      <c r="H97" s="259">
        <f>K97-C97</f>
        <v>-170500</v>
      </c>
      <c r="I97" s="259">
        <f>H97/(1+L$60)^G97</f>
        <v>-170500</v>
      </c>
      <c r="K97" s="259">
        <v>269500</v>
      </c>
      <c r="L97">
        <v>0.12</v>
      </c>
    </row>
    <row r="98" spans="1:12" x14ac:dyDescent="0.25">
      <c r="A98" t="s">
        <v>657</v>
      </c>
      <c r="B98" s="257">
        <v>8</v>
      </c>
      <c r="C98" s="257">
        <v>7</v>
      </c>
      <c r="G98">
        <v>1</v>
      </c>
      <c r="H98" s="259">
        <f>C$110-B$110</f>
        <v>45405</v>
      </c>
      <c r="I98" s="259">
        <f>H98/(1+L$97)^G98</f>
        <v>40540.178571428565</v>
      </c>
    </row>
    <row r="99" spans="1:12" x14ac:dyDescent="0.25">
      <c r="A99" t="s">
        <v>658</v>
      </c>
      <c r="B99" s="259">
        <v>0</v>
      </c>
      <c r="C99" s="259">
        <v>0</v>
      </c>
      <c r="G99">
        <v>2</v>
      </c>
      <c r="H99" s="259">
        <f t="shared" ref="H99:H104" si="7">C$110-B$110</f>
        <v>45405</v>
      </c>
      <c r="I99" s="259">
        <f t="shared" ref="I99:I104" si="8">H99/(1+L$97)^G99</f>
        <v>36196.588010204076</v>
      </c>
    </row>
    <row r="100" spans="1:12" x14ac:dyDescent="0.25">
      <c r="A100" t="s">
        <v>629</v>
      </c>
      <c r="B100" s="259">
        <f>(B97-B99)/B98</f>
        <v>38500</v>
      </c>
      <c r="C100" s="259">
        <f>(C97-C99)/C98</f>
        <v>62857.142857142855</v>
      </c>
      <c r="G100">
        <v>3</v>
      </c>
      <c r="H100" s="259">
        <f t="shared" si="7"/>
        <v>45405</v>
      </c>
      <c r="I100" s="259">
        <f t="shared" si="8"/>
        <v>32318.382151967922</v>
      </c>
    </row>
    <row r="101" spans="1:12" x14ac:dyDescent="0.25">
      <c r="B101" s="259"/>
      <c r="C101" s="259"/>
      <c r="G101">
        <v>4</v>
      </c>
      <c r="H101" s="259">
        <f t="shared" si="7"/>
        <v>45405</v>
      </c>
      <c r="I101" s="259">
        <f t="shared" si="8"/>
        <v>28855.698349971361</v>
      </c>
    </row>
    <row r="102" spans="1:12" x14ac:dyDescent="0.25">
      <c r="B102" s="259"/>
      <c r="C102" s="259"/>
      <c r="G102">
        <v>5</v>
      </c>
      <c r="H102" s="259">
        <f t="shared" si="7"/>
        <v>45405</v>
      </c>
      <c r="I102" s="259">
        <f t="shared" si="8"/>
        <v>25764.016383902999</v>
      </c>
    </row>
    <row r="103" spans="1:12" x14ac:dyDescent="0.25">
      <c r="A103" t="s">
        <v>202</v>
      </c>
      <c r="B103" s="259">
        <v>49000</v>
      </c>
      <c r="C103" s="259">
        <v>100000</v>
      </c>
      <c r="D103" s="259"/>
      <c r="G103">
        <v>6</v>
      </c>
      <c r="H103" s="259">
        <f t="shared" si="7"/>
        <v>45405</v>
      </c>
      <c r="I103" s="259">
        <f t="shared" si="8"/>
        <v>23003.586057056244</v>
      </c>
    </row>
    <row r="104" spans="1:12" x14ac:dyDescent="0.25">
      <c r="A104" t="s">
        <v>629</v>
      </c>
      <c r="B104" s="259">
        <f>B100</f>
        <v>38500</v>
      </c>
      <c r="C104" s="259">
        <f>C100</f>
        <v>62857.142857142855</v>
      </c>
      <c r="G104">
        <v>7</v>
      </c>
      <c r="H104" s="259">
        <f t="shared" si="7"/>
        <v>45405</v>
      </c>
      <c r="I104" s="259">
        <f t="shared" si="8"/>
        <v>20538.916122371647</v>
      </c>
    </row>
    <row r="105" spans="1:12" x14ac:dyDescent="0.25">
      <c r="A105" t="s">
        <v>660</v>
      </c>
      <c r="B105" s="259">
        <f>B103-B104</f>
        <v>10500</v>
      </c>
      <c r="C105" s="259">
        <f>C103-C104</f>
        <v>37142.857142857145</v>
      </c>
      <c r="H105" s="259"/>
      <c r="I105" s="259"/>
    </row>
    <row r="106" spans="1:12" x14ac:dyDescent="0.25">
      <c r="A106" t="s">
        <v>548</v>
      </c>
      <c r="B106">
        <v>0.21</v>
      </c>
      <c r="C106">
        <v>0.21</v>
      </c>
      <c r="H106" s="259"/>
      <c r="I106" s="259"/>
    </row>
    <row r="107" spans="1:12" x14ac:dyDescent="0.25">
      <c r="A107" t="s">
        <v>661</v>
      </c>
      <c r="B107" s="259">
        <f>-B105*B106</f>
        <v>-2205</v>
      </c>
      <c r="C107" s="259">
        <f>-C105*C106</f>
        <v>-7800</v>
      </c>
      <c r="H107" s="259"/>
      <c r="I107" s="259"/>
    </row>
    <row r="108" spans="1:12" x14ac:dyDescent="0.25">
      <c r="A108" t="s">
        <v>629</v>
      </c>
      <c r="B108" s="259">
        <f>B100</f>
        <v>38500</v>
      </c>
      <c r="C108" s="259">
        <f>C100</f>
        <v>62857.142857142855</v>
      </c>
    </row>
    <row r="109" spans="1:12" x14ac:dyDescent="0.25">
      <c r="F109" t="s">
        <v>47</v>
      </c>
      <c r="G109" s="103">
        <f>NPV(L97,H98:H107) + H97</f>
        <v>36717.365646902792</v>
      </c>
    </row>
    <row r="110" spans="1:12" x14ac:dyDescent="0.25">
      <c r="A110" t="s">
        <v>512</v>
      </c>
      <c r="B110" s="259">
        <f>B108+B107+B105</f>
        <v>46795</v>
      </c>
      <c r="C110" s="259">
        <f>C108+C107+C105</f>
        <v>92200</v>
      </c>
    </row>
    <row r="112" spans="1:12" x14ac:dyDescent="0.25">
      <c r="A112" s="300"/>
      <c r="B112" s="300"/>
      <c r="C112" s="300"/>
      <c r="D112" s="300"/>
      <c r="E112" s="300"/>
      <c r="F112" s="300"/>
    </row>
    <row r="114" spans="1:12" x14ac:dyDescent="0.25">
      <c r="A114" t="s">
        <v>532</v>
      </c>
      <c r="B114" t="s">
        <v>147</v>
      </c>
      <c r="C114" t="s">
        <v>533</v>
      </c>
      <c r="D114" t="s">
        <v>534</v>
      </c>
      <c r="E114" t="s">
        <v>535</v>
      </c>
      <c r="F114" t="s">
        <v>665</v>
      </c>
    </row>
    <row r="115" spans="1:12" x14ac:dyDescent="0.25">
      <c r="B115" t="s">
        <v>664</v>
      </c>
      <c r="C115" s="259">
        <v>-1000000</v>
      </c>
      <c r="D115" s="259">
        <v>-267000</v>
      </c>
      <c r="E115" s="259">
        <v>-150000</v>
      </c>
      <c r="F115" s="259">
        <f>SUM(C115:E115)</f>
        <v>-1417000</v>
      </c>
    </row>
    <row r="116" spans="1:12" x14ac:dyDescent="0.25">
      <c r="B116">
        <v>1</v>
      </c>
      <c r="C116" s="259">
        <v>600000</v>
      </c>
      <c r="D116" s="259">
        <v>200000</v>
      </c>
      <c r="E116" s="259">
        <v>20000</v>
      </c>
      <c r="F116" s="259">
        <f t="shared" ref="F116:F120" si="9">SUM(C116:E116)</f>
        <v>820000</v>
      </c>
    </row>
    <row r="117" spans="1:12" x14ac:dyDescent="0.25">
      <c r="B117">
        <v>2</v>
      </c>
      <c r="C117" s="259">
        <v>400000</v>
      </c>
      <c r="D117" s="259">
        <v>200000</v>
      </c>
      <c r="E117" s="259">
        <v>20000</v>
      </c>
      <c r="F117" s="259">
        <f t="shared" si="9"/>
        <v>620000</v>
      </c>
    </row>
    <row r="118" spans="1:12" x14ac:dyDescent="0.25">
      <c r="B118">
        <v>3</v>
      </c>
      <c r="C118" s="259">
        <v>250000</v>
      </c>
      <c r="D118" s="259">
        <v>50000</v>
      </c>
      <c r="E118" s="259">
        <v>120000</v>
      </c>
      <c r="F118" s="259">
        <f t="shared" si="9"/>
        <v>420000</v>
      </c>
    </row>
    <row r="119" spans="1:12" x14ac:dyDescent="0.25">
      <c r="B119">
        <v>4</v>
      </c>
      <c r="C119" s="259">
        <v>100000</v>
      </c>
      <c r="D119" s="259">
        <v>0</v>
      </c>
      <c r="E119" s="259">
        <v>150000</v>
      </c>
      <c r="F119" s="259">
        <f t="shared" si="9"/>
        <v>250000</v>
      </c>
    </row>
    <row r="120" spans="1:12" x14ac:dyDescent="0.25">
      <c r="B120">
        <v>5</v>
      </c>
      <c r="C120" s="259">
        <v>75000</v>
      </c>
      <c r="D120" s="259">
        <v>0</v>
      </c>
      <c r="E120" s="259">
        <v>50000</v>
      </c>
      <c r="F120" s="259">
        <f t="shared" si="9"/>
        <v>125000</v>
      </c>
    </row>
    <row r="121" spans="1:12" x14ac:dyDescent="0.25">
      <c r="B121" t="s">
        <v>19</v>
      </c>
      <c r="C121" s="208">
        <f>IRR(C115:C120)</f>
        <v>0.20053706937715599</v>
      </c>
      <c r="D121" s="208">
        <f t="shared" ref="D121:F121" si="10">IRR(D115:D120)</f>
        <v>0.3866517658157429</v>
      </c>
      <c r="E121" s="208">
        <f t="shared" si="10"/>
        <v>0.29417261676000406</v>
      </c>
      <c r="F121" s="208">
        <f t="shared" si="10"/>
        <v>0.24733391238084801</v>
      </c>
    </row>
    <row r="123" spans="1:12" x14ac:dyDescent="0.25">
      <c r="A123" s="300"/>
      <c r="B123" s="300"/>
      <c r="C123" s="300"/>
      <c r="D123" s="300"/>
      <c r="E123" s="300"/>
      <c r="F123" s="300"/>
    </row>
    <row r="125" spans="1:12" x14ac:dyDescent="0.25">
      <c r="A125" t="s">
        <v>476</v>
      </c>
      <c r="B125">
        <v>1800</v>
      </c>
      <c r="C125" t="s">
        <v>666</v>
      </c>
      <c r="G125" t="s">
        <v>147</v>
      </c>
      <c r="H125" t="s">
        <v>522</v>
      </c>
      <c r="K125" t="s">
        <v>667</v>
      </c>
      <c r="L125" t="s">
        <v>241</v>
      </c>
    </row>
    <row r="126" spans="1:12" x14ac:dyDescent="0.25">
      <c r="B126" s="259">
        <v>650000</v>
      </c>
      <c r="C126" s="259">
        <v>730000</v>
      </c>
      <c r="G126">
        <v>0</v>
      </c>
      <c r="H126" s="259">
        <f>K126-C126</f>
        <v>-255000</v>
      </c>
      <c r="I126" s="259">
        <f>H126/(1+L$60)^G126</f>
        <v>-255000</v>
      </c>
      <c r="K126" s="259">
        <v>475000</v>
      </c>
      <c r="L126" s="157">
        <v>0.14000000000000001</v>
      </c>
    </row>
    <row r="127" spans="1:12" x14ac:dyDescent="0.25">
      <c r="A127" t="s">
        <v>657</v>
      </c>
      <c r="B127" s="257">
        <v>6</v>
      </c>
      <c r="C127" s="257">
        <v>5</v>
      </c>
      <c r="G127">
        <v>1</v>
      </c>
      <c r="H127" s="259">
        <f>C$139-B$139</f>
        <v>83450</v>
      </c>
      <c r="I127" s="259">
        <f>H127/(1+L$126)^G127</f>
        <v>73201.754385964901</v>
      </c>
    </row>
    <row r="128" spans="1:12" x14ac:dyDescent="0.25">
      <c r="A128" t="s">
        <v>658</v>
      </c>
      <c r="B128" s="259">
        <v>50000</v>
      </c>
      <c r="C128" s="259">
        <v>30000</v>
      </c>
      <c r="G128">
        <v>2</v>
      </c>
      <c r="H128" s="259">
        <f t="shared" ref="H128:H130" si="11">C$139-B$139</f>
        <v>83450</v>
      </c>
      <c r="I128" s="259">
        <f t="shared" ref="I128:I131" si="12">H128/(1+L$126)^G128</f>
        <v>64212.065250846397</v>
      </c>
    </row>
    <row r="129" spans="1:9" x14ac:dyDescent="0.25">
      <c r="A129" t="s">
        <v>629</v>
      </c>
      <c r="B129" s="259">
        <f>(B126-B128)/B127</f>
        <v>100000</v>
      </c>
      <c r="C129" s="259">
        <f>(C126-C128)/C127</f>
        <v>140000</v>
      </c>
      <c r="G129">
        <v>3</v>
      </c>
      <c r="H129" s="259">
        <f t="shared" si="11"/>
        <v>83450</v>
      </c>
      <c r="I129" s="259">
        <f t="shared" si="12"/>
        <v>56326.373027058245</v>
      </c>
    </row>
    <row r="130" spans="1:9" x14ac:dyDescent="0.25">
      <c r="B130" s="259"/>
      <c r="C130" s="259"/>
      <c r="G130">
        <v>4</v>
      </c>
      <c r="H130" s="259">
        <f t="shared" si="11"/>
        <v>83450</v>
      </c>
      <c r="I130" s="259">
        <f t="shared" si="12"/>
        <v>49409.099146542307</v>
      </c>
    </row>
    <row r="131" spans="1:9" x14ac:dyDescent="0.25">
      <c r="B131" s="259"/>
      <c r="C131" s="259"/>
      <c r="G131">
        <v>5</v>
      </c>
      <c r="H131" s="259">
        <f>C$139-B$139 +C128</f>
        <v>113450</v>
      </c>
      <c r="I131" s="259">
        <f t="shared" si="12"/>
        <v>58922.374971621037</v>
      </c>
    </row>
    <row r="132" spans="1:9" x14ac:dyDescent="0.25">
      <c r="A132" t="s">
        <v>202</v>
      </c>
      <c r="B132" s="259">
        <v>365000</v>
      </c>
      <c r="C132" s="259">
        <v>460000</v>
      </c>
      <c r="D132" s="259"/>
      <c r="H132" s="259"/>
      <c r="I132" s="259"/>
    </row>
    <row r="133" spans="1:9" x14ac:dyDescent="0.25">
      <c r="A133" t="s">
        <v>629</v>
      </c>
      <c r="B133" s="259">
        <f>B129</f>
        <v>100000</v>
      </c>
      <c r="C133" s="259">
        <f>C129</f>
        <v>140000</v>
      </c>
      <c r="H133" s="259"/>
      <c r="I133" s="259"/>
    </row>
    <row r="134" spans="1:9" x14ac:dyDescent="0.25">
      <c r="A134" t="s">
        <v>660</v>
      </c>
      <c r="B134" s="259">
        <f>B132-B133</f>
        <v>265000</v>
      </c>
      <c r="C134" s="259">
        <f>C132-C133</f>
        <v>320000</v>
      </c>
      <c r="H134" s="259"/>
      <c r="I134" s="259"/>
    </row>
    <row r="135" spans="1:9" x14ac:dyDescent="0.25">
      <c r="A135" t="s">
        <v>548</v>
      </c>
      <c r="B135">
        <v>0.21</v>
      </c>
      <c r="C135">
        <v>0.21</v>
      </c>
      <c r="H135" s="259"/>
      <c r="I135" s="259"/>
    </row>
    <row r="136" spans="1:9" x14ac:dyDescent="0.25">
      <c r="A136" t="s">
        <v>661</v>
      </c>
      <c r="B136" s="259">
        <f>-B134*B135</f>
        <v>-55650</v>
      </c>
      <c r="C136" s="259">
        <f>-C134*C135</f>
        <v>-67200</v>
      </c>
      <c r="H136" s="259"/>
      <c r="I136" s="259"/>
    </row>
    <row r="137" spans="1:9" x14ac:dyDescent="0.25">
      <c r="A137" t="s">
        <v>629</v>
      </c>
      <c r="B137" s="259">
        <f>B129</f>
        <v>100000</v>
      </c>
      <c r="C137" s="259">
        <f>C129</f>
        <v>140000</v>
      </c>
    </row>
    <row r="138" spans="1:9" x14ac:dyDescent="0.25">
      <c r="F138" t="s">
        <v>47</v>
      </c>
      <c r="G138" s="103">
        <f>NPV(L126,H127:H131) + H126</f>
        <v>47071.666782032873</v>
      </c>
    </row>
    <row r="139" spans="1:9" x14ac:dyDescent="0.25">
      <c r="A139" t="s">
        <v>512</v>
      </c>
      <c r="B139" s="259">
        <f>B137+B136+B134</f>
        <v>309350</v>
      </c>
      <c r="C139" s="259">
        <f>C137+C136+C134</f>
        <v>392800</v>
      </c>
    </row>
    <row r="141" spans="1:9" x14ac:dyDescent="0.25">
      <c r="A141" s="300"/>
      <c r="B141" s="300"/>
      <c r="C141" s="300"/>
      <c r="D141" s="300"/>
      <c r="E141" s="300"/>
      <c r="F141" s="300"/>
    </row>
    <row r="143" spans="1:9" x14ac:dyDescent="0.25">
      <c r="A143" t="s">
        <v>477</v>
      </c>
      <c r="B143" t="s">
        <v>147</v>
      </c>
      <c r="C143" t="s">
        <v>668</v>
      </c>
      <c r="E143" t="s">
        <v>669</v>
      </c>
      <c r="F143" t="s">
        <v>670</v>
      </c>
      <c r="G143" t="s">
        <v>671</v>
      </c>
      <c r="H143" t="s">
        <v>1</v>
      </c>
    </row>
    <row r="144" spans="1:9" x14ac:dyDescent="0.25">
      <c r="B144">
        <v>0</v>
      </c>
      <c r="C144" s="259">
        <v>-950</v>
      </c>
      <c r="D144" s="259">
        <f>C144/(1.14)^B144</f>
        <v>-950</v>
      </c>
      <c r="E144" s="259">
        <v>-2100</v>
      </c>
      <c r="F144" s="259">
        <v>-500</v>
      </c>
      <c r="G144" s="259">
        <v>-1800</v>
      </c>
      <c r="H144" s="259">
        <v>-2000</v>
      </c>
    </row>
    <row r="145" spans="2:8" x14ac:dyDescent="0.25">
      <c r="B145">
        <v>1</v>
      </c>
      <c r="C145" s="259">
        <v>875</v>
      </c>
      <c r="D145" s="259">
        <f t="shared" ref="D145:D149" si="13">C145/(1.14)^B145</f>
        <v>767.54385964912285</v>
      </c>
      <c r="E145" s="259">
        <v>1600</v>
      </c>
      <c r="F145" s="259">
        <v>600</v>
      </c>
      <c r="G145" s="259">
        <v>1500</v>
      </c>
      <c r="H145" s="259">
        <v>800</v>
      </c>
    </row>
    <row r="146" spans="2:8" x14ac:dyDescent="0.25">
      <c r="B146">
        <v>2</v>
      </c>
      <c r="C146" s="259">
        <v>550</v>
      </c>
      <c r="D146" s="259">
        <f t="shared" si="13"/>
        <v>423.20714065866423</v>
      </c>
      <c r="E146" s="259">
        <v>1050</v>
      </c>
      <c r="F146" s="259">
        <v>200</v>
      </c>
      <c r="G146" s="259">
        <v>1200</v>
      </c>
      <c r="H146" s="259">
        <v>700</v>
      </c>
    </row>
    <row r="147" spans="2:8" x14ac:dyDescent="0.25">
      <c r="B147">
        <v>3</v>
      </c>
      <c r="C147" s="259">
        <v>130</v>
      </c>
      <c r="D147" s="259">
        <f t="shared" si="13"/>
        <v>87.746297106262134</v>
      </c>
      <c r="E147" s="259">
        <v>900</v>
      </c>
      <c r="F147" s="259">
        <v>50</v>
      </c>
      <c r="G147" s="259">
        <v>-1000</v>
      </c>
      <c r="H147" s="259">
        <v>600</v>
      </c>
    </row>
    <row r="148" spans="2:8" x14ac:dyDescent="0.25">
      <c r="B148">
        <v>4</v>
      </c>
      <c r="C148" s="259">
        <v>100</v>
      </c>
      <c r="D148" s="259">
        <f t="shared" si="13"/>
        <v>59.20802773701898</v>
      </c>
      <c r="E148" s="259">
        <v>50</v>
      </c>
      <c r="F148" s="259">
        <v>50</v>
      </c>
      <c r="G148" s="259">
        <v>1000</v>
      </c>
      <c r="H148" s="259">
        <v>200</v>
      </c>
    </row>
    <row r="149" spans="2:8" x14ac:dyDescent="0.25">
      <c r="B149">
        <v>5</v>
      </c>
      <c r="C149" s="259">
        <v>75</v>
      </c>
      <c r="D149" s="259">
        <f t="shared" si="13"/>
        <v>38.952649826986175</v>
      </c>
      <c r="E149" s="259">
        <v>25</v>
      </c>
      <c r="F149" s="259">
        <v>50</v>
      </c>
      <c r="G149" s="259">
        <v>500</v>
      </c>
      <c r="H149" s="259">
        <v>100</v>
      </c>
    </row>
    <row r="150" spans="2:8" x14ac:dyDescent="0.25">
      <c r="C150" s="259">
        <f>NPV(0.14,C145:C149) +C144</f>
        <v>426.65797497805397</v>
      </c>
      <c r="D150" s="259">
        <f>SUM(D144:D149)</f>
        <v>426.65797497805443</v>
      </c>
      <c r="E150" s="259">
        <f t="shared" ref="E150:H150" si="14">NPV(0.14,E145:E149) +E144</f>
        <v>761.51227188295707</v>
      </c>
      <c r="F150" s="259">
        <f t="shared" si="14"/>
        <v>269.53031806434478</v>
      </c>
      <c r="G150" s="259">
        <f t="shared" si="14"/>
        <v>615.94360119664952</v>
      </c>
      <c r="H150" s="259">
        <f t="shared" si="14"/>
        <v>-184.28251247464982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6E9E-1398-4203-A3A0-644D6E84AEF5}">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E11D-4F1F-4B08-8444-EE8ECEB9A132}">
  <dimension ref="A1:E24"/>
  <sheetViews>
    <sheetView workbookViewId="0">
      <selection activeCell="A18" sqref="A18"/>
    </sheetView>
  </sheetViews>
  <sheetFormatPr defaultRowHeight="15" x14ac:dyDescent="0.25"/>
  <cols>
    <col min="3" max="4" width="14.28515625" bestFit="1" customWidth="1"/>
    <col min="5" max="5" width="10" bestFit="1" customWidth="1"/>
  </cols>
  <sheetData>
    <row r="1" spans="1:5" x14ac:dyDescent="0.25">
      <c r="A1" t="s">
        <v>481</v>
      </c>
    </row>
    <row r="3" spans="1:5" x14ac:dyDescent="0.25">
      <c r="B3" s="238"/>
    </row>
    <row r="4" spans="1:5" x14ac:dyDescent="0.25">
      <c r="B4" s="246" t="s">
        <v>147</v>
      </c>
      <c r="C4" s="246" t="s">
        <v>482</v>
      </c>
      <c r="D4" s="246" t="s">
        <v>483</v>
      </c>
      <c r="E4" s="248" t="s">
        <v>484</v>
      </c>
    </row>
    <row r="5" spans="1:5" x14ac:dyDescent="0.25">
      <c r="B5" s="246">
        <v>2022</v>
      </c>
      <c r="C5" s="247">
        <v>-3000000</v>
      </c>
      <c r="D5" s="247">
        <v>-3700000</v>
      </c>
      <c r="E5" s="103">
        <f>D5-C5</f>
        <v>-700000</v>
      </c>
    </row>
    <row r="6" spans="1:5" x14ac:dyDescent="0.25">
      <c r="B6" s="246">
        <v>2023</v>
      </c>
      <c r="C6" s="247">
        <v>800000</v>
      </c>
      <c r="D6" s="247">
        <v>400000</v>
      </c>
      <c r="E6" s="103">
        <f t="shared" ref="E6:E11" si="0">D6-C6</f>
        <v>-400000</v>
      </c>
    </row>
    <row r="7" spans="1:5" x14ac:dyDescent="0.25">
      <c r="B7" s="246">
        <v>2024</v>
      </c>
      <c r="C7" s="247">
        <v>900000</v>
      </c>
      <c r="D7" s="247">
        <v>500000</v>
      </c>
      <c r="E7" s="103">
        <f t="shared" si="0"/>
        <v>-400000</v>
      </c>
    </row>
    <row r="8" spans="1:5" x14ac:dyDescent="0.25">
      <c r="B8" s="246">
        <v>2025</v>
      </c>
      <c r="C8" s="247">
        <v>800000</v>
      </c>
      <c r="D8" s="247">
        <v>900000</v>
      </c>
      <c r="E8" s="103">
        <f t="shared" si="0"/>
        <v>100000</v>
      </c>
    </row>
    <row r="9" spans="1:5" x14ac:dyDescent="0.25">
      <c r="B9" s="246">
        <v>2026</v>
      </c>
      <c r="C9" s="247">
        <v>800000</v>
      </c>
      <c r="D9" s="247">
        <v>1500000</v>
      </c>
      <c r="E9" s="103">
        <f t="shared" si="0"/>
        <v>700000</v>
      </c>
    </row>
    <row r="10" spans="1:5" x14ac:dyDescent="0.25">
      <c r="B10" s="246">
        <v>2026</v>
      </c>
      <c r="C10" s="247">
        <v>700000</v>
      </c>
      <c r="D10" s="247">
        <v>1500000</v>
      </c>
      <c r="E10" s="103">
        <f t="shared" si="0"/>
        <v>800000</v>
      </c>
    </row>
    <row r="11" spans="1:5" x14ac:dyDescent="0.25">
      <c r="B11" s="246">
        <v>2027</v>
      </c>
      <c r="C11" s="247">
        <v>650000</v>
      </c>
      <c r="D11" s="247">
        <v>1500000</v>
      </c>
      <c r="E11" s="103">
        <f t="shared" si="0"/>
        <v>850000</v>
      </c>
    </row>
    <row r="12" spans="1:5" x14ac:dyDescent="0.25">
      <c r="B12" s="238"/>
      <c r="C12" s="82">
        <f>IRR(C5:C11)</f>
        <v>0.14853431033990372</v>
      </c>
      <c r="D12" s="82">
        <f>IRR(D5:D11)</f>
        <v>0.13950014773872099</v>
      </c>
      <c r="E12" s="82">
        <f>IRR(E5:E11)</f>
        <v>0.12477493812754625</v>
      </c>
    </row>
    <row r="13" spans="1:5" x14ac:dyDescent="0.25">
      <c r="A13" t="s">
        <v>485</v>
      </c>
    </row>
    <row r="14" spans="1:5" x14ac:dyDescent="0.25">
      <c r="B14" t="s">
        <v>47</v>
      </c>
      <c r="C14" s="70">
        <f>NPV(0.1175,C6:C11) +C5</f>
        <v>258222.5999836931</v>
      </c>
      <c r="D14" s="70">
        <f>NPV(0.1175,D6:D11) + D5</f>
        <v>295979.71260700189</v>
      </c>
    </row>
    <row r="17" spans="1:4" x14ac:dyDescent="0.25">
      <c r="A17" t="s">
        <v>494</v>
      </c>
      <c r="B17" s="246"/>
      <c r="C17" s="246" t="s">
        <v>486</v>
      </c>
      <c r="D17" s="246" t="s">
        <v>487</v>
      </c>
    </row>
    <row r="18" spans="1:4" x14ac:dyDescent="0.25">
      <c r="B18" s="246" t="s">
        <v>488</v>
      </c>
      <c r="C18" s="247">
        <v>450000</v>
      </c>
      <c r="D18" s="247">
        <v>300000</v>
      </c>
    </row>
    <row r="19" spans="1:4" x14ac:dyDescent="0.25">
      <c r="B19" s="246" t="s">
        <v>489</v>
      </c>
      <c r="C19" s="247">
        <v>400000</v>
      </c>
      <c r="D19" s="247">
        <v>220000</v>
      </c>
    </row>
    <row r="20" spans="1:4" x14ac:dyDescent="0.25">
      <c r="B20" s="246" t="s">
        <v>490</v>
      </c>
      <c r="C20" s="247">
        <v>400000</v>
      </c>
      <c r="D20" s="247">
        <v>240000</v>
      </c>
    </row>
    <row r="21" spans="1:4" x14ac:dyDescent="0.25">
      <c r="B21" s="246" t="s">
        <v>491</v>
      </c>
      <c r="C21" s="247">
        <v>300000</v>
      </c>
      <c r="D21" s="247">
        <v>240000</v>
      </c>
    </row>
    <row r="22" spans="1:4" x14ac:dyDescent="0.25">
      <c r="B22" s="246" t="s">
        <v>492</v>
      </c>
      <c r="C22" s="246">
        <v>0</v>
      </c>
      <c r="D22" s="247">
        <v>200000</v>
      </c>
    </row>
    <row r="23" spans="1:4" x14ac:dyDescent="0.25">
      <c r="B23" s="246" t="s">
        <v>493</v>
      </c>
      <c r="C23" s="246">
        <v>0</v>
      </c>
      <c r="D23" s="247">
        <v>100000</v>
      </c>
    </row>
    <row r="24" spans="1:4" x14ac:dyDescent="0.25">
      <c r="B24" s="2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3E3ED-7E85-44DA-BF6E-FC85DBC77138}">
  <dimension ref="A1:J49"/>
  <sheetViews>
    <sheetView topLeftCell="A22" workbookViewId="0">
      <selection activeCell="M45" sqref="M45"/>
    </sheetView>
  </sheetViews>
  <sheetFormatPr defaultRowHeight="15" x14ac:dyDescent="0.25"/>
  <cols>
    <col min="2" max="2" width="25.42578125" customWidth="1"/>
    <col min="3" max="3" width="10.5703125" bestFit="1" customWidth="1"/>
    <col min="4" max="4" width="10.7109375" bestFit="1" customWidth="1"/>
    <col min="8" max="8" width="9.7109375" bestFit="1" customWidth="1"/>
  </cols>
  <sheetData>
    <row r="1" spans="1:10" x14ac:dyDescent="0.25">
      <c r="A1" t="s">
        <v>447</v>
      </c>
    </row>
    <row r="2" spans="1:10" x14ac:dyDescent="0.25">
      <c r="B2" s="222" t="s">
        <v>209</v>
      </c>
      <c r="C2" s="223" t="s">
        <v>448</v>
      </c>
      <c r="D2" s="224" t="s">
        <v>449</v>
      </c>
    </row>
    <row r="3" spans="1:10" x14ac:dyDescent="0.25">
      <c r="B3" s="223" t="s">
        <v>450</v>
      </c>
      <c r="C3" s="225">
        <v>100</v>
      </c>
      <c r="D3" s="226">
        <v>200</v>
      </c>
    </row>
    <row r="4" spans="1:10" x14ac:dyDescent="0.25">
      <c r="B4" s="223" t="s">
        <v>451</v>
      </c>
      <c r="C4" s="225">
        <v>40</v>
      </c>
      <c r="D4" s="226">
        <v>81</v>
      </c>
    </row>
    <row r="5" spans="1:10" x14ac:dyDescent="0.25">
      <c r="B5" s="227" t="s">
        <v>452</v>
      </c>
      <c r="C5" s="228">
        <v>10</v>
      </c>
      <c r="D5" s="229">
        <v>25</v>
      </c>
    </row>
    <row r="6" spans="1:10" x14ac:dyDescent="0.25">
      <c r="B6" s="227" t="s">
        <v>267</v>
      </c>
      <c r="C6" s="230">
        <v>0.35</v>
      </c>
      <c r="D6" s="231">
        <v>0.35</v>
      </c>
    </row>
    <row r="7" spans="1:10" x14ac:dyDescent="0.25">
      <c r="B7" s="227" t="s">
        <v>454</v>
      </c>
      <c r="C7" s="228">
        <f>(C3-C4-C5)*(1-C6)</f>
        <v>32.5</v>
      </c>
      <c r="D7" s="228">
        <f>(D3-D4-D5)*(1-D6)</f>
        <v>61.1</v>
      </c>
    </row>
    <row r="8" spans="1:10" x14ac:dyDescent="0.25">
      <c r="B8" s="227" t="s">
        <v>453</v>
      </c>
      <c r="C8" s="232">
        <f>C7/C3</f>
        <v>0.32500000000000001</v>
      </c>
      <c r="D8" s="232">
        <f>D7/D3</f>
        <v>0.30549999999999999</v>
      </c>
    </row>
    <row r="10" spans="1:10" x14ac:dyDescent="0.25">
      <c r="A10" t="s">
        <v>317</v>
      </c>
      <c r="H10" s="104">
        <v>1548000</v>
      </c>
    </row>
    <row r="11" spans="1:10" x14ac:dyDescent="0.25">
      <c r="H11" s="104">
        <v>950000</v>
      </c>
    </row>
    <row r="12" spans="1:10" x14ac:dyDescent="0.25">
      <c r="A12" s="237" t="s">
        <v>455</v>
      </c>
      <c r="B12" s="237"/>
      <c r="C12" s="237"/>
      <c r="D12" s="237"/>
      <c r="E12" s="237"/>
      <c r="F12" s="237"/>
      <c r="G12" s="237"/>
      <c r="H12" s="237"/>
      <c r="I12" s="237"/>
      <c r="J12" s="237"/>
    </row>
    <row r="13" spans="1:10" x14ac:dyDescent="0.25">
      <c r="B13" s="21"/>
      <c r="C13" s="26" t="s">
        <v>456</v>
      </c>
      <c r="D13" s="32" t="s">
        <v>457</v>
      </c>
      <c r="G13" t="s">
        <v>154</v>
      </c>
      <c r="H13" s="73">
        <f>H11-H10</f>
        <v>-598000</v>
      </c>
      <c r="I13">
        <v>0.12</v>
      </c>
    </row>
    <row r="14" spans="1:10" x14ac:dyDescent="0.25">
      <c r="B14" s="22" t="s">
        <v>56</v>
      </c>
      <c r="C14" s="29">
        <v>1250000</v>
      </c>
      <c r="D14" s="34">
        <v>1548000</v>
      </c>
      <c r="G14" t="s">
        <v>155</v>
      </c>
      <c r="H14" s="233">
        <f t="shared" ref="H14:H22" si="0">$D$22</f>
        <v>94800</v>
      </c>
      <c r="I14">
        <v>0.12</v>
      </c>
    </row>
    <row r="15" spans="1:10" x14ac:dyDescent="0.25">
      <c r="B15" s="23" t="s">
        <v>57</v>
      </c>
      <c r="C15" s="30">
        <f>C14/10</f>
        <v>125000</v>
      </c>
      <c r="D15" s="74">
        <f>D14/9</f>
        <v>172000</v>
      </c>
      <c r="G15" t="s">
        <v>96</v>
      </c>
      <c r="H15" s="233">
        <f t="shared" si="0"/>
        <v>94800</v>
      </c>
      <c r="I15">
        <v>0.12</v>
      </c>
    </row>
    <row r="16" spans="1:10" x14ac:dyDescent="0.25">
      <c r="B16" s="22"/>
      <c r="C16" s="27"/>
      <c r="D16" s="33"/>
      <c r="G16" t="s">
        <v>156</v>
      </c>
      <c r="H16" s="233">
        <f t="shared" si="0"/>
        <v>94800</v>
      </c>
      <c r="I16">
        <v>0.12</v>
      </c>
    </row>
    <row r="17" spans="1:9" x14ac:dyDescent="0.25">
      <c r="B17" s="22" t="s">
        <v>459</v>
      </c>
      <c r="C17" s="31">
        <v>365000</v>
      </c>
      <c r="D17" s="33">
        <v>485000</v>
      </c>
      <c r="G17" t="s">
        <v>157</v>
      </c>
      <c r="H17" s="233">
        <f t="shared" si="0"/>
        <v>94800</v>
      </c>
      <c r="I17">
        <v>0.12</v>
      </c>
    </row>
    <row r="18" spans="1:9" x14ac:dyDescent="0.25">
      <c r="B18" s="22" t="s">
        <v>458</v>
      </c>
      <c r="C18" s="30">
        <f>MAX(0,C17*0.21)</f>
        <v>76650</v>
      </c>
      <c r="D18" s="74">
        <f>D17*0.21</f>
        <v>101850</v>
      </c>
      <c r="G18" t="s">
        <v>158</v>
      </c>
      <c r="H18" s="233">
        <f t="shared" si="0"/>
        <v>94800</v>
      </c>
      <c r="I18">
        <v>0.12</v>
      </c>
    </row>
    <row r="19" spans="1:9" x14ac:dyDescent="0.25">
      <c r="B19" s="22" t="s">
        <v>61</v>
      </c>
      <c r="C19" s="31">
        <f>C17-C18</f>
        <v>288350</v>
      </c>
      <c r="D19" s="75">
        <f>D17-D18</f>
        <v>383150</v>
      </c>
      <c r="G19" t="s">
        <v>159</v>
      </c>
      <c r="H19" s="233">
        <f t="shared" si="0"/>
        <v>94800</v>
      </c>
      <c r="I19">
        <v>0.12</v>
      </c>
    </row>
    <row r="20" spans="1:9" x14ac:dyDescent="0.25">
      <c r="B20" s="22"/>
      <c r="C20" s="27"/>
      <c r="D20" s="33"/>
      <c r="G20" t="s">
        <v>160</v>
      </c>
      <c r="H20" s="233">
        <f t="shared" si="0"/>
        <v>94800</v>
      </c>
      <c r="I20">
        <v>0.12</v>
      </c>
    </row>
    <row r="21" spans="1:9" x14ac:dyDescent="0.25">
      <c r="B21" s="24" t="s">
        <v>63</v>
      </c>
      <c r="C21" s="30">
        <f>C19</f>
        <v>288350</v>
      </c>
      <c r="D21" s="30">
        <f>D19</f>
        <v>383150</v>
      </c>
      <c r="G21" t="s">
        <v>161</v>
      </c>
      <c r="H21" s="233">
        <f t="shared" si="0"/>
        <v>94800</v>
      </c>
      <c r="I21">
        <v>0.12</v>
      </c>
    </row>
    <row r="22" spans="1:9" x14ac:dyDescent="0.25">
      <c r="B22" s="22" t="s">
        <v>153</v>
      </c>
      <c r="C22" s="79" t="s">
        <v>164</v>
      </c>
      <c r="D22" s="233">
        <f>D21-C21</f>
        <v>94800</v>
      </c>
      <c r="G22" t="s">
        <v>162</v>
      </c>
      <c r="H22" s="233">
        <f t="shared" si="0"/>
        <v>94800</v>
      </c>
      <c r="I22">
        <v>0.12</v>
      </c>
    </row>
    <row r="23" spans="1:9" ht="90" x14ac:dyDescent="0.25">
      <c r="B23" s="24" t="s">
        <v>47</v>
      </c>
      <c r="C23" s="78" t="s">
        <v>165</v>
      </c>
      <c r="D23" s="74">
        <f>NPV(0.12,H14:H22) + H13</f>
        <v>-92881.919735448144</v>
      </c>
    </row>
    <row r="28" spans="1:9" x14ac:dyDescent="0.25">
      <c r="B28" t="s">
        <v>460</v>
      </c>
    </row>
    <row r="30" spans="1:9" x14ac:dyDescent="0.25">
      <c r="A30" t="s">
        <v>461</v>
      </c>
      <c r="B30" t="s">
        <v>462</v>
      </c>
    </row>
    <row r="32" spans="1:9" x14ac:dyDescent="0.25">
      <c r="B32" s="175" t="s">
        <v>197</v>
      </c>
      <c r="C32" s="176" t="s">
        <v>252</v>
      </c>
    </row>
    <row r="33" spans="2:3" x14ac:dyDescent="0.25">
      <c r="B33" s="8" t="s">
        <v>255</v>
      </c>
      <c r="C33" s="103">
        <v>10000</v>
      </c>
    </row>
    <row r="34" spans="2:3" x14ac:dyDescent="0.25">
      <c r="B34" s="8" t="s">
        <v>256</v>
      </c>
      <c r="C34" s="104"/>
    </row>
    <row r="35" spans="2:3" x14ac:dyDescent="0.25">
      <c r="B35" s="8" t="s">
        <v>257</v>
      </c>
      <c r="C35" s="104"/>
    </row>
    <row r="36" spans="2:3" x14ac:dyDescent="0.25">
      <c r="B36" s="112" t="s">
        <v>258</v>
      </c>
      <c r="C36" s="110">
        <f>SUM(C33:C35)</f>
        <v>10000</v>
      </c>
    </row>
    <row r="37" spans="2:3" x14ac:dyDescent="0.25">
      <c r="B37" s="8" t="s">
        <v>199</v>
      </c>
      <c r="C37" s="103">
        <v>10000</v>
      </c>
    </row>
    <row r="38" spans="2:3" x14ac:dyDescent="0.25">
      <c r="B38" s="8" t="s">
        <v>259</v>
      </c>
      <c r="C38" s="103"/>
    </row>
    <row r="39" spans="2:3" x14ac:dyDescent="0.25">
      <c r="B39" s="112" t="s">
        <v>260</v>
      </c>
      <c r="C39" s="110">
        <f>SUM(C37:C38)</f>
        <v>10000</v>
      </c>
    </row>
    <row r="40" spans="2:3" x14ac:dyDescent="0.25">
      <c r="B40" s="183" t="s">
        <v>251</v>
      </c>
      <c r="C40" s="184" t="s">
        <v>252</v>
      </c>
    </row>
    <row r="41" spans="2:3" x14ac:dyDescent="0.25">
      <c r="B41" s="195" t="s">
        <v>245</v>
      </c>
      <c r="C41" s="196">
        <v>800</v>
      </c>
    </row>
    <row r="42" spans="2:3" ht="30" x14ac:dyDescent="0.25">
      <c r="B42" s="195" t="s">
        <v>323</v>
      </c>
      <c r="C42" s="196">
        <v>800</v>
      </c>
    </row>
    <row r="43" spans="2:3" x14ac:dyDescent="0.25">
      <c r="B43" s="235" t="s">
        <v>312</v>
      </c>
      <c r="C43" s="236">
        <v>0.06</v>
      </c>
    </row>
    <row r="44" spans="2:3" ht="18.75" x14ac:dyDescent="0.3">
      <c r="B44" s="198" t="s">
        <v>320</v>
      </c>
      <c r="C44" s="201"/>
    </row>
    <row r="45" spans="2:3" x14ac:dyDescent="0.25">
      <c r="B45" s="199" t="s">
        <v>321</v>
      </c>
      <c r="C45" s="200">
        <f>C39*C43</f>
        <v>600</v>
      </c>
    </row>
    <row r="46" spans="2:3" ht="30" x14ac:dyDescent="0.25">
      <c r="B46" s="199" t="s">
        <v>322</v>
      </c>
      <c r="C46" s="200">
        <f>C42-C45</f>
        <v>200</v>
      </c>
    </row>
    <row r="47" spans="2:3" ht="37.5" x14ac:dyDescent="0.3">
      <c r="B47" s="202" t="s">
        <v>324</v>
      </c>
      <c r="C47" s="103"/>
    </row>
    <row r="48" spans="2:3" ht="30" x14ac:dyDescent="0.25">
      <c r="B48" s="199" t="s">
        <v>326</v>
      </c>
      <c r="C48" s="119">
        <f>C42/C39</f>
        <v>0.08</v>
      </c>
    </row>
    <row r="49" spans="2:3" ht="30" x14ac:dyDescent="0.25">
      <c r="B49" s="199" t="s">
        <v>325</v>
      </c>
      <c r="C49" s="200">
        <f>(C48-$C43)*C39</f>
        <v>200.00000000000003</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BB561-EA68-4DE7-8E68-A3EE8C331F24}">
  <dimension ref="A1:L593"/>
  <sheetViews>
    <sheetView topLeftCell="A88" workbookViewId="0">
      <selection activeCell="B104" sqref="B104"/>
    </sheetView>
  </sheetViews>
  <sheetFormatPr defaultRowHeight="15" x14ac:dyDescent="0.25"/>
  <cols>
    <col min="1" max="1" width="18.140625" customWidth="1"/>
    <col min="2" max="2" width="18.85546875" customWidth="1"/>
    <col min="3" max="3" width="17.42578125" bestFit="1" customWidth="1"/>
    <col min="4" max="4" width="16.140625" customWidth="1"/>
    <col min="6" max="6" width="14.42578125" bestFit="1" customWidth="1"/>
    <col min="7" max="7" width="11.7109375" customWidth="1"/>
    <col min="8" max="8" width="7.7109375" bestFit="1" customWidth="1"/>
    <col min="9" max="9" width="10.5703125" bestFit="1" customWidth="1"/>
    <col min="11" max="11" width="10" bestFit="1" customWidth="1"/>
  </cols>
  <sheetData>
    <row r="1" spans="1:8" x14ac:dyDescent="0.25">
      <c r="A1" t="s">
        <v>447</v>
      </c>
    </row>
    <row r="2" spans="1:8" x14ac:dyDescent="0.25">
      <c r="B2" s="246"/>
      <c r="C2" s="246" t="s">
        <v>448</v>
      </c>
      <c r="D2" s="246" t="s">
        <v>449</v>
      </c>
    </row>
    <row r="3" spans="1:8" x14ac:dyDescent="0.25">
      <c r="B3" s="246" t="s">
        <v>450</v>
      </c>
      <c r="C3" s="70">
        <v>100</v>
      </c>
      <c r="D3" s="70">
        <v>200</v>
      </c>
    </row>
    <row r="4" spans="1:8" ht="30" x14ac:dyDescent="0.25">
      <c r="B4" s="246" t="s">
        <v>451</v>
      </c>
      <c r="C4" s="70">
        <v>40</v>
      </c>
      <c r="D4" s="70">
        <v>81</v>
      </c>
    </row>
    <row r="5" spans="1:8" ht="30" x14ac:dyDescent="0.25">
      <c r="B5" s="246" t="s">
        <v>452</v>
      </c>
      <c r="C5" s="70">
        <v>10</v>
      </c>
      <c r="D5" s="70">
        <v>25</v>
      </c>
    </row>
    <row r="6" spans="1:8" ht="30" x14ac:dyDescent="0.25">
      <c r="B6" s="254" t="s">
        <v>546</v>
      </c>
      <c r="C6" s="255">
        <f>C3-C4-C5</f>
        <v>50</v>
      </c>
      <c r="D6" s="255">
        <f>D3-D4-D5</f>
        <v>94</v>
      </c>
    </row>
    <row r="7" spans="1:8" x14ac:dyDescent="0.25">
      <c r="B7" s="238" t="s">
        <v>544</v>
      </c>
      <c r="C7" s="70">
        <f>-C6*E7</f>
        <v>-17.5</v>
      </c>
      <c r="D7" s="70">
        <f>-D6*E7</f>
        <v>-32.9</v>
      </c>
      <c r="E7">
        <v>0.35</v>
      </c>
    </row>
    <row r="8" spans="1:8" x14ac:dyDescent="0.25">
      <c r="B8" s="238" t="s">
        <v>545</v>
      </c>
      <c r="C8" s="70">
        <f>SUM(C6:C7)</f>
        <v>32.5</v>
      </c>
      <c r="D8" s="70">
        <f>SUM(D6:D7)</f>
        <v>61.1</v>
      </c>
    </row>
    <row r="9" spans="1:8" x14ac:dyDescent="0.25">
      <c r="B9" s="238"/>
    </row>
    <row r="10" spans="1:8" ht="30" x14ac:dyDescent="0.25">
      <c r="B10" s="240" t="s">
        <v>543</v>
      </c>
      <c r="C10" s="82">
        <f>C8/C3</f>
        <v>0.32500000000000001</v>
      </c>
      <c r="D10" s="82">
        <f>D8/D3</f>
        <v>0.30549999999999999</v>
      </c>
    </row>
    <row r="12" spans="1:8" x14ac:dyDescent="0.25">
      <c r="A12" s="260"/>
      <c r="B12" s="260"/>
      <c r="C12" s="260"/>
      <c r="D12" s="260"/>
      <c r="E12" s="260"/>
      <c r="F12" s="260"/>
      <c r="G12" s="260"/>
      <c r="H12" s="260"/>
    </row>
    <row r="13" spans="1:8" x14ac:dyDescent="0.25">
      <c r="A13" t="s">
        <v>455</v>
      </c>
    </row>
    <row r="14" spans="1:8" x14ac:dyDescent="0.25">
      <c r="B14" t="s">
        <v>456</v>
      </c>
      <c r="C14" t="s">
        <v>457</v>
      </c>
      <c r="E14" t="s">
        <v>240</v>
      </c>
      <c r="F14" t="s">
        <v>522</v>
      </c>
      <c r="G14" t="s">
        <v>523</v>
      </c>
      <c r="H14" t="s">
        <v>312</v>
      </c>
    </row>
    <row r="15" spans="1:8" x14ac:dyDescent="0.25">
      <c r="A15" t="s">
        <v>547</v>
      </c>
      <c r="B15" s="25">
        <v>1250000</v>
      </c>
      <c r="C15" s="25">
        <v>1548000</v>
      </c>
      <c r="E15">
        <v>0</v>
      </c>
      <c r="F15" s="259">
        <f>H17-C15</f>
        <v>-598000</v>
      </c>
      <c r="G15" s="104">
        <f>F15/1</f>
        <v>-598000</v>
      </c>
      <c r="H15" s="157">
        <v>0.12</v>
      </c>
    </row>
    <row r="16" spans="1:8" x14ac:dyDescent="0.25">
      <c r="A16" t="s">
        <v>520</v>
      </c>
      <c r="B16" s="257">
        <v>10</v>
      </c>
      <c r="C16" s="257">
        <v>9</v>
      </c>
      <c r="E16">
        <v>1</v>
      </c>
      <c r="F16" s="25">
        <f>C$29-B$29</f>
        <v>104670</v>
      </c>
      <c r="G16" s="147">
        <f>F16/(1+H$15)^E16</f>
        <v>93455.35714285713</v>
      </c>
      <c r="H16" t="s">
        <v>523</v>
      </c>
    </row>
    <row r="17" spans="1:8" x14ac:dyDescent="0.25">
      <c r="A17" t="s">
        <v>523</v>
      </c>
      <c r="B17" s="257">
        <v>0</v>
      </c>
      <c r="C17" s="257">
        <v>0</v>
      </c>
      <c r="E17">
        <v>2</v>
      </c>
      <c r="F17" s="25">
        <f t="shared" ref="F17:F24" si="0">C$29-B$29</f>
        <v>104670</v>
      </c>
      <c r="G17" s="147">
        <f t="shared" ref="G17:G23" si="1">F17/(1+H$15)^E17</f>
        <v>83442.283163265296</v>
      </c>
      <c r="H17" s="104">
        <v>950000</v>
      </c>
    </row>
    <row r="18" spans="1:8" x14ac:dyDescent="0.25">
      <c r="A18" t="s">
        <v>151</v>
      </c>
      <c r="B18" s="25">
        <f>B15/B16</f>
        <v>125000</v>
      </c>
      <c r="C18" s="25">
        <f>C15/C16</f>
        <v>172000</v>
      </c>
      <c r="E18">
        <v>3</v>
      </c>
      <c r="F18" s="25">
        <f t="shared" si="0"/>
        <v>104670</v>
      </c>
      <c r="G18" s="147">
        <f t="shared" si="1"/>
        <v>74502.038538629713</v>
      </c>
    </row>
    <row r="19" spans="1:8" x14ac:dyDescent="0.25">
      <c r="B19" s="25"/>
      <c r="C19" s="25"/>
      <c r="E19">
        <v>4</v>
      </c>
      <c r="F19" s="25">
        <f t="shared" si="0"/>
        <v>104670</v>
      </c>
      <c r="G19" s="147">
        <f t="shared" si="1"/>
        <v>66519.677266633676</v>
      </c>
    </row>
    <row r="20" spans="1:8" x14ac:dyDescent="0.25">
      <c r="A20" t="s">
        <v>202</v>
      </c>
      <c r="B20" s="25">
        <v>365000</v>
      </c>
      <c r="C20" s="25">
        <v>485000</v>
      </c>
      <c r="E20">
        <v>5</v>
      </c>
      <c r="F20" s="25">
        <f t="shared" si="0"/>
        <v>104670</v>
      </c>
      <c r="G20" s="147">
        <f t="shared" si="1"/>
        <v>59392.568988065781</v>
      </c>
    </row>
    <row r="21" spans="1:8" x14ac:dyDescent="0.25">
      <c r="A21" t="s">
        <v>151</v>
      </c>
      <c r="B21" s="25">
        <f>B18</f>
        <v>125000</v>
      </c>
      <c r="C21" s="25">
        <f>C18</f>
        <v>172000</v>
      </c>
      <c r="E21">
        <v>6</v>
      </c>
      <c r="F21" s="25">
        <f t="shared" si="0"/>
        <v>104670</v>
      </c>
      <c r="G21" s="147">
        <f t="shared" si="1"/>
        <v>53029.079453630155</v>
      </c>
    </row>
    <row r="22" spans="1:8" x14ac:dyDescent="0.25">
      <c r="B22" s="25"/>
      <c r="C22" s="25"/>
      <c r="E22">
        <v>7</v>
      </c>
      <c r="F22" s="25">
        <f t="shared" si="0"/>
        <v>104670</v>
      </c>
      <c r="G22" s="147">
        <f t="shared" si="1"/>
        <v>47347.392369312634</v>
      </c>
    </row>
    <row r="23" spans="1:8" x14ac:dyDescent="0.25">
      <c r="A23" t="s">
        <v>550</v>
      </c>
      <c r="B23" s="25">
        <f>B20-B21</f>
        <v>240000</v>
      </c>
      <c r="C23" s="25">
        <f>C20-C21</f>
        <v>313000</v>
      </c>
      <c r="E23">
        <v>8</v>
      </c>
      <c r="F23" s="25">
        <f t="shared" si="0"/>
        <v>104670</v>
      </c>
      <c r="G23" s="147">
        <f t="shared" si="1"/>
        <v>42274.457472600567</v>
      </c>
    </row>
    <row r="24" spans="1:8" x14ac:dyDescent="0.25">
      <c r="B24" s="25"/>
      <c r="C24" s="25"/>
      <c r="E24">
        <v>9</v>
      </c>
      <c r="F24" s="25">
        <f t="shared" si="0"/>
        <v>104670</v>
      </c>
      <c r="G24" s="147">
        <f>F24/(1+H$15)^E24</f>
        <v>37745.051314821932</v>
      </c>
    </row>
    <row r="25" spans="1:8" x14ac:dyDescent="0.25">
      <c r="A25" t="s">
        <v>548</v>
      </c>
      <c r="B25" s="157">
        <v>0.21</v>
      </c>
      <c r="C25" s="157">
        <v>0.21</v>
      </c>
    </row>
    <row r="26" spans="1:8" x14ac:dyDescent="0.25">
      <c r="A26" t="s">
        <v>549</v>
      </c>
      <c r="B26" s="25">
        <f>-B23*B25</f>
        <v>-50400</v>
      </c>
      <c r="C26" s="25">
        <f>-C23*C25</f>
        <v>-65730</v>
      </c>
      <c r="F26" s="70">
        <f>NPV(0.12,F16:F24)+F15</f>
        <v>-40292.094290183275</v>
      </c>
    </row>
    <row r="27" spans="1:8" x14ac:dyDescent="0.25">
      <c r="A27" t="s">
        <v>151</v>
      </c>
      <c r="B27" s="25">
        <f>B18</f>
        <v>125000</v>
      </c>
      <c r="C27" s="25">
        <f>C18</f>
        <v>172000</v>
      </c>
    </row>
    <row r="28" spans="1:8" x14ac:dyDescent="0.25">
      <c r="B28" s="25"/>
      <c r="C28" s="25"/>
    </row>
    <row r="29" spans="1:8" x14ac:dyDescent="0.25">
      <c r="A29" t="s">
        <v>522</v>
      </c>
      <c r="B29" s="25">
        <f>B23+B26+B27</f>
        <v>314600</v>
      </c>
      <c r="C29" s="25">
        <f>C23+C26+C27</f>
        <v>419270</v>
      </c>
    </row>
    <row r="30" spans="1:8" x14ac:dyDescent="0.25">
      <c r="B30" s="25"/>
      <c r="C30" s="25"/>
    </row>
    <row r="31" spans="1:8" x14ac:dyDescent="0.25">
      <c r="A31" t="s">
        <v>47</v>
      </c>
      <c r="B31" s="25">
        <f>SUM(G15:G24)</f>
        <v>-40292.094290183042</v>
      </c>
      <c r="C31" s="25"/>
    </row>
    <row r="32" spans="1:8" x14ac:dyDescent="0.25">
      <c r="B32" s="25"/>
      <c r="C32" s="25"/>
    </row>
    <row r="33" spans="1:12" x14ac:dyDescent="0.25">
      <c r="A33" s="260"/>
      <c r="B33" s="260"/>
      <c r="C33" s="260"/>
      <c r="D33" s="260"/>
      <c r="E33" s="260"/>
      <c r="F33" s="260"/>
      <c r="G33" s="260"/>
      <c r="H33" s="260"/>
      <c r="I33" s="260"/>
    </row>
    <row r="35" spans="1:12" x14ac:dyDescent="0.25">
      <c r="A35" t="s">
        <v>461</v>
      </c>
      <c r="B35" t="s">
        <v>552</v>
      </c>
      <c r="C35" s="259">
        <v>10000</v>
      </c>
    </row>
    <row r="36" spans="1:12" x14ac:dyDescent="0.25">
      <c r="B36" t="s">
        <v>241</v>
      </c>
      <c r="C36">
        <v>0.06</v>
      </c>
    </row>
    <row r="37" spans="1:12" x14ac:dyDescent="0.25">
      <c r="B37" t="s">
        <v>551</v>
      </c>
      <c r="C37" s="259">
        <f>C35*C36</f>
        <v>600</v>
      </c>
    </row>
    <row r="39" spans="1:12" x14ac:dyDescent="0.25">
      <c r="B39" t="s">
        <v>295</v>
      </c>
      <c r="C39">
        <v>800</v>
      </c>
    </row>
    <row r="40" spans="1:12" x14ac:dyDescent="0.25">
      <c r="B40" t="s">
        <v>553</v>
      </c>
      <c r="C40" s="259">
        <f>C39-C37</f>
        <v>200</v>
      </c>
    </row>
    <row r="43" spans="1:12" x14ac:dyDescent="0.25">
      <c r="A43" s="260"/>
      <c r="B43" s="260"/>
      <c r="C43" s="260"/>
      <c r="D43" s="260"/>
      <c r="E43" s="260"/>
      <c r="F43" s="260"/>
      <c r="G43" s="260"/>
      <c r="H43" s="260"/>
      <c r="I43" s="260"/>
    </row>
    <row r="45" spans="1:12" x14ac:dyDescent="0.25">
      <c r="A45" t="s">
        <v>554</v>
      </c>
      <c r="B45" s="238"/>
      <c r="I45" t="s">
        <v>522</v>
      </c>
      <c r="J45" t="s">
        <v>496</v>
      </c>
      <c r="K45" t="s">
        <v>47</v>
      </c>
      <c r="L45" t="s">
        <v>241</v>
      </c>
    </row>
    <row r="46" spans="1:12" ht="60" x14ac:dyDescent="0.25">
      <c r="B46" s="246"/>
      <c r="C46" s="246" t="s">
        <v>336</v>
      </c>
      <c r="D46" s="246" t="s">
        <v>337</v>
      </c>
      <c r="E46" s="246" t="s">
        <v>338</v>
      </c>
      <c r="G46">
        <v>2019</v>
      </c>
      <c r="H46">
        <v>0</v>
      </c>
      <c r="I46" s="259">
        <v>3250</v>
      </c>
      <c r="K46" s="259">
        <f>I46/(1+L46)^H46</f>
        <v>3250</v>
      </c>
      <c r="L46" s="82">
        <v>5.2499999999999998E-2</v>
      </c>
    </row>
    <row r="47" spans="1:12" x14ac:dyDescent="0.25">
      <c r="B47" s="246" t="s">
        <v>339</v>
      </c>
      <c r="C47" s="261">
        <v>0.04</v>
      </c>
      <c r="D47" s="262">
        <v>2.5000000000000001E-2</v>
      </c>
      <c r="E47" s="261">
        <v>0.01</v>
      </c>
      <c r="G47">
        <v>2020</v>
      </c>
      <c r="H47">
        <v>1</v>
      </c>
      <c r="I47" s="259">
        <f>I46*(1+J47)</f>
        <v>3380</v>
      </c>
      <c r="J47" s="256">
        <v>0.04</v>
      </c>
      <c r="K47" s="259">
        <f>I47/(1+L47)^H47</f>
        <v>3211.4014251781473</v>
      </c>
      <c r="L47" s="82">
        <v>5.2499999999999998E-2</v>
      </c>
    </row>
    <row r="48" spans="1:12" x14ac:dyDescent="0.25">
      <c r="B48" s="246" t="s">
        <v>174</v>
      </c>
      <c r="C48" s="262">
        <v>5.2499999999999998E-2</v>
      </c>
      <c r="D48" s="262">
        <v>6.2E-2</v>
      </c>
      <c r="E48" s="262">
        <v>4.7500000000000001E-2</v>
      </c>
      <c r="G48">
        <v>2021</v>
      </c>
      <c r="H48">
        <v>2</v>
      </c>
      <c r="I48" s="259">
        <f t="shared" ref="I48:I54" si="2">I47*(1+J48)</f>
        <v>3515.2000000000003</v>
      </c>
      <c r="J48" s="256">
        <v>0.04</v>
      </c>
      <c r="K48" s="259">
        <f t="shared" ref="K48:K54" si="3">I48/(1+L48)^H48</f>
        <v>3173.2612657342265</v>
      </c>
      <c r="L48" s="82">
        <v>5.2499999999999998E-2</v>
      </c>
    </row>
    <row r="49" spans="1:12" x14ac:dyDescent="0.25">
      <c r="B49" s="238"/>
      <c r="G49">
        <v>2022</v>
      </c>
      <c r="H49">
        <v>3</v>
      </c>
      <c r="I49" s="259">
        <f t="shared" si="2"/>
        <v>3655.8080000000004</v>
      </c>
      <c r="J49" s="256">
        <v>0.04</v>
      </c>
      <c r="K49" s="259">
        <f t="shared" si="3"/>
        <v>3135.5740773050793</v>
      </c>
      <c r="L49" s="82">
        <v>5.2499999999999998E-2</v>
      </c>
    </row>
    <row r="50" spans="1:12" x14ac:dyDescent="0.25">
      <c r="C50" s="259"/>
      <c r="G50">
        <v>2023</v>
      </c>
      <c r="H50">
        <v>4</v>
      </c>
      <c r="I50" s="259">
        <f t="shared" si="2"/>
        <v>3802.0403200000005</v>
      </c>
      <c r="J50" s="256">
        <v>0.04</v>
      </c>
      <c r="K50" s="259">
        <f t="shared" si="3"/>
        <v>3098.3344801874418</v>
      </c>
      <c r="L50" s="82">
        <v>5.2499999999999998E-2</v>
      </c>
    </row>
    <row r="51" spans="1:12" x14ac:dyDescent="0.25">
      <c r="B51" t="s">
        <v>555</v>
      </c>
      <c r="C51" s="259"/>
      <c r="G51">
        <v>2024</v>
      </c>
      <c r="H51">
        <v>5</v>
      </c>
      <c r="I51" s="259">
        <f t="shared" si="2"/>
        <v>3954.1219328000006</v>
      </c>
      <c r="J51" s="256">
        <v>0.04</v>
      </c>
      <c r="K51" s="259">
        <f>I51/(1+L51)^H51</f>
        <v>3061.5371585700141</v>
      </c>
      <c r="L51" s="82">
        <v>5.2499999999999998E-2</v>
      </c>
    </row>
    <row r="52" spans="1:12" x14ac:dyDescent="0.25">
      <c r="C52" s="259"/>
      <c r="G52">
        <v>2025</v>
      </c>
      <c r="H52">
        <v>6</v>
      </c>
      <c r="I52" s="259">
        <f t="shared" si="2"/>
        <v>4052.9749811200004</v>
      </c>
      <c r="J52" s="256">
        <v>2.5000000000000001E-2</v>
      </c>
      <c r="K52" s="259">
        <f>I52/(1+L52)^H52</f>
        <v>2825.054447262527</v>
      </c>
      <c r="L52" s="82">
        <v>6.2E-2</v>
      </c>
    </row>
    <row r="53" spans="1:12" x14ac:dyDescent="0.25">
      <c r="B53" t="s">
        <v>556</v>
      </c>
      <c r="C53" s="259"/>
      <c r="G53">
        <v>2026</v>
      </c>
      <c r="H53">
        <v>7</v>
      </c>
      <c r="I53" s="259">
        <f t="shared" si="2"/>
        <v>4154.2993556479996</v>
      </c>
      <c r="J53" s="256">
        <v>2.5000000000000001E-2</v>
      </c>
      <c r="K53" s="259">
        <f t="shared" si="3"/>
        <v>2726.6297631300281</v>
      </c>
      <c r="L53" s="82">
        <v>6.2E-2</v>
      </c>
    </row>
    <row r="54" spans="1:12" x14ac:dyDescent="0.25">
      <c r="C54" s="259"/>
      <c r="G54">
        <v>2027</v>
      </c>
      <c r="H54">
        <v>8</v>
      </c>
      <c r="I54" s="259">
        <f t="shared" si="2"/>
        <v>4258.1568395391996</v>
      </c>
      <c r="J54" s="256">
        <v>2.5000000000000001E-2</v>
      </c>
      <c r="K54" s="259">
        <f t="shared" si="3"/>
        <v>2631.6341875784165</v>
      </c>
      <c r="L54" s="82">
        <v>6.2E-2</v>
      </c>
    </row>
    <row r="55" spans="1:12" x14ac:dyDescent="0.25">
      <c r="C55" s="259"/>
      <c r="G55">
        <v>2028</v>
      </c>
      <c r="H55">
        <v>9</v>
      </c>
      <c r="I55" s="259">
        <f>I54/(0.0475-0.01)</f>
        <v>113550.84905437866</v>
      </c>
      <c r="K55" s="259">
        <f>I55/(1+L55)^H54</f>
        <v>78335.412162742447</v>
      </c>
      <c r="L55" s="82">
        <v>4.7500000000000001E-2</v>
      </c>
    </row>
    <row r="56" spans="1:12" x14ac:dyDescent="0.25">
      <c r="C56" s="259"/>
    </row>
    <row r="57" spans="1:12" x14ac:dyDescent="0.25">
      <c r="A57" s="260"/>
      <c r="B57" s="260"/>
      <c r="C57" s="260"/>
      <c r="D57" s="260"/>
      <c r="E57" s="260"/>
      <c r="F57" s="260"/>
      <c r="G57" s="260"/>
      <c r="H57" s="260"/>
      <c r="I57" s="260"/>
      <c r="K57" s="259">
        <f>SUM(K47:K55)</f>
        <v>102198.83896768832</v>
      </c>
    </row>
    <row r="58" spans="1:12" x14ac:dyDescent="0.25">
      <c r="C58" s="259"/>
    </row>
    <row r="59" spans="1:12" x14ac:dyDescent="0.25">
      <c r="A59" t="s">
        <v>557</v>
      </c>
      <c r="B59" s="238" t="s">
        <v>558</v>
      </c>
    </row>
    <row r="60" spans="1:12" x14ac:dyDescent="0.25">
      <c r="C60">
        <v>1</v>
      </c>
      <c r="D60">
        <v>2</v>
      </c>
      <c r="E60">
        <v>3</v>
      </c>
      <c r="F60">
        <v>4</v>
      </c>
      <c r="G60">
        <v>5</v>
      </c>
    </row>
    <row r="61" spans="1:12" x14ac:dyDescent="0.25">
      <c r="B61" s="263"/>
      <c r="C61" s="265" t="s">
        <v>559</v>
      </c>
      <c r="D61" s="265" t="s">
        <v>560</v>
      </c>
      <c r="E61" s="265" t="s">
        <v>561</v>
      </c>
      <c r="F61" s="265" t="s">
        <v>562</v>
      </c>
      <c r="G61" s="265" t="s">
        <v>563</v>
      </c>
    </row>
    <row r="62" spans="1:12" x14ac:dyDescent="0.25">
      <c r="B62" s="263" t="s">
        <v>344</v>
      </c>
      <c r="C62" s="264">
        <v>4500</v>
      </c>
      <c r="D62" s="264">
        <v>4600</v>
      </c>
      <c r="E62" s="264">
        <v>4800</v>
      </c>
      <c r="F62" s="264">
        <v>6010</v>
      </c>
      <c r="G62" s="264">
        <v>8800</v>
      </c>
    </row>
    <row r="63" spans="1:12" ht="42.75" x14ac:dyDescent="0.25">
      <c r="B63" s="263" t="s">
        <v>564</v>
      </c>
      <c r="C63" s="264">
        <v>500</v>
      </c>
      <c r="D63" s="264">
        <v>800</v>
      </c>
      <c r="E63" s="264">
        <v>700</v>
      </c>
      <c r="F63" s="264">
        <v>600</v>
      </c>
      <c r="G63" s="264">
        <v>500</v>
      </c>
    </row>
    <row r="64" spans="1:12" ht="28.5" x14ac:dyDescent="0.25">
      <c r="B64" s="263" t="s">
        <v>346</v>
      </c>
      <c r="C64" s="264">
        <v>40</v>
      </c>
      <c r="D64" s="264">
        <v>100</v>
      </c>
      <c r="E64" s="264">
        <v>140</v>
      </c>
      <c r="F64" s="264">
        <v>100</v>
      </c>
      <c r="G64" s="264">
        <v>10</v>
      </c>
    </row>
    <row r="65" spans="1:9" x14ac:dyDescent="0.25">
      <c r="B65" s="263" t="s">
        <v>151</v>
      </c>
      <c r="C65" s="264">
        <v>50</v>
      </c>
      <c r="D65" s="264">
        <v>80</v>
      </c>
      <c r="E65" s="264">
        <v>100</v>
      </c>
      <c r="F65" s="264">
        <v>120</v>
      </c>
      <c r="G65" s="264">
        <v>150</v>
      </c>
    </row>
    <row r="67" spans="1:9" x14ac:dyDescent="0.25">
      <c r="B67" s="238" t="s">
        <v>267</v>
      </c>
      <c r="C67" s="266">
        <v>0.21</v>
      </c>
      <c r="D67" s="266">
        <v>0.21</v>
      </c>
      <c r="E67" s="266">
        <v>0.21</v>
      </c>
      <c r="F67" s="266">
        <v>0.21</v>
      </c>
      <c r="G67" s="266">
        <v>0.21</v>
      </c>
    </row>
    <row r="68" spans="1:9" x14ac:dyDescent="0.25">
      <c r="C68" s="259"/>
    </row>
    <row r="69" spans="1:9" x14ac:dyDescent="0.25">
      <c r="B69" t="s">
        <v>565</v>
      </c>
      <c r="C69" s="259">
        <f>C62*(1-C67) -C63+C65-C64</f>
        <v>3065</v>
      </c>
      <c r="D69" s="259">
        <f t="shared" ref="D69:G69" si="4">D62*(1-D67) -D63+D65-D64</f>
        <v>2814</v>
      </c>
      <c r="E69" s="259">
        <f t="shared" si="4"/>
        <v>3052</v>
      </c>
      <c r="F69" s="259">
        <f t="shared" si="4"/>
        <v>4167.9000000000005</v>
      </c>
      <c r="G69" s="259">
        <f t="shared" si="4"/>
        <v>6592</v>
      </c>
    </row>
    <row r="70" spans="1:9" x14ac:dyDescent="0.25">
      <c r="B70" t="s">
        <v>47</v>
      </c>
      <c r="C70" s="259">
        <f>C69/(1+0.1)^C60</f>
        <v>2786.363636363636</v>
      </c>
      <c r="D70" s="259">
        <f t="shared" ref="D70:G70" si="5">D69/(1+0.1)^D60</f>
        <v>2325.6198347107434</v>
      </c>
      <c r="E70" s="259">
        <f t="shared" si="5"/>
        <v>2293.0127723516148</v>
      </c>
      <c r="F70" s="259">
        <f t="shared" si="5"/>
        <v>2846.7317806160777</v>
      </c>
      <c r="G70" s="259">
        <f t="shared" si="5"/>
        <v>4093.1133616059496</v>
      </c>
    </row>
    <row r="71" spans="1:9" x14ac:dyDescent="0.25">
      <c r="B71" s="70">
        <f>NPV(0.1,C69:G69)</f>
        <v>14344.84138564802</v>
      </c>
      <c r="C71" s="259"/>
    </row>
    <row r="72" spans="1:9" x14ac:dyDescent="0.25">
      <c r="C72" s="259"/>
    </row>
    <row r="73" spans="1:9" x14ac:dyDescent="0.25">
      <c r="A73" s="260"/>
      <c r="B73" s="260"/>
      <c r="C73" s="260"/>
      <c r="D73" s="260"/>
      <c r="E73" s="260"/>
      <c r="F73" s="260"/>
      <c r="G73" s="260"/>
      <c r="H73" s="260"/>
      <c r="I73" s="260"/>
    </row>
    <row r="74" spans="1:9" x14ac:dyDescent="0.25">
      <c r="B74" t="s">
        <v>569</v>
      </c>
      <c r="C74" s="259"/>
    </row>
    <row r="75" spans="1:9" x14ac:dyDescent="0.25">
      <c r="A75" t="s">
        <v>478</v>
      </c>
      <c r="B75" t="s">
        <v>566</v>
      </c>
      <c r="C75" s="259" t="s">
        <v>567</v>
      </c>
    </row>
    <row r="76" spans="1:9" x14ac:dyDescent="0.25">
      <c r="B76" s="259">
        <v>7400000</v>
      </c>
      <c r="C76" s="259">
        <v>3100000</v>
      </c>
    </row>
    <row r="77" spans="1:9" x14ac:dyDescent="0.25">
      <c r="A77" t="s">
        <v>496</v>
      </c>
      <c r="B77" s="256">
        <v>0.08</v>
      </c>
      <c r="C77" s="256">
        <v>0.08</v>
      </c>
    </row>
    <row r="78" spans="1:9" x14ac:dyDescent="0.25">
      <c r="A78" t="s">
        <v>312</v>
      </c>
      <c r="B78" s="256">
        <v>0.1</v>
      </c>
      <c r="C78" s="256">
        <v>0.09</v>
      </c>
    </row>
    <row r="79" spans="1:9" x14ac:dyDescent="0.25">
      <c r="C79" s="259"/>
    </row>
    <row r="80" spans="1:9" x14ac:dyDescent="0.25">
      <c r="A80" t="s">
        <v>568</v>
      </c>
      <c r="B80" s="267">
        <f>B76/(B78-B77)</f>
        <v>369999999.99999994</v>
      </c>
      <c r="C80" s="267">
        <f>C76/(C78-C77)</f>
        <v>310000000.00000018</v>
      </c>
    </row>
    <row r="81" spans="1:9" x14ac:dyDescent="0.25">
      <c r="C81" s="259"/>
    </row>
    <row r="82" spans="1:9" x14ac:dyDescent="0.25">
      <c r="C82" s="259" t="s">
        <v>479</v>
      </c>
    </row>
    <row r="83" spans="1:9" x14ac:dyDescent="0.25">
      <c r="C83" s="259"/>
    </row>
    <row r="84" spans="1:9" x14ac:dyDescent="0.25">
      <c r="A84" s="260"/>
      <c r="B84" s="260"/>
      <c r="C84" s="260"/>
      <c r="D84" s="260"/>
      <c r="E84" s="260"/>
      <c r="F84" s="260"/>
      <c r="G84" s="260"/>
      <c r="H84" s="260"/>
      <c r="I84" s="260"/>
    </row>
    <row r="85" spans="1:9" x14ac:dyDescent="0.25">
      <c r="C85" s="259"/>
    </row>
    <row r="86" spans="1:9" x14ac:dyDescent="0.25">
      <c r="A86" t="s">
        <v>476</v>
      </c>
      <c r="C86">
        <v>1</v>
      </c>
      <c r="D86">
        <v>2</v>
      </c>
      <c r="E86">
        <v>3</v>
      </c>
      <c r="F86">
        <v>4</v>
      </c>
    </row>
    <row r="87" spans="1:9" x14ac:dyDescent="0.25">
      <c r="B87" s="268"/>
      <c r="C87" s="268">
        <v>2020</v>
      </c>
      <c r="D87" s="268">
        <v>2021</v>
      </c>
      <c r="E87" s="268">
        <v>2022</v>
      </c>
      <c r="F87" s="268">
        <v>2023</v>
      </c>
    </row>
    <row r="88" spans="1:9" x14ac:dyDescent="0.25">
      <c r="B88" s="268" t="s">
        <v>344</v>
      </c>
      <c r="C88" s="269">
        <v>2000</v>
      </c>
      <c r="D88" s="269">
        <v>2500</v>
      </c>
      <c r="E88" s="269">
        <v>2800</v>
      </c>
      <c r="F88" s="269">
        <v>2950</v>
      </c>
    </row>
    <row r="89" spans="1:9" ht="30" x14ac:dyDescent="0.25">
      <c r="B89" s="268" t="s">
        <v>570</v>
      </c>
      <c r="C89" s="269">
        <v>-1000</v>
      </c>
      <c r="D89" s="268"/>
      <c r="E89" s="268"/>
      <c r="F89" s="268"/>
    </row>
    <row r="90" spans="1:9" ht="30" x14ac:dyDescent="0.25">
      <c r="B90" s="268" t="s">
        <v>345</v>
      </c>
      <c r="C90" s="269">
        <v>500</v>
      </c>
      <c r="D90" s="269">
        <v>500</v>
      </c>
      <c r="E90" s="269">
        <v>500</v>
      </c>
      <c r="F90" s="269">
        <v>450</v>
      </c>
    </row>
    <row r="91" spans="1:9" ht="30" x14ac:dyDescent="0.25">
      <c r="B91" s="268" t="s">
        <v>571</v>
      </c>
      <c r="C91" s="269">
        <v>40</v>
      </c>
      <c r="D91" s="269">
        <v>-10</v>
      </c>
      <c r="E91" s="269">
        <v>-20</v>
      </c>
      <c r="F91" s="269">
        <v>20</v>
      </c>
    </row>
    <row r="92" spans="1:9" x14ac:dyDescent="0.25">
      <c r="B92" s="268" t="s">
        <v>151</v>
      </c>
      <c r="C92" s="269">
        <v>50</v>
      </c>
      <c r="D92" s="269">
        <v>60</v>
      </c>
      <c r="E92" s="269">
        <v>100</v>
      </c>
      <c r="F92" s="269">
        <v>110</v>
      </c>
    </row>
    <row r="93" spans="1:9" x14ac:dyDescent="0.25">
      <c r="B93" s="270" t="s">
        <v>267</v>
      </c>
      <c r="C93" s="271">
        <v>0.21</v>
      </c>
      <c r="D93" s="271">
        <v>0.21</v>
      </c>
      <c r="E93" s="271">
        <v>0.21</v>
      </c>
      <c r="F93" s="271">
        <v>0.21</v>
      </c>
    </row>
    <row r="95" spans="1:9" x14ac:dyDescent="0.25">
      <c r="B95" s="272" t="s">
        <v>572</v>
      </c>
      <c r="C95" s="259">
        <f>(C88*(1-C93)) -C90 -C91 +C92 +C89</f>
        <v>90</v>
      </c>
      <c r="D95" s="259">
        <f t="shared" ref="D95:F95" si="6">(D88*(1-D93)) -D90 -D91 +D92 +D89</f>
        <v>1545</v>
      </c>
      <c r="E95" s="259">
        <f t="shared" si="6"/>
        <v>1832</v>
      </c>
      <c r="F95" s="259">
        <f t="shared" si="6"/>
        <v>1970.5</v>
      </c>
      <c r="G95" s="259">
        <f>SUM(C95:F95)</f>
        <v>5437.5</v>
      </c>
    </row>
    <row r="96" spans="1:9" x14ac:dyDescent="0.25">
      <c r="B96" s="272" t="s">
        <v>429</v>
      </c>
      <c r="C96" s="259">
        <f>C95/(1.09)^C86</f>
        <v>82.568807339449535</v>
      </c>
      <c r="D96" s="259">
        <f t="shared" ref="D96:F96" si="7">D95/(1.09)^D86</f>
        <v>1300.3955895968352</v>
      </c>
      <c r="E96" s="259">
        <f t="shared" si="7"/>
        <v>1414.6401354718696</v>
      </c>
      <c r="F96" s="259">
        <f t="shared" si="7"/>
        <v>1395.9518784039697</v>
      </c>
    </row>
    <row r="97" spans="1:9" x14ac:dyDescent="0.25">
      <c r="B97" s="272" t="s">
        <v>331</v>
      </c>
      <c r="C97" s="259">
        <f>NPV(0.09,C95:F95)</f>
        <v>4193.5564108121234</v>
      </c>
    </row>
    <row r="98" spans="1:9" x14ac:dyDescent="0.25">
      <c r="C98" s="259"/>
    </row>
    <row r="99" spans="1:9" x14ac:dyDescent="0.25">
      <c r="C99" s="259"/>
    </row>
    <row r="100" spans="1:9" x14ac:dyDescent="0.25">
      <c r="A100" t="s">
        <v>573</v>
      </c>
      <c r="B100">
        <v>4800</v>
      </c>
      <c r="C100" s="259"/>
    </row>
    <row r="101" spans="1:9" x14ac:dyDescent="0.25">
      <c r="C101" s="259"/>
    </row>
    <row r="102" spans="1:9" x14ac:dyDescent="0.25">
      <c r="A102" s="260"/>
      <c r="B102" s="260"/>
      <c r="C102" s="260"/>
      <c r="D102" s="260"/>
      <c r="E102" s="260"/>
      <c r="F102" s="260"/>
      <c r="G102" s="260"/>
      <c r="H102" s="260"/>
      <c r="I102" s="260"/>
    </row>
    <row r="103" spans="1:9" x14ac:dyDescent="0.25">
      <c r="C103" s="259"/>
    </row>
    <row r="104" spans="1:9" x14ac:dyDescent="0.25">
      <c r="A104" t="s">
        <v>574</v>
      </c>
      <c r="B104" t="s">
        <v>379</v>
      </c>
      <c r="C104" s="259" t="s">
        <v>380</v>
      </c>
    </row>
    <row r="105" spans="1:9" x14ac:dyDescent="0.25">
      <c r="A105" t="s">
        <v>575</v>
      </c>
      <c r="B105" s="258">
        <v>198.36</v>
      </c>
      <c r="C105" s="258">
        <v>315.10000000000002</v>
      </c>
    </row>
    <row r="106" spans="1:9" x14ac:dyDescent="0.25">
      <c r="A106" t="s">
        <v>576</v>
      </c>
      <c r="B106" s="259">
        <v>476060000000</v>
      </c>
      <c r="C106" s="259">
        <v>137770000000</v>
      </c>
    </row>
    <row r="107" spans="1:9" x14ac:dyDescent="0.25">
      <c r="A107" t="s">
        <v>577</v>
      </c>
      <c r="B107" s="258">
        <v>30.29</v>
      </c>
      <c r="C107" s="258">
        <v>13.95</v>
      </c>
    </row>
    <row r="108" spans="1:9" x14ac:dyDescent="0.25">
      <c r="C108" s="259"/>
    </row>
    <row r="109" spans="1:9" x14ac:dyDescent="0.25">
      <c r="A109" t="s">
        <v>578</v>
      </c>
      <c r="B109" s="73">
        <v>2400000000</v>
      </c>
      <c r="C109" s="73">
        <v>437220000</v>
      </c>
    </row>
    <row r="110" spans="1:9" x14ac:dyDescent="0.25">
      <c r="C110" s="259"/>
    </row>
    <row r="111" spans="1:9" x14ac:dyDescent="0.25">
      <c r="A111" t="s">
        <v>579</v>
      </c>
      <c r="B111" s="73">
        <f>B107*B109</f>
        <v>72696000000</v>
      </c>
      <c r="C111" s="73">
        <f>C107*C109</f>
        <v>6099219000</v>
      </c>
    </row>
    <row r="112" spans="1:9" x14ac:dyDescent="0.25">
      <c r="A112" t="s">
        <v>580</v>
      </c>
      <c r="B112" s="259">
        <f>B106-B111</f>
        <v>403364000000</v>
      </c>
      <c r="C112" s="259">
        <f>C106-C111</f>
        <v>131670781000</v>
      </c>
    </row>
    <row r="113" spans="1:3" x14ac:dyDescent="0.25">
      <c r="A113" t="s">
        <v>580</v>
      </c>
      <c r="B113" s="259">
        <f>(B105-B107)*B109</f>
        <v>403368000000.00006</v>
      </c>
      <c r="C113" s="259">
        <f>(C105-C107)*C109</f>
        <v>131668803000.00002</v>
      </c>
    </row>
    <row r="114" spans="1:3" x14ac:dyDescent="0.25">
      <c r="C114" s="259"/>
    </row>
    <row r="115" spans="1:3" x14ac:dyDescent="0.25">
      <c r="C115" s="259"/>
    </row>
    <row r="116" spans="1:3" x14ac:dyDescent="0.25">
      <c r="C116" s="259"/>
    </row>
    <row r="117" spans="1:3" x14ac:dyDescent="0.25">
      <c r="C117" s="259"/>
    </row>
    <row r="118" spans="1:3" x14ac:dyDescent="0.25">
      <c r="C118" s="259"/>
    </row>
    <row r="119" spans="1:3" x14ac:dyDescent="0.25">
      <c r="C119" s="259"/>
    </row>
    <row r="120" spans="1:3" x14ac:dyDescent="0.25">
      <c r="C120" s="259"/>
    </row>
    <row r="121" spans="1:3" x14ac:dyDescent="0.25">
      <c r="C121" s="259"/>
    </row>
    <row r="122" spans="1:3" x14ac:dyDescent="0.25">
      <c r="C122" s="259"/>
    </row>
    <row r="123" spans="1:3" x14ac:dyDescent="0.25">
      <c r="C123" s="259"/>
    </row>
    <row r="124" spans="1:3" x14ac:dyDescent="0.25">
      <c r="C124" s="259"/>
    </row>
    <row r="125" spans="1:3" x14ac:dyDescent="0.25">
      <c r="C125" s="259"/>
    </row>
    <row r="126" spans="1:3" x14ac:dyDescent="0.25">
      <c r="C126" s="259"/>
    </row>
    <row r="127" spans="1:3" x14ac:dyDescent="0.25">
      <c r="C127" s="259"/>
    </row>
    <row r="128" spans="1:3" x14ac:dyDescent="0.25">
      <c r="C128" s="259"/>
    </row>
    <row r="129" spans="3:3" x14ac:dyDescent="0.25">
      <c r="C129" s="259"/>
    </row>
    <row r="130" spans="3:3" x14ac:dyDescent="0.25">
      <c r="C130" s="259"/>
    </row>
    <row r="131" spans="3:3" x14ac:dyDescent="0.25">
      <c r="C131" s="259"/>
    </row>
    <row r="132" spans="3:3" x14ac:dyDescent="0.25">
      <c r="C132" s="259"/>
    </row>
    <row r="133" spans="3:3" x14ac:dyDescent="0.25">
      <c r="C133" s="259"/>
    </row>
    <row r="134" spans="3:3" x14ac:dyDescent="0.25">
      <c r="C134" s="259"/>
    </row>
    <row r="135" spans="3:3" x14ac:dyDescent="0.25">
      <c r="C135" s="259"/>
    </row>
    <row r="136" spans="3:3" x14ac:dyDescent="0.25">
      <c r="C136" s="259"/>
    </row>
    <row r="137" spans="3:3" x14ac:dyDescent="0.25">
      <c r="C137" s="259"/>
    </row>
    <row r="138" spans="3:3" x14ac:dyDescent="0.25">
      <c r="C138" s="259"/>
    </row>
    <row r="139" spans="3:3" x14ac:dyDescent="0.25">
      <c r="C139" s="259"/>
    </row>
    <row r="140" spans="3:3" x14ac:dyDescent="0.25">
      <c r="C140" s="259"/>
    </row>
    <row r="141" spans="3:3" x14ac:dyDescent="0.25">
      <c r="C141" s="259"/>
    </row>
    <row r="142" spans="3:3" x14ac:dyDescent="0.25">
      <c r="C142" s="259"/>
    </row>
    <row r="143" spans="3:3" x14ac:dyDescent="0.25">
      <c r="C143" s="259"/>
    </row>
    <row r="144" spans="3:3" x14ac:dyDescent="0.25">
      <c r="C144" s="259"/>
    </row>
    <row r="145" spans="3:3" x14ac:dyDescent="0.25">
      <c r="C145" s="259"/>
    </row>
    <row r="146" spans="3:3" x14ac:dyDescent="0.25">
      <c r="C146" s="259"/>
    </row>
    <row r="147" spans="3:3" x14ac:dyDescent="0.25">
      <c r="C147" s="259"/>
    </row>
    <row r="148" spans="3:3" x14ac:dyDescent="0.25">
      <c r="C148" s="259"/>
    </row>
    <row r="149" spans="3:3" x14ac:dyDescent="0.25">
      <c r="C149" s="259"/>
    </row>
    <row r="150" spans="3:3" x14ac:dyDescent="0.25">
      <c r="C150" s="259"/>
    </row>
    <row r="151" spans="3:3" x14ac:dyDescent="0.25">
      <c r="C151" s="259"/>
    </row>
    <row r="152" spans="3:3" x14ac:dyDescent="0.25">
      <c r="C152" s="259"/>
    </row>
    <row r="153" spans="3:3" x14ac:dyDescent="0.25">
      <c r="C153" s="259"/>
    </row>
    <row r="154" spans="3:3" x14ac:dyDescent="0.25">
      <c r="C154" s="259"/>
    </row>
    <row r="155" spans="3:3" x14ac:dyDescent="0.25">
      <c r="C155" s="259"/>
    </row>
    <row r="156" spans="3:3" x14ac:dyDescent="0.25">
      <c r="C156" s="259"/>
    </row>
    <row r="157" spans="3:3" x14ac:dyDescent="0.25">
      <c r="C157" s="259"/>
    </row>
    <row r="158" spans="3:3" x14ac:dyDescent="0.25">
      <c r="C158" s="259"/>
    </row>
    <row r="159" spans="3:3" x14ac:dyDescent="0.25">
      <c r="C159" s="259"/>
    </row>
    <row r="160" spans="3:3" x14ac:dyDescent="0.25">
      <c r="C160" s="259"/>
    </row>
    <row r="161" spans="3:3" x14ac:dyDescent="0.25">
      <c r="C161" s="259"/>
    </row>
    <row r="162" spans="3:3" x14ac:dyDescent="0.25">
      <c r="C162" s="259"/>
    </row>
    <row r="163" spans="3:3" x14ac:dyDescent="0.25">
      <c r="C163" s="259"/>
    </row>
    <row r="164" spans="3:3" x14ac:dyDescent="0.25">
      <c r="C164" s="259"/>
    </row>
    <row r="165" spans="3:3" x14ac:dyDescent="0.25">
      <c r="C165" s="259"/>
    </row>
    <row r="166" spans="3:3" x14ac:dyDescent="0.25">
      <c r="C166" s="259"/>
    </row>
    <row r="167" spans="3:3" x14ac:dyDescent="0.25">
      <c r="C167" s="259"/>
    </row>
    <row r="168" spans="3:3" x14ac:dyDescent="0.25">
      <c r="C168" s="259"/>
    </row>
    <row r="169" spans="3:3" x14ac:dyDescent="0.25">
      <c r="C169" s="259"/>
    </row>
    <row r="170" spans="3:3" x14ac:dyDescent="0.25">
      <c r="C170" s="259"/>
    </row>
    <row r="171" spans="3:3" x14ac:dyDescent="0.25">
      <c r="C171" s="259"/>
    </row>
    <row r="172" spans="3:3" x14ac:dyDescent="0.25">
      <c r="C172" s="259"/>
    </row>
    <row r="173" spans="3:3" x14ac:dyDescent="0.25">
      <c r="C173" s="259"/>
    </row>
    <row r="174" spans="3:3" x14ac:dyDescent="0.25">
      <c r="C174" s="259"/>
    </row>
    <row r="175" spans="3:3" x14ac:dyDescent="0.25">
      <c r="C175" s="259"/>
    </row>
    <row r="176" spans="3:3" x14ac:dyDescent="0.25">
      <c r="C176" s="259"/>
    </row>
    <row r="177" spans="3:3" x14ac:dyDescent="0.25">
      <c r="C177" s="259"/>
    </row>
    <row r="178" spans="3:3" x14ac:dyDescent="0.25">
      <c r="C178" s="259"/>
    </row>
    <row r="179" spans="3:3" x14ac:dyDescent="0.25">
      <c r="C179" s="259"/>
    </row>
    <row r="180" spans="3:3" x14ac:dyDescent="0.25">
      <c r="C180" s="259"/>
    </row>
    <row r="181" spans="3:3" x14ac:dyDescent="0.25">
      <c r="C181" s="259"/>
    </row>
    <row r="182" spans="3:3" x14ac:dyDescent="0.25">
      <c r="C182" s="259"/>
    </row>
    <row r="183" spans="3:3" x14ac:dyDescent="0.25">
      <c r="C183" s="259"/>
    </row>
    <row r="184" spans="3:3" x14ac:dyDescent="0.25">
      <c r="C184" s="259"/>
    </row>
    <row r="185" spans="3:3" x14ac:dyDescent="0.25">
      <c r="C185" s="259"/>
    </row>
    <row r="186" spans="3:3" x14ac:dyDescent="0.25">
      <c r="C186" s="259"/>
    </row>
    <row r="187" spans="3:3" x14ac:dyDescent="0.25">
      <c r="C187" s="259"/>
    </row>
    <row r="188" spans="3:3" x14ac:dyDescent="0.25">
      <c r="C188" s="259"/>
    </row>
    <row r="189" spans="3:3" x14ac:dyDescent="0.25">
      <c r="C189" s="259"/>
    </row>
    <row r="190" spans="3:3" x14ac:dyDescent="0.25">
      <c r="C190" s="259"/>
    </row>
    <row r="191" spans="3:3" x14ac:dyDescent="0.25">
      <c r="C191" s="259"/>
    </row>
    <row r="192" spans="3:3" x14ac:dyDescent="0.25">
      <c r="C192" s="259"/>
    </row>
    <row r="193" spans="3:3" x14ac:dyDescent="0.25">
      <c r="C193" s="259"/>
    </row>
    <row r="194" spans="3:3" x14ac:dyDescent="0.25">
      <c r="C194" s="259"/>
    </row>
    <row r="195" spans="3:3" x14ac:dyDescent="0.25">
      <c r="C195" s="259"/>
    </row>
    <row r="196" spans="3:3" x14ac:dyDescent="0.25">
      <c r="C196" s="259"/>
    </row>
    <row r="197" spans="3:3" x14ac:dyDescent="0.25">
      <c r="C197" s="259"/>
    </row>
    <row r="198" spans="3:3" x14ac:dyDescent="0.25">
      <c r="C198" s="259"/>
    </row>
    <row r="199" spans="3:3" x14ac:dyDescent="0.25">
      <c r="C199" s="259"/>
    </row>
    <row r="200" spans="3:3" x14ac:dyDescent="0.25">
      <c r="C200" s="259"/>
    </row>
    <row r="201" spans="3:3" x14ac:dyDescent="0.25">
      <c r="C201" s="259"/>
    </row>
    <row r="202" spans="3:3" x14ac:dyDescent="0.25">
      <c r="C202" s="259"/>
    </row>
    <row r="203" spans="3:3" x14ac:dyDescent="0.25">
      <c r="C203" s="259"/>
    </row>
    <row r="204" spans="3:3" x14ac:dyDescent="0.25">
      <c r="C204" s="259"/>
    </row>
    <row r="205" spans="3:3" x14ac:dyDescent="0.25">
      <c r="C205" s="259"/>
    </row>
    <row r="206" spans="3:3" x14ac:dyDescent="0.25">
      <c r="C206" s="259"/>
    </row>
    <row r="207" spans="3:3" x14ac:dyDescent="0.25">
      <c r="C207" s="259"/>
    </row>
    <row r="208" spans="3:3" x14ac:dyDescent="0.25">
      <c r="C208" s="259"/>
    </row>
    <row r="209" spans="3:3" x14ac:dyDescent="0.25">
      <c r="C209" s="259"/>
    </row>
    <row r="210" spans="3:3" x14ac:dyDescent="0.25">
      <c r="C210" s="259"/>
    </row>
    <row r="211" spans="3:3" x14ac:dyDescent="0.25">
      <c r="C211" s="259"/>
    </row>
    <row r="212" spans="3:3" x14ac:dyDescent="0.25">
      <c r="C212" s="259"/>
    </row>
    <row r="213" spans="3:3" x14ac:dyDescent="0.25">
      <c r="C213" s="259"/>
    </row>
    <row r="214" spans="3:3" x14ac:dyDescent="0.25">
      <c r="C214" s="259"/>
    </row>
    <row r="215" spans="3:3" x14ac:dyDescent="0.25">
      <c r="C215" s="259"/>
    </row>
    <row r="216" spans="3:3" x14ac:dyDescent="0.25">
      <c r="C216" s="259"/>
    </row>
    <row r="217" spans="3:3" x14ac:dyDescent="0.25">
      <c r="C217" s="259"/>
    </row>
    <row r="218" spans="3:3" x14ac:dyDescent="0.25">
      <c r="C218" s="259"/>
    </row>
    <row r="219" spans="3:3" x14ac:dyDescent="0.25">
      <c r="C219" s="259"/>
    </row>
    <row r="220" spans="3:3" x14ac:dyDescent="0.25">
      <c r="C220" s="259"/>
    </row>
    <row r="221" spans="3:3" x14ac:dyDescent="0.25">
      <c r="C221" s="259"/>
    </row>
    <row r="222" spans="3:3" x14ac:dyDescent="0.25">
      <c r="C222" s="259"/>
    </row>
    <row r="223" spans="3:3" x14ac:dyDescent="0.25">
      <c r="C223" s="259"/>
    </row>
    <row r="224" spans="3:3" x14ac:dyDescent="0.25">
      <c r="C224" s="259"/>
    </row>
    <row r="225" spans="3:3" x14ac:dyDescent="0.25">
      <c r="C225" s="259"/>
    </row>
    <row r="226" spans="3:3" x14ac:dyDescent="0.25">
      <c r="C226" s="259"/>
    </row>
    <row r="227" spans="3:3" x14ac:dyDescent="0.25">
      <c r="C227" s="259"/>
    </row>
    <row r="228" spans="3:3" x14ac:dyDescent="0.25">
      <c r="C228" s="259"/>
    </row>
    <row r="229" spans="3:3" x14ac:dyDescent="0.25">
      <c r="C229" s="259"/>
    </row>
    <row r="230" spans="3:3" x14ac:dyDescent="0.25">
      <c r="C230" s="259"/>
    </row>
    <row r="231" spans="3:3" x14ac:dyDescent="0.25">
      <c r="C231" s="259"/>
    </row>
    <row r="232" spans="3:3" x14ac:dyDescent="0.25">
      <c r="C232" s="259"/>
    </row>
    <row r="233" spans="3:3" x14ac:dyDescent="0.25">
      <c r="C233" s="259"/>
    </row>
    <row r="234" spans="3:3" x14ac:dyDescent="0.25">
      <c r="C234" s="259"/>
    </row>
    <row r="235" spans="3:3" x14ac:dyDescent="0.25">
      <c r="C235" s="259"/>
    </row>
    <row r="236" spans="3:3" x14ac:dyDescent="0.25">
      <c r="C236" s="259"/>
    </row>
    <row r="237" spans="3:3" x14ac:dyDescent="0.25">
      <c r="C237" s="259"/>
    </row>
    <row r="238" spans="3:3" x14ac:dyDescent="0.25">
      <c r="C238" s="259"/>
    </row>
    <row r="239" spans="3:3" x14ac:dyDescent="0.25">
      <c r="C239" s="259"/>
    </row>
    <row r="240" spans="3:3" x14ac:dyDescent="0.25">
      <c r="C240" s="259"/>
    </row>
    <row r="241" spans="3:3" x14ac:dyDescent="0.25">
      <c r="C241" s="259"/>
    </row>
    <row r="242" spans="3:3" x14ac:dyDescent="0.25">
      <c r="C242" s="259"/>
    </row>
    <row r="243" spans="3:3" x14ac:dyDescent="0.25">
      <c r="C243" s="259"/>
    </row>
    <row r="244" spans="3:3" x14ac:dyDescent="0.25">
      <c r="C244" s="259"/>
    </row>
    <row r="245" spans="3:3" x14ac:dyDescent="0.25">
      <c r="C245" s="259"/>
    </row>
    <row r="246" spans="3:3" x14ac:dyDescent="0.25">
      <c r="C246" s="259"/>
    </row>
    <row r="247" spans="3:3" x14ac:dyDescent="0.25">
      <c r="C247" s="259"/>
    </row>
    <row r="248" spans="3:3" x14ac:dyDescent="0.25">
      <c r="C248" s="259"/>
    </row>
    <row r="249" spans="3:3" x14ac:dyDescent="0.25">
      <c r="C249" s="259"/>
    </row>
    <row r="250" spans="3:3" x14ac:dyDescent="0.25">
      <c r="C250" s="259"/>
    </row>
    <row r="251" spans="3:3" x14ac:dyDescent="0.25">
      <c r="C251" s="259"/>
    </row>
    <row r="252" spans="3:3" x14ac:dyDescent="0.25">
      <c r="C252" s="259"/>
    </row>
    <row r="253" spans="3:3" x14ac:dyDescent="0.25">
      <c r="C253" s="259"/>
    </row>
    <row r="254" spans="3:3" x14ac:dyDescent="0.25">
      <c r="C254" s="259"/>
    </row>
    <row r="255" spans="3:3" x14ac:dyDescent="0.25">
      <c r="C255" s="259"/>
    </row>
    <row r="256" spans="3:3" x14ac:dyDescent="0.25">
      <c r="C256" s="259"/>
    </row>
    <row r="257" spans="3:3" x14ac:dyDescent="0.25">
      <c r="C257" s="259"/>
    </row>
    <row r="258" spans="3:3" x14ac:dyDescent="0.25">
      <c r="C258" s="259"/>
    </row>
    <row r="259" spans="3:3" x14ac:dyDescent="0.25">
      <c r="C259" s="259"/>
    </row>
    <row r="260" spans="3:3" x14ac:dyDescent="0.25">
      <c r="C260" s="259"/>
    </row>
    <row r="261" spans="3:3" x14ac:dyDescent="0.25">
      <c r="C261" s="259"/>
    </row>
    <row r="262" spans="3:3" x14ac:dyDescent="0.25">
      <c r="C262" s="259"/>
    </row>
    <row r="263" spans="3:3" x14ac:dyDescent="0.25">
      <c r="C263" s="259"/>
    </row>
    <row r="264" spans="3:3" x14ac:dyDescent="0.25">
      <c r="C264" s="259"/>
    </row>
    <row r="265" spans="3:3" x14ac:dyDescent="0.25">
      <c r="C265" s="259"/>
    </row>
    <row r="266" spans="3:3" x14ac:dyDescent="0.25">
      <c r="C266" s="259"/>
    </row>
    <row r="267" spans="3:3" x14ac:dyDescent="0.25">
      <c r="C267" s="259"/>
    </row>
    <row r="268" spans="3:3" x14ac:dyDescent="0.25">
      <c r="C268" s="259"/>
    </row>
    <row r="269" spans="3:3" x14ac:dyDescent="0.25">
      <c r="C269" s="259"/>
    </row>
    <row r="270" spans="3:3" x14ac:dyDescent="0.25">
      <c r="C270" s="259"/>
    </row>
    <row r="271" spans="3:3" x14ac:dyDescent="0.25">
      <c r="C271" s="259"/>
    </row>
    <row r="272" spans="3:3" x14ac:dyDescent="0.25">
      <c r="C272" s="259"/>
    </row>
    <row r="273" spans="3:3" x14ac:dyDescent="0.25">
      <c r="C273" s="259"/>
    </row>
    <row r="274" spans="3:3" x14ac:dyDescent="0.25">
      <c r="C274" s="259"/>
    </row>
    <row r="275" spans="3:3" x14ac:dyDescent="0.25">
      <c r="C275" s="259"/>
    </row>
    <row r="276" spans="3:3" x14ac:dyDescent="0.25">
      <c r="C276" s="259"/>
    </row>
    <row r="277" spans="3:3" x14ac:dyDescent="0.25">
      <c r="C277" s="259"/>
    </row>
    <row r="278" spans="3:3" x14ac:dyDescent="0.25">
      <c r="C278" s="259"/>
    </row>
    <row r="279" spans="3:3" x14ac:dyDescent="0.25">
      <c r="C279" s="259"/>
    </row>
    <row r="280" spans="3:3" x14ac:dyDescent="0.25">
      <c r="C280" s="259"/>
    </row>
    <row r="281" spans="3:3" x14ac:dyDescent="0.25">
      <c r="C281" s="259"/>
    </row>
    <row r="282" spans="3:3" x14ac:dyDescent="0.25">
      <c r="C282" s="259"/>
    </row>
    <row r="283" spans="3:3" x14ac:dyDescent="0.25">
      <c r="C283" s="259"/>
    </row>
    <row r="284" spans="3:3" x14ac:dyDescent="0.25">
      <c r="C284" s="259"/>
    </row>
    <row r="285" spans="3:3" x14ac:dyDescent="0.25">
      <c r="C285" s="259"/>
    </row>
    <row r="286" spans="3:3" x14ac:dyDescent="0.25">
      <c r="C286" s="259"/>
    </row>
    <row r="287" spans="3:3" x14ac:dyDescent="0.25">
      <c r="C287" s="259"/>
    </row>
    <row r="288" spans="3:3" x14ac:dyDescent="0.25">
      <c r="C288" s="259"/>
    </row>
    <row r="289" spans="3:3" x14ac:dyDescent="0.25">
      <c r="C289" s="259"/>
    </row>
    <row r="290" spans="3:3" x14ac:dyDescent="0.25">
      <c r="C290" s="259"/>
    </row>
    <row r="291" spans="3:3" x14ac:dyDescent="0.25">
      <c r="C291" s="259"/>
    </row>
    <row r="292" spans="3:3" x14ac:dyDescent="0.25">
      <c r="C292" s="259"/>
    </row>
    <row r="293" spans="3:3" x14ac:dyDescent="0.25">
      <c r="C293" s="259"/>
    </row>
    <row r="294" spans="3:3" x14ac:dyDescent="0.25">
      <c r="C294" s="259"/>
    </row>
    <row r="295" spans="3:3" x14ac:dyDescent="0.25">
      <c r="C295" s="259"/>
    </row>
    <row r="296" spans="3:3" x14ac:dyDescent="0.25">
      <c r="C296" s="259"/>
    </row>
    <row r="297" spans="3:3" x14ac:dyDescent="0.25">
      <c r="C297" s="259"/>
    </row>
    <row r="298" spans="3:3" x14ac:dyDescent="0.25">
      <c r="C298" s="259"/>
    </row>
    <row r="299" spans="3:3" x14ac:dyDescent="0.25">
      <c r="C299" s="259"/>
    </row>
    <row r="300" spans="3:3" x14ac:dyDescent="0.25">
      <c r="C300" s="259"/>
    </row>
    <row r="301" spans="3:3" x14ac:dyDescent="0.25">
      <c r="C301" s="259"/>
    </row>
    <row r="302" spans="3:3" x14ac:dyDescent="0.25">
      <c r="C302" s="259"/>
    </row>
    <row r="303" spans="3:3" x14ac:dyDescent="0.25">
      <c r="C303" s="259"/>
    </row>
    <row r="304" spans="3:3" x14ac:dyDescent="0.25">
      <c r="C304" s="259"/>
    </row>
    <row r="305" spans="3:3" x14ac:dyDescent="0.25">
      <c r="C305" s="259"/>
    </row>
    <row r="306" spans="3:3" x14ac:dyDescent="0.25">
      <c r="C306" s="259"/>
    </row>
    <row r="307" spans="3:3" x14ac:dyDescent="0.25">
      <c r="C307" s="259"/>
    </row>
    <row r="308" spans="3:3" x14ac:dyDescent="0.25">
      <c r="C308" s="259"/>
    </row>
    <row r="309" spans="3:3" x14ac:dyDescent="0.25">
      <c r="C309" s="259"/>
    </row>
    <row r="310" spans="3:3" x14ac:dyDescent="0.25">
      <c r="C310" s="259"/>
    </row>
    <row r="311" spans="3:3" x14ac:dyDescent="0.25">
      <c r="C311" s="259"/>
    </row>
    <row r="312" spans="3:3" x14ac:dyDescent="0.25">
      <c r="C312" s="259"/>
    </row>
    <row r="313" spans="3:3" x14ac:dyDescent="0.25">
      <c r="C313" s="259"/>
    </row>
    <row r="314" spans="3:3" x14ac:dyDescent="0.25">
      <c r="C314" s="259"/>
    </row>
    <row r="315" spans="3:3" x14ac:dyDescent="0.25">
      <c r="C315" s="259"/>
    </row>
    <row r="316" spans="3:3" x14ac:dyDescent="0.25">
      <c r="C316" s="259"/>
    </row>
    <row r="317" spans="3:3" x14ac:dyDescent="0.25">
      <c r="C317" s="259"/>
    </row>
    <row r="318" spans="3:3" x14ac:dyDescent="0.25">
      <c r="C318" s="259"/>
    </row>
    <row r="319" spans="3:3" x14ac:dyDescent="0.25">
      <c r="C319" s="259"/>
    </row>
    <row r="320" spans="3:3" x14ac:dyDescent="0.25">
      <c r="C320" s="259"/>
    </row>
    <row r="321" spans="3:3" x14ac:dyDescent="0.25">
      <c r="C321" s="259"/>
    </row>
    <row r="322" spans="3:3" x14ac:dyDescent="0.25">
      <c r="C322" s="259"/>
    </row>
    <row r="323" spans="3:3" x14ac:dyDescent="0.25">
      <c r="C323" s="259"/>
    </row>
    <row r="324" spans="3:3" x14ac:dyDescent="0.25">
      <c r="C324" s="259"/>
    </row>
    <row r="325" spans="3:3" x14ac:dyDescent="0.25">
      <c r="C325" s="259"/>
    </row>
    <row r="326" spans="3:3" x14ac:dyDescent="0.25">
      <c r="C326" s="259"/>
    </row>
    <row r="327" spans="3:3" x14ac:dyDescent="0.25">
      <c r="C327" s="259"/>
    </row>
    <row r="328" spans="3:3" x14ac:dyDescent="0.25">
      <c r="C328" s="259"/>
    </row>
    <row r="329" spans="3:3" x14ac:dyDescent="0.25">
      <c r="C329" s="259"/>
    </row>
    <row r="330" spans="3:3" x14ac:dyDescent="0.25">
      <c r="C330" s="259"/>
    </row>
    <row r="331" spans="3:3" x14ac:dyDescent="0.25">
      <c r="C331" s="259"/>
    </row>
    <row r="332" spans="3:3" x14ac:dyDescent="0.25">
      <c r="C332" s="259"/>
    </row>
    <row r="333" spans="3:3" x14ac:dyDescent="0.25">
      <c r="C333" s="259"/>
    </row>
    <row r="334" spans="3:3" x14ac:dyDescent="0.25">
      <c r="C334" s="259"/>
    </row>
    <row r="335" spans="3:3" x14ac:dyDescent="0.25">
      <c r="C335" s="259"/>
    </row>
    <row r="336" spans="3:3" x14ac:dyDescent="0.25">
      <c r="C336" s="259"/>
    </row>
    <row r="337" spans="3:3" x14ac:dyDescent="0.25">
      <c r="C337" s="259"/>
    </row>
    <row r="338" spans="3:3" x14ac:dyDescent="0.25">
      <c r="C338" s="259"/>
    </row>
    <row r="339" spans="3:3" x14ac:dyDescent="0.25">
      <c r="C339" s="259"/>
    </row>
    <row r="340" spans="3:3" x14ac:dyDescent="0.25">
      <c r="C340" s="259"/>
    </row>
    <row r="341" spans="3:3" x14ac:dyDescent="0.25">
      <c r="C341" s="259"/>
    </row>
    <row r="342" spans="3:3" x14ac:dyDescent="0.25">
      <c r="C342" s="259"/>
    </row>
    <row r="343" spans="3:3" x14ac:dyDescent="0.25">
      <c r="C343" s="259"/>
    </row>
    <row r="344" spans="3:3" x14ac:dyDescent="0.25">
      <c r="C344" s="259"/>
    </row>
    <row r="345" spans="3:3" x14ac:dyDescent="0.25">
      <c r="C345" s="259"/>
    </row>
    <row r="346" spans="3:3" x14ac:dyDescent="0.25">
      <c r="C346" s="259"/>
    </row>
    <row r="347" spans="3:3" x14ac:dyDescent="0.25">
      <c r="C347" s="259"/>
    </row>
    <row r="348" spans="3:3" x14ac:dyDescent="0.25">
      <c r="C348" s="259"/>
    </row>
    <row r="349" spans="3:3" x14ac:dyDescent="0.25">
      <c r="C349" s="259"/>
    </row>
    <row r="350" spans="3:3" x14ac:dyDescent="0.25">
      <c r="C350" s="259"/>
    </row>
    <row r="351" spans="3:3" x14ac:dyDescent="0.25">
      <c r="C351" s="259"/>
    </row>
    <row r="352" spans="3:3" x14ac:dyDescent="0.25">
      <c r="C352" s="259"/>
    </row>
    <row r="353" spans="3:3" x14ac:dyDescent="0.25">
      <c r="C353" s="259"/>
    </row>
    <row r="354" spans="3:3" x14ac:dyDescent="0.25">
      <c r="C354" s="259"/>
    </row>
    <row r="355" spans="3:3" x14ac:dyDescent="0.25">
      <c r="C355" s="259"/>
    </row>
    <row r="356" spans="3:3" x14ac:dyDescent="0.25">
      <c r="C356" s="259"/>
    </row>
    <row r="357" spans="3:3" x14ac:dyDescent="0.25">
      <c r="C357" s="259"/>
    </row>
    <row r="358" spans="3:3" x14ac:dyDescent="0.25">
      <c r="C358" s="259"/>
    </row>
    <row r="359" spans="3:3" x14ac:dyDescent="0.25">
      <c r="C359" s="259"/>
    </row>
    <row r="360" spans="3:3" x14ac:dyDescent="0.25">
      <c r="C360" s="259"/>
    </row>
    <row r="361" spans="3:3" x14ac:dyDescent="0.25">
      <c r="C361" s="259"/>
    </row>
    <row r="362" spans="3:3" x14ac:dyDescent="0.25">
      <c r="C362" s="259"/>
    </row>
    <row r="363" spans="3:3" x14ac:dyDescent="0.25">
      <c r="C363" s="259"/>
    </row>
    <row r="364" spans="3:3" x14ac:dyDescent="0.25">
      <c r="C364" s="259"/>
    </row>
    <row r="365" spans="3:3" x14ac:dyDescent="0.25">
      <c r="C365" s="259"/>
    </row>
    <row r="366" spans="3:3" x14ac:dyDescent="0.25">
      <c r="C366" s="259"/>
    </row>
    <row r="367" spans="3:3" x14ac:dyDescent="0.25">
      <c r="C367" s="259"/>
    </row>
    <row r="368" spans="3:3" x14ac:dyDescent="0.25">
      <c r="C368" s="259"/>
    </row>
    <row r="369" spans="3:3" x14ac:dyDescent="0.25">
      <c r="C369" s="259"/>
    </row>
    <row r="370" spans="3:3" x14ac:dyDescent="0.25">
      <c r="C370" s="259"/>
    </row>
    <row r="371" spans="3:3" x14ac:dyDescent="0.25">
      <c r="C371" s="259"/>
    </row>
    <row r="372" spans="3:3" x14ac:dyDescent="0.25">
      <c r="C372" s="259"/>
    </row>
    <row r="373" spans="3:3" x14ac:dyDescent="0.25">
      <c r="C373" s="259"/>
    </row>
    <row r="374" spans="3:3" x14ac:dyDescent="0.25">
      <c r="C374" s="259"/>
    </row>
    <row r="375" spans="3:3" x14ac:dyDescent="0.25">
      <c r="C375" s="259"/>
    </row>
    <row r="376" spans="3:3" x14ac:dyDescent="0.25">
      <c r="C376" s="259"/>
    </row>
    <row r="377" spans="3:3" x14ac:dyDescent="0.25">
      <c r="C377" s="259"/>
    </row>
    <row r="378" spans="3:3" x14ac:dyDescent="0.25">
      <c r="C378" s="259"/>
    </row>
    <row r="379" spans="3:3" x14ac:dyDescent="0.25">
      <c r="C379" s="259"/>
    </row>
    <row r="380" spans="3:3" x14ac:dyDescent="0.25">
      <c r="C380" s="259"/>
    </row>
    <row r="381" spans="3:3" x14ac:dyDescent="0.25">
      <c r="C381" s="259"/>
    </row>
    <row r="382" spans="3:3" x14ac:dyDescent="0.25">
      <c r="C382" s="259"/>
    </row>
    <row r="383" spans="3:3" x14ac:dyDescent="0.25">
      <c r="C383" s="259"/>
    </row>
    <row r="384" spans="3:3" x14ac:dyDescent="0.25">
      <c r="C384" s="259"/>
    </row>
    <row r="385" spans="3:3" x14ac:dyDescent="0.25">
      <c r="C385" s="259"/>
    </row>
    <row r="386" spans="3:3" x14ac:dyDescent="0.25">
      <c r="C386" s="259"/>
    </row>
    <row r="387" spans="3:3" x14ac:dyDescent="0.25">
      <c r="C387" s="259"/>
    </row>
    <row r="388" spans="3:3" x14ac:dyDescent="0.25">
      <c r="C388" s="259"/>
    </row>
    <row r="389" spans="3:3" x14ac:dyDescent="0.25">
      <c r="C389" s="259"/>
    </row>
    <row r="390" spans="3:3" x14ac:dyDescent="0.25">
      <c r="C390" s="259"/>
    </row>
    <row r="391" spans="3:3" x14ac:dyDescent="0.25">
      <c r="C391" s="259"/>
    </row>
    <row r="392" spans="3:3" x14ac:dyDescent="0.25">
      <c r="C392" s="259"/>
    </row>
    <row r="393" spans="3:3" x14ac:dyDescent="0.25">
      <c r="C393" s="259"/>
    </row>
    <row r="394" spans="3:3" x14ac:dyDescent="0.25">
      <c r="C394" s="259"/>
    </row>
    <row r="395" spans="3:3" x14ac:dyDescent="0.25">
      <c r="C395" s="259"/>
    </row>
    <row r="396" spans="3:3" x14ac:dyDescent="0.25">
      <c r="C396" s="259"/>
    </row>
    <row r="397" spans="3:3" x14ac:dyDescent="0.25">
      <c r="C397" s="259"/>
    </row>
    <row r="398" spans="3:3" x14ac:dyDescent="0.25">
      <c r="C398" s="259"/>
    </row>
    <row r="399" spans="3:3" x14ac:dyDescent="0.25">
      <c r="C399" s="259"/>
    </row>
    <row r="400" spans="3:3" x14ac:dyDescent="0.25">
      <c r="C400" s="259"/>
    </row>
    <row r="401" spans="3:3" x14ac:dyDescent="0.25">
      <c r="C401" s="259"/>
    </row>
    <row r="402" spans="3:3" x14ac:dyDescent="0.25">
      <c r="C402" s="259"/>
    </row>
    <row r="403" spans="3:3" x14ac:dyDescent="0.25">
      <c r="C403" s="259"/>
    </row>
    <row r="404" spans="3:3" x14ac:dyDescent="0.25">
      <c r="C404" s="259"/>
    </row>
    <row r="405" spans="3:3" x14ac:dyDescent="0.25">
      <c r="C405" s="259"/>
    </row>
    <row r="406" spans="3:3" x14ac:dyDescent="0.25">
      <c r="C406" s="259"/>
    </row>
    <row r="407" spans="3:3" x14ac:dyDescent="0.25">
      <c r="C407" s="259"/>
    </row>
    <row r="408" spans="3:3" x14ac:dyDescent="0.25">
      <c r="C408" s="259"/>
    </row>
    <row r="409" spans="3:3" x14ac:dyDescent="0.25">
      <c r="C409" s="259"/>
    </row>
    <row r="410" spans="3:3" x14ac:dyDescent="0.25">
      <c r="C410" s="259"/>
    </row>
    <row r="411" spans="3:3" x14ac:dyDescent="0.25">
      <c r="C411" s="259"/>
    </row>
    <row r="412" spans="3:3" x14ac:dyDescent="0.25">
      <c r="C412" s="259"/>
    </row>
    <row r="413" spans="3:3" x14ac:dyDescent="0.25">
      <c r="C413" s="259"/>
    </row>
    <row r="414" spans="3:3" x14ac:dyDescent="0.25">
      <c r="C414" s="259"/>
    </row>
    <row r="415" spans="3:3" x14ac:dyDescent="0.25">
      <c r="C415" s="259"/>
    </row>
    <row r="416" spans="3:3" x14ac:dyDescent="0.25">
      <c r="C416" s="259"/>
    </row>
    <row r="417" spans="3:3" x14ac:dyDescent="0.25">
      <c r="C417" s="259"/>
    </row>
    <row r="418" spans="3:3" x14ac:dyDescent="0.25">
      <c r="C418" s="259"/>
    </row>
    <row r="419" spans="3:3" x14ac:dyDescent="0.25">
      <c r="C419" s="259"/>
    </row>
    <row r="420" spans="3:3" x14ac:dyDescent="0.25">
      <c r="C420" s="259"/>
    </row>
    <row r="421" spans="3:3" x14ac:dyDescent="0.25">
      <c r="C421" s="259"/>
    </row>
    <row r="422" spans="3:3" x14ac:dyDescent="0.25">
      <c r="C422" s="259"/>
    </row>
    <row r="423" spans="3:3" x14ac:dyDescent="0.25">
      <c r="C423" s="259"/>
    </row>
    <row r="424" spans="3:3" x14ac:dyDescent="0.25">
      <c r="C424" s="259"/>
    </row>
    <row r="425" spans="3:3" x14ac:dyDescent="0.25">
      <c r="C425" s="259"/>
    </row>
    <row r="426" spans="3:3" x14ac:dyDescent="0.25">
      <c r="C426" s="259"/>
    </row>
    <row r="427" spans="3:3" x14ac:dyDescent="0.25">
      <c r="C427" s="259"/>
    </row>
    <row r="428" spans="3:3" x14ac:dyDescent="0.25">
      <c r="C428" s="259"/>
    </row>
    <row r="429" spans="3:3" x14ac:dyDescent="0.25">
      <c r="C429" s="259"/>
    </row>
    <row r="430" spans="3:3" x14ac:dyDescent="0.25">
      <c r="C430" s="259"/>
    </row>
    <row r="431" spans="3:3" x14ac:dyDescent="0.25">
      <c r="C431" s="259"/>
    </row>
    <row r="432" spans="3:3" x14ac:dyDescent="0.25">
      <c r="C432" s="259"/>
    </row>
    <row r="433" spans="3:3" x14ac:dyDescent="0.25">
      <c r="C433" s="259"/>
    </row>
    <row r="434" spans="3:3" x14ac:dyDescent="0.25">
      <c r="C434" s="259"/>
    </row>
    <row r="435" spans="3:3" x14ac:dyDescent="0.25">
      <c r="C435" s="259"/>
    </row>
    <row r="436" spans="3:3" x14ac:dyDescent="0.25">
      <c r="C436" s="259"/>
    </row>
    <row r="437" spans="3:3" x14ac:dyDescent="0.25">
      <c r="C437" s="259"/>
    </row>
    <row r="438" spans="3:3" x14ac:dyDescent="0.25">
      <c r="C438" s="259"/>
    </row>
    <row r="439" spans="3:3" x14ac:dyDescent="0.25">
      <c r="C439" s="259"/>
    </row>
    <row r="440" spans="3:3" x14ac:dyDescent="0.25">
      <c r="C440" s="259"/>
    </row>
    <row r="441" spans="3:3" x14ac:dyDescent="0.25">
      <c r="C441" s="259"/>
    </row>
    <row r="442" spans="3:3" x14ac:dyDescent="0.25">
      <c r="C442" s="259"/>
    </row>
    <row r="443" spans="3:3" x14ac:dyDescent="0.25">
      <c r="C443" s="259"/>
    </row>
    <row r="444" spans="3:3" x14ac:dyDescent="0.25">
      <c r="C444" s="259"/>
    </row>
    <row r="445" spans="3:3" x14ac:dyDescent="0.25">
      <c r="C445" s="259"/>
    </row>
    <row r="446" spans="3:3" x14ac:dyDescent="0.25">
      <c r="C446" s="259"/>
    </row>
    <row r="447" spans="3:3" x14ac:dyDescent="0.25">
      <c r="C447" s="259"/>
    </row>
    <row r="448" spans="3:3" x14ac:dyDescent="0.25">
      <c r="C448" s="259"/>
    </row>
    <row r="449" spans="3:3" x14ac:dyDescent="0.25">
      <c r="C449" s="259"/>
    </row>
    <row r="450" spans="3:3" x14ac:dyDescent="0.25">
      <c r="C450" s="259"/>
    </row>
    <row r="451" spans="3:3" x14ac:dyDescent="0.25">
      <c r="C451" s="259"/>
    </row>
    <row r="452" spans="3:3" x14ac:dyDescent="0.25">
      <c r="C452" s="259"/>
    </row>
    <row r="453" spans="3:3" x14ac:dyDescent="0.25">
      <c r="C453" s="259"/>
    </row>
    <row r="454" spans="3:3" x14ac:dyDescent="0.25">
      <c r="C454" s="259"/>
    </row>
    <row r="455" spans="3:3" x14ac:dyDescent="0.25">
      <c r="C455" s="259"/>
    </row>
    <row r="456" spans="3:3" x14ac:dyDescent="0.25">
      <c r="C456" s="259"/>
    </row>
    <row r="457" spans="3:3" x14ac:dyDescent="0.25">
      <c r="C457" s="259"/>
    </row>
    <row r="458" spans="3:3" x14ac:dyDescent="0.25">
      <c r="C458" s="259"/>
    </row>
    <row r="459" spans="3:3" x14ac:dyDescent="0.25">
      <c r="C459" s="259"/>
    </row>
    <row r="460" spans="3:3" x14ac:dyDescent="0.25">
      <c r="C460" s="259"/>
    </row>
    <row r="461" spans="3:3" x14ac:dyDescent="0.25">
      <c r="C461" s="259"/>
    </row>
    <row r="462" spans="3:3" x14ac:dyDescent="0.25">
      <c r="C462" s="259"/>
    </row>
    <row r="463" spans="3:3" x14ac:dyDescent="0.25">
      <c r="C463" s="259"/>
    </row>
    <row r="464" spans="3:3" x14ac:dyDescent="0.25">
      <c r="C464" s="259"/>
    </row>
    <row r="465" spans="3:3" x14ac:dyDescent="0.25">
      <c r="C465" s="259"/>
    </row>
    <row r="466" spans="3:3" x14ac:dyDescent="0.25">
      <c r="C466" s="259"/>
    </row>
    <row r="467" spans="3:3" x14ac:dyDescent="0.25">
      <c r="C467" s="259"/>
    </row>
    <row r="468" spans="3:3" x14ac:dyDescent="0.25">
      <c r="C468" s="259"/>
    </row>
    <row r="469" spans="3:3" x14ac:dyDescent="0.25">
      <c r="C469" s="259"/>
    </row>
    <row r="470" spans="3:3" x14ac:dyDescent="0.25">
      <c r="C470" s="259"/>
    </row>
    <row r="471" spans="3:3" x14ac:dyDescent="0.25">
      <c r="C471" s="259"/>
    </row>
    <row r="472" spans="3:3" x14ac:dyDescent="0.25">
      <c r="C472" s="259"/>
    </row>
    <row r="473" spans="3:3" x14ac:dyDescent="0.25">
      <c r="C473" s="259"/>
    </row>
    <row r="474" spans="3:3" x14ac:dyDescent="0.25">
      <c r="C474" s="259"/>
    </row>
    <row r="475" spans="3:3" x14ac:dyDescent="0.25">
      <c r="C475" s="259"/>
    </row>
    <row r="476" spans="3:3" x14ac:dyDescent="0.25">
      <c r="C476" s="259"/>
    </row>
    <row r="477" spans="3:3" x14ac:dyDescent="0.25">
      <c r="C477" s="259"/>
    </row>
    <row r="478" spans="3:3" x14ac:dyDescent="0.25">
      <c r="C478" s="259"/>
    </row>
    <row r="479" spans="3:3" x14ac:dyDescent="0.25">
      <c r="C479" s="259"/>
    </row>
    <row r="480" spans="3:3" x14ac:dyDescent="0.25">
      <c r="C480" s="259"/>
    </row>
    <row r="481" spans="3:3" x14ac:dyDescent="0.25">
      <c r="C481" s="259"/>
    </row>
    <row r="482" spans="3:3" x14ac:dyDescent="0.25">
      <c r="C482" s="259"/>
    </row>
    <row r="483" spans="3:3" x14ac:dyDescent="0.25">
      <c r="C483" s="259"/>
    </row>
    <row r="484" spans="3:3" x14ac:dyDescent="0.25">
      <c r="C484" s="259"/>
    </row>
    <row r="485" spans="3:3" x14ac:dyDescent="0.25">
      <c r="C485" s="259"/>
    </row>
    <row r="486" spans="3:3" x14ac:dyDescent="0.25">
      <c r="C486" s="259"/>
    </row>
    <row r="487" spans="3:3" x14ac:dyDescent="0.25">
      <c r="C487" s="259"/>
    </row>
    <row r="488" spans="3:3" x14ac:dyDescent="0.25">
      <c r="C488" s="259"/>
    </row>
    <row r="489" spans="3:3" x14ac:dyDescent="0.25">
      <c r="C489" s="259"/>
    </row>
    <row r="490" spans="3:3" x14ac:dyDescent="0.25">
      <c r="C490" s="259"/>
    </row>
    <row r="491" spans="3:3" x14ac:dyDescent="0.25">
      <c r="C491" s="259"/>
    </row>
    <row r="492" spans="3:3" x14ac:dyDescent="0.25">
      <c r="C492" s="259"/>
    </row>
    <row r="493" spans="3:3" x14ac:dyDescent="0.25">
      <c r="C493" s="259"/>
    </row>
    <row r="494" spans="3:3" x14ac:dyDescent="0.25">
      <c r="C494" s="259"/>
    </row>
    <row r="495" spans="3:3" x14ac:dyDescent="0.25">
      <c r="C495" s="259"/>
    </row>
    <row r="496" spans="3:3" x14ac:dyDescent="0.25">
      <c r="C496" s="259"/>
    </row>
    <row r="497" spans="3:3" x14ac:dyDescent="0.25">
      <c r="C497" s="259"/>
    </row>
    <row r="498" spans="3:3" x14ac:dyDescent="0.25">
      <c r="C498" s="259"/>
    </row>
    <row r="499" spans="3:3" x14ac:dyDescent="0.25">
      <c r="C499" s="259"/>
    </row>
    <row r="500" spans="3:3" x14ac:dyDescent="0.25">
      <c r="C500" s="259"/>
    </row>
    <row r="501" spans="3:3" x14ac:dyDescent="0.25">
      <c r="C501" s="259"/>
    </row>
    <row r="502" spans="3:3" x14ac:dyDescent="0.25">
      <c r="C502" s="259"/>
    </row>
    <row r="503" spans="3:3" x14ac:dyDescent="0.25">
      <c r="C503" s="259"/>
    </row>
    <row r="504" spans="3:3" x14ac:dyDescent="0.25">
      <c r="C504" s="259"/>
    </row>
    <row r="505" spans="3:3" x14ac:dyDescent="0.25">
      <c r="C505" s="259"/>
    </row>
    <row r="506" spans="3:3" x14ac:dyDescent="0.25">
      <c r="C506" s="259"/>
    </row>
    <row r="507" spans="3:3" x14ac:dyDescent="0.25">
      <c r="C507" s="259"/>
    </row>
    <row r="508" spans="3:3" x14ac:dyDescent="0.25">
      <c r="C508" s="259"/>
    </row>
    <row r="509" spans="3:3" x14ac:dyDescent="0.25">
      <c r="C509" s="259"/>
    </row>
    <row r="510" spans="3:3" x14ac:dyDescent="0.25">
      <c r="C510" s="259"/>
    </row>
    <row r="511" spans="3:3" x14ac:dyDescent="0.25">
      <c r="C511" s="259"/>
    </row>
    <row r="512" spans="3:3" x14ac:dyDescent="0.25">
      <c r="C512" s="259"/>
    </row>
    <row r="513" spans="3:3" x14ac:dyDescent="0.25">
      <c r="C513" s="259"/>
    </row>
    <row r="514" spans="3:3" x14ac:dyDescent="0.25">
      <c r="C514" s="259"/>
    </row>
    <row r="515" spans="3:3" x14ac:dyDescent="0.25">
      <c r="C515" s="259"/>
    </row>
    <row r="516" spans="3:3" x14ac:dyDescent="0.25">
      <c r="C516" s="259"/>
    </row>
    <row r="517" spans="3:3" x14ac:dyDescent="0.25">
      <c r="C517" s="259"/>
    </row>
    <row r="518" spans="3:3" x14ac:dyDescent="0.25">
      <c r="C518" s="259"/>
    </row>
    <row r="519" spans="3:3" x14ac:dyDescent="0.25">
      <c r="C519" s="259"/>
    </row>
    <row r="520" spans="3:3" x14ac:dyDescent="0.25">
      <c r="C520" s="259"/>
    </row>
    <row r="521" spans="3:3" x14ac:dyDescent="0.25">
      <c r="C521" s="259"/>
    </row>
    <row r="522" spans="3:3" x14ac:dyDescent="0.25">
      <c r="C522" s="259"/>
    </row>
    <row r="523" spans="3:3" x14ac:dyDescent="0.25">
      <c r="C523" s="259"/>
    </row>
    <row r="524" spans="3:3" x14ac:dyDescent="0.25">
      <c r="C524" s="259"/>
    </row>
    <row r="525" spans="3:3" x14ac:dyDescent="0.25">
      <c r="C525" s="259"/>
    </row>
    <row r="526" spans="3:3" x14ac:dyDescent="0.25">
      <c r="C526" s="259"/>
    </row>
    <row r="527" spans="3:3" x14ac:dyDescent="0.25">
      <c r="C527" s="259"/>
    </row>
    <row r="528" spans="3:3" x14ac:dyDescent="0.25">
      <c r="C528" s="259"/>
    </row>
    <row r="529" spans="3:3" x14ac:dyDescent="0.25">
      <c r="C529" s="259"/>
    </row>
    <row r="530" spans="3:3" x14ac:dyDescent="0.25">
      <c r="C530" s="259"/>
    </row>
    <row r="531" spans="3:3" x14ac:dyDescent="0.25">
      <c r="C531" s="259"/>
    </row>
    <row r="532" spans="3:3" x14ac:dyDescent="0.25">
      <c r="C532" s="259"/>
    </row>
    <row r="533" spans="3:3" x14ac:dyDescent="0.25">
      <c r="C533" s="259"/>
    </row>
    <row r="534" spans="3:3" x14ac:dyDescent="0.25">
      <c r="C534" s="259"/>
    </row>
    <row r="535" spans="3:3" x14ac:dyDescent="0.25">
      <c r="C535" s="259"/>
    </row>
    <row r="536" spans="3:3" x14ac:dyDescent="0.25">
      <c r="C536" s="259"/>
    </row>
    <row r="537" spans="3:3" x14ac:dyDescent="0.25">
      <c r="C537" s="259"/>
    </row>
    <row r="538" spans="3:3" x14ac:dyDescent="0.25">
      <c r="C538" s="259"/>
    </row>
    <row r="539" spans="3:3" x14ac:dyDescent="0.25">
      <c r="C539" s="259"/>
    </row>
    <row r="540" spans="3:3" x14ac:dyDescent="0.25">
      <c r="C540" s="259"/>
    </row>
    <row r="541" spans="3:3" x14ac:dyDescent="0.25">
      <c r="C541" s="259"/>
    </row>
    <row r="542" spans="3:3" x14ac:dyDescent="0.25">
      <c r="C542" s="259"/>
    </row>
    <row r="543" spans="3:3" x14ac:dyDescent="0.25">
      <c r="C543" s="259"/>
    </row>
    <row r="544" spans="3:3" x14ac:dyDescent="0.25">
      <c r="C544" s="259"/>
    </row>
    <row r="545" spans="3:3" x14ac:dyDescent="0.25">
      <c r="C545" s="259"/>
    </row>
    <row r="546" spans="3:3" x14ac:dyDescent="0.25">
      <c r="C546" s="259"/>
    </row>
    <row r="547" spans="3:3" x14ac:dyDescent="0.25">
      <c r="C547" s="259"/>
    </row>
    <row r="548" spans="3:3" x14ac:dyDescent="0.25">
      <c r="C548" s="259"/>
    </row>
    <row r="549" spans="3:3" x14ac:dyDescent="0.25">
      <c r="C549" s="259"/>
    </row>
    <row r="550" spans="3:3" x14ac:dyDescent="0.25">
      <c r="C550" s="259"/>
    </row>
    <row r="551" spans="3:3" x14ac:dyDescent="0.25">
      <c r="C551" s="259"/>
    </row>
    <row r="552" spans="3:3" x14ac:dyDescent="0.25">
      <c r="C552" s="259"/>
    </row>
    <row r="553" spans="3:3" x14ac:dyDescent="0.25">
      <c r="C553" s="259"/>
    </row>
    <row r="554" spans="3:3" x14ac:dyDescent="0.25">
      <c r="C554" s="259"/>
    </row>
    <row r="555" spans="3:3" x14ac:dyDescent="0.25">
      <c r="C555" s="259"/>
    </row>
    <row r="556" spans="3:3" x14ac:dyDescent="0.25">
      <c r="C556" s="259"/>
    </row>
    <row r="557" spans="3:3" x14ac:dyDescent="0.25">
      <c r="C557" s="259"/>
    </row>
    <row r="558" spans="3:3" x14ac:dyDescent="0.25">
      <c r="C558" s="259"/>
    </row>
    <row r="559" spans="3:3" x14ac:dyDescent="0.25">
      <c r="C559" s="259"/>
    </row>
    <row r="560" spans="3:3" x14ac:dyDescent="0.25">
      <c r="C560" s="259"/>
    </row>
    <row r="561" spans="3:3" x14ac:dyDescent="0.25">
      <c r="C561" s="259"/>
    </row>
    <row r="562" spans="3:3" x14ac:dyDescent="0.25">
      <c r="C562" s="259"/>
    </row>
    <row r="563" spans="3:3" x14ac:dyDescent="0.25">
      <c r="C563" s="259"/>
    </row>
    <row r="564" spans="3:3" x14ac:dyDescent="0.25">
      <c r="C564" s="259"/>
    </row>
    <row r="565" spans="3:3" x14ac:dyDescent="0.25">
      <c r="C565" s="259"/>
    </row>
    <row r="566" spans="3:3" x14ac:dyDescent="0.25">
      <c r="C566" s="259"/>
    </row>
    <row r="567" spans="3:3" x14ac:dyDescent="0.25">
      <c r="C567" s="259"/>
    </row>
    <row r="568" spans="3:3" x14ac:dyDescent="0.25">
      <c r="C568" s="259"/>
    </row>
    <row r="569" spans="3:3" x14ac:dyDescent="0.25">
      <c r="C569" s="259"/>
    </row>
    <row r="570" spans="3:3" x14ac:dyDescent="0.25">
      <c r="C570" s="259"/>
    </row>
    <row r="571" spans="3:3" x14ac:dyDescent="0.25">
      <c r="C571" s="259"/>
    </row>
    <row r="572" spans="3:3" x14ac:dyDescent="0.25">
      <c r="C572" s="259"/>
    </row>
    <row r="573" spans="3:3" x14ac:dyDescent="0.25">
      <c r="C573" s="259"/>
    </row>
    <row r="574" spans="3:3" x14ac:dyDescent="0.25">
      <c r="C574" s="259"/>
    </row>
    <row r="575" spans="3:3" x14ac:dyDescent="0.25">
      <c r="C575" s="259"/>
    </row>
    <row r="576" spans="3:3" x14ac:dyDescent="0.25">
      <c r="C576" s="259"/>
    </row>
    <row r="577" spans="3:3" x14ac:dyDescent="0.25">
      <c r="C577" s="259"/>
    </row>
    <row r="578" spans="3:3" x14ac:dyDescent="0.25">
      <c r="C578" s="259"/>
    </row>
    <row r="579" spans="3:3" x14ac:dyDescent="0.25">
      <c r="C579" s="259"/>
    </row>
    <row r="580" spans="3:3" x14ac:dyDescent="0.25">
      <c r="C580" s="259"/>
    </row>
    <row r="581" spans="3:3" x14ac:dyDescent="0.25">
      <c r="C581" s="259"/>
    </row>
    <row r="582" spans="3:3" x14ac:dyDescent="0.25">
      <c r="C582" s="259"/>
    </row>
    <row r="583" spans="3:3" x14ac:dyDescent="0.25">
      <c r="C583" s="259"/>
    </row>
    <row r="584" spans="3:3" x14ac:dyDescent="0.25">
      <c r="C584" s="259"/>
    </row>
    <row r="585" spans="3:3" x14ac:dyDescent="0.25">
      <c r="C585" s="259"/>
    </row>
    <row r="586" spans="3:3" x14ac:dyDescent="0.25">
      <c r="C586" s="259"/>
    </row>
    <row r="587" spans="3:3" x14ac:dyDescent="0.25">
      <c r="C587" s="259"/>
    </row>
    <row r="588" spans="3:3" x14ac:dyDescent="0.25">
      <c r="C588" s="259"/>
    </row>
    <row r="589" spans="3:3" x14ac:dyDescent="0.25">
      <c r="C589" s="259"/>
    </row>
    <row r="590" spans="3:3" x14ac:dyDescent="0.25">
      <c r="C590" s="259"/>
    </row>
    <row r="591" spans="3:3" x14ac:dyDescent="0.25">
      <c r="C591" s="259"/>
    </row>
    <row r="592" spans="3:3" x14ac:dyDescent="0.25">
      <c r="C592" s="259"/>
    </row>
    <row r="593" spans="3:3" x14ac:dyDescent="0.25">
      <c r="C593" s="25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981B0-FBA5-41A9-BAA3-6D8EAFBA4298}">
  <dimension ref="A1:J94"/>
  <sheetViews>
    <sheetView topLeftCell="A63" workbookViewId="0">
      <selection activeCell="A95" sqref="A95"/>
    </sheetView>
  </sheetViews>
  <sheetFormatPr defaultRowHeight="15" x14ac:dyDescent="0.25"/>
  <cols>
    <col min="1" max="1" width="9.140625" style="8"/>
    <col min="2" max="2" width="20" style="8" bestFit="1" customWidth="1"/>
    <col min="3" max="3" width="23.42578125" style="25" customWidth="1"/>
    <col min="4" max="4" width="20.5703125" style="25" bestFit="1" customWidth="1"/>
    <col min="6" max="6" width="11.7109375" bestFit="1" customWidth="1"/>
    <col min="7" max="7" width="13.42578125" bestFit="1" customWidth="1"/>
    <col min="8" max="8" width="16.85546875" bestFit="1" customWidth="1"/>
    <col min="10" max="10" width="17.5703125" bestFit="1" customWidth="1"/>
  </cols>
  <sheetData>
    <row r="1" spans="1:4" x14ac:dyDescent="0.25">
      <c r="A1" s="8" t="s">
        <v>223</v>
      </c>
    </row>
    <row r="2" spans="1:4" ht="31.5" x14ac:dyDescent="0.25">
      <c r="B2" s="273" t="s">
        <v>581</v>
      </c>
      <c r="C2" s="274" t="s">
        <v>582</v>
      </c>
      <c r="D2" s="274" t="s">
        <v>583</v>
      </c>
    </row>
    <row r="3" spans="1:4" x14ac:dyDescent="0.25">
      <c r="B3" s="275" t="s">
        <v>381</v>
      </c>
      <c r="C3" s="289">
        <v>198.36</v>
      </c>
      <c r="D3" s="289">
        <v>315.10000000000002</v>
      </c>
    </row>
    <row r="4" spans="1:4" x14ac:dyDescent="0.25">
      <c r="B4" s="275" t="s">
        <v>202</v>
      </c>
      <c r="C4" s="276">
        <v>27460000000</v>
      </c>
      <c r="D4" s="276">
        <v>1960000000</v>
      </c>
    </row>
    <row r="5" spans="1:4" x14ac:dyDescent="0.25">
      <c r="B5" s="275" t="s">
        <v>584</v>
      </c>
      <c r="C5" s="285">
        <v>1.3</v>
      </c>
      <c r="D5" s="285">
        <v>1.39</v>
      </c>
    </row>
    <row r="6" spans="1:4" x14ac:dyDescent="0.25">
      <c r="B6" s="277" t="s">
        <v>585</v>
      </c>
      <c r="C6" s="278">
        <v>476060000000</v>
      </c>
      <c r="D6" s="278">
        <v>137770000000</v>
      </c>
    </row>
    <row r="7" spans="1:4" x14ac:dyDescent="0.25">
      <c r="B7" s="279" t="s">
        <v>384</v>
      </c>
      <c r="C7" s="280" t="s">
        <v>586</v>
      </c>
      <c r="D7" s="280" t="s">
        <v>587</v>
      </c>
    </row>
    <row r="8" spans="1:4" x14ac:dyDescent="0.25">
      <c r="B8" s="277" t="s">
        <v>385</v>
      </c>
      <c r="C8" s="278" t="s">
        <v>588</v>
      </c>
      <c r="D8" s="278" t="s">
        <v>589</v>
      </c>
    </row>
    <row r="9" spans="1:4" ht="30" x14ac:dyDescent="0.25">
      <c r="B9" s="279" t="s">
        <v>388</v>
      </c>
      <c r="C9" s="292">
        <v>8.33</v>
      </c>
      <c r="D9" s="292">
        <v>206.27</v>
      </c>
    </row>
    <row r="10" spans="1:4" x14ac:dyDescent="0.25">
      <c r="B10" s="275" t="s">
        <v>389</v>
      </c>
      <c r="C10" s="276" t="s">
        <v>590</v>
      </c>
      <c r="D10" s="276" t="s">
        <v>591</v>
      </c>
    </row>
    <row r="11" spans="1:4" ht="30" x14ac:dyDescent="0.25">
      <c r="B11" s="277" t="s">
        <v>578</v>
      </c>
      <c r="C11" s="278">
        <v>2400000000</v>
      </c>
      <c r="D11" s="278">
        <v>437220000</v>
      </c>
    </row>
    <row r="12" spans="1:4" x14ac:dyDescent="0.25">
      <c r="B12" s="279" t="s">
        <v>295</v>
      </c>
      <c r="C12" s="280" t="s">
        <v>592</v>
      </c>
      <c r="D12" s="280" t="s">
        <v>593</v>
      </c>
    </row>
    <row r="13" spans="1:4" x14ac:dyDescent="0.25">
      <c r="B13" s="277" t="s">
        <v>392</v>
      </c>
      <c r="C13" s="282">
        <v>30.29</v>
      </c>
      <c r="D13" s="282">
        <v>13.95</v>
      </c>
    </row>
    <row r="14" spans="1:4" x14ac:dyDescent="0.25">
      <c r="B14" s="279" t="s">
        <v>393</v>
      </c>
      <c r="C14" s="280" t="s">
        <v>594</v>
      </c>
      <c r="D14" s="280" t="s">
        <v>595</v>
      </c>
    </row>
    <row r="15" spans="1:4" x14ac:dyDescent="0.25">
      <c r="B15" s="275" t="s">
        <v>596</v>
      </c>
      <c r="C15" s="276">
        <v>7210000000</v>
      </c>
      <c r="D15" s="276">
        <v>12590000000</v>
      </c>
    </row>
    <row r="16" spans="1:4" ht="30" x14ac:dyDescent="0.25">
      <c r="B16" s="275" t="s">
        <v>394</v>
      </c>
      <c r="C16" s="276" t="s">
        <v>597</v>
      </c>
      <c r="D16" s="276" t="s">
        <v>598</v>
      </c>
    </row>
    <row r="17" spans="1:10" x14ac:dyDescent="0.25">
      <c r="B17" s="281" t="s">
        <v>604</v>
      </c>
      <c r="C17" s="286">
        <f>111/(100)^2</f>
        <v>1.11E-2</v>
      </c>
      <c r="D17" s="286">
        <f>323/(100)^2</f>
        <v>3.2300000000000002E-2</v>
      </c>
    </row>
    <row r="18" spans="1:10" ht="30" x14ac:dyDescent="0.25">
      <c r="B18" s="238" t="s">
        <v>599</v>
      </c>
      <c r="C18" s="82">
        <v>1.9599999999999999E-2</v>
      </c>
      <c r="D18" s="82">
        <v>1.9599999999999999E-2</v>
      </c>
    </row>
    <row r="19" spans="1:10" ht="30" x14ac:dyDescent="0.25">
      <c r="B19" s="238" t="s">
        <v>600</v>
      </c>
      <c r="C19" s="82">
        <v>6.25E-2</v>
      </c>
      <c r="D19" s="82">
        <v>6.25E-2</v>
      </c>
    </row>
    <row r="20" spans="1:10" x14ac:dyDescent="0.25">
      <c r="B20" s="238" t="s">
        <v>601</v>
      </c>
      <c r="C20" s="82">
        <v>0.21</v>
      </c>
      <c r="D20" s="82">
        <v>0.21</v>
      </c>
    </row>
    <row r="21" spans="1:10" ht="31.5" x14ac:dyDescent="0.25">
      <c r="B21" s="287" t="s">
        <v>581</v>
      </c>
      <c r="C21" s="288" t="s">
        <v>582</v>
      </c>
      <c r="D21" s="288" t="s">
        <v>583</v>
      </c>
    </row>
    <row r="22" spans="1:10" ht="30" x14ac:dyDescent="0.25">
      <c r="B22" s="283" t="s">
        <v>602</v>
      </c>
      <c r="C22" s="284">
        <f>C6-C13*C11</f>
        <v>403364000000</v>
      </c>
      <c r="D22" s="284">
        <f>D6-D13*D11</f>
        <v>131670781000</v>
      </c>
    </row>
    <row r="24" spans="1:10" x14ac:dyDescent="0.25">
      <c r="A24" s="8" t="s">
        <v>437</v>
      </c>
      <c r="B24" s="199" t="s">
        <v>603</v>
      </c>
      <c r="C24" s="119">
        <f>C18+C5*C19</f>
        <v>0.10085</v>
      </c>
      <c r="D24" s="119">
        <f>D18+D5*D19</f>
        <v>0.10647499999999999</v>
      </c>
    </row>
    <row r="25" spans="1:10" x14ac:dyDescent="0.25">
      <c r="B25" s="199" t="s">
        <v>605</v>
      </c>
      <c r="C25" s="119">
        <f>C18+C17</f>
        <v>3.0699999999999998E-2</v>
      </c>
      <c r="D25" s="119">
        <f>D18+D17</f>
        <v>5.1900000000000002E-2</v>
      </c>
    </row>
    <row r="26" spans="1:10" ht="30" x14ac:dyDescent="0.25">
      <c r="B26" s="293" t="s">
        <v>607</v>
      </c>
      <c r="C26" s="290">
        <f>C15+C6</f>
        <v>483270000000</v>
      </c>
      <c r="D26" s="290">
        <f>D15+D6</f>
        <v>150360000000</v>
      </c>
    </row>
    <row r="27" spans="1:10" x14ac:dyDescent="0.25">
      <c r="B27" s="294" t="s">
        <v>606</v>
      </c>
      <c r="C27" s="291">
        <f>C25*(1-C20)*(C15)/C26 +C24*C6/C26</f>
        <v>9.9707234320359217E-2</v>
      </c>
      <c r="D27" s="291">
        <f>D25*(1-D20)*(D15)/D26 +D24*D6/D26</f>
        <v>0.1009927064378824</v>
      </c>
    </row>
    <row r="28" spans="1:10" x14ac:dyDescent="0.25">
      <c r="A28" s="295"/>
      <c r="B28" s="295"/>
      <c r="C28" s="296"/>
      <c r="D28" s="296"/>
      <c r="E28" s="260"/>
      <c r="F28" s="260"/>
      <c r="G28" s="260"/>
      <c r="H28" s="260"/>
    </row>
    <row r="29" spans="1:10" x14ac:dyDescent="0.25">
      <c r="A29" s="8" t="s">
        <v>528</v>
      </c>
      <c r="B29" s="8" t="s">
        <v>608</v>
      </c>
    </row>
    <row r="30" spans="1:10" x14ac:dyDescent="0.25">
      <c r="E30" t="s">
        <v>240</v>
      </c>
      <c r="F30" t="s">
        <v>522</v>
      </c>
      <c r="G30" t="s">
        <v>612</v>
      </c>
      <c r="H30" s="25" t="s">
        <v>609</v>
      </c>
      <c r="I30" s="25" t="s">
        <v>610</v>
      </c>
      <c r="J30" s="25" t="s">
        <v>611</v>
      </c>
    </row>
    <row r="31" spans="1:10" x14ac:dyDescent="0.25">
      <c r="B31" s="8" t="s">
        <v>312</v>
      </c>
      <c r="C31" s="82">
        <v>0.08</v>
      </c>
      <c r="E31">
        <v>0</v>
      </c>
      <c r="F31" s="25">
        <v>6100000</v>
      </c>
      <c r="G31" s="25">
        <f>F31/(1+C$31)^E31</f>
        <v>6100000</v>
      </c>
      <c r="H31" s="73">
        <v>2000000</v>
      </c>
      <c r="I31" s="25"/>
      <c r="J31" s="25">
        <v>20000000</v>
      </c>
    </row>
    <row r="32" spans="1:10" x14ac:dyDescent="0.25">
      <c r="B32" s="8" t="s">
        <v>496</v>
      </c>
      <c r="C32" s="157">
        <v>0.1</v>
      </c>
      <c r="E32">
        <v>1</v>
      </c>
      <c r="F32" s="25">
        <f>F31*1.1</f>
        <v>6710000.0000000009</v>
      </c>
      <c r="G32" s="25">
        <f t="shared" ref="G32:G36" si="0">F32/(1+C$31)^E32</f>
        <v>6212962.9629629636</v>
      </c>
    </row>
    <row r="33" spans="1:8" x14ac:dyDescent="0.25">
      <c r="B33" s="8" t="s">
        <v>522</v>
      </c>
      <c r="C33" s="25">
        <v>6100000</v>
      </c>
      <c r="E33">
        <v>2</v>
      </c>
      <c r="F33" s="25">
        <f t="shared" ref="F33:F36" si="1">F32*1.1</f>
        <v>7381000.0000000019</v>
      </c>
      <c r="G33" s="25">
        <f t="shared" si="0"/>
        <v>6328017.8326474633</v>
      </c>
    </row>
    <row r="34" spans="1:8" x14ac:dyDescent="0.25">
      <c r="E34">
        <v>3</v>
      </c>
      <c r="F34" s="25">
        <f t="shared" si="1"/>
        <v>8119100.0000000028</v>
      </c>
      <c r="G34" s="25">
        <f t="shared" si="0"/>
        <v>6445203.3480668608</v>
      </c>
    </row>
    <row r="35" spans="1:8" x14ac:dyDescent="0.25">
      <c r="E35">
        <v>4</v>
      </c>
      <c r="F35" s="25">
        <f t="shared" si="1"/>
        <v>8931010.0000000037</v>
      </c>
      <c r="G35" s="25">
        <f t="shared" si="0"/>
        <v>6564558.9656236544</v>
      </c>
    </row>
    <row r="36" spans="1:8" x14ac:dyDescent="0.25">
      <c r="B36" s="8" t="s">
        <v>613</v>
      </c>
      <c r="C36" s="25">
        <f>SUM(G32:G36)</f>
        <v>32236867.981695406</v>
      </c>
      <c r="E36">
        <v>5</v>
      </c>
      <c r="F36" s="25">
        <f t="shared" si="1"/>
        <v>9824111.0000000056</v>
      </c>
      <c r="G36" s="25">
        <f t="shared" si="0"/>
        <v>6686124.872394464</v>
      </c>
    </row>
    <row r="37" spans="1:8" ht="30" x14ac:dyDescent="0.25">
      <c r="B37" s="8" t="s">
        <v>614</v>
      </c>
      <c r="C37" s="25">
        <f>F36*(1+G37)/(C31-G37)</f>
        <v>202376686.60000011</v>
      </c>
      <c r="E37">
        <v>6</v>
      </c>
      <c r="G37" s="71">
        <v>0.03</v>
      </c>
    </row>
    <row r="38" spans="1:8" ht="30" x14ac:dyDescent="0.25">
      <c r="B38" s="8" t="s">
        <v>615</v>
      </c>
      <c r="C38" s="25">
        <f>C36+C37/(1+C31)^5</f>
        <v>169971040.35302138</v>
      </c>
    </row>
    <row r="39" spans="1:8" ht="45" x14ac:dyDescent="0.25">
      <c r="B39" s="8" t="s">
        <v>616</v>
      </c>
      <c r="C39" s="147">
        <f>(C38-J31)/H31</f>
        <v>74.98552017651069</v>
      </c>
    </row>
    <row r="41" spans="1:8" x14ac:dyDescent="0.25">
      <c r="A41" s="295"/>
      <c r="B41" s="295"/>
      <c r="C41" s="296"/>
      <c r="D41" s="296"/>
      <c r="E41" s="260"/>
      <c r="F41" s="260"/>
      <c r="G41" s="260"/>
      <c r="H41" s="260"/>
    </row>
    <row r="43" spans="1:8" x14ac:dyDescent="0.25">
      <c r="A43" s="8" t="s">
        <v>532</v>
      </c>
      <c r="B43" s="8" t="s">
        <v>617</v>
      </c>
      <c r="C43" s="25" t="s">
        <v>618</v>
      </c>
    </row>
    <row r="45" spans="1:8" ht="30" x14ac:dyDescent="0.25">
      <c r="B45" s="8" t="s">
        <v>624</v>
      </c>
      <c r="C45" s="25">
        <f xml:space="preserve"> 135*5.63</f>
        <v>760.05</v>
      </c>
      <c r="D45" s="25" t="s">
        <v>619</v>
      </c>
      <c r="E45" t="s">
        <v>623</v>
      </c>
      <c r="F45" s="25">
        <f>C45+C52</f>
        <v>880.05</v>
      </c>
    </row>
    <row r="47" spans="1:8" x14ac:dyDescent="0.25">
      <c r="B47" s="8" t="s">
        <v>620</v>
      </c>
      <c r="C47" s="25">
        <v>38</v>
      </c>
    </row>
    <row r="49" spans="1:8" x14ac:dyDescent="0.25">
      <c r="B49" s="8" t="s">
        <v>621</v>
      </c>
      <c r="C49" s="25">
        <v>633</v>
      </c>
    </row>
    <row r="50" spans="1:8" x14ac:dyDescent="0.25">
      <c r="B50" s="8" t="s">
        <v>202</v>
      </c>
      <c r="C50" s="25">
        <v>57</v>
      </c>
    </row>
    <row r="52" spans="1:8" x14ac:dyDescent="0.25">
      <c r="B52" s="8" t="s">
        <v>622</v>
      </c>
      <c r="C52" s="25">
        <v>120</v>
      </c>
    </row>
    <row r="54" spans="1:8" x14ac:dyDescent="0.25">
      <c r="A54" s="295"/>
      <c r="B54" s="295"/>
      <c r="C54" s="296"/>
      <c r="D54" s="296"/>
      <c r="E54" s="260"/>
      <c r="F54" s="260"/>
      <c r="G54" s="260"/>
      <c r="H54" s="260"/>
    </row>
    <row r="56" spans="1:8" x14ac:dyDescent="0.25">
      <c r="A56" s="8" t="s">
        <v>447</v>
      </c>
      <c r="B56" s="246"/>
      <c r="C56" s="246" t="s">
        <v>448</v>
      </c>
      <c r="D56" s="246" t="s">
        <v>449</v>
      </c>
    </row>
    <row r="57" spans="1:8" x14ac:dyDescent="0.25">
      <c r="B57" s="246" t="s">
        <v>450</v>
      </c>
      <c r="C57" s="247">
        <v>100</v>
      </c>
      <c r="D57" s="247">
        <v>200</v>
      </c>
    </row>
    <row r="58" spans="1:8" ht="30" x14ac:dyDescent="0.25">
      <c r="B58" s="246" t="s">
        <v>451</v>
      </c>
      <c r="C58" s="247">
        <v>40</v>
      </c>
      <c r="D58" s="247">
        <v>81</v>
      </c>
    </row>
    <row r="59" spans="1:8" ht="30" x14ac:dyDescent="0.25">
      <c r="B59" s="246" t="s">
        <v>452</v>
      </c>
      <c r="C59" s="247">
        <v>10</v>
      </c>
      <c r="D59" s="247">
        <v>25</v>
      </c>
    </row>
    <row r="60" spans="1:8" x14ac:dyDescent="0.25">
      <c r="B60" s="8" t="s">
        <v>625</v>
      </c>
      <c r="C60" s="25">
        <f>C57-C58-C59</f>
        <v>50</v>
      </c>
      <c r="D60" s="25">
        <f>D57-D58-D59</f>
        <v>94</v>
      </c>
    </row>
    <row r="61" spans="1:8" x14ac:dyDescent="0.25">
      <c r="B61" s="8" t="s">
        <v>267</v>
      </c>
      <c r="C61" s="157">
        <v>0.21</v>
      </c>
      <c r="D61" s="157">
        <v>0.21</v>
      </c>
    </row>
    <row r="62" spans="1:8" x14ac:dyDescent="0.25">
      <c r="B62" s="8" t="s">
        <v>627</v>
      </c>
      <c r="C62" s="14">
        <f>C61*C60</f>
        <v>10.5</v>
      </c>
      <c r="D62" s="14">
        <f>D61*D60</f>
        <v>19.739999999999998</v>
      </c>
    </row>
    <row r="63" spans="1:8" x14ac:dyDescent="0.25">
      <c r="B63" s="8" t="s">
        <v>625</v>
      </c>
      <c r="C63" s="25">
        <f>C60-C62</f>
        <v>39.5</v>
      </c>
      <c r="D63" s="25">
        <f>D60-D62</f>
        <v>74.260000000000005</v>
      </c>
    </row>
    <row r="64" spans="1:8" x14ac:dyDescent="0.25">
      <c r="B64" s="8" t="s">
        <v>626</v>
      </c>
      <c r="C64" s="256">
        <f>C63/C57</f>
        <v>0.39500000000000002</v>
      </c>
      <c r="D64" s="256">
        <f>D63/D57</f>
        <v>0.37130000000000002</v>
      </c>
      <c r="F64" s="297">
        <f>C64-D64</f>
        <v>2.3699999999999999E-2</v>
      </c>
    </row>
    <row r="67" spans="1:9" x14ac:dyDescent="0.25">
      <c r="A67" s="295"/>
      <c r="B67" s="295"/>
      <c r="C67" s="296"/>
      <c r="D67" s="296"/>
      <c r="E67" s="260"/>
      <c r="F67" s="260"/>
      <c r="G67" s="260"/>
      <c r="H67" s="260"/>
    </row>
    <row r="69" spans="1:9" x14ac:dyDescent="0.25">
      <c r="A69" s="8" t="s">
        <v>455</v>
      </c>
      <c r="C69" s="25" t="s">
        <v>456</v>
      </c>
      <c r="D69" s="25" t="s">
        <v>457</v>
      </c>
      <c r="F69" t="s">
        <v>147</v>
      </c>
      <c r="I69" t="s">
        <v>523</v>
      </c>
    </row>
    <row r="70" spans="1:9" x14ac:dyDescent="0.25">
      <c r="B70" s="8" t="s">
        <v>628</v>
      </c>
      <c r="C70" s="25">
        <v>1250000</v>
      </c>
      <c r="D70" s="25">
        <v>1548000</v>
      </c>
      <c r="F70">
        <v>0</v>
      </c>
      <c r="G70" s="259">
        <f>I70-D70</f>
        <v>-598000</v>
      </c>
      <c r="I70" s="104">
        <v>950000</v>
      </c>
    </row>
    <row r="71" spans="1:9" x14ac:dyDescent="0.25">
      <c r="B71" s="8" t="s">
        <v>10</v>
      </c>
      <c r="C71" s="257">
        <v>10</v>
      </c>
      <c r="D71" s="257">
        <v>9</v>
      </c>
      <c r="F71">
        <v>1</v>
      </c>
      <c r="G71" s="25">
        <f>D$82-C$82</f>
        <v>104670</v>
      </c>
      <c r="H71" s="147">
        <f>G71/(1+0.12)^F71</f>
        <v>93455.35714285713</v>
      </c>
      <c r="I71" t="s">
        <v>241</v>
      </c>
    </row>
    <row r="72" spans="1:9" x14ac:dyDescent="0.25">
      <c r="B72" s="8" t="s">
        <v>523</v>
      </c>
      <c r="C72" s="257">
        <v>0</v>
      </c>
      <c r="D72" s="257">
        <v>0</v>
      </c>
      <c r="F72">
        <v>2</v>
      </c>
      <c r="G72" s="25">
        <f t="shared" ref="G72:G79" si="2">D$82-C$82</f>
        <v>104670</v>
      </c>
      <c r="H72" s="147">
        <f t="shared" ref="H72:H79" si="3">G72/(1+0.12)^F72</f>
        <v>83442.283163265296</v>
      </c>
    </row>
    <row r="73" spans="1:9" x14ac:dyDescent="0.25">
      <c r="B73" s="8" t="s">
        <v>629</v>
      </c>
      <c r="C73" s="25">
        <f>(C70-C72)/C71</f>
        <v>125000</v>
      </c>
      <c r="D73" s="25">
        <f>(D70-D72)/D71</f>
        <v>172000</v>
      </c>
      <c r="F73">
        <v>3</v>
      </c>
      <c r="G73" s="25">
        <f t="shared" si="2"/>
        <v>104670</v>
      </c>
      <c r="H73" s="147">
        <f t="shared" si="3"/>
        <v>74502.038538629713</v>
      </c>
    </row>
    <row r="74" spans="1:9" x14ac:dyDescent="0.25">
      <c r="F74">
        <v>4</v>
      </c>
      <c r="G74" s="25">
        <f t="shared" si="2"/>
        <v>104670</v>
      </c>
      <c r="H74" s="147">
        <f t="shared" si="3"/>
        <v>66519.677266633676</v>
      </c>
    </row>
    <row r="75" spans="1:9" x14ac:dyDescent="0.25">
      <c r="B75" s="8" t="s">
        <v>202</v>
      </c>
      <c r="C75" s="25">
        <v>365000</v>
      </c>
      <c r="D75" s="25">
        <v>485000</v>
      </c>
      <c r="F75">
        <v>5</v>
      </c>
      <c r="G75" s="25">
        <f t="shared" si="2"/>
        <v>104670</v>
      </c>
      <c r="H75" s="147">
        <f t="shared" si="3"/>
        <v>59392.568988065781</v>
      </c>
    </row>
    <row r="76" spans="1:9" x14ac:dyDescent="0.25">
      <c r="B76" s="8" t="s">
        <v>629</v>
      </c>
      <c r="C76" s="25">
        <f>C73</f>
        <v>125000</v>
      </c>
      <c r="D76" s="25">
        <f>D73</f>
        <v>172000</v>
      </c>
      <c r="F76">
        <v>6</v>
      </c>
      <c r="G76" s="25">
        <f t="shared" si="2"/>
        <v>104670</v>
      </c>
      <c r="H76" s="147">
        <f t="shared" si="3"/>
        <v>53029.079453630155</v>
      </c>
    </row>
    <row r="77" spans="1:9" x14ac:dyDescent="0.25">
      <c r="B77" s="8" t="s">
        <v>630</v>
      </c>
      <c r="C77" s="25">
        <f>C75-C76</f>
        <v>240000</v>
      </c>
      <c r="D77" s="25">
        <f>D75-D76</f>
        <v>313000</v>
      </c>
      <c r="F77">
        <v>7</v>
      </c>
      <c r="G77" s="25">
        <f t="shared" si="2"/>
        <v>104670</v>
      </c>
      <c r="H77" s="147">
        <f t="shared" si="3"/>
        <v>47347.392369312634</v>
      </c>
    </row>
    <row r="78" spans="1:9" x14ac:dyDescent="0.25">
      <c r="B78" s="8" t="s">
        <v>548</v>
      </c>
      <c r="C78" s="157">
        <v>0.21</v>
      </c>
      <c r="D78" s="157">
        <v>0.21</v>
      </c>
      <c r="F78">
        <v>8</v>
      </c>
      <c r="G78" s="25">
        <f>D$82-C$82</f>
        <v>104670</v>
      </c>
      <c r="H78" s="147">
        <f t="shared" si="3"/>
        <v>42274.457472600567</v>
      </c>
    </row>
    <row r="79" spans="1:9" x14ac:dyDescent="0.25">
      <c r="B79" s="8" t="s">
        <v>549</v>
      </c>
      <c r="C79" s="25">
        <f>-C78*C77</f>
        <v>-50400</v>
      </c>
      <c r="D79" s="25">
        <f>-D78*D77</f>
        <v>-65730</v>
      </c>
      <c r="F79">
        <v>9</v>
      </c>
      <c r="G79" s="25">
        <f t="shared" si="2"/>
        <v>104670</v>
      </c>
      <c r="H79" s="147">
        <f t="shared" si="3"/>
        <v>37745.051314821932</v>
      </c>
    </row>
    <row r="80" spans="1:9" x14ac:dyDescent="0.25">
      <c r="B80" s="8" t="s">
        <v>629</v>
      </c>
      <c r="C80" s="25">
        <f>C73</f>
        <v>125000</v>
      </c>
      <c r="D80" s="25">
        <f>D73</f>
        <v>172000</v>
      </c>
    </row>
    <row r="81" spans="1:8" x14ac:dyDescent="0.25">
      <c r="F81" t="s">
        <v>525</v>
      </c>
      <c r="G81" s="258">
        <f>NPV(0.12,G71:G79) + G70</f>
        <v>-40292.094290183275</v>
      </c>
    </row>
    <row r="82" spans="1:8" x14ac:dyDescent="0.25">
      <c r="B82" s="8" t="s">
        <v>631</v>
      </c>
      <c r="C82" s="25">
        <f>C77+C80+C79</f>
        <v>314600</v>
      </c>
      <c r="D82" s="25">
        <f>D77+D80+D79</f>
        <v>419270</v>
      </c>
      <c r="G82" s="70"/>
    </row>
    <row r="85" spans="1:8" x14ac:dyDescent="0.25">
      <c r="A85" s="295"/>
      <c r="B85" s="295"/>
      <c r="C85" s="296"/>
      <c r="D85" s="296"/>
      <c r="E85" s="260"/>
      <c r="F85" s="260"/>
      <c r="G85" s="260"/>
      <c r="H85" s="260"/>
    </row>
    <row r="87" spans="1:8" x14ac:dyDescent="0.25">
      <c r="A87" s="8" t="s">
        <v>461</v>
      </c>
      <c r="B87" s="8" t="s">
        <v>462</v>
      </c>
    </row>
    <row r="89" spans="1:8" x14ac:dyDescent="0.25">
      <c r="A89" s="8" t="s">
        <v>632</v>
      </c>
      <c r="B89" s="8">
        <v>800</v>
      </c>
    </row>
    <row r="90" spans="1:8" x14ac:dyDescent="0.25">
      <c r="A90" s="8" t="s">
        <v>633</v>
      </c>
      <c r="B90" s="8">
        <v>10000</v>
      </c>
    </row>
    <row r="91" spans="1:8" ht="30" x14ac:dyDescent="0.25">
      <c r="A91" s="8" t="s">
        <v>174</v>
      </c>
      <c r="B91" s="8">
        <v>0.06</v>
      </c>
    </row>
    <row r="92" spans="1:8" x14ac:dyDescent="0.25">
      <c r="A92" s="8" t="s">
        <v>634</v>
      </c>
      <c r="B92" s="8">
        <f>B91*B90</f>
        <v>600</v>
      </c>
    </row>
    <row r="94" spans="1:8" ht="30" x14ac:dyDescent="0.25">
      <c r="A94" s="8" t="s">
        <v>635</v>
      </c>
      <c r="B94" s="8">
        <f>B89-B92</f>
        <v>200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202DB-4B09-42DF-8153-FCCCBE144EBB}">
  <dimension ref="A1:K138"/>
  <sheetViews>
    <sheetView tabSelected="1" topLeftCell="A25" workbookViewId="0">
      <selection activeCell="B55" sqref="B55"/>
    </sheetView>
  </sheetViews>
  <sheetFormatPr defaultRowHeight="15" x14ac:dyDescent="0.25"/>
  <cols>
    <col min="1" max="1" width="12.7109375" customWidth="1"/>
    <col min="2" max="2" width="15.5703125" style="259" customWidth="1"/>
    <col min="3" max="4" width="12.28515625" style="259" bestFit="1" customWidth="1"/>
    <col min="5" max="5" width="10.7109375" style="259" bestFit="1" customWidth="1"/>
    <col min="6" max="6" width="12.28515625" bestFit="1" customWidth="1"/>
    <col min="7" max="7" width="12.5703125" bestFit="1" customWidth="1"/>
    <col min="8" max="8" width="15" bestFit="1" customWidth="1"/>
    <col min="9" max="9" width="10.5703125" bestFit="1" customWidth="1"/>
  </cols>
  <sheetData>
    <row r="1" spans="1:9" x14ac:dyDescent="0.25">
      <c r="A1" t="s">
        <v>223</v>
      </c>
    </row>
    <row r="2" spans="1:9" x14ac:dyDescent="0.25">
      <c r="B2" s="259" t="s">
        <v>672</v>
      </c>
      <c r="C2" s="259">
        <v>-100000</v>
      </c>
    </row>
    <row r="3" spans="1:9" x14ac:dyDescent="0.25">
      <c r="B3" s="259" t="s">
        <v>312</v>
      </c>
      <c r="C3" s="157">
        <v>0.06</v>
      </c>
    </row>
    <row r="4" spans="1:9" x14ac:dyDescent="0.25">
      <c r="B4" s="259" t="s">
        <v>673</v>
      </c>
      <c r="C4" s="257">
        <v>10</v>
      </c>
    </row>
    <row r="6" spans="1:9" x14ac:dyDescent="0.25">
      <c r="B6" s="259" t="s">
        <v>641</v>
      </c>
      <c r="C6" s="259">
        <f>PV(C3,C4,C2)</f>
        <v>736008.70514147019</v>
      </c>
    </row>
    <row r="8" spans="1:9" x14ac:dyDescent="0.25">
      <c r="A8" s="300"/>
      <c r="B8" s="301"/>
      <c r="C8" s="301"/>
      <c r="D8" s="301"/>
      <c r="E8" s="301"/>
      <c r="F8" s="300"/>
      <c r="G8" s="300"/>
      <c r="H8" s="300"/>
      <c r="I8" s="300"/>
    </row>
    <row r="10" spans="1:9" x14ac:dyDescent="0.25">
      <c r="A10" t="s">
        <v>485</v>
      </c>
    </row>
    <row r="11" spans="1:9" x14ac:dyDescent="0.25">
      <c r="B11" s="259" t="s">
        <v>641</v>
      </c>
      <c r="C11" s="259">
        <v>-1000000</v>
      </c>
    </row>
    <row r="12" spans="1:9" x14ac:dyDescent="0.25">
      <c r="B12" s="259" t="s">
        <v>312</v>
      </c>
      <c r="C12" s="157">
        <v>0.06</v>
      </c>
    </row>
    <row r="13" spans="1:9" x14ac:dyDescent="0.25">
      <c r="B13" s="259" t="s">
        <v>673</v>
      </c>
      <c r="C13" s="257">
        <v>10</v>
      </c>
    </row>
    <row r="15" spans="1:9" x14ac:dyDescent="0.25">
      <c r="B15" s="259" t="s">
        <v>674</v>
      </c>
      <c r="C15" s="259">
        <f>PMT(C12,C13,C11)</f>
        <v>135867.95822038385</v>
      </c>
    </row>
    <row r="17" spans="1:9" x14ac:dyDescent="0.25">
      <c r="A17" s="300"/>
      <c r="B17" s="301"/>
      <c r="C17" s="301"/>
      <c r="D17" s="301"/>
      <c r="E17" s="301"/>
      <c r="F17" s="300"/>
      <c r="G17" s="300"/>
      <c r="H17" s="300"/>
      <c r="I17" s="300"/>
    </row>
    <row r="19" spans="1:9" x14ac:dyDescent="0.25">
      <c r="A19" t="s">
        <v>243</v>
      </c>
    </row>
    <row r="20" spans="1:9" x14ac:dyDescent="0.25">
      <c r="B20" s="259" t="s">
        <v>675</v>
      </c>
      <c r="C20" s="258">
        <v>-8.5</v>
      </c>
      <c r="E20" s="257">
        <v>1</v>
      </c>
      <c r="F20">
        <v>8.5</v>
      </c>
      <c r="G20" s="258">
        <f>F20/(1+C$21)^E20</f>
        <v>7.762557077625571</v>
      </c>
    </row>
    <row r="21" spans="1:9" x14ac:dyDescent="0.25">
      <c r="B21" s="259" t="s">
        <v>312</v>
      </c>
      <c r="C21" s="256">
        <v>9.5000000000000001E-2</v>
      </c>
      <c r="E21" s="303">
        <v>2</v>
      </c>
      <c r="F21">
        <v>8.5</v>
      </c>
      <c r="G21" s="258">
        <f t="shared" ref="G21:G30" si="0">F21/(1+C$21)^E21</f>
        <v>7.0890932215758635</v>
      </c>
    </row>
    <row r="22" spans="1:9" x14ac:dyDescent="0.25">
      <c r="B22" s="259" t="s">
        <v>673</v>
      </c>
      <c r="C22" s="257">
        <v>11</v>
      </c>
      <c r="E22" s="257">
        <v>3</v>
      </c>
      <c r="F22">
        <v>8.5</v>
      </c>
      <c r="G22" s="258">
        <f t="shared" si="0"/>
        <v>6.4740577365989624</v>
      </c>
    </row>
    <row r="23" spans="1:9" x14ac:dyDescent="0.25">
      <c r="E23" s="303">
        <v>4</v>
      </c>
      <c r="F23">
        <v>8.5</v>
      </c>
      <c r="G23" s="258">
        <f t="shared" si="0"/>
        <v>5.9123814946109245</v>
      </c>
    </row>
    <row r="24" spans="1:9" x14ac:dyDescent="0.25">
      <c r="B24" s="259" t="s">
        <v>641</v>
      </c>
      <c r="C24" s="258">
        <f>PV(C21,C22,C20)</f>
        <v>56.502085197930519</v>
      </c>
      <c r="E24" s="257">
        <v>5</v>
      </c>
      <c r="F24">
        <v>8.5</v>
      </c>
      <c r="G24" s="258">
        <f t="shared" si="0"/>
        <v>5.399435154895821</v>
      </c>
    </row>
    <row r="25" spans="1:9" x14ac:dyDescent="0.25">
      <c r="E25" s="303">
        <v>6</v>
      </c>
      <c r="F25">
        <v>8.5</v>
      </c>
      <c r="G25" s="258">
        <f t="shared" si="0"/>
        <v>4.9309910090372799</v>
      </c>
    </row>
    <row r="26" spans="1:9" x14ac:dyDescent="0.25">
      <c r="E26" s="257">
        <v>7</v>
      </c>
      <c r="F26">
        <v>8.5</v>
      </c>
      <c r="G26" s="258">
        <f t="shared" si="0"/>
        <v>4.5031881361071049</v>
      </c>
    </row>
    <row r="27" spans="1:9" x14ac:dyDescent="0.25">
      <c r="E27" s="303">
        <v>8</v>
      </c>
      <c r="F27">
        <v>8.5</v>
      </c>
      <c r="G27" s="258">
        <f t="shared" si="0"/>
        <v>4.1125005809197299</v>
      </c>
    </row>
    <row r="28" spans="1:9" x14ac:dyDescent="0.25">
      <c r="E28" s="257">
        <v>9</v>
      </c>
      <c r="F28">
        <v>8.5</v>
      </c>
      <c r="G28" s="258">
        <f t="shared" si="0"/>
        <v>3.7557082930773795</v>
      </c>
    </row>
    <row r="29" spans="1:9" x14ac:dyDescent="0.25">
      <c r="E29" s="303">
        <v>10</v>
      </c>
      <c r="F29">
        <v>8.5</v>
      </c>
      <c r="G29" s="258">
        <f t="shared" si="0"/>
        <v>3.4298705872852775</v>
      </c>
    </row>
    <row r="30" spans="1:9" x14ac:dyDescent="0.25">
      <c r="E30" s="257">
        <v>11</v>
      </c>
      <c r="F30">
        <v>8.5</v>
      </c>
      <c r="G30" s="258">
        <f t="shared" si="0"/>
        <v>3.1323019061966009</v>
      </c>
    </row>
    <row r="32" spans="1:9" x14ac:dyDescent="0.25">
      <c r="A32" s="300"/>
      <c r="B32" s="301"/>
      <c r="C32" s="301"/>
      <c r="D32" s="301"/>
      <c r="E32" s="301"/>
      <c r="F32" s="300"/>
      <c r="G32" s="300"/>
      <c r="H32" s="300"/>
      <c r="I32" s="300"/>
    </row>
    <row r="33" spans="1:9" x14ac:dyDescent="0.25">
      <c r="D33" s="314" t="s">
        <v>522</v>
      </c>
      <c r="E33" s="314" t="s">
        <v>676</v>
      </c>
      <c r="F33" s="315"/>
      <c r="G33" s="315"/>
    </row>
    <row r="34" spans="1:9" x14ac:dyDescent="0.25">
      <c r="A34" t="s">
        <v>437</v>
      </c>
      <c r="B34">
        <v>2020</v>
      </c>
      <c r="C34">
        <v>0</v>
      </c>
      <c r="D34" s="314">
        <v>6250</v>
      </c>
      <c r="E34" s="314">
        <v>6250</v>
      </c>
      <c r="F34" s="315" t="s">
        <v>496</v>
      </c>
      <c r="G34" s="315" t="s">
        <v>312</v>
      </c>
    </row>
    <row r="35" spans="1:9" x14ac:dyDescent="0.25">
      <c r="B35">
        <v>2021</v>
      </c>
      <c r="C35">
        <v>1</v>
      </c>
      <c r="D35" s="314">
        <f>D34*(1+F35)</f>
        <v>6450</v>
      </c>
      <c r="E35" s="314">
        <f>D35/(1+G35)^C35</f>
        <v>6187.0503597122306</v>
      </c>
      <c r="F35" s="316">
        <v>3.2000000000000001E-2</v>
      </c>
      <c r="G35" s="316">
        <v>4.2500000000000003E-2</v>
      </c>
    </row>
    <row r="36" spans="1:9" x14ac:dyDescent="0.25">
      <c r="B36">
        <v>2022</v>
      </c>
      <c r="C36">
        <v>2</v>
      </c>
      <c r="D36" s="314">
        <f t="shared" ref="D36:D42" si="1">D35*(1+F36)</f>
        <v>6656.4000000000005</v>
      </c>
      <c r="E36" s="314">
        <f t="shared" ref="E36:E44" si="2">D36/(1+G36)^C36</f>
        <v>6124.7347445784389</v>
      </c>
      <c r="F36" s="316">
        <v>3.2000000000000001E-2</v>
      </c>
      <c r="G36" s="316">
        <v>4.2500000000000003E-2</v>
      </c>
    </row>
    <row r="37" spans="1:9" x14ac:dyDescent="0.25">
      <c r="B37">
        <v>2023</v>
      </c>
      <c r="C37">
        <v>3</v>
      </c>
      <c r="D37" s="314">
        <f t="shared" si="1"/>
        <v>6869.4048000000012</v>
      </c>
      <c r="E37" s="314">
        <f t="shared" si="2"/>
        <v>6063.0467687337641</v>
      </c>
      <c r="F37" s="316">
        <v>3.2000000000000001E-2</v>
      </c>
      <c r="G37" s="316">
        <v>4.2500000000000003E-2</v>
      </c>
    </row>
    <row r="38" spans="1:9" x14ac:dyDescent="0.25">
      <c r="B38">
        <v>2024</v>
      </c>
      <c r="C38">
        <v>4</v>
      </c>
      <c r="D38" s="314">
        <f t="shared" si="1"/>
        <v>7089.2257536000016</v>
      </c>
      <c r="E38" s="314">
        <f t="shared" si="2"/>
        <v>6001.9801106314108</v>
      </c>
      <c r="F38" s="316">
        <v>3.2000000000000001E-2</v>
      </c>
      <c r="G38" s="316">
        <v>4.2500000000000003E-2</v>
      </c>
    </row>
    <row r="39" spans="1:9" x14ac:dyDescent="0.25">
      <c r="B39">
        <v>2025</v>
      </c>
      <c r="C39">
        <v>5</v>
      </c>
      <c r="D39" s="314">
        <f t="shared" si="1"/>
        <v>7316.0809777152017</v>
      </c>
      <c r="E39" s="314">
        <f t="shared" si="2"/>
        <v>5941.5285123948361</v>
      </c>
      <c r="F39" s="316">
        <v>3.2000000000000001E-2</v>
      </c>
      <c r="G39" s="316">
        <v>4.2500000000000003E-2</v>
      </c>
    </row>
    <row r="40" spans="1:9" x14ac:dyDescent="0.25">
      <c r="B40">
        <v>2026</v>
      </c>
      <c r="C40">
        <v>6</v>
      </c>
      <c r="D40" s="314">
        <f>D39*(1+F40)</f>
        <v>7498.983002158081</v>
      </c>
      <c r="E40" s="314">
        <f>D40/((1+G40)^H40*(1+G$39)^I40)</f>
        <v>5789.0368110310883</v>
      </c>
      <c r="F40" s="316">
        <v>2.5000000000000001E-2</v>
      </c>
      <c r="G40" s="316">
        <v>5.2000000000000005E-2</v>
      </c>
      <c r="H40">
        <v>1</v>
      </c>
      <c r="I40">
        <v>5</v>
      </c>
    </row>
    <row r="41" spans="1:9" x14ac:dyDescent="0.25">
      <c r="B41">
        <v>2027</v>
      </c>
      <c r="C41">
        <v>7</v>
      </c>
      <c r="D41" s="314">
        <f t="shared" si="1"/>
        <v>7686.4575772120324</v>
      </c>
      <c r="E41" s="314">
        <f t="shared" ref="E41:E43" si="3">D41/((1+G41)^H41*(1+G$39)^I41)</f>
        <v>5640.4588700635604</v>
      </c>
      <c r="F41" s="316">
        <v>2.5000000000000001E-2</v>
      </c>
      <c r="G41" s="316">
        <v>5.2000000000000005E-2</v>
      </c>
      <c r="H41">
        <v>2</v>
      </c>
      <c r="I41">
        <v>5</v>
      </c>
    </row>
    <row r="42" spans="1:9" x14ac:dyDescent="0.25">
      <c r="B42">
        <v>2028</v>
      </c>
      <c r="C42">
        <v>8</v>
      </c>
      <c r="D42" s="314">
        <f t="shared" si="1"/>
        <v>7878.619016642333</v>
      </c>
      <c r="E42" s="314">
        <f t="shared" si="3"/>
        <v>5495.6942412691533</v>
      </c>
      <c r="F42" s="316">
        <v>2.5000000000000001E-2</v>
      </c>
      <c r="G42" s="316">
        <v>5.2000000000000005E-2</v>
      </c>
      <c r="H42">
        <v>3</v>
      </c>
      <c r="I42">
        <v>5</v>
      </c>
    </row>
    <row r="43" spans="1:9" x14ac:dyDescent="0.25">
      <c r="B43">
        <v>2029</v>
      </c>
      <c r="C43">
        <v>9</v>
      </c>
      <c r="D43" s="314">
        <f>D42*(1+F43)</f>
        <v>8075.5844920583904</v>
      </c>
      <c r="E43" s="314">
        <f t="shared" si="3"/>
        <v>5354.6450544685167</v>
      </c>
      <c r="F43" s="316">
        <v>2.5000000000000001E-2</v>
      </c>
      <c r="G43" s="316">
        <v>5.2000000000000005E-2</v>
      </c>
      <c r="H43">
        <v>4</v>
      </c>
      <c r="I43">
        <v>5</v>
      </c>
    </row>
    <row r="44" spans="1:9" x14ac:dyDescent="0.25">
      <c r="B44"/>
      <c r="C44">
        <v>10</v>
      </c>
      <c r="D44" s="314">
        <f>D43*(1+F44)</f>
        <v>8196.7182594392652</v>
      </c>
      <c r="E44" s="314">
        <f t="shared" si="2"/>
        <v>4686.3664709248578</v>
      </c>
      <c r="F44" s="316">
        <v>1.4999999999999999E-2</v>
      </c>
      <c r="G44" s="316">
        <v>5.7500000000000002E-2</v>
      </c>
    </row>
    <row r="45" spans="1:9" x14ac:dyDescent="0.25">
      <c r="D45" s="314"/>
      <c r="E45" s="314"/>
      <c r="F45" s="315"/>
      <c r="G45" s="315"/>
    </row>
    <row r="46" spans="1:9" x14ac:dyDescent="0.25">
      <c r="A46" t="s">
        <v>677</v>
      </c>
      <c r="B46" s="302" t="s">
        <v>681</v>
      </c>
    </row>
    <row r="47" spans="1:9" x14ac:dyDescent="0.25">
      <c r="B47" s="302" t="s">
        <v>682</v>
      </c>
    </row>
    <row r="48" spans="1:9" x14ac:dyDescent="0.25">
      <c r="B48" s="304">
        <f>D44/(G44-F44)</f>
        <v>192863.95904562974</v>
      </c>
    </row>
    <row r="50" spans="1:11" x14ac:dyDescent="0.25">
      <c r="A50" t="s">
        <v>683</v>
      </c>
      <c r="B50" s="302" t="s">
        <v>678</v>
      </c>
    </row>
    <row r="51" spans="1:11" x14ac:dyDescent="0.25">
      <c r="B51" s="302" t="s">
        <v>706</v>
      </c>
    </row>
    <row r="52" spans="1:11" x14ac:dyDescent="0.25">
      <c r="B52" s="304">
        <f>B48/((1+0.052)^4 * (1+0.0425)^5)</f>
        <v>127881.52306554221</v>
      </c>
    </row>
    <row r="54" spans="1:11" x14ac:dyDescent="0.25">
      <c r="A54" t="s">
        <v>680</v>
      </c>
    </row>
    <row r="55" spans="1:11" x14ac:dyDescent="0.25">
      <c r="A55" t="s">
        <v>679</v>
      </c>
      <c r="B55" s="259">
        <f>SUM(E35:E43) +B52</f>
        <v>180479.6985384252</v>
      </c>
    </row>
    <row r="57" spans="1:11" x14ac:dyDescent="0.25">
      <c r="A57" s="300"/>
      <c r="B57" s="301"/>
      <c r="C57" s="301"/>
      <c r="D57" s="301"/>
      <c r="E57" s="301"/>
      <c r="F57" s="300"/>
      <c r="G57" s="300"/>
      <c r="H57" s="300"/>
      <c r="I57" s="300"/>
    </row>
    <row r="59" spans="1:11" x14ac:dyDescent="0.25">
      <c r="A59" t="s">
        <v>438</v>
      </c>
      <c r="B59" s="257">
        <v>1</v>
      </c>
      <c r="C59" s="257">
        <v>2</v>
      </c>
      <c r="D59" s="257">
        <v>3</v>
      </c>
      <c r="E59" s="257">
        <v>4</v>
      </c>
      <c r="F59" s="257">
        <v>5</v>
      </c>
      <c r="G59" s="257">
        <v>6</v>
      </c>
      <c r="H59" s="257">
        <v>7</v>
      </c>
      <c r="I59" s="257">
        <v>8</v>
      </c>
    </row>
    <row r="60" spans="1:11" x14ac:dyDescent="0.25">
      <c r="B60" s="257">
        <v>2020</v>
      </c>
      <c r="C60" s="257">
        <v>2021</v>
      </c>
      <c r="D60" s="257">
        <v>2022</v>
      </c>
      <c r="E60" s="257">
        <v>2023</v>
      </c>
      <c r="F60" s="257">
        <v>2024</v>
      </c>
      <c r="G60" s="257">
        <v>2025</v>
      </c>
      <c r="H60" s="257">
        <v>2026</v>
      </c>
      <c r="J60" t="s">
        <v>687</v>
      </c>
      <c r="K60" s="208">
        <v>7.2499999999999995E-2</v>
      </c>
    </row>
    <row r="61" spans="1:11" x14ac:dyDescent="0.25">
      <c r="A61" s="8" t="s">
        <v>344</v>
      </c>
      <c r="B61" s="259">
        <v>-500</v>
      </c>
      <c r="C61" s="259">
        <v>-400</v>
      </c>
      <c r="D61" s="259">
        <v>-400</v>
      </c>
      <c r="E61" s="259">
        <v>-1700</v>
      </c>
      <c r="F61" s="259">
        <v>2800</v>
      </c>
      <c r="G61" s="259">
        <v>4200</v>
      </c>
      <c r="H61" s="259">
        <v>4500</v>
      </c>
      <c r="I61" s="259">
        <f>H61*(1+K61)</f>
        <v>4621.5</v>
      </c>
      <c r="J61" t="s">
        <v>686</v>
      </c>
      <c r="K61" s="256">
        <v>2.7E-2</v>
      </c>
    </row>
    <row r="62" spans="1:11" ht="30" x14ac:dyDescent="0.25">
      <c r="A62" s="8" t="s">
        <v>345</v>
      </c>
      <c r="B62" s="259">
        <v>400</v>
      </c>
      <c r="C62" s="259">
        <v>600</v>
      </c>
      <c r="D62" s="259">
        <v>1000</v>
      </c>
      <c r="E62" s="259">
        <v>1000</v>
      </c>
      <c r="F62" s="259">
        <v>800</v>
      </c>
      <c r="G62" s="259">
        <v>800</v>
      </c>
      <c r="H62" s="259">
        <v>900</v>
      </c>
      <c r="I62" s="259">
        <v>0</v>
      </c>
    </row>
    <row r="63" spans="1:11" x14ac:dyDescent="0.25">
      <c r="A63" s="8" t="s">
        <v>684</v>
      </c>
      <c r="B63" s="259">
        <v>400</v>
      </c>
      <c r="C63" s="259">
        <v>400</v>
      </c>
      <c r="D63" s="259">
        <v>200</v>
      </c>
      <c r="E63" s="259">
        <v>100</v>
      </c>
      <c r="F63" s="259">
        <v>100</v>
      </c>
      <c r="G63" s="259">
        <v>-100</v>
      </c>
      <c r="H63" s="259">
        <v>-100</v>
      </c>
      <c r="I63" s="259">
        <v>0</v>
      </c>
    </row>
    <row r="64" spans="1:11" x14ac:dyDescent="0.25">
      <c r="A64" s="8" t="s">
        <v>151</v>
      </c>
      <c r="B64" s="259">
        <v>80</v>
      </c>
      <c r="C64" s="259">
        <v>160</v>
      </c>
      <c r="D64" s="259">
        <v>205</v>
      </c>
      <c r="E64" s="259">
        <v>210</v>
      </c>
      <c r="F64" s="259">
        <v>220</v>
      </c>
      <c r="G64" s="259">
        <v>230</v>
      </c>
      <c r="H64" s="259">
        <v>230</v>
      </c>
      <c r="I64" s="259">
        <v>0</v>
      </c>
    </row>
    <row r="65" spans="1:9" x14ac:dyDescent="0.25">
      <c r="A65" s="8" t="s">
        <v>685</v>
      </c>
      <c r="B65" s="259">
        <v>-1000</v>
      </c>
      <c r="C65" s="259">
        <f>B65+B61</f>
        <v>-1500</v>
      </c>
      <c r="D65" s="259">
        <f>C65+C61</f>
        <v>-1900</v>
      </c>
      <c r="E65" s="259">
        <f>D65+D61</f>
        <v>-2300</v>
      </c>
      <c r="F65" s="259">
        <f>E65+E61</f>
        <v>-4000</v>
      </c>
      <c r="G65" s="259">
        <f>F65+F61</f>
        <v>-1200</v>
      </c>
      <c r="H65" s="259">
        <f>G65+G61</f>
        <v>3000</v>
      </c>
      <c r="I65" s="259">
        <v>0</v>
      </c>
    </row>
    <row r="66" spans="1:9" x14ac:dyDescent="0.25">
      <c r="A66" s="8"/>
    </row>
    <row r="67" spans="1:9" ht="30" x14ac:dyDescent="0.25">
      <c r="A67" s="8" t="s">
        <v>521</v>
      </c>
      <c r="B67" s="259">
        <v>0</v>
      </c>
      <c r="C67" s="259">
        <v>0</v>
      </c>
      <c r="D67" s="259">
        <v>0</v>
      </c>
      <c r="E67" s="259">
        <v>0</v>
      </c>
      <c r="F67" s="259">
        <v>0</v>
      </c>
      <c r="G67" s="259">
        <v>0</v>
      </c>
      <c r="H67" s="259">
        <f>H65</f>
        <v>3000</v>
      </c>
      <c r="I67" s="259">
        <f>I61</f>
        <v>4621.5</v>
      </c>
    </row>
    <row r="68" spans="1:9" x14ac:dyDescent="0.25">
      <c r="A68" s="8" t="s">
        <v>548</v>
      </c>
      <c r="B68" s="157">
        <v>0.21</v>
      </c>
      <c r="C68" s="157">
        <v>0.21</v>
      </c>
      <c r="D68" s="157">
        <v>0.21</v>
      </c>
      <c r="E68" s="157">
        <v>0.21</v>
      </c>
      <c r="F68" s="157">
        <v>0.21</v>
      </c>
      <c r="G68" s="157">
        <v>0.21</v>
      </c>
      <c r="H68" s="157">
        <v>0.21</v>
      </c>
      <c r="I68" s="157">
        <v>0.21</v>
      </c>
    </row>
    <row r="69" spans="1:9" x14ac:dyDescent="0.25">
      <c r="A69" s="8" t="s">
        <v>549</v>
      </c>
      <c r="B69" s="306">
        <f>B68*B67</f>
        <v>0</v>
      </c>
      <c r="C69" s="306">
        <f t="shared" ref="C69:I69" si="4">C68*C67</f>
        <v>0</v>
      </c>
      <c r="D69" s="306">
        <f t="shared" si="4"/>
        <v>0</v>
      </c>
      <c r="E69" s="306">
        <f t="shared" si="4"/>
        <v>0</v>
      </c>
      <c r="F69" s="306">
        <f t="shared" si="4"/>
        <v>0</v>
      </c>
      <c r="G69" s="306">
        <f t="shared" si="4"/>
        <v>0</v>
      </c>
      <c r="H69" s="306">
        <f t="shared" si="4"/>
        <v>630</v>
      </c>
      <c r="I69" s="306">
        <f>I68*I67</f>
        <v>970.51499999999999</v>
      </c>
    </row>
    <row r="70" spans="1:9" x14ac:dyDescent="0.25">
      <c r="A70" s="8" t="s">
        <v>629</v>
      </c>
      <c r="B70" s="259">
        <f>B64</f>
        <v>80</v>
      </c>
      <c r="C70" s="259">
        <f t="shared" ref="C70:I70" si="5">C64</f>
        <v>160</v>
      </c>
      <c r="D70" s="259">
        <f t="shared" si="5"/>
        <v>205</v>
      </c>
      <c r="E70" s="259">
        <f t="shared" si="5"/>
        <v>210</v>
      </c>
      <c r="F70" s="259">
        <f t="shared" si="5"/>
        <v>220</v>
      </c>
      <c r="G70" s="259">
        <f t="shared" si="5"/>
        <v>230</v>
      </c>
      <c r="H70" s="259">
        <f t="shared" si="5"/>
        <v>230</v>
      </c>
      <c r="I70" s="259">
        <f t="shared" si="5"/>
        <v>0</v>
      </c>
    </row>
    <row r="71" spans="1:9" x14ac:dyDescent="0.25">
      <c r="A71" s="8" t="s">
        <v>565</v>
      </c>
      <c r="B71" s="304">
        <f>B70-B62-B63+B61</f>
        <v>-1220</v>
      </c>
      <c r="C71" s="304">
        <f t="shared" ref="C71:I71" si="6">C70-C62-C63+C61</f>
        <v>-1240</v>
      </c>
      <c r="D71" s="304">
        <f t="shared" si="6"/>
        <v>-1395</v>
      </c>
      <c r="E71" s="304">
        <f t="shared" si="6"/>
        <v>-2590</v>
      </c>
      <c r="F71" s="304">
        <f t="shared" si="6"/>
        <v>2120</v>
      </c>
      <c r="G71" s="259">
        <f t="shared" si="6"/>
        <v>3730</v>
      </c>
      <c r="H71" s="259">
        <f>H70-H62-H63+H61-H69</f>
        <v>3300</v>
      </c>
      <c r="I71" s="259">
        <f>I70-I62-I63+I61-I69</f>
        <v>3650.9850000000001</v>
      </c>
    </row>
    <row r="72" spans="1:9" x14ac:dyDescent="0.25">
      <c r="A72" s="8" t="s">
        <v>688</v>
      </c>
      <c r="B72" s="259">
        <f>B71/(1+$K60)^B59</f>
        <v>-1137.5291375291374</v>
      </c>
      <c r="C72" s="259">
        <f t="shared" ref="C72:H72" si="7">C71/(1+$K60)^C59</f>
        <v>-1078.0206584402388</v>
      </c>
      <c r="D72" s="259">
        <f t="shared" si="7"/>
        <v>-1130.7909004617891</v>
      </c>
      <c r="E72" s="259">
        <f t="shared" si="7"/>
        <v>-1957.5396193170973</v>
      </c>
      <c r="F72" s="259">
        <f t="shared" si="7"/>
        <v>1493.9957314585399</v>
      </c>
      <c r="G72" s="259">
        <f t="shared" si="7"/>
        <v>2450.8968106348043</v>
      </c>
      <c r="H72" s="259">
        <f t="shared" si="7"/>
        <v>2021.7750551741015</v>
      </c>
    </row>
    <row r="74" spans="1:9" x14ac:dyDescent="0.25">
      <c r="A74" s="8" t="s">
        <v>677</v>
      </c>
      <c r="B74" s="302" t="s">
        <v>681</v>
      </c>
    </row>
    <row r="75" spans="1:9" x14ac:dyDescent="0.25">
      <c r="B75" s="302" t="s">
        <v>691</v>
      </c>
    </row>
    <row r="76" spans="1:9" x14ac:dyDescent="0.25">
      <c r="B76" s="304">
        <f>I71/(K60-K61)</f>
        <v>80241.42857142858</v>
      </c>
    </row>
    <row r="78" spans="1:9" x14ac:dyDescent="0.25">
      <c r="A78" t="s">
        <v>683</v>
      </c>
      <c r="B78" s="302" t="s">
        <v>689</v>
      </c>
    </row>
    <row r="79" spans="1:9" x14ac:dyDescent="0.25">
      <c r="B79" s="302" t="s">
        <v>690</v>
      </c>
    </row>
    <row r="80" spans="1:9" x14ac:dyDescent="0.25">
      <c r="B80" s="305">
        <f>B76/(1+K60)^7</f>
        <v>49160.642023408705</v>
      </c>
    </row>
    <row r="82" spans="1:9" x14ac:dyDescent="0.25">
      <c r="A82" t="s">
        <v>680</v>
      </c>
    </row>
    <row r="83" spans="1:9" x14ac:dyDescent="0.25">
      <c r="A83" t="s">
        <v>679</v>
      </c>
      <c r="B83" s="259">
        <f>SUM(B72:H72) +B80</f>
        <v>49823.429304927886</v>
      </c>
    </row>
    <row r="85" spans="1:9" x14ac:dyDescent="0.25">
      <c r="A85" s="300"/>
      <c r="B85" s="301"/>
      <c r="C85" s="301"/>
      <c r="D85" s="301"/>
      <c r="E85" s="301"/>
      <c r="F85" s="300"/>
      <c r="G85" s="300"/>
      <c r="H85" s="300"/>
      <c r="I85" s="300"/>
    </row>
    <row r="86" spans="1:9" x14ac:dyDescent="0.25">
      <c r="B86" s="259" t="s">
        <v>516</v>
      </c>
    </row>
    <row r="87" spans="1:9" x14ac:dyDescent="0.25">
      <c r="A87" t="s">
        <v>516</v>
      </c>
    </row>
    <row r="89" spans="1:9" s="307" customFormat="1" ht="45" x14ac:dyDescent="0.25">
      <c r="A89" s="307" t="s">
        <v>147</v>
      </c>
      <c r="B89" s="308" t="s">
        <v>692</v>
      </c>
      <c r="C89" s="308" t="s">
        <v>696</v>
      </c>
      <c r="D89" s="308" t="s">
        <v>695</v>
      </c>
      <c r="E89" s="308" t="s">
        <v>693</v>
      </c>
      <c r="F89" s="308" t="s">
        <v>694</v>
      </c>
    </row>
    <row r="90" spans="1:9" x14ac:dyDescent="0.25">
      <c r="A90">
        <v>0</v>
      </c>
      <c r="B90" s="259">
        <v>-3000000</v>
      </c>
      <c r="C90" s="259">
        <v>-1750000</v>
      </c>
      <c r="D90" s="259">
        <v>-1500000</v>
      </c>
      <c r="E90" s="259">
        <v>-985000</v>
      </c>
      <c r="F90" s="259">
        <v>-2120000</v>
      </c>
      <c r="G90" s="259">
        <v>-2120000</v>
      </c>
      <c r="H90" s="259">
        <f>F90</f>
        <v>-2120000</v>
      </c>
    </row>
    <row r="91" spans="1:9" x14ac:dyDescent="0.25">
      <c r="A91">
        <v>1</v>
      </c>
      <c r="B91" s="259">
        <v>1600000</v>
      </c>
      <c r="C91" s="259">
        <v>450000</v>
      </c>
      <c r="D91" s="259">
        <v>400000</v>
      </c>
      <c r="E91" s="259">
        <v>250000</v>
      </c>
      <c r="F91" s="259">
        <v>1000000</v>
      </c>
      <c r="G91" s="259">
        <f>F91/(1+0.11)^A91</f>
        <v>900900.90090090083</v>
      </c>
      <c r="H91" s="259">
        <f>H90+G91</f>
        <v>-1219099.0990990992</v>
      </c>
    </row>
    <row r="92" spans="1:9" x14ac:dyDescent="0.25">
      <c r="A92">
        <v>2</v>
      </c>
      <c r="B92" s="259">
        <v>1500000</v>
      </c>
      <c r="C92" s="259">
        <v>550000</v>
      </c>
      <c r="D92" s="259">
        <v>500000</v>
      </c>
      <c r="E92" s="259">
        <v>300000</v>
      </c>
      <c r="F92" s="259">
        <v>800000</v>
      </c>
      <c r="G92" s="259">
        <f t="shared" ref="G92:G96" si="8">F92/(1+0.11)^A92</f>
        <v>649297.94659524376</v>
      </c>
      <c r="H92" s="259">
        <f t="shared" ref="H92:H93" si="9">H91+G92</f>
        <v>-569801.15250385541</v>
      </c>
    </row>
    <row r="93" spans="1:9" x14ac:dyDescent="0.25">
      <c r="A93">
        <v>3</v>
      </c>
      <c r="B93" s="259">
        <v>750000</v>
      </c>
      <c r="C93" s="259">
        <v>550000</v>
      </c>
      <c r="D93" s="259">
        <v>500000</v>
      </c>
      <c r="E93" s="259">
        <v>300000</v>
      </c>
      <c r="F93" s="259">
        <v>750000</v>
      </c>
      <c r="G93" s="259">
        <f t="shared" si="8"/>
        <v>548393.53597571258</v>
      </c>
      <c r="H93" s="259">
        <f t="shared" si="9"/>
        <v>-21407.616528142826</v>
      </c>
    </row>
    <row r="94" spans="1:9" x14ac:dyDescent="0.25">
      <c r="A94">
        <v>4</v>
      </c>
      <c r="B94" s="259">
        <v>500000</v>
      </c>
      <c r="C94" s="259">
        <v>400000</v>
      </c>
      <c r="D94" s="259">
        <v>400000</v>
      </c>
      <c r="E94" s="259">
        <v>300000</v>
      </c>
      <c r="F94" s="259">
        <v>500000</v>
      </c>
      <c r="G94" s="259">
        <f t="shared" si="8"/>
        <v>329365.48707250005</v>
      </c>
      <c r="H94" s="259">
        <f>H93+G94</f>
        <v>307957.87054435723</v>
      </c>
    </row>
    <row r="95" spans="1:9" x14ac:dyDescent="0.25">
      <c r="A95">
        <v>5</v>
      </c>
      <c r="B95" s="259">
        <v>500000</v>
      </c>
      <c r="C95" s="259">
        <v>300000</v>
      </c>
      <c r="D95" s="259">
        <v>200000</v>
      </c>
      <c r="E95" s="259">
        <v>150000</v>
      </c>
      <c r="F95" s="259">
        <v>300000</v>
      </c>
      <c r="G95" s="259">
        <f t="shared" si="8"/>
        <v>178035.3984175676</v>
      </c>
      <c r="H95" s="259"/>
    </row>
    <row r="96" spans="1:9" x14ac:dyDescent="0.25">
      <c r="A96">
        <v>6</v>
      </c>
      <c r="B96" s="259">
        <v>50000</v>
      </c>
      <c r="C96" s="259">
        <v>250000</v>
      </c>
      <c r="D96" s="259">
        <v>150000</v>
      </c>
      <c r="E96" s="259">
        <v>50000</v>
      </c>
      <c r="F96" s="259">
        <v>100000</v>
      </c>
      <c r="G96" s="259">
        <f t="shared" si="8"/>
        <v>53464.083608879155</v>
      </c>
      <c r="H96" s="259"/>
    </row>
    <row r="98" spans="1:10" x14ac:dyDescent="0.25">
      <c r="A98" t="s">
        <v>47</v>
      </c>
      <c r="B98" s="259">
        <f>NPV(0.11,B91:B96) +B90</f>
        <v>860091.82018945552</v>
      </c>
      <c r="C98" s="259">
        <f t="shared" ref="C98:F98" si="10">NPV(0.11,C91:C96) +C90</f>
        <v>79141.000502923504</v>
      </c>
      <c r="D98" s="259">
        <f t="shared" si="10"/>
        <v>94146.048315893393</v>
      </c>
      <c r="E98" s="259">
        <f t="shared" si="10"/>
        <v>16438.402845450095</v>
      </c>
      <c r="F98" s="259">
        <f t="shared" si="10"/>
        <v>539457.3525708043</v>
      </c>
    </row>
    <row r="99" spans="1:10" x14ac:dyDescent="0.25">
      <c r="A99" t="s">
        <v>19</v>
      </c>
      <c r="B99" s="82">
        <f>IRR(B90:B96)</f>
        <v>0.25118579290214593</v>
      </c>
      <c r="C99" s="82">
        <f t="shared" ref="C99:F99" si="11">IRR(C90:C96)</f>
        <v>0.12734374915252133</v>
      </c>
      <c r="D99" s="82">
        <f t="shared" si="11"/>
        <v>0.13497176034074321</v>
      </c>
      <c r="E99" s="82">
        <f t="shared" si="11"/>
        <v>0.1166845939040384</v>
      </c>
      <c r="F99" s="82">
        <f t="shared" si="11"/>
        <v>0.2244326123180469</v>
      </c>
    </row>
    <row r="101" spans="1:10" x14ac:dyDescent="0.25">
      <c r="A101" t="s">
        <v>697</v>
      </c>
    </row>
    <row r="102" spans="1:10" x14ac:dyDescent="0.25">
      <c r="B102" s="72">
        <f>3 + ABS( H93/G94)</f>
        <v>3.0649965384000013</v>
      </c>
    </row>
    <row r="104" spans="1:10" x14ac:dyDescent="0.25">
      <c r="B104" s="301"/>
      <c r="C104" s="301"/>
      <c r="D104" s="301"/>
      <c r="E104" s="301"/>
      <c r="F104" s="300"/>
      <c r="G104" s="300"/>
      <c r="H104" s="300"/>
      <c r="I104" s="300"/>
    </row>
    <row r="105" spans="1:10" x14ac:dyDescent="0.25">
      <c r="B105" s="259" t="s">
        <v>532</v>
      </c>
    </row>
    <row r="106" spans="1:10" x14ac:dyDescent="0.25">
      <c r="C106" s="259" t="s">
        <v>456</v>
      </c>
      <c r="D106" s="259" t="s">
        <v>457</v>
      </c>
      <c r="F106" t="s">
        <v>240</v>
      </c>
      <c r="G106" s="259" t="s">
        <v>522</v>
      </c>
      <c r="H106" s="259" t="s">
        <v>47</v>
      </c>
      <c r="I106" s="259" t="s">
        <v>658</v>
      </c>
      <c r="J106" s="259" t="s">
        <v>312</v>
      </c>
    </row>
    <row r="107" spans="1:10" x14ac:dyDescent="0.25">
      <c r="B107" s="259" t="s">
        <v>547</v>
      </c>
      <c r="C107" s="259">
        <v>1250000</v>
      </c>
      <c r="D107" s="259">
        <v>1548000</v>
      </c>
      <c r="F107">
        <v>0</v>
      </c>
      <c r="G107" s="259">
        <f>I107-D107</f>
        <v>-598000</v>
      </c>
      <c r="H107" s="259">
        <f>G107/(1+J$107)^F107</f>
        <v>-598000</v>
      </c>
      <c r="I107" s="259">
        <v>950000</v>
      </c>
      <c r="J107" s="71">
        <v>0.12</v>
      </c>
    </row>
    <row r="108" spans="1:10" x14ac:dyDescent="0.25">
      <c r="B108" s="259" t="s">
        <v>523</v>
      </c>
      <c r="C108" s="259">
        <v>0</v>
      </c>
      <c r="D108" s="259">
        <v>35000</v>
      </c>
      <c r="F108">
        <v>1</v>
      </c>
      <c r="G108" s="259">
        <f>D$119-C$119+I108</f>
        <v>103853.33333333337</v>
      </c>
      <c r="H108" s="259">
        <f>G108/(1+J$107)^F108</f>
        <v>92726.190476190503</v>
      </c>
    </row>
    <row r="109" spans="1:10" x14ac:dyDescent="0.25">
      <c r="B109" s="259" t="s">
        <v>10</v>
      </c>
      <c r="C109" s="259">
        <v>10</v>
      </c>
      <c r="D109" s="259">
        <v>9</v>
      </c>
      <c r="F109">
        <v>2</v>
      </c>
      <c r="G109" s="259">
        <f t="shared" ref="G109:G116" si="12">D$119-C$119+I109</f>
        <v>103853.33333333337</v>
      </c>
      <c r="H109" s="259">
        <f t="shared" ref="H109:H116" si="13">G109/(1+J$107)^F109</f>
        <v>82791.241496598654</v>
      </c>
    </row>
    <row r="110" spans="1:10" x14ac:dyDescent="0.25">
      <c r="B110" s="259" t="s">
        <v>629</v>
      </c>
      <c r="C110" s="259">
        <f>(C107-C108)/C109</f>
        <v>125000</v>
      </c>
      <c r="D110" s="259">
        <f>(D107-D108)/D109</f>
        <v>168111.11111111112</v>
      </c>
      <c r="F110">
        <v>3</v>
      </c>
      <c r="G110" s="259">
        <f t="shared" si="12"/>
        <v>103853.33333333337</v>
      </c>
      <c r="H110" s="259">
        <f t="shared" si="13"/>
        <v>73920.751336248795</v>
      </c>
    </row>
    <row r="111" spans="1:10" x14ac:dyDescent="0.25">
      <c r="F111">
        <v>4</v>
      </c>
      <c r="G111" s="259">
        <f t="shared" si="12"/>
        <v>103853.33333333337</v>
      </c>
      <c r="H111" s="259">
        <f t="shared" si="13"/>
        <v>66000.670835936427</v>
      </c>
    </row>
    <row r="112" spans="1:10" x14ac:dyDescent="0.25">
      <c r="B112" s="259" t="s">
        <v>202</v>
      </c>
      <c r="C112" s="259">
        <v>365000</v>
      </c>
      <c r="D112" s="259">
        <v>485000</v>
      </c>
      <c r="F112">
        <v>5</v>
      </c>
      <c r="G112" s="259">
        <f t="shared" si="12"/>
        <v>103853.33333333337</v>
      </c>
      <c r="H112" s="259">
        <f t="shared" si="13"/>
        <v>58929.170389228944</v>
      </c>
    </row>
    <row r="113" spans="1:9" x14ac:dyDescent="0.25">
      <c r="B113" s="259" t="s">
        <v>629</v>
      </c>
      <c r="C113" s="259">
        <f>C110</f>
        <v>125000</v>
      </c>
      <c r="D113" s="259">
        <f>D110</f>
        <v>168111.11111111112</v>
      </c>
      <c r="F113">
        <v>6</v>
      </c>
      <c r="G113" s="259">
        <f t="shared" si="12"/>
        <v>103853.33333333337</v>
      </c>
      <c r="H113" s="259">
        <f t="shared" si="13"/>
        <v>52615.330704668697</v>
      </c>
    </row>
    <row r="114" spans="1:9" x14ac:dyDescent="0.25">
      <c r="B114" s="259" t="s">
        <v>660</v>
      </c>
      <c r="C114" s="259">
        <f>C112-C113</f>
        <v>240000</v>
      </c>
      <c r="D114" s="259">
        <f>D112-D113</f>
        <v>316888.88888888888</v>
      </c>
      <c r="F114">
        <v>7</v>
      </c>
      <c r="G114" s="259">
        <f t="shared" si="12"/>
        <v>103853.33333333337</v>
      </c>
      <c r="H114" s="259">
        <f t="shared" si="13"/>
        <v>46977.973843454194</v>
      </c>
    </row>
    <row r="115" spans="1:9" x14ac:dyDescent="0.25">
      <c r="B115" s="259" t="s">
        <v>548</v>
      </c>
      <c r="C115" s="157">
        <v>0.21</v>
      </c>
      <c r="D115" s="157">
        <v>0.21</v>
      </c>
      <c r="F115">
        <v>8</v>
      </c>
      <c r="G115" s="259">
        <f t="shared" si="12"/>
        <v>103853.33333333337</v>
      </c>
      <c r="H115" s="259">
        <f t="shared" si="13"/>
        <v>41944.619503084097</v>
      </c>
    </row>
    <row r="116" spans="1:9" x14ac:dyDescent="0.25">
      <c r="B116" s="259" t="s">
        <v>549</v>
      </c>
      <c r="C116" s="259">
        <f>-C114*C115</f>
        <v>-50400</v>
      </c>
      <c r="D116" s="259">
        <f>-D114*D115</f>
        <v>-66546.666666666657</v>
      </c>
      <c r="F116">
        <v>9</v>
      </c>
      <c r="G116" s="259">
        <f t="shared" si="12"/>
        <v>138853.33333333337</v>
      </c>
      <c r="H116" s="259">
        <f t="shared" si="13"/>
        <v>50071.904002108939</v>
      </c>
      <c r="I116" s="259">
        <f>D108</f>
        <v>35000</v>
      </c>
    </row>
    <row r="117" spans="1:9" x14ac:dyDescent="0.25">
      <c r="B117" s="259" t="s">
        <v>629</v>
      </c>
      <c r="C117" s="259">
        <f>C110</f>
        <v>125000</v>
      </c>
      <c r="D117" s="259">
        <f>D110</f>
        <v>168111.11111111112</v>
      </c>
    </row>
    <row r="119" spans="1:9" x14ac:dyDescent="0.25">
      <c r="B119" s="259" t="s">
        <v>573</v>
      </c>
      <c r="C119" s="259">
        <f>C114+C116+C117</f>
        <v>314600</v>
      </c>
      <c r="D119" s="259">
        <f>D114+D116+D117</f>
        <v>418453.33333333337</v>
      </c>
      <c r="F119" t="s">
        <v>525</v>
      </c>
      <c r="G119" s="259">
        <f>NPV(J107,G108:G116) + G107</f>
        <v>-32022.147412480786</v>
      </c>
      <c r="H119" s="259">
        <f>SUM(H107:H116)</f>
        <v>-32022.147412480779</v>
      </c>
    </row>
    <row r="122" spans="1:9" x14ac:dyDescent="0.25">
      <c r="A122" s="301"/>
      <c r="B122" s="301"/>
      <c r="C122" s="301"/>
      <c r="D122" s="301"/>
      <c r="E122" s="300"/>
      <c r="F122" s="300"/>
      <c r="G122" s="300"/>
      <c r="H122" s="300"/>
    </row>
    <row r="123" spans="1:9" x14ac:dyDescent="0.25">
      <c r="A123" s="259" t="s">
        <v>698</v>
      </c>
      <c r="E123"/>
    </row>
    <row r="124" spans="1:9" x14ac:dyDescent="0.25">
      <c r="A124" s="259"/>
      <c r="B124" s="259" t="s">
        <v>699</v>
      </c>
      <c r="C124" s="259" t="s">
        <v>700</v>
      </c>
      <c r="E124" t="s">
        <v>240</v>
      </c>
      <c r="F124" s="259" t="s">
        <v>522</v>
      </c>
      <c r="G124" s="259" t="s">
        <v>47</v>
      </c>
      <c r="H124" s="259" t="s">
        <v>658</v>
      </c>
      <c r="I124" s="259" t="s">
        <v>312</v>
      </c>
    </row>
    <row r="125" spans="1:9" x14ac:dyDescent="0.25">
      <c r="A125" s="259" t="s">
        <v>547</v>
      </c>
      <c r="B125" s="259">
        <v>1200000</v>
      </c>
      <c r="C125" s="259">
        <v>2200000</v>
      </c>
      <c r="E125">
        <v>0</v>
      </c>
      <c r="F125" s="259">
        <f>H125-C125</f>
        <v>-1900000</v>
      </c>
      <c r="G125" s="259">
        <f>F125/(1+I$125)^E125</f>
        <v>-1900000</v>
      </c>
      <c r="H125" s="259">
        <v>300000</v>
      </c>
      <c r="I125" s="71">
        <v>0.12</v>
      </c>
    </row>
    <row r="126" spans="1:9" x14ac:dyDescent="0.25">
      <c r="A126" s="259" t="s">
        <v>523</v>
      </c>
      <c r="B126" s="259">
        <v>30000</v>
      </c>
      <c r="C126" s="259">
        <v>37000</v>
      </c>
      <c r="E126">
        <v>1</v>
      </c>
      <c r="F126" s="259">
        <f>C$137-B$137+H126</f>
        <v>476040</v>
      </c>
      <c r="G126" s="259">
        <f>F126/(1+I$125)^E126</f>
        <v>425035.71428571426</v>
      </c>
    </row>
    <row r="127" spans="1:9" x14ac:dyDescent="0.25">
      <c r="A127" s="259" t="s">
        <v>10</v>
      </c>
      <c r="B127" s="259">
        <v>9</v>
      </c>
      <c r="C127" s="259">
        <v>7</v>
      </c>
      <c r="E127">
        <v>2</v>
      </c>
      <c r="F127" s="259">
        <f>C$137-B$137+H127</f>
        <v>476040</v>
      </c>
      <c r="G127" s="259">
        <f>F127/(1+I$125)^E127</f>
        <v>379496.17346938769</v>
      </c>
    </row>
    <row r="128" spans="1:9" x14ac:dyDescent="0.25">
      <c r="A128" s="259" t="s">
        <v>629</v>
      </c>
      <c r="B128" s="259">
        <f>(B125-B126)/B127</f>
        <v>130000</v>
      </c>
      <c r="C128" s="259">
        <f>(C125-C126)/C127</f>
        <v>309000</v>
      </c>
      <c r="E128">
        <v>3</v>
      </c>
      <c r="F128" s="259">
        <f t="shared" ref="F127:F134" si="14">C$137-B$137+H128</f>
        <v>476040</v>
      </c>
      <c r="G128" s="259">
        <f t="shared" ref="G126:G134" si="15">F128/(1+I$125)^E128</f>
        <v>338835.86916909611</v>
      </c>
    </row>
    <row r="129" spans="1:8" x14ac:dyDescent="0.25">
      <c r="A129" s="259"/>
      <c r="E129">
        <v>4</v>
      </c>
      <c r="F129" s="259">
        <f t="shared" si="14"/>
        <v>476040</v>
      </c>
      <c r="G129" s="259">
        <f t="shared" si="15"/>
        <v>302532.02604383585</v>
      </c>
    </row>
    <row r="130" spans="1:8" x14ac:dyDescent="0.25">
      <c r="A130" s="259" t="s">
        <v>202</v>
      </c>
      <c r="B130" s="259">
        <v>395000</v>
      </c>
      <c r="C130" s="259">
        <v>950000</v>
      </c>
      <c r="E130">
        <v>5</v>
      </c>
      <c r="F130" s="259">
        <f t="shared" si="14"/>
        <v>476040</v>
      </c>
      <c r="G130" s="259">
        <f t="shared" si="15"/>
        <v>270117.88039628195</v>
      </c>
    </row>
    <row r="131" spans="1:8" x14ac:dyDescent="0.25">
      <c r="A131" s="259" t="s">
        <v>629</v>
      </c>
      <c r="B131" s="259">
        <f>B128</f>
        <v>130000</v>
      </c>
      <c r="C131" s="259">
        <f>C128</f>
        <v>309000</v>
      </c>
      <c r="E131">
        <v>6</v>
      </c>
      <c r="F131" s="259">
        <f t="shared" si="14"/>
        <v>476040</v>
      </c>
      <c r="G131" s="259">
        <f>F131/(1+I$125)^E131</f>
        <v>241176.67892525173</v>
      </c>
    </row>
    <row r="132" spans="1:8" x14ac:dyDescent="0.25">
      <c r="A132" s="259" t="s">
        <v>660</v>
      </c>
      <c r="B132" s="259">
        <f>B130-B131</f>
        <v>265000</v>
      </c>
      <c r="C132" s="259">
        <f>C130-C131</f>
        <v>641000</v>
      </c>
      <c r="E132">
        <v>7</v>
      </c>
      <c r="F132" s="259">
        <f t="shared" si="14"/>
        <v>513040</v>
      </c>
      <c r="G132" s="259">
        <f t="shared" si="15"/>
        <v>232073.24143643983</v>
      </c>
      <c r="H132" s="259">
        <f>C126</f>
        <v>37000</v>
      </c>
    </row>
    <row r="133" spans="1:8" x14ac:dyDescent="0.25">
      <c r="A133" s="259" t="s">
        <v>548</v>
      </c>
      <c r="B133" s="157">
        <v>0.21</v>
      </c>
      <c r="C133" s="157">
        <v>0.21</v>
      </c>
      <c r="E133"/>
      <c r="F133" s="259"/>
      <c r="G133" s="259"/>
    </row>
    <row r="134" spans="1:8" x14ac:dyDescent="0.25">
      <c r="A134" s="259" t="s">
        <v>549</v>
      </c>
      <c r="B134" s="259">
        <f>-B132*B133</f>
        <v>-55650</v>
      </c>
      <c r="C134" s="259">
        <f>-C132*C133</f>
        <v>-134610</v>
      </c>
      <c r="E134"/>
      <c r="F134" s="259"/>
      <c r="G134" s="259"/>
      <c r="H134" s="259"/>
    </row>
    <row r="135" spans="1:8" x14ac:dyDescent="0.25">
      <c r="A135" s="259" t="s">
        <v>629</v>
      </c>
      <c r="B135" s="259">
        <f>B128</f>
        <v>130000</v>
      </c>
      <c r="C135" s="259">
        <f>C128</f>
        <v>309000</v>
      </c>
      <c r="E135"/>
    </row>
    <row r="136" spans="1:8" x14ac:dyDescent="0.25">
      <c r="A136" s="259"/>
      <c r="E136"/>
    </row>
    <row r="137" spans="1:8" x14ac:dyDescent="0.25">
      <c r="A137" s="259" t="s">
        <v>573</v>
      </c>
      <c r="B137" s="259">
        <f>B132+B134+B135</f>
        <v>339350</v>
      </c>
      <c r="C137" s="259">
        <f>C132+C134+C135</f>
        <v>815390</v>
      </c>
      <c r="E137" t="s">
        <v>525</v>
      </c>
      <c r="F137" s="259">
        <f>NPV(I125,F126:F134) + F125</f>
        <v>289267.58372600749</v>
      </c>
      <c r="G137" s="259">
        <f>SUM(G125:G134)</f>
        <v>289267.58372600749</v>
      </c>
    </row>
    <row r="138" spans="1:8" x14ac:dyDescent="0.25">
      <c r="A138" s="259"/>
      <c r="E13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A0F5B-130C-4993-A884-E789F59E158A}">
  <dimension ref="A1:I18"/>
  <sheetViews>
    <sheetView workbookViewId="0">
      <selection activeCell="F22" sqref="F22"/>
    </sheetView>
  </sheetViews>
  <sheetFormatPr defaultRowHeight="15" x14ac:dyDescent="0.25"/>
  <cols>
    <col min="3" max="3" width="13.7109375" bestFit="1" customWidth="1"/>
  </cols>
  <sheetData>
    <row r="1" spans="1:9" x14ac:dyDescent="0.25">
      <c r="A1" t="s">
        <v>485</v>
      </c>
    </row>
    <row r="2" spans="1:9" x14ac:dyDescent="0.25">
      <c r="C2" t="s">
        <v>240</v>
      </c>
      <c r="D2" t="s">
        <v>565</v>
      </c>
      <c r="E2" t="s">
        <v>703</v>
      </c>
      <c r="F2" t="s">
        <v>701</v>
      </c>
      <c r="G2" t="s">
        <v>687</v>
      </c>
    </row>
    <row r="3" spans="1:9" x14ac:dyDescent="0.25">
      <c r="B3">
        <v>2019</v>
      </c>
      <c r="C3">
        <v>0</v>
      </c>
      <c r="D3" s="313">
        <v>6150</v>
      </c>
      <c r="E3" s="313">
        <f>D3/(1+G3)^C3</f>
        <v>6150</v>
      </c>
      <c r="F3" s="208"/>
      <c r="G3" s="208">
        <v>5.2499999999999998E-2</v>
      </c>
    </row>
    <row r="4" spans="1:9" x14ac:dyDescent="0.25">
      <c r="B4">
        <v>2020</v>
      </c>
      <c r="C4">
        <v>1</v>
      </c>
      <c r="D4" s="309">
        <f>D3*(1+F4)</f>
        <v>6396</v>
      </c>
      <c r="E4" s="309">
        <f>D4/(1+G4)^C4</f>
        <v>6076.959619952494</v>
      </c>
      <c r="F4" s="208">
        <v>0.04</v>
      </c>
      <c r="G4" s="208">
        <v>5.2499999999999998E-2</v>
      </c>
    </row>
    <row r="5" spans="1:9" x14ac:dyDescent="0.25">
      <c r="B5">
        <v>2021</v>
      </c>
      <c r="C5">
        <v>2</v>
      </c>
      <c r="D5" s="309">
        <f t="shared" ref="D5:D12" si="0">D4*(1+F5)</f>
        <v>6651.84</v>
      </c>
      <c r="E5" s="309">
        <f t="shared" ref="E5:E8" si="1">D5/(1+G5)^C5</f>
        <v>6004.7867028509208</v>
      </c>
      <c r="F5" s="208">
        <v>0.04</v>
      </c>
      <c r="G5" s="208">
        <v>5.2499999999999998E-2</v>
      </c>
    </row>
    <row r="6" spans="1:9" x14ac:dyDescent="0.25">
      <c r="B6">
        <v>2022</v>
      </c>
      <c r="C6">
        <v>3</v>
      </c>
      <c r="D6" s="309">
        <f t="shared" si="0"/>
        <v>6917.9136000000008</v>
      </c>
      <c r="E6" s="309">
        <f t="shared" si="1"/>
        <v>5933.470946284996</v>
      </c>
      <c r="F6" s="208">
        <v>0.04</v>
      </c>
      <c r="G6" s="208">
        <v>5.2499999999999998E-2</v>
      </c>
    </row>
    <row r="7" spans="1:9" x14ac:dyDescent="0.25">
      <c r="B7">
        <v>2023</v>
      </c>
      <c r="C7">
        <v>4</v>
      </c>
      <c r="D7" s="309">
        <f t="shared" si="0"/>
        <v>7194.6301440000007</v>
      </c>
      <c r="E7" s="309">
        <f t="shared" si="1"/>
        <v>5863.0021702008507</v>
      </c>
      <c r="F7" s="208">
        <v>0.04</v>
      </c>
      <c r="G7" s="208">
        <v>5.2499999999999998E-2</v>
      </c>
    </row>
    <row r="8" spans="1:9" x14ac:dyDescent="0.25">
      <c r="B8">
        <v>2024</v>
      </c>
      <c r="C8">
        <v>5</v>
      </c>
      <c r="D8" s="309">
        <f t="shared" si="0"/>
        <v>7482.4153497600009</v>
      </c>
      <c r="E8" s="309">
        <f t="shared" si="1"/>
        <v>5793.3703154478726</v>
      </c>
      <c r="F8" s="208">
        <v>0.04</v>
      </c>
      <c r="G8" s="208">
        <v>5.2499999999999998E-2</v>
      </c>
    </row>
    <row r="9" spans="1:9" x14ac:dyDescent="0.25">
      <c r="B9" s="108">
        <v>2025</v>
      </c>
      <c r="C9" s="108">
        <v>6</v>
      </c>
      <c r="D9" s="309">
        <f>D8*(1+F9)</f>
        <v>7669.4757335040003</v>
      </c>
      <c r="E9" s="310">
        <f>D9/((1+G9)^H9*(1+$G$8)^I9)</f>
        <v>5591.5297300697439</v>
      </c>
      <c r="F9" s="311">
        <v>2.5000000000000001E-2</v>
      </c>
      <c r="G9" s="312">
        <v>6.2E-2</v>
      </c>
      <c r="H9">
        <v>1</v>
      </c>
      <c r="I9">
        <v>5</v>
      </c>
    </row>
    <row r="10" spans="1:9" x14ac:dyDescent="0.25">
      <c r="B10">
        <v>2026</v>
      </c>
      <c r="C10">
        <v>7</v>
      </c>
      <c r="D10" s="309">
        <f t="shared" si="0"/>
        <v>7861.2126268415996</v>
      </c>
      <c r="E10" s="310">
        <f t="shared" ref="E10:E11" si="2">D10/((1+G10)^H10*(1+$G$8)^I10)</f>
        <v>5396.721255481626</v>
      </c>
      <c r="F10" s="82">
        <v>2.5000000000000001E-2</v>
      </c>
      <c r="G10" s="208">
        <v>6.2E-2</v>
      </c>
      <c r="H10">
        <v>2</v>
      </c>
      <c r="I10">
        <v>5</v>
      </c>
    </row>
    <row r="11" spans="1:9" x14ac:dyDescent="0.25">
      <c r="B11">
        <v>2027</v>
      </c>
      <c r="C11">
        <v>8</v>
      </c>
      <c r="D11" s="309">
        <f t="shared" si="0"/>
        <v>8057.7429425126393</v>
      </c>
      <c r="E11" s="310">
        <f>D11/((1+G11)^H11*(1+$G$8)^I11)</f>
        <v>5208.699893473321</v>
      </c>
      <c r="F11" s="82">
        <v>2.5000000000000001E-2</v>
      </c>
      <c r="G11" s="208">
        <v>6.2E-2</v>
      </c>
      <c r="H11">
        <v>3</v>
      </c>
      <c r="I11">
        <v>5</v>
      </c>
    </row>
    <row r="12" spans="1:9" x14ac:dyDescent="0.25">
      <c r="B12" t="s">
        <v>702</v>
      </c>
      <c r="C12">
        <v>9</v>
      </c>
      <c r="D12" s="313">
        <f>D11*(1+F12)</f>
        <v>8178.6090866503282</v>
      </c>
      <c r="E12" s="309"/>
      <c r="F12" s="82">
        <v>1.4999999999999999E-2</v>
      </c>
      <c r="G12" s="82">
        <v>4.7500000000000001E-2</v>
      </c>
    </row>
    <row r="14" spans="1:9" x14ac:dyDescent="0.25">
      <c r="B14" t="s">
        <v>704</v>
      </c>
      <c r="C14" s="259">
        <f>D11/(G12-F11)</f>
        <v>358121.90855611733</v>
      </c>
    </row>
    <row r="16" spans="1:9" x14ac:dyDescent="0.25">
      <c r="B16" t="s">
        <v>705</v>
      </c>
      <c r="C16" s="259">
        <f>C14/((1+G11)^5*(1+G8)^3)</f>
        <v>227374.62357360712</v>
      </c>
    </row>
    <row r="18" spans="2:3" x14ac:dyDescent="0.25">
      <c r="B18" t="s">
        <v>331</v>
      </c>
      <c r="C18" s="309">
        <f>SUM(E4:E11) +C16</f>
        <v>273243.16420736897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91F6-CC4F-4FCA-ACDA-347088106C56}">
  <dimension ref="A1:K39"/>
  <sheetViews>
    <sheetView topLeftCell="A6" workbookViewId="0">
      <selection activeCell="C38" sqref="C38"/>
    </sheetView>
  </sheetViews>
  <sheetFormatPr defaultRowHeight="15" x14ac:dyDescent="0.25"/>
  <cols>
    <col min="2" max="2" width="25.5703125" customWidth="1"/>
    <col min="3" max="3" width="18.28515625" bestFit="1" customWidth="1"/>
    <col min="4" max="4" width="20.140625" bestFit="1" customWidth="1"/>
    <col min="10" max="10" width="17.7109375" customWidth="1"/>
  </cols>
  <sheetData>
    <row r="1" spans="1:10" ht="21" x14ac:dyDescent="0.35">
      <c r="A1" s="209" t="s">
        <v>397</v>
      </c>
    </row>
    <row r="3" spans="1:10" ht="18.75" x14ac:dyDescent="0.3">
      <c r="A3" s="210" t="s">
        <v>398</v>
      </c>
    </row>
    <row r="5" spans="1:10" ht="18.75" x14ac:dyDescent="0.25">
      <c r="A5" s="211" t="s">
        <v>399</v>
      </c>
    </row>
    <row r="6" spans="1:10" ht="18.75" x14ac:dyDescent="0.25">
      <c r="A6" s="211"/>
    </row>
    <row r="7" spans="1:10" ht="18.75" x14ac:dyDescent="0.25">
      <c r="A7" s="211" t="s">
        <v>403</v>
      </c>
    </row>
    <row r="9" spans="1:10" ht="18.75" x14ac:dyDescent="0.25">
      <c r="A9" s="211" t="s">
        <v>405</v>
      </c>
    </row>
    <row r="11" spans="1:10" ht="18.75" x14ac:dyDescent="0.25">
      <c r="A11" s="211" t="s">
        <v>407</v>
      </c>
    </row>
    <row r="13" spans="1:10" ht="20.25" x14ac:dyDescent="0.25">
      <c r="A13" s="214" t="s">
        <v>412</v>
      </c>
    </row>
    <row r="16" spans="1:10" ht="15.75" x14ac:dyDescent="0.25">
      <c r="B16" t="s">
        <v>378</v>
      </c>
      <c r="C16" t="s">
        <v>379</v>
      </c>
      <c r="D16" t="s">
        <v>380</v>
      </c>
      <c r="J16" s="99" t="s">
        <v>413</v>
      </c>
    </row>
    <row r="17" spans="2:11" x14ac:dyDescent="0.25">
      <c r="B17" t="s">
        <v>381</v>
      </c>
      <c r="C17" s="70">
        <v>198.36</v>
      </c>
      <c r="D17" s="70">
        <v>315.10000000000002</v>
      </c>
      <c r="K17" t="s">
        <v>414</v>
      </c>
    </row>
    <row r="18" spans="2:11" x14ac:dyDescent="0.25">
      <c r="B18" t="s">
        <v>202</v>
      </c>
      <c r="C18" t="s">
        <v>382</v>
      </c>
      <c r="D18" t="s">
        <v>383</v>
      </c>
    </row>
    <row r="19" spans="2:11" ht="15.75" x14ac:dyDescent="0.25">
      <c r="B19" t="s">
        <v>101</v>
      </c>
      <c r="C19">
        <v>1.3</v>
      </c>
      <c r="D19">
        <v>1.39</v>
      </c>
      <c r="J19" s="97" t="s">
        <v>415</v>
      </c>
    </row>
    <row r="20" spans="2:11" ht="15.75" x14ac:dyDescent="0.25">
      <c r="B20" t="s">
        <v>418</v>
      </c>
      <c r="C20" s="70">
        <v>476.06</v>
      </c>
      <c r="D20" s="70">
        <v>137.77000000000001</v>
      </c>
      <c r="J20" s="97" t="s">
        <v>416</v>
      </c>
    </row>
    <row r="21" spans="2:11" ht="15.75" x14ac:dyDescent="0.25">
      <c r="B21" t="s">
        <v>384</v>
      </c>
      <c r="C21" s="208">
        <v>0.14349999999999999</v>
      </c>
      <c r="D21" s="208">
        <v>4.41E-2</v>
      </c>
      <c r="J21" s="97" t="s">
        <v>419</v>
      </c>
    </row>
    <row r="22" spans="2:11" ht="15.75" x14ac:dyDescent="0.25">
      <c r="B22" t="s">
        <v>385</v>
      </c>
      <c r="C22" t="s">
        <v>386</v>
      </c>
      <c r="D22" t="s">
        <v>387</v>
      </c>
      <c r="J22" s="97" t="s">
        <v>417</v>
      </c>
    </row>
    <row r="23" spans="2:11" ht="15.75" x14ac:dyDescent="0.25">
      <c r="B23" t="s">
        <v>388</v>
      </c>
      <c r="C23">
        <v>8.33</v>
      </c>
      <c r="D23">
        <v>206.27</v>
      </c>
      <c r="J23" s="97" t="s">
        <v>421</v>
      </c>
    </row>
    <row r="24" spans="2:11" ht="15.75" x14ac:dyDescent="0.25">
      <c r="B24" t="s">
        <v>389</v>
      </c>
      <c r="C24" s="70">
        <v>6.74</v>
      </c>
      <c r="D24" s="70">
        <v>2.54</v>
      </c>
      <c r="J24" s="97"/>
    </row>
    <row r="25" spans="2:11" ht="15.75" x14ac:dyDescent="0.25">
      <c r="B25" s="3" t="s">
        <v>401</v>
      </c>
      <c r="C25" s="213">
        <v>2.4</v>
      </c>
      <c r="D25" s="213">
        <v>0.43722</v>
      </c>
      <c r="J25" s="99" t="s">
        <v>423</v>
      </c>
      <c r="K25" t="s">
        <v>422</v>
      </c>
    </row>
    <row r="26" spans="2:11" x14ac:dyDescent="0.25">
      <c r="B26" t="s">
        <v>295</v>
      </c>
      <c r="C26" t="s">
        <v>390</v>
      </c>
      <c r="D26" t="s">
        <v>391</v>
      </c>
    </row>
    <row r="27" spans="2:11" x14ac:dyDescent="0.25">
      <c r="B27" s="3" t="s">
        <v>392</v>
      </c>
      <c r="C27" s="154">
        <v>30.29</v>
      </c>
      <c r="D27" s="154">
        <v>13.95</v>
      </c>
    </row>
    <row r="28" spans="2:11" x14ac:dyDescent="0.25">
      <c r="B28" t="s">
        <v>393</v>
      </c>
      <c r="C28">
        <v>5.38</v>
      </c>
      <c r="D28">
        <v>0.85</v>
      </c>
    </row>
    <row r="29" spans="2:11" x14ac:dyDescent="0.25">
      <c r="B29" t="s">
        <v>409</v>
      </c>
      <c r="C29" s="70">
        <v>7.21</v>
      </c>
      <c r="D29" s="70">
        <v>12.59</v>
      </c>
    </row>
    <row r="30" spans="2:11" x14ac:dyDescent="0.25">
      <c r="B30" t="s">
        <v>394</v>
      </c>
      <c r="C30" t="s">
        <v>395</v>
      </c>
      <c r="D30" t="s">
        <v>396</v>
      </c>
    </row>
    <row r="31" spans="2:11" x14ac:dyDescent="0.25">
      <c r="B31" t="s">
        <v>410</v>
      </c>
      <c r="C31" s="82">
        <v>1.11E-2</v>
      </c>
      <c r="D31" s="82">
        <v>3.2300000000000002E-2</v>
      </c>
    </row>
    <row r="32" spans="2:11" x14ac:dyDescent="0.25">
      <c r="B32" s="215" t="s">
        <v>268</v>
      </c>
      <c r="C32" s="216">
        <f>C33+C31</f>
        <v>3.0699999999999998E-2</v>
      </c>
      <c r="D32" s="216">
        <f>D33+D31</f>
        <v>5.1900000000000002E-2</v>
      </c>
    </row>
    <row r="33" spans="2:4" x14ac:dyDescent="0.25">
      <c r="B33" t="s">
        <v>404</v>
      </c>
      <c r="C33" s="208">
        <v>1.9599999999999999E-2</v>
      </c>
      <c r="D33" s="208">
        <v>1.9599999999999999E-2</v>
      </c>
    </row>
    <row r="34" spans="2:4" x14ac:dyDescent="0.25">
      <c r="B34" t="s">
        <v>406</v>
      </c>
      <c r="C34" s="208">
        <v>6.25E-2</v>
      </c>
      <c r="D34" s="208">
        <v>6.25E-2</v>
      </c>
    </row>
    <row r="35" spans="2:4" x14ac:dyDescent="0.25">
      <c r="B35" t="s">
        <v>267</v>
      </c>
      <c r="C35" s="208">
        <v>0.21</v>
      </c>
      <c r="D35" s="208">
        <v>0.21</v>
      </c>
    </row>
    <row r="36" spans="2:4" x14ac:dyDescent="0.25">
      <c r="B36" t="s">
        <v>420</v>
      </c>
      <c r="C36" s="70">
        <f>C29+C20</f>
        <v>483.27</v>
      </c>
      <c r="D36" s="70">
        <f>D29+D20</f>
        <v>150.36000000000001</v>
      </c>
    </row>
    <row r="37" spans="2:4" x14ac:dyDescent="0.25">
      <c r="B37" s="212" t="s">
        <v>400</v>
      </c>
      <c r="C37" s="217">
        <f>(C17-C27)*C25</f>
        <v>403.36800000000005</v>
      </c>
      <c r="D37" s="217">
        <f>(D17-D27)*D25</f>
        <v>131.66880300000003</v>
      </c>
    </row>
    <row r="38" spans="2:4" x14ac:dyDescent="0.25">
      <c r="B38" s="212" t="s">
        <v>402</v>
      </c>
      <c r="C38" s="119">
        <f xml:space="preserve"> C33 +C34*C19</f>
        <v>0.10085</v>
      </c>
      <c r="D38" s="119">
        <f xml:space="preserve"> D33 +D34*D19</f>
        <v>0.10647499999999999</v>
      </c>
    </row>
    <row r="39" spans="2:4" x14ac:dyDescent="0.25">
      <c r="B39" s="212" t="s">
        <v>408</v>
      </c>
      <c r="C39" s="119">
        <f>C32*(1-C35)*C29/C36 + C38*C20/C36</f>
        <v>9.9707234320359217E-2</v>
      </c>
      <c r="D39" s="119">
        <f>D32*(1-D35)*D29/D36 + D38*D20/D36</f>
        <v>0.1009927064378824</v>
      </c>
    </row>
  </sheetData>
  <pageMargins left="0.7" right="0.7" top="0.75" bottom="0.75" header="0.3" footer="0.3"/>
  <pageSetup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928C7-6EC2-407C-B2ED-08E9FA5558AD}">
  <dimension ref="A1:J45"/>
  <sheetViews>
    <sheetView topLeftCell="B18" workbookViewId="0">
      <selection activeCell="D29" sqref="D29"/>
    </sheetView>
  </sheetViews>
  <sheetFormatPr defaultRowHeight="15" x14ac:dyDescent="0.25"/>
  <cols>
    <col min="2" max="2" width="20.85546875" style="8" customWidth="1"/>
    <col min="3" max="3" width="19.28515625" style="25" customWidth="1"/>
    <col min="4" max="4" width="17.7109375" style="25" customWidth="1"/>
    <col min="6" max="6" width="12.42578125" bestFit="1" customWidth="1"/>
    <col min="10" max="10" width="12.28515625" style="73" bestFit="1" customWidth="1"/>
  </cols>
  <sheetData>
    <row r="1" spans="1:10" ht="18.75" x14ac:dyDescent="0.3">
      <c r="A1" s="19" t="s">
        <v>55</v>
      </c>
    </row>
    <row r="2" spans="1:10" ht="18.75" x14ac:dyDescent="0.3">
      <c r="A2" s="19"/>
    </row>
    <row r="3" spans="1:10" x14ac:dyDescent="0.25">
      <c r="B3" s="21"/>
      <c r="C3" s="26" t="s">
        <v>59</v>
      </c>
      <c r="D3" s="32" t="s">
        <v>60</v>
      </c>
      <c r="I3" t="s">
        <v>154</v>
      </c>
      <c r="J3" s="73">
        <v>-10000</v>
      </c>
    </row>
    <row r="4" spans="1:10" x14ac:dyDescent="0.25">
      <c r="B4" s="22" t="s">
        <v>56</v>
      </c>
      <c r="C4" s="29">
        <v>2000</v>
      </c>
      <c r="D4" s="34">
        <v>4000</v>
      </c>
      <c r="I4" t="s">
        <v>155</v>
      </c>
      <c r="J4" s="73">
        <v>1325</v>
      </c>
    </row>
    <row r="5" spans="1:10" x14ac:dyDescent="0.25">
      <c r="B5" s="23" t="s">
        <v>57</v>
      </c>
      <c r="C5" s="30">
        <v>1000</v>
      </c>
      <c r="D5" s="35">
        <v>1500</v>
      </c>
      <c r="F5" t="s">
        <v>151</v>
      </c>
      <c r="G5" s="25">
        <f>15000/10</f>
        <v>1500</v>
      </c>
      <c r="I5" t="s">
        <v>96</v>
      </c>
      <c r="J5" s="73">
        <v>1325</v>
      </c>
    </row>
    <row r="6" spans="1:10" x14ac:dyDescent="0.25">
      <c r="B6" s="22"/>
      <c r="C6" s="27"/>
      <c r="D6" s="33"/>
      <c r="F6" s="63" t="s">
        <v>152</v>
      </c>
      <c r="I6" t="s">
        <v>156</v>
      </c>
      <c r="J6" s="73">
        <v>1325</v>
      </c>
    </row>
    <row r="7" spans="1:10" x14ac:dyDescent="0.25">
      <c r="B7" s="22" t="s">
        <v>58</v>
      </c>
      <c r="C7" s="29">
        <v>1000</v>
      </c>
      <c r="D7" s="33">
        <f>D4-D5</f>
        <v>2500</v>
      </c>
      <c r="I7" t="s">
        <v>157</v>
      </c>
      <c r="J7" s="73">
        <v>1325</v>
      </c>
    </row>
    <row r="8" spans="1:10" x14ac:dyDescent="0.25">
      <c r="B8" s="22" t="s">
        <v>64</v>
      </c>
      <c r="C8" s="30">
        <f>C7*0.45</f>
        <v>450</v>
      </c>
      <c r="D8" s="74">
        <f>D7*0.45</f>
        <v>1125</v>
      </c>
      <c r="I8" t="s">
        <v>158</v>
      </c>
      <c r="J8" s="73">
        <v>1325</v>
      </c>
    </row>
    <row r="9" spans="1:10" x14ac:dyDescent="0.25">
      <c r="B9" s="22" t="s">
        <v>61</v>
      </c>
      <c r="C9" s="31">
        <f>C7-C8</f>
        <v>550</v>
      </c>
      <c r="D9" s="75">
        <f>D7-D8</f>
        <v>1375</v>
      </c>
      <c r="I9" t="s">
        <v>159</v>
      </c>
      <c r="J9" s="73">
        <v>1325</v>
      </c>
    </row>
    <row r="10" spans="1:10" x14ac:dyDescent="0.25">
      <c r="B10" s="23" t="s">
        <v>62</v>
      </c>
      <c r="C10" s="28">
        <f>C5</f>
        <v>1000</v>
      </c>
      <c r="D10" s="76">
        <f>D5</f>
        <v>1500</v>
      </c>
      <c r="I10" t="s">
        <v>160</v>
      </c>
      <c r="J10" s="73">
        <v>1325</v>
      </c>
    </row>
    <row r="11" spans="1:10" x14ac:dyDescent="0.25">
      <c r="B11" s="22"/>
      <c r="C11" s="27"/>
      <c r="D11" s="33"/>
      <c r="I11" t="s">
        <v>161</v>
      </c>
      <c r="J11" s="73">
        <v>1325</v>
      </c>
    </row>
    <row r="12" spans="1:10" x14ac:dyDescent="0.25">
      <c r="B12" s="24" t="s">
        <v>63</v>
      </c>
      <c r="C12" s="30">
        <f>C9+C10</f>
        <v>1550</v>
      </c>
      <c r="D12" s="74">
        <f>D9+D10</f>
        <v>2875</v>
      </c>
      <c r="I12" t="s">
        <v>162</v>
      </c>
      <c r="J12" s="73">
        <v>1325</v>
      </c>
    </row>
    <row r="13" spans="1:10" ht="30" x14ac:dyDescent="0.25">
      <c r="B13" s="22" t="s">
        <v>153</v>
      </c>
      <c r="C13" s="79" t="s">
        <v>164</v>
      </c>
      <c r="D13" s="77">
        <f>D12-C12</f>
        <v>1325</v>
      </c>
      <c r="I13" t="s">
        <v>163</v>
      </c>
      <c r="J13" s="73">
        <v>1325</v>
      </c>
    </row>
    <row r="14" spans="1:10" ht="45" x14ac:dyDescent="0.25">
      <c r="B14" s="24" t="s">
        <v>47</v>
      </c>
      <c r="C14" s="78" t="s">
        <v>165</v>
      </c>
      <c r="D14" s="74">
        <f>NPV(0.1,J4:J13) +J3</f>
        <v>-1858.4485849412995</v>
      </c>
      <c r="F14" s="20"/>
    </row>
    <row r="16" spans="1:10" ht="18.75" x14ac:dyDescent="0.3">
      <c r="A16" s="19" t="s">
        <v>166</v>
      </c>
    </row>
    <row r="18" spans="1:10" x14ac:dyDescent="0.25">
      <c r="B18" s="21"/>
      <c r="C18" s="26" t="s">
        <v>167</v>
      </c>
      <c r="D18" s="32" t="s">
        <v>168</v>
      </c>
      <c r="I18" t="s">
        <v>154</v>
      </c>
      <c r="J18" s="73">
        <v>-60000000</v>
      </c>
    </row>
    <row r="19" spans="1:10" x14ac:dyDescent="0.25">
      <c r="B19" s="22" t="s">
        <v>56</v>
      </c>
      <c r="C19" s="29">
        <v>-18000000</v>
      </c>
      <c r="D19" s="34">
        <v>700000</v>
      </c>
      <c r="I19" t="s">
        <v>155</v>
      </c>
      <c r="J19" s="234">
        <v>18385000</v>
      </c>
    </row>
    <row r="20" spans="1:10" x14ac:dyDescent="0.25">
      <c r="B20" s="23" t="s">
        <v>57</v>
      </c>
      <c r="C20" s="80">
        <v>0</v>
      </c>
      <c r="D20" s="35">
        <v>0</v>
      </c>
      <c r="I20" t="s">
        <v>96</v>
      </c>
      <c r="J20" s="73">
        <v>18385000</v>
      </c>
    </row>
    <row r="21" spans="1:10" x14ac:dyDescent="0.25">
      <c r="B21" s="22"/>
      <c r="C21" s="27"/>
      <c r="D21" s="33"/>
      <c r="I21" t="s">
        <v>156</v>
      </c>
      <c r="J21" s="73">
        <v>18385000</v>
      </c>
    </row>
    <row r="22" spans="1:10" x14ac:dyDescent="0.25">
      <c r="B22" s="22" t="s">
        <v>58</v>
      </c>
      <c r="C22" s="31">
        <f>C19</f>
        <v>-18000000</v>
      </c>
      <c r="D22" s="33">
        <f>D19-D20</f>
        <v>700000</v>
      </c>
      <c r="I22" t="s">
        <v>157</v>
      </c>
      <c r="J22" s="73">
        <v>18385000</v>
      </c>
    </row>
    <row r="23" spans="1:10" x14ac:dyDescent="0.25">
      <c r="B23" s="22" t="s">
        <v>64</v>
      </c>
      <c r="C23" s="30">
        <f>MAX(0,C22*0.45)</f>
        <v>0</v>
      </c>
      <c r="D23" s="74">
        <f>D22*0.45</f>
        <v>315000</v>
      </c>
      <c r="I23" t="s">
        <v>158</v>
      </c>
      <c r="J23" s="73">
        <v>18385000</v>
      </c>
    </row>
    <row r="24" spans="1:10" x14ac:dyDescent="0.25">
      <c r="B24" s="22" t="s">
        <v>61</v>
      </c>
      <c r="C24" s="31">
        <f>C22-C23</f>
        <v>-18000000</v>
      </c>
      <c r="D24" s="75">
        <f>D22-D23</f>
        <v>385000</v>
      </c>
      <c r="I24" t="s">
        <v>159</v>
      </c>
      <c r="J24" s="73">
        <v>18385000</v>
      </c>
    </row>
    <row r="25" spans="1:10" x14ac:dyDescent="0.25">
      <c r="B25" s="23" t="s">
        <v>62</v>
      </c>
      <c r="C25" s="28">
        <f>C20</f>
        <v>0</v>
      </c>
      <c r="D25" s="76">
        <f>D20</f>
        <v>0</v>
      </c>
      <c r="I25" t="s">
        <v>160</v>
      </c>
      <c r="J25" s="73">
        <v>18385000</v>
      </c>
    </row>
    <row r="26" spans="1:10" x14ac:dyDescent="0.25">
      <c r="B26" s="22"/>
      <c r="C26" s="27"/>
      <c r="D26" s="33"/>
      <c r="I26" t="s">
        <v>161</v>
      </c>
      <c r="J26" s="73">
        <v>18385000</v>
      </c>
    </row>
    <row r="27" spans="1:10" x14ac:dyDescent="0.25">
      <c r="B27" s="24" t="s">
        <v>63</v>
      </c>
      <c r="C27" s="30">
        <f>C24+C25</f>
        <v>-18000000</v>
      </c>
      <c r="D27" s="74">
        <f>D24+D25</f>
        <v>385000</v>
      </c>
      <c r="I27" t="s">
        <v>162</v>
      </c>
      <c r="J27" s="73">
        <v>18385000</v>
      </c>
    </row>
    <row r="28" spans="1:10" ht="30" x14ac:dyDescent="0.25">
      <c r="B28" s="22" t="s">
        <v>153</v>
      </c>
      <c r="C28" s="79" t="s">
        <v>164</v>
      </c>
      <c r="D28" s="233">
        <f>D27-C27</f>
        <v>18385000</v>
      </c>
      <c r="I28" t="s">
        <v>163</v>
      </c>
      <c r="J28" s="73">
        <v>18385000</v>
      </c>
    </row>
    <row r="29" spans="1:10" ht="45" x14ac:dyDescent="0.25">
      <c r="B29" s="24" t="s">
        <v>47</v>
      </c>
      <c r="C29" s="78" t="s">
        <v>165</v>
      </c>
      <c r="D29" s="74">
        <f>NPV(0.1,J19:J28) +J18</f>
        <v>52967866.238380536</v>
      </c>
    </row>
    <row r="32" spans="1:10" ht="18.75" x14ac:dyDescent="0.3">
      <c r="A32" s="19" t="s">
        <v>169</v>
      </c>
    </row>
    <row r="34" spans="2:10" x14ac:dyDescent="0.25">
      <c r="B34" s="21"/>
      <c r="C34" s="26" t="s">
        <v>170</v>
      </c>
      <c r="D34" s="32" t="s">
        <v>171</v>
      </c>
      <c r="I34" t="s">
        <v>155</v>
      </c>
      <c r="J34" s="73">
        <f>-(4500000-1500000)</f>
        <v>-3000000</v>
      </c>
    </row>
    <row r="35" spans="2:10" x14ac:dyDescent="0.25">
      <c r="B35" s="22" t="s">
        <v>56</v>
      </c>
      <c r="C35" s="29">
        <v>3300000</v>
      </c>
      <c r="D35" s="34">
        <v>4500000</v>
      </c>
      <c r="I35" t="s">
        <v>96</v>
      </c>
      <c r="J35" s="233">
        <v>397500</v>
      </c>
    </row>
    <row r="36" spans="2:10" x14ac:dyDescent="0.25">
      <c r="B36" s="23" t="s">
        <v>57</v>
      </c>
      <c r="C36" s="30">
        <f>C35/11</f>
        <v>300000</v>
      </c>
      <c r="D36" s="74">
        <f>D35/10</f>
        <v>450000</v>
      </c>
      <c r="I36" t="s">
        <v>156</v>
      </c>
      <c r="J36" s="75">
        <v>397500</v>
      </c>
    </row>
    <row r="37" spans="2:10" x14ac:dyDescent="0.25">
      <c r="B37" s="22"/>
      <c r="C37" s="27"/>
      <c r="D37" s="33"/>
      <c r="I37" t="s">
        <v>157</v>
      </c>
      <c r="J37" s="75">
        <v>397500</v>
      </c>
    </row>
    <row r="38" spans="2:10" x14ac:dyDescent="0.25">
      <c r="B38" s="22" t="s">
        <v>58</v>
      </c>
      <c r="C38" s="31">
        <v>300000</v>
      </c>
      <c r="D38" s="33">
        <v>750000</v>
      </c>
      <c r="I38" t="s">
        <v>158</v>
      </c>
      <c r="J38" s="75">
        <v>397500</v>
      </c>
    </row>
    <row r="39" spans="2:10" x14ac:dyDescent="0.25">
      <c r="B39" s="22" t="s">
        <v>64</v>
      </c>
      <c r="C39" s="30">
        <f>MAX(0,C38*0.45)</f>
        <v>135000</v>
      </c>
      <c r="D39" s="74">
        <f>D38*0.45</f>
        <v>337500</v>
      </c>
      <c r="I39" t="s">
        <v>159</v>
      </c>
      <c r="J39" s="75">
        <v>397500</v>
      </c>
    </row>
    <row r="40" spans="2:10" x14ac:dyDescent="0.25">
      <c r="B40" s="22" t="s">
        <v>61</v>
      </c>
      <c r="C40" s="31">
        <f>C38-C39</f>
        <v>165000</v>
      </c>
      <c r="D40" s="75">
        <f>D38-D39</f>
        <v>412500</v>
      </c>
      <c r="I40" t="s">
        <v>160</v>
      </c>
      <c r="J40" s="75">
        <v>397500</v>
      </c>
    </row>
    <row r="41" spans="2:10" x14ac:dyDescent="0.25">
      <c r="B41" s="23" t="s">
        <v>62</v>
      </c>
      <c r="C41" s="28">
        <f>C36</f>
        <v>300000</v>
      </c>
      <c r="D41" s="76">
        <f>D36</f>
        <v>450000</v>
      </c>
      <c r="I41" t="s">
        <v>161</v>
      </c>
      <c r="J41" s="75">
        <v>397500</v>
      </c>
    </row>
    <row r="42" spans="2:10" x14ac:dyDescent="0.25">
      <c r="B42" s="22"/>
      <c r="C42" s="27"/>
      <c r="D42" s="33"/>
      <c r="I42" t="s">
        <v>162</v>
      </c>
      <c r="J42" s="75">
        <v>397500</v>
      </c>
    </row>
    <row r="43" spans="2:10" x14ac:dyDescent="0.25">
      <c r="B43" s="24" t="s">
        <v>63</v>
      </c>
      <c r="C43" s="30">
        <f>C40+C41</f>
        <v>465000</v>
      </c>
      <c r="D43" s="74">
        <f>D40+D41</f>
        <v>862500</v>
      </c>
      <c r="I43" t="s">
        <v>163</v>
      </c>
      <c r="J43" s="75">
        <v>397500</v>
      </c>
    </row>
    <row r="44" spans="2:10" ht="30" x14ac:dyDescent="0.25">
      <c r="B44" s="22" t="s">
        <v>153</v>
      </c>
      <c r="C44" s="79" t="s">
        <v>164</v>
      </c>
      <c r="D44" s="233">
        <f>D43-C43</f>
        <v>397500</v>
      </c>
    </row>
    <row r="45" spans="2:10" ht="45" x14ac:dyDescent="0.25">
      <c r="B45" s="24" t="s">
        <v>47</v>
      </c>
      <c r="C45" s="78" t="s">
        <v>165</v>
      </c>
      <c r="D45" s="74">
        <f>NPV(0.1,J35:J44) +J34</f>
        <v>-710788.03303062869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18374-B8FA-462B-8EBD-C524FB3FE24E}">
  <dimension ref="A1:K37"/>
  <sheetViews>
    <sheetView topLeftCell="A3" workbookViewId="0">
      <selection activeCell="B38" sqref="B38"/>
    </sheetView>
  </sheetViews>
  <sheetFormatPr defaultRowHeight="15" x14ac:dyDescent="0.25"/>
  <cols>
    <col min="2" max="2" width="9.42578125" customWidth="1"/>
    <col min="3" max="3" width="9" bestFit="1" customWidth="1"/>
    <col min="4" max="4" width="8.5703125" bestFit="1" customWidth="1"/>
    <col min="5" max="5" width="8.7109375" bestFit="1" customWidth="1"/>
  </cols>
  <sheetData>
    <row r="1" spans="1:11" x14ac:dyDescent="0.25">
      <c r="A1" t="s">
        <v>30</v>
      </c>
    </row>
    <row r="3" spans="1:11" x14ac:dyDescent="0.25">
      <c r="A3" t="s">
        <v>31</v>
      </c>
    </row>
    <row r="5" spans="1:11" x14ac:dyDescent="0.25">
      <c r="B5" t="s">
        <v>32</v>
      </c>
    </row>
    <row r="6" spans="1:11" x14ac:dyDescent="0.25">
      <c r="B6" t="s">
        <v>33</v>
      </c>
      <c r="C6" t="s">
        <v>34</v>
      </c>
      <c r="D6" t="s">
        <v>35</v>
      </c>
      <c r="E6" t="s">
        <v>36</v>
      </c>
      <c r="F6" t="s">
        <v>37</v>
      </c>
    </row>
    <row r="7" spans="1:11" x14ac:dyDescent="0.25">
      <c r="B7" t="s">
        <v>38</v>
      </c>
      <c r="C7">
        <v>-100</v>
      </c>
      <c r="D7">
        <v>125</v>
      </c>
      <c r="E7">
        <v>0</v>
      </c>
      <c r="F7">
        <v>0</v>
      </c>
    </row>
    <row r="8" spans="1:11" x14ac:dyDescent="0.25">
      <c r="B8" t="s">
        <v>39</v>
      </c>
      <c r="C8">
        <v>-200</v>
      </c>
      <c r="D8">
        <v>100</v>
      </c>
      <c r="E8">
        <v>100</v>
      </c>
      <c r="F8">
        <v>100</v>
      </c>
    </row>
    <row r="9" spans="1:11" x14ac:dyDescent="0.25">
      <c r="B9" t="s">
        <v>40</v>
      </c>
      <c r="C9">
        <v>-300</v>
      </c>
      <c r="D9">
        <v>0</v>
      </c>
      <c r="E9">
        <v>0</v>
      </c>
      <c r="F9">
        <v>500</v>
      </c>
    </row>
    <row r="11" spans="1:11" x14ac:dyDescent="0.25">
      <c r="A11" t="s">
        <v>41</v>
      </c>
    </row>
    <row r="12" spans="1:11" x14ac:dyDescent="0.25">
      <c r="A12" t="s">
        <v>45</v>
      </c>
    </row>
    <row r="13" spans="1:11" x14ac:dyDescent="0.25">
      <c r="B13" t="s">
        <v>48</v>
      </c>
      <c r="H13" t="s">
        <v>49</v>
      </c>
    </row>
    <row r="14" spans="1:11" x14ac:dyDescent="0.25">
      <c r="B14" t="s">
        <v>33</v>
      </c>
      <c r="C14" t="s">
        <v>42</v>
      </c>
      <c r="D14" t="s">
        <v>43</v>
      </c>
      <c r="E14" t="s">
        <v>44</v>
      </c>
      <c r="H14" t="s">
        <v>33</v>
      </c>
      <c r="I14" t="s">
        <v>42</v>
      </c>
      <c r="J14" t="s">
        <v>43</v>
      </c>
      <c r="K14" t="s">
        <v>44</v>
      </c>
    </row>
    <row r="15" spans="1:11" x14ac:dyDescent="0.25">
      <c r="B15" t="s">
        <v>38</v>
      </c>
      <c r="C15" s="14">
        <f t="shared" ref="C15:C17" si="0">D7/1.05+E7/(1.05)^2+F7/(1.05)^3 + C7</f>
        <v>19.047619047619037</v>
      </c>
      <c r="D15" s="14">
        <f t="shared" ref="D15:D17" si="1">D7/1.15 +E7/(1.15)^2 +F7/(1.15)^3 +C7</f>
        <v>8.6956521739130466</v>
      </c>
      <c r="E15" s="14">
        <f t="shared" ref="E15:E17" si="2">D7/1.25 +E7/(1.25)^2 +F7/(1.25)^3 + C7</f>
        <v>0</v>
      </c>
      <c r="H15" t="s">
        <v>38</v>
      </c>
      <c r="I15" s="17">
        <f t="shared" ref="I15:I17" si="3">NPV(0.05, D7:F7) +C7</f>
        <v>19.047619047619037</v>
      </c>
      <c r="J15" s="17">
        <f>NPV(0.15,D7:F7) +C7</f>
        <v>8.6956521739130466</v>
      </c>
      <c r="K15" s="17">
        <f t="shared" ref="K15:K17" si="4">NPV(0.25,D7:F7) +C7</f>
        <v>0</v>
      </c>
    </row>
    <row r="16" spans="1:11" x14ac:dyDescent="0.25">
      <c r="B16" t="s">
        <v>39</v>
      </c>
      <c r="C16" s="14">
        <f t="shared" si="0"/>
        <v>72.324802937047821</v>
      </c>
      <c r="D16" s="14">
        <f t="shared" si="1"/>
        <v>28.322511712007895</v>
      </c>
      <c r="E16" s="14">
        <f t="shared" si="2"/>
        <v>-4.8000000000000114</v>
      </c>
      <c r="H16" t="s">
        <v>39</v>
      </c>
      <c r="I16" s="17">
        <f t="shared" si="3"/>
        <v>72.324802937047821</v>
      </c>
      <c r="J16" s="17">
        <f t="shared" ref="J16:J17" si="5">NPV(0.15,D8:F8) +C8</f>
        <v>28.322511712007895</v>
      </c>
      <c r="K16" s="17">
        <f t="shared" si="4"/>
        <v>-4.8000000000000114</v>
      </c>
    </row>
    <row r="17" spans="1:11" x14ac:dyDescent="0.25">
      <c r="B17" t="s">
        <v>40</v>
      </c>
      <c r="C17" s="14">
        <f t="shared" si="0"/>
        <v>131.91879926573802</v>
      </c>
      <c r="D17" s="14">
        <f t="shared" si="1"/>
        <v>28.758116215994164</v>
      </c>
      <c r="E17" s="14">
        <f t="shared" si="2"/>
        <v>-44</v>
      </c>
      <c r="H17" t="s">
        <v>40</v>
      </c>
      <c r="I17" s="17">
        <f t="shared" si="3"/>
        <v>131.91879926573802</v>
      </c>
      <c r="J17" s="17">
        <f t="shared" si="5"/>
        <v>28.758116215994164</v>
      </c>
      <c r="K17" s="17">
        <f t="shared" si="4"/>
        <v>-44</v>
      </c>
    </row>
    <row r="19" spans="1:11" x14ac:dyDescent="0.25">
      <c r="A19" t="s">
        <v>46</v>
      </c>
    </row>
    <row r="21" spans="1:11" x14ac:dyDescent="0.25">
      <c r="B21" s="10" t="s">
        <v>33</v>
      </c>
      <c r="C21" s="11" t="s">
        <v>19</v>
      </c>
    </row>
    <row r="22" spans="1:11" x14ac:dyDescent="0.25">
      <c r="B22" s="12" t="s">
        <v>38</v>
      </c>
      <c r="C22" s="15">
        <f>IRR(C7:F7)</f>
        <v>0.25</v>
      </c>
    </row>
    <row r="23" spans="1:11" x14ac:dyDescent="0.25">
      <c r="B23" s="13" t="s">
        <v>39</v>
      </c>
      <c r="C23" s="16">
        <f t="shared" ref="C23:C24" si="6">IRR(C8:F8)</f>
        <v>0.23375192852825655</v>
      </c>
    </row>
    <row r="24" spans="1:11" x14ac:dyDescent="0.25">
      <c r="B24" s="12" t="s">
        <v>40</v>
      </c>
      <c r="C24" s="15">
        <f t="shared" si="6"/>
        <v>0.18563110149668516</v>
      </c>
    </row>
    <row r="26" spans="1:11" x14ac:dyDescent="0.25">
      <c r="A26" t="s">
        <v>53</v>
      </c>
    </row>
    <row r="28" spans="1:11" x14ac:dyDescent="0.25">
      <c r="B28" s="10" t="s">
        <v>33</v>
      </c>
      <c r="C28" s="11" t="s">
        <v>54</v>
      </c>
    </row>
    <row r="29" spans="1:11" x14ac:dyDescent="0.25">
      <c r="B29" s="12" t="s">
        <v>38</v>
      </c>
      <c r="C29" s="18">
        <f>(C15 -C7)/-C7</f>
        <v>1.1904761904761905</v>
      </c>
    </row>
    <row r="30" spans="1:11" x14ac:dyDescent="0.25">
      <c r="B30" s="13" t="s">
        <v>39</v>
      </c>
      <c r="C30" s="18">
        <f t="shared" ref="C30:C31" si="7">(C16 -C8)/-C8</f>
        <v>1.3616240146852392</v>
      </c>
    </row>
    <row r="31" spans="1:11" x14ac:dyDescent="0.25">
      <c r="B31" s="12" t="s">
        <v>40</v>
      </c>
      <c r="C31" s="18">
        <f t="shared" si="7"/>
        <v>1.4397293308857935</v>
      </c>
    </row>
    <row r="37" spans="2:2" x14ac:dyDescent="0.25">
      <c r="B37" s="70">
        <f>NPV(0.1,3.1,3.1,3.1,3.1,3.1) -10</f>
        <v>1.7514389851661871</v>
      </c>
    </row>
  </sheetData>
  <pageMargins left="0.7" right="0.7" top="0.75" bottom="0.75" header="0.3" footer="0.3"/>
  <tableParts count="3">
    <tablePart r:id="rId1"/>
    <tablePart r:id="rId2"/>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F059-F6E4-4A30-B771-C84E8119E498}">
  <dimension ref="A1:G11"/>
  <sheetViews>
    <sheetView workbookViewId="0">
      <selection activeCell="F5" sqref="F5"/>
    </sheetView>
  </sheetViews>
  <sheetFormatPr defaultRowHeight="15" x14ac:dyDescent="0.25"/>
  <cols>
    <col min="1" max="1" width="11.28515625" style="37" customWidth="1"/>
    <col min="2" max="3" width="5.5703125" style="36" customWidth="1"/>
    <col min="4" max="4" width="5.7109375" style="36" customWidth="1"/>
    <col min="5" max="5" width="5.5703125" style="36" customWidth="1"/>
    <col min="6" max="6" width="11.5703125" style="36" bestFit="1" customWidth="1"/>
    <col min="7" max="7" width="65" style="37" customWidth="1"/>
    <col min="8" max="16384" width="9.140625" style="36"/>
  </cols>
  <sheetData>
    <row r="1" spans="1:7" ht="15.75" thickBot="1" x14ac:dyDescent="0.3"/>
    <row r="2" spans="1:7" ht="15.75" thickBot="1" x14ac:dyDescent="0.3">
      <c r="A2" s="38" t="s">
        <v>65</v>
      </c>
      <c r="B2" s="39" t="s">
        <v>87</v>
      </c>
      <c r="C2" s="39" t="s">
        <v>39</v>
      </c>
      <c r="D2" s="39" t="s">
        <v>86</v>
      </c>
      <c r="E2" s="39" t="s">
        <v>94</v>
      </c>
      <c r="F2" s="39" t="s">
        <v>411</v>
      </c>
      <c r="G2" s="40" t="s">
        <v>68</v>
      </c>
    </row>
    <row r="3" spans="1:7" ht="90.75" thickBot="1" x14ac:dyDescent="0.3">
      <c r="A3" s="41" t="s">
        <v>66</v>
      </c>
      <c r="B3" s="42" t="s">
        <v>67</v>
      </c>
      <c r="C3" s="42"/>
      <c r="D3" s="42" t="s">
        <v>88</v>
      </c>
      <c r="E3" s="42">
        <v>82</v>
      </c>
      <c r="F3" s="43">
        <v>8.2000000000000007E-3</v>
      </c>
      <c r="G3" s="44" t="s">
        <v>81</v>
      </c>
    </row>
    <row r="4" spans="1:7" ht="90.75" thickBot="1" x14ac:dyDescent="0.3">
      <c r="A4" s="41" t="s">
        <v>66</v>
      </c>
      <c r="B4" s="42" t="s">
        <v>69</v>
      </c>
      <c r="C4" s="42" t="s">
        <v>97</v>
      </c>
      <c r="D4" s="42" t="s">
        <v>89</v>
      </c>
      <c r="E4" s="42">
        <v>84</v>
      </c>
      <c r="F4" s="43">
        <v>8.3999999999999995E-3</v>
      </c>
      <c r="G4" s="44" t="s">
        <v>82</v>
      </c>
    </row>
    <row r="5" spans="1:7" ht="60.75" thickBot="1" x14ac:dyDescent="0.3">
      <c r="A5" s="45" t="s">
        <v>83</v>
      </c>
      <c r="B5" s="46" t="s">
        <v>38</v>
      </c>
      <c r="C5" s="46" t="s">
        <v>95</v>
      </c>
      <c r="D5" s="46" t="s">
        <v>38</v>
      </c>
      <c r="E5" s="46">
        <v>111</v>
      </c>
      <c r="F5" s="47">
        <v>1.11E-2</v>
      </c>
      <c r="G5" s="48" t="s">
        <v>70</v>
      </c>
    </row>
    <row r="6" spans="1:7" ht="75.75" thickBot="1" x14ac:dyDescent="0.3">
      <c r="A6" s="45" t="s">
        <v>83</v>
      </c>
      <c r="B6" s="46" t="s">
        <v>71</v>
      </c>
      <c r="C6" s="46" t="s">
        <v>99</v>
      </c>
      <c r="D6" s="46" t="s">
        <v>90</v>
      </c>
      <c r="E6" s="46">
        <v>183</v>
      </c>
      <c r="F6" s="47">
        <v>1.83E-2</v>
      </c>
      <c r="G6" s="48" t="s">
        <v>72</v>
      </c>
    </row>
    <row r="7" spans="1:7" ht="60.75" thickBot="1" x14ac:dyDescent="0.3">
      <c r="A7" s="49" t="s">
        <v>84</v>
      </c>
      <c r="B7" s="50" t="s">
        <v>73</v>
      </c>
      <c r="C7" s="50" t="s">
        <v>98</v>
      </c>
      <c r="D7" s="50" t="s">
        <v>92</v>
      </c>
      <c r="E7" s="50">
        <v>323</v>
      </c>
      <c r="F7" s="51">
        <v>3.2300000000000002E-2</v>
      </c>
      <c r="G7" s="52" t="s">
        <v>74</v>
      </c>
    </row>
    <row r="8" spans="1:7" ht="45.75" thickBot="1" x14ac:dyDescent="0.3">
      <c r="A8" s="49" t="s">
        <v>84</v>
      </c>
      <c r="B8" s="50" t="s">
        <v>39</v>
      </c>
      <c r="C8" s="50"/>
      <c r="D8" s="50" t="s">
        <v>39</v>
      </c>
      <c r="E8" s="50">
        <v>505</v>
      </c>
      <c r="F8" s="51">
        <v>5.0500000000000003E-2</v>
      </c>
      <c r="G8" s="52" t="s">
        <v>75</v>
      </c>
    </row>
    <row r="9" spans="1:7" ht="30.75" thickBot="1" x14ac:dyDescent="0.3">
      <c r="A9" s="53" t="s">
        <v>85</v>
      </c>
      <c r="B9" s="54" t="s">
        <v>76</v>
      </c>
      <c r="C9" s="54"/>
      <c r="D9" s="54" t="s">
        <v>91</v>
      </c>
      <c r="E9" s="54">
        <v>1219</v>
      </c>
      <c r="F9" s="55">
        <v>0.12189999999999999</v>
      </c>
      <c r="G9" s="56" t="s">
        <v>77</v>
      </c>
    </row>
    <row r="10" spans="1:7" ht="30.75" thickBot="1" x14ac:dyDescent="0.3">
      <c r="A10" s="53" t="s">
        <v>85</v>
      </c>
      <c r="B10" s="54" t="s">
        <v>78</v>
      </c>
      <c r="C10" s="54"/>
      <c r="D10" s="54" t="s">
        <v>93</v>
      </c>
      <c r="E10" s="54"/>
      <c r="F10" s="54"/>
      <c r="G10" s="56" t="s">
        <v>79</v>
      </c>
    </row>
    <row r="11" spans="1:7" ht="45.75" thickBot="1" x14ac:dyDescent="0.3">
      <c r="A11" s="53" t="s">
        <v>85</v>
      </c>
      <c r="B11" s="54" t="s">
        <v>40</v>
      </c>
      <c r="C11" s="54"/>
      <c r="D11" s="54" t="s">
        <v>40</v>
      </c>
      <c r="E11" s="54"/>
      <c r="F11" s="54"/>
      <c r="G11" s="56" t="s">
        <v>80</v>
      </c>
    </row>
  </sheetData>
  <pageMargins left="0.7" right="0.7" top="0.75" bottom="0.75" header="0.3" footer="0.3"/>
  <pageSetup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1DB73-F4FC-4E63-AABF-4FBC2DDE3D45}">
  <dimension ref="B2:L36"/>
  <sheetViews>
    <sheetView topLeftCell="A10" workbookViewId="0">
      <selection activeCell="K15" sqref="K15"/>
    </sheetView>
  </sheetViews>
  <sheetFormatPr defaultRowHeight="15" x14ac:dyDescent="0.25"/>
  <cols>
    <col min="2" max="2" width="16.5703125" bestFit="1" customWidth="1"/>
    <col min="4" max="4" width="10.42578125" customWidth="1"/>
    <col min="5" max="5" width="13.85546875" bestFit="1" customWidth="1"/>
    <col min="6" max="6" width="9.140625" style="8"/>
    <col min="7" max="7" width="21.42578125" style="8" customWidth="1"/>
    <col min="10" max="10" width="14" customWidth="1"/>
    <col min="11" max="11" width="14.140625" customWidth="1"/>
    <col min="12" max="12" width="9.140625" customWidth="1"/>
  </cols>
  <sheetData>
    <row r="2" spans="6:8" x14ac:dyDescent="0.25">
      <c r="F2" s="8" t="s">
        <v>117</v>
      </c>
      <c r="G2" s="8" t="s">
        <v>118</v>
      </c>
      <c r="H2" t="s">
        <v>101</v>
      </c>
    </row>
    <row r="3" spans="6:8" x14ac:dyDescent="0.25">
      <c r="F3" s="57" t="s">
        <v>119</v>
      </c>
      <c r="G3" s="57" t="s">
        <v>120</v>
      </c>
      <c r="H3" s="58">
        <v>1.65</v>
      </c>
    </row>
    <row r="4" spans="6:8" x14ac:dyDescent="0.25">
      <c r="F4" s="57"/>
      <c r="G4" s="57" t="s">
        <v>110</v>
      </c>
      <c r="H4" s="58">
        <v>1.5</v>
      </c>
    </row>
    <row r="5" spans="6:8" x14ac:dyDescent="0.25">
      <c r="F5" s="57"/>
      <c r="G5" s="57" t="s">
        <v>121</v>
      </c>
      <c r="H5" s="58">
        <v>1.3</v>
      </c>
    </row>
    <row r="6" spans="6:8" x14ac:dyDescent="0.25">
      <c r="F6" s="57"/>
      <c r="G6" s="57" t="s">
        <v>122</v>
      </c>
      <c r="H6" s="58">
        <v>1.25</v>
      </c>
    </row>
    <row r="7" spans="6:8" x14ac:dyDescent="0.25">
      <c r="F7" s="57"/>
      <c r="G7" s="57" t="s">
        <v>111</v>
      </c>
      <c r="H7" s="58">
        <v>1.2</v>
      </c>
    </row>
    <row r="8" spans="6:8" x14ac:dyDescent="0.25">
      <c r="F8" s="57"/>
      <c r="G8" s="57" t="s">
        <v>112</v>
      </c>
      <c r="H8" s="58">
        <v>1.1499999999999999</v>
      </c>
    </row>
    <row r="9" spans="6:8" ht="30" x14ac:dyDescent="0.25">
      <c r="F9" s="59" t="s">
        <v>123</v>
      </c>
      <c r="G9" s="59" t="s">
        <v>113</v>
      </c>
      <c r="H9" s="60">
        <v>1.05</v>
      </c>
    </row>
    <row r="10" spans="6:8" x14ac:dyDescent="0.25">
      <c r="F10" s="59"/>
      <c r="G10" s="59" t="s">
        <v>124</v>
      </c>
      <c r="H10" s="60">
        <v>1</v>
      </c>
    </row>
    <row r="11" spans="6:8" x14ac:dyDescent="0.25">
      <c r="F11" s="59"/>
      <c r="G11" s="59" t="s">
        <v>114</v>
      </c>
      <c r="H11" s="60">
        <v>1</v>
      </c>
    </row>
    <row r="12" spans="6:8" x14ac:dyDescent="0.25">
      <c r="F12" s="59"/>
      <c r="G12" s="59" t="s">
        <v>115</v>
      </c>
      <c r="H12" s="60">
        <v>0.95</v>
      </c>
    </row>
    <row r="13" spans="6:8" x14ac:dyDescent="0.25">
      <c r="F13" s="59"/>
      <c r="G13" s="59" t="s">
        <v>125</v>
      </c>
      <c r="H13" s="60">
        <v>0.9</v>
      </c>
    </row>
    <row r="14" spans="6:8" x14ac:dyDescent="0.25">
      <c r="F14" s="59"/>
      <c r="G14" s="59" t="s">
        <v>126</v>
      </c>
      <c r="H14" s="60">
        <v>0.9</v>
      </c>
    </row>
    <row r="15" spans="6:8" ht="30" x14ac:dyDescent="0.25">
      <c r="F15" s="61" t="s">
        <v>127</v>
      </c>
      <c r="G15" s="61" t="s">
        <v>128</v>
      </c>
      <c r="H15" s="62">
        <v>0.85</v>
      </c>
    </row>
    <row r="16" spans="6:8" x14ac:dyDescent="0.25">
      <c r="F16" s="61"/>
      <c r="G16" s="61" t="s">
        <v>129</v>
      </c>
      <c r="H16" s="62">
        <v>0.8</v>
      </c>
    </row>
    <row r="17" spans="2:8" x14ac:dyDescent="0.25">
      <c r="F17" s="61"/>
      <c r="G17" s="61" t="s">
        <v>130</v>
      </c>
      <c r="H17" s="62">
        <v>0.7</v>
      </c>
    </row>
    <row r="18" spans="2:8" x14ac:dyDescent="0.25">
      <c r="F18" s="61"/>
      <c r="G18" s="61" t="s">
        <v>116</v>
      </c>
      <c r="H18" s="62">
        <v>0.7</v>
      </c>
    </row>
    <row r="19" spans="2:8" x14ac:dyDescent="0.25">
      <c r="F19" s="61"/>
      <c r="G19" s="61" t="s">
        <v>131</v>
      </c>
      <c r="H19" s="62">
        <v>0.6</v>
      </c>
    </row>
    <row r="20" spans="2:8" x14ac:dyDescent="0.25">
      <c r="F20" s="61"/>
      <c r="G20" s="61" t="s">
        <v>132</v>
      </c>
      <c r="H20" s="62">
        <v>0.3</v>
      </c>
    </row>
    <row r="23" spans="2:8" s="8" customFormat="1" ht="30" x14ac:dyDescent="0.25">
      <c r="B23" s="8" t="s">
        <v>100</v>
      </c>
      <c r="C23" s="8" t="s">
        <v>101</v>
      </c>
      <c r="D23" s="8" t="s">
        <v>139</v>
      </c>
      <c r="E23" s="8" t="s">
        <v>140</v>
      </c>
    </row>
    <row r="24" spans="2:8" x14ac:dyDescent="0.25">
      <c r="B24" s="57" t="s">
        <v>102</v>
      </c>
      <c r="C24" s="57">
        <v>1.83</v>
      </c>
      <c r="D24" s="64">
        <f>1/100*(2.7 + 6.38*Table6[[#This Row],[Beta]])</f>
        <v>0.14375399999999999</v>
      </c>
      <c r="E24" s="57" t="s">
        <v>141</v>
      </c>
    </row>
    <row r="25" spans="2:8" x14ac:dyDescent="0.25">
      <c r="B25" s="61" t="s">
        <v>103</v>
      </c>
      <c r="C25" s="61">
        <v>0.52</v>
      </c>
      <c r="D25" s="65">
        <f>1/100*(2.7 + 6.38*Table6[[#This Row],[Beta]])</f>
        <v>6.0176E-2</v>
      </c>
      <c r="E25" s="61" t="s">
        <v>142</v>
      </c>
    </row>
    <row r="26" spans="2:8" x14ac:dyDescent="0.25">
      <c r="B26" s="59" t="s">
        <v>104</v>
      </c>
      <c r="C26" s="59">
        <v>1.1100000000000001</v>
      </c>
      <c r="D26" s="66">
        <f>1/100*(2.7 + 6.38*Table6[[#This Row],[Beta]])</f>
        <v>9.7818000000000002E-2</v>
      </c>
      <c r="E26" s="59" t="s">
        <v>143</v>
      </c>
    </row>
    <row r="27" spans="2:8" x14ac:dyDescent="0.25">
      <c r="B27" s="61" t="s">
        <v>105</v>
      </c>
      <c r="C27" s="61">
        <v>0.76</v>
      </c>
      <c r="D27" s="65">
        <f>1/100*(2.7 + 6.38*Table6[[#This Row],[Beta]])</f>
        <v>7.5488E-2</v>
      </c>
      <c r="E27" s="61" t="s">
        <v>144</v>
      </c>
    </row>
    <row r="28" spans="2:8" x14ac:dyDescent="0.25">
      <c r="B28" s="61" t="s">
        <v>106</v>
      </c>
      <c r="C28" s="61">
        <v>0.56999999999999995</v>
      </c>
      <c r="D28" s="65">
        <f>1/100*(2.7 + 6.38*Table6[[#This Row],[Beta]])</f>
        <v>6.3366000000000006E-2</v>
      </c>
      <c r="E28" s="61" t="s">
        <v>145</v>
      </c>
    </row>
    <row r="29" spans="2:8" x14ac:dyDescent="0.25">
      <c r="B29" s="57" t="s">
        <v>107</v>
      </c>
      <c r="C29" s="57">
        <v>2.41</v>
      </c>
      <c r="D29" s="64">
        <f>1/100*(2.7 + 6.38*Table6[[#This Row],[Beta]])</f>
        <v>0.180758</v>
      </c>
      <c r="E29" s="57" t="s">
        <v>146</v>
      </c>
    </row>
    <row r="30" spans="2:8" x14ac:dyDescent="0.25">
      <c r="B30" s="61" t="s">
        <v>108</v>
      </c>
      <c r="C30" s="61">
        <v>0.61</v>
      </c>
      <c r="D30" s="65">
        <f>1/100*(2.7 + 6.38*Table6[[#This Row],[Beta]])</f>
        <v>6.5918000000000004E-2</v>
      </c>
      <c r="E30" s="61" t="s">
        <v>146</v>
      </c>
    </row>
    <row r="31" spans="2:8" x14ac:dyDescent="0.25">
      <c r="B31" s="57" t="s">
        <v>109</v>
      </c>
      <c r="C31" s="57">
        <v>1.1200000000000001</v>
      </c>
      <c r="D31" s="64">
        <f>1/100*(2.7 + 6.38*Table6[[#This Row],[Beta]])</f>
        <v>9.8456000000000016E-2</v>
      </c>
      <c r="E31" s="57" t="s">
        <v>146</v>
      </c>
    </row>
    <row r="33" spans="10:12" ht="30" x14ac:dyDescent="0.25">
      <c r="J33" s="8" t="s">
        <v>133</v>
      </c>
      <c r="K33" s="8" t="s">
        <v>134</v>
      </c>
      <c r="L33" s="8" t="s">
        <v>135</v>
      </c>
    </row>
    <row r="34" spans="10:12" x14ac:dyDescent="0.25">
      <c r="J34" s="8" t="s">
        <v>136</v>
      </c>
      <c r="K34">
        <v>3.44</v>
      </c>
      <c r="L34">
        <v>3.06</v>
      </c>
    </row>
    <row r="35" spans="10:12" ht="45" x14ac:dyDescent="0.25">
      <c r="J35" s="8" t="s">
        <v>137</v>
      </c>
      <c r="K35">
        <v>5.15</v>
      </c>
      <c r="L35">
        <v>7.72</v>
      </c>
    </row>
    <row r="36" spans="10:12" ht="60" x14ac:dyDescent="0.25">
      <c r="J36" s="8" t="s">
        <v>138</v>
      </c>
      <c r="K36">
        <v>11.53</v>
      </c>
      <c r="L36">
        <v>19.62</v>
      </c>
    </row>
  </sheetData>
  <phoneticPr fontId="7" type="noConversion"/>
  <pageMargins left="0.7" right="0.7" top="0.75" bottom="0.75" header="0.3" footer="0.3"/>
  <tableParts count="3">
    <tablePart r:id="rId1"/>
    <tablePart r:id="rId2"/>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4419F-AA17-492A-A1BD-C0EF9466F30D}">
  <dimension ref="A1:K23"/>
  <sheetViews>
    <sheetView workbookViewId="0">
      <selection activeCell="I26" sqref="I26"/>
    </sheetView>
  </sheetViews>
  <sheetFormatPr defaultColWidth="18.7109375" defaultRowHeight="15" x14ac:dyDescent="0.25"/>
  <cols>
    <col min="1" max="1" width="42" style="37" customWidth="1"/>
    <col min="2" max="2" width="7.85546875" style="36" customWidth="1"/>
    <col min="3" max="4" width="11.5703125" style="36" customWidth="1"/>
    <col min="5" max="5" width="8.28515625" style="36" bestFit="1" customWidth="1"/>
    <col min="6" max="6" width="10.140625" style="36" customWidth="1"/>
    <col min="7" max="9" width="18.7109375" style="36"/>
    <col min="10" max="10" width="4" style="36" bestFit="1" customWidth="1"/>
    <col min="11" max="11" width="4.5703125" style="36" bestFit="1" customWidth="1"/>
    <col min="12" max="16384" width="18.7109375" style="36"/>
  </cols>
  <sheetData>
    <row r="1" spans="1:11" s="37" customFormat="1" ht="60" x14ac:dyDescent="0.25">
      <c r="A1" s="37" t="s">
        <v>209</v>
      </c>
      <c r="B1" s="37" t="s">
        <v>193</v>
      </c>
      <c r="C1" s="37" t="s">
        <v>194</v>
      </c>
      <c r="D1" s="37" t="s">
        <v>195</v>
      </c>
      <c r="E1" s="37" t="s">
        <v>215</v>
      </c>
      <c r="F1" s="37" t="s">
        <v>272</v>
      </c>
    </row>
    <row r="2" spans="1:11" x14ac:dyDescent="0.25">
      <c r="C2" s="36" t="s">
        <v>196</v>
      </c>
    </row>
    <row r="3" spans="1:11" x14ac:dyDescent="0.25">
      <c r="A3" s="37" t="s">
        <v>197</v>
      </c>
    </row>
    <row r="4" spans="1:11" x14ac:dyDescent="0.25">
      <c r="A4" s="37" t="s">
        <v>198</v>
      </c>
      <c r="B4" s="36">
        <v>160</v>
      </c>
      <c r="C4" s="36">
        <v>300</v>
      </c>
      <c r="D4" s="36">
        <v>380</v>
      </c>
    </row>
    <row r="5" spans="1:11" x14ac:dyDescent="0.25">
      <c r="A5" s="37" t="s">
        <v>199</v>
      </c>
      <c r="B5" s="36">
        <v>5</v>
      </c>
      <c r="C5" s="36">
        <v>100</v>
      </c>
      <c r="D5" s="36">
        <v>0</v>
      </c>
      <c r="I5" s="141">
        <v>1.2604005602240895</v>
      </c>
      <c r="J5" s="142">
        <v>436</v>
      </c>
      <c r="K5" s="143">
        <f>J5/I5</f>
        <v>345.92177579045392</v>
      </c>
    </row>
    <row r="6" spans="1:11" x14ac:dyDescent="0.25">
      <c r="A6" s="94" t="s">
        <v>220</v>
      </c>
      <c r="B6" s="95">
        <v>80</v>
      </c>
      <c r="C6" s="95">
        <v>120</v>
      </c>
      <c r="D6" s="95">
        <v>175</v>
      </c>
      <c r="E6" s="95"/>
      <c r="I6" s="140">
        <v>8.9234790209790216</v>
      </c>
      <c r="J6" s="36">
        <v>397</v>
      </c>
      <c r="K6" s="89">
        <f t="shared" ref="K6:K8" si="0">J6/I6</f>
        <v>44.489374499189886</v>
      </c>
    </row>
    <row r="7" spans="1:11" x14ac:dyDescent="0.25">
      <c r="A7" s="37" t="s">
        <v>200</v>
      </c>
      <c r="I7" s="140">
        <v>928.74242424242425</v>
      </c>
      <c r="J7" s="36">
        <v>459</v>
      </c>
      <c r="K7" s="140">
        <f t="shared" si="0"/>
        <v>0.49421668270877855</v>
      </c>
    </row>
    <row r="8" spans="1:11" x14ac:dyDescent="0.25">
      <c r="A8" s="94" t="s">
        <v>201</v>
      </c>
      <c r="B8" s="95">
        <v>350</v>
      </c>
      <c r="C8" s="95">
        <v>420</v>
      </c>
      <c r="D8" s="95">
        <v>850</v>
      </c>
      <c r="E8" s="95"/>
      <c r="I8" s="140">
        <v>4.8617499999999998</v>
      </c>
      <c r="J8" s="36">
        <v>389</v>
      </c>
      <c r="K8" s="89">
        <f t="shared" si="0"/>
        <v>80.012341235151951</v>
      </c>
    </row>
    <row r="9" spans="1:11" x14ac:dyDescent="0.25">
      <c r="A9" s="37" t="s">
        <v>202</v>
      </c>
      <c r="B9" s="36">
        <v>45</v>
      </c>
      <c r="C9" s="36">
        <v>55</v>
      </c>
      <c r="D9" s="36">
        <v>130</v>
      </c>
    </row>
    <row r="10" spans="1:11" x14ac:dyDescent="0.25">
      <c r="A10" s="138" t="s">
        <v>203</v>
      </c>
      <c r="B10" s="139">
        <v>30</v>
      </c>
      <c r="C10" s="36">
        <v>20</v>
      </c>
      <c r="D10" s="36">
        <v>75</v>
      </c>
    </row>
    <row r="11" spans="1:11" x14ac:dyDescent="0.25">
      <c r="A11" s="37" t="s">
        <v>204</v>
      </c>
    </row>
    <row r="12" spans="1:11" x14ac:dyDescent="0.25">
      <c r="A12" s="37" t="s">
        <v>205</v>
      </c>
      <c r="B12" s="36">
        <v>3</v>
      </c>
      <c r="C12" s="36">
        <v>0.67</v>
      </c>
      <c r="D12" s="36">
        <v>2.14</v>
      </c>
    </row>
    <row r="13" spans="1:11" x14ac:dyDescent="0.25">
      <c r="A13" s="90" t="s">
        <v>274</v>
      </c>
      <c r="B13" s="91" t="s">
        <v>206</v>
      </c>
      <c r="C13" s="91">
        <v>21</v>
      </c>
      <c r="D13" s="91">
        <v>14.5</v>
      </c>
      <c r="E13" s="91">
        <f>AVERAGE(Table10[[#This Row],[Happy Healthcare]:[Community Health]])</f>
        <v>17.75</v>
      </c>
      <c r="F13" s="144">
        <f>Table10[[#This Row],[Average]]*B10</f>
        <v>532.5</v>
      </c>
      <c r="G13" s="36" t="s">
        <v>270</v>
      </c>
    </row>
    <row r="14" spans="1:11" x14ac:dyDescent="0.25">
      <c r="A14" s="37" t="s">
        <v>207</v>
      </c>
      <c r="B14" s="36">
        <v>10</v>
      </c>
      <c r="C14" s="36">
        <v>30</v>
      </c>
      <c r="D14" s="36">
        <v>35</v>
      </c>
      <c r="F14" s="89"/>
    </row>
    <row r="15" spans="1:11" x14ac:dyDescent="0.25">
      <c r="A15" s="37" t="s">
        <v>208</v>
      </c>
      <c r="B15" s="88">
        <v>500000</v>
      </c>
      <c r="C15" s="88">
        <v>600000</v>
      </c>
      <c r="D15" s="88">
        <v>1100000</v>
      </c>
      <c r="F15" s="89"/>
    </row>
    <row r="16" spans="1:11" x14ac:dyDescent="0.25">
      <c r="A16" s="94" t="s">
        <v>210</v>
      </c>
      <c r="B16" s="95" t="s">
        <v>206</v>
      </c>
      <c r="C16" s="96">
        <f>C12*C13*C14</f>
        <v>422.1</v>
      </c>
      <c r="D16" s="96">
        <f t="shared" ref="D16" si="1">D12*D13*D14</f>
        <v>1086.05</v>
      </c>
      <c r="E16" s="95"/>
      <c r="F16" s="89"/>
    </row>
    <row r="17" spans="1:7" ht="30" x14ac:dyDescent="0.25">
      <c r="A17" s="37" t="s">
        <v>211</v>
      </c>
      <c r="C17" s="89">
        <f>C16+C5</f>
        <v>522.1</v>
      </c>
      <c r="D17" s="89">
        <f>D16+D5</f>
        <v>1086.05</v>
      </c>
      <c r="F17" s="89"/>
    </row>
    <row r="18" spans="1:7" x14ac:dyDescent="0.25">
      <c r="A18" s="90" t="s">
        <v>212</v>
      </c>
      <c r="B18" s="91"/>
      <c r="C18" s="92">
        <f>C17/C8</f>
        <v>1.2430952380952383</v>
      </c>
      <c r="D18" s="92">
        <f>D17/D8</f>
        <v>1.277705882352941</v>
      </c>
      <c r="E18" s="92">
        <f>AVERAGE(Table10[[#This Row],[Happy Healthcare]:[Community Health]])</f>
        <v>1.2604005602240895</v>
      </c>
      <c r="F18" s="89">
        <f>Table10[[#This Row],[Average]]*B8</f>
        <v>441.14019607843136</v>
      </c>
      <c r="G18" s="36" t="s">
        <v>271</v>
      </c>
    </row>
    <row r="19" spans="1:7" x14ac:dyDescent="0.25">
      <c r="A19" s="90" t="s">
        <v>213</v>
      </c>
      <c r="B19" s="91"/>
      <c r="C19" s="92">
        <f>C17/C9</f>
        <v>9.492727272727274</v>
      </c>
      <c r="D19" s="92">
        <f>D17/D9</f>
        <v>8.3542307692307691</v>
      </c>
      <c r="E19" s="92">
        <f>AVERAGE(Table10[[#This Row],[Happy Healthcare]:[Community Health]])</f>
        <v>8.9234790209790216</v>
      </c>
      <c r="F19" s="89">
        <f>Table10[[#This Row],[Average]]*B9</f>
        <v>401.55655594405596</v>
      </c>
    </row>
    <row r="20" spans="1:7" x14ac:dyDescent="0.25">
      <c r="A20" s="90" t="s">
        <v>214</v>
      </c>
      <c r="B20" s="91"/>
      <c r="C20" s="93">
        <f>1000000*C17/C15</f>
        <v>870.16666666666663</v>
      </c>
      <c r="D20" s="93">
        <f>1000000*D17/D15</f>
        <v>987.31818181818187</v>
      </c>
      <c r="E20" s="93">
        <f>AVERAGE(Table10[[#This Row],[Happy Healthcare]:[Community Health]])</f>
        <v>928.74242424242425</v>
      </c>
      <c r="F20" s="89"/>
      <c r="G20" s="36" t="s">
        <v>216</v>
      </c>
    </row>
    <row r="21" spans="1:7" ht="30" x14ac:dyDescent="0.25">
      <c r="A21" s="90" t="s">
        <v>273</v>
      </c>
      <c r="B21" s="91"/>
      <c r="C21" s="92">
        <f>C16/C6</f>
        <v>3.5175000000000001</v>
      </c>
      <c r="D21" s="92">
        <f>D16/D6</f>
        <v>6.2059999999999995</v>
      </c>
      <c r="E21" s="92">
        <f>AVERAGE(Table10[[#This Row],[Happy Healthcare]:[Community Health]])</f>
        <v>4.8617499999999998</v>
      </c>
      <c r="F21" s="144">
        <f>Table10[[#This Row],[Average]]*B6</f>
        <v>388.94</v>
      </c>
      <c r="G21" s="36" t="s">
        <v>217</v>
      </c>
    </row>
    <row r="22" spans="1:7" x14ac:dyDescent="0.25">
      <c r="G22" s="36" t="s">
        <v>218</v>
      </c>
    </row>
    <row r="23" spans="1:7" x14ac:dyDescent="0.25">
      <c r="G23" s="36" t="s">
        <v>219</v>
      </c>
    </row>
  </sheetData>
  <pageMargins left="0.7" right="0.7" top="0.75" bottom="0.75" header="0.3" footer="0.3"/>
  <pageSetup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51654-BC50-4FBA-9EB7-DE5306A9C9C9}">
  <dimension ref="A1:N32"/>
  <sheetViews>
    <sheetView workbookViewId="0">
      <selection activeCell="F28" sqref="F28"/>
    </sheetView>
  </sheetViews>
  <sheetFormatPr defaultRowHeight="15" x14ac:dyDescent="0.25"/>
  <cols>
    <col min="1" max="2" width="12.85546875" customWidth="1"/>
    <col min="3" max="3" width="9.85546875" customWidth="1"/>
    <col min="4" max="4" width="14.5703125" customWidth="1"/>
    <col min="5" max="5" width="11.42578125" bestFit="1" customWidth="1"/>
    <col min="8" max="8" width="26.5703125" customWidth="1"/>
    <col min="9" max="9" width="9" style="157" bestFit="1" customWidth="1"/>
  </cols>
  <sheetData>
    <row r="1" spans="1:14" x14ac:dyDescent="0.25">
      <c r="A1" t="s">
        <v>275</v>
      </c>
    </row>
    <row r="2" spans="1:14" x14ac:dyDescent="0.25">
      <c r="B2" s="149" t="s">
        <v>284</v>
      </c>
      <c r="C2" s="3">
        <v>0.1</v>
      </c>
      <c r="H2" t="s">
        <v>174</v>
      </c>
      <c r="I2" s="157" t="s">
        <v>307</v>
      </c>
      <c r="J2" s="4">
        <v>0.11</v>
      </c>
    </row>
    <row r="3" spans="1:14" x14ac:dyDescent="0.25">
      <c r="A3" t="s">
        <v>279</v>
      </c>
    </row>
    <row r="5" spans="1:14" ht="31.5" x14ac:dyDescent="0.35">
      <c r="A5" s="145" t="s">
        <v>276</v>
      </c>
      <c r="B5" s="146" t="s">
        <v>277</v>
      </c>
      <c r="C5" t="s">
        <v>278</v>
      </c>
      <c r="D5" s="145" t="s">
        <v>287</v>
      </c>
      <c r="H5" s="8" t="s">
        <v>302</v>
      </c>
      <c r="I5" s="158" t="s">
        <v>304</v>
      </c>
      <c r="J5" s="102" t="s">
        <v>185</v>
      </c>
      <c r="K5" t="s">
        <v>186</v>
      </c>
      <c r="L5" t="s">
        <v>187</v>
      </c>
      <c r="M5" t="s">
        <v>188</v>
      </c>
      <c r="N5" t="s">
        <v>189</v>
      </c>
    </row>
    <row r="6" spans="1:14" ht="30" x14ac:dyDescent="0.25">
      <c r="A6" s="145">
        <v>0</v>
      </c>
      <c r="B6" s="150">
        <v>6.8</v>
      </c>
      <c r="C6" s="145"/>
      <c r="D6" s="148">
        <f>Table14[[#This Row],[Arras Assets ($M)]]/(1+C$2)^Table14[[#This Row],[Time]]</f>
        <v>6.8</v>
      </c>
      <c r="H6" s="84" t="s">
        <v>192</v>
      </c>
      <c r="I6" s="159">
        <v>0.1</v>
      </c>
      <c r="J6" s="133">
        <v>17.3</v>
      </c>
      <c r="K6" s="131">
        <f>Table1117[[#This Row],[1]]*(1 +Table1117[[#This Row],[%]])</f>
        <v>19.03</v>
      </c>
      <c r="L6" s="131">
        <f>Table1117[[#This Row],[2]]*(1 +Table1117[[#This Row],[%]] )</f>
        <v>20.933000000000003</v>
      </c>
      <c r="M6" s="131">
        <f>Table1117[[#This Row],[3]]*(1 +Table1117[[#This Row],[%]])</f>
        <v>23.026300000000006</v>
      </c>
      <c r="N6" s="131">
        <f>Table1117[[#This Row],[4]]*(1 +Table1117[[#This Row],[%]])</f>
        <v>25.32893000000001</v>
      </c>
    </row>
    <row r="7" spans="1:14" x14ac:dyDescent="0.25">
      <c r="A7" s="145">
        <v>1</v>
      </c>
      <c r="B7" s="148">
        <f>B6*(1+C7)</f>
        <v>7.3440000000000003</v>
      </c>
      <c r="C7" s="151">
        <v>0.08</v>
      </c>
      <c r="D7" s="148">
        <f>Table14[[#This Row],[Arras Assets ($M)]]/(1+C$2)^Table14[[#This Row],[Time]]</f>
        <v>6.6763636363636358</v>
      </c>
      <c r="H7" s="156" t="s">
        <v>303</v>
      </c>
      <c r="I7" s="160">
        <v>0.21</v>
      </c>
      <c r="J7" s="134">
        <f>Table1117[[#This Row],[%]]*J6</f>
        <v>3.633</v>
      </c>
      <c r="K7" s="134">
        <f>Table1117[[#This Row],[%]]*K6</f>
        <v>3.9963000000000002</v>
      </c>
      <c r="L7" s="134">
        <f>Table1117[[#This Row],[%]]*L6</f>
        <v>4.3959300000000008</v>
      </c>
      <c r="M7" s="134">
        <f>Table1117[[#This Row],[%]]*M6</f>
        <v>4.8355230000000011</v>
      </c>
      <c r="N7" s="134">
        <f>Table1117[[#This Row],[%]]*N6</f>
        <v>5.3190753000000024</v>
      </c>
    </row>
    <row r="8" spans="1:14" x14ac:dyDescent="0.25">
      <c r="A8" s="145">
        <v>2</v>
      </c>
      <c r="B8" s="148">
        <f t="shared" ref="B8:B11" si="0">B7*(1+C8)</f>
        <v>7.9315200000000008</v>
      </c>
      <c r="C8" s="151">
        <v>0.08</v>
      </c>
      <c r="D8" s="148">
        <f>Table14[[#This Row],[Arras Assets ($M)]]/(1+C$2)^Table14[[#This Row],[Time]]</f>
        <v>6.5549752066115703</v>
      </c>
      <c r="H8" s="114" t="s">
        <v>182</v>
      </c>
      <c r="I8" s="161"/>
      <c r="J8" s="86">
        <f>J6-J7</f>
        <v>13.667000000000002</v>
      </c>
      <c r="K8" s="86">
        <f t="shared" ref="K8:N8" si="1">K6-K7</f>
        <v>15.033700000000001</v>
      </c>
      <c r="L8" s="86">
        <f t="shared" si="1"/>
        <v>16.537070000000003</v>
      </c>
      <c r="M8" s="86">
        <f t="shared" si="1"/>
        <v>18.190777000000004</v>
      </c>
      <c r="N8" s="87">
        <f t="shared" si="1"/>
        <v>20.009854700000009</v>
      </c>
    </row>
    <row r="9" spans="1:14" x14ac:dyDescent="0.25">
      <c r="A9" s="145">
        <v>3</v>
      </c>
      <c r="B9" s="148">
        <f t="shared" si="0"/>
        <v>8.5660416000000019</v>
      </c>
      <c r="C9" s="151">
        <v>0.08</v>
      </c>
      <c r="D9" s="148">
        <f>Table14[[#This Row],[Arras Assets ($M)]]/(1+C$2)^Table14[[#This Row],[Time]]</f>
        <v>6.4357938392186318</v>
      </c>
      <c r="H9" s="125" t="s">
        <v>190</v>
      </c>
      <c r="I9" s="162">
        <v>0.08</v>
      </c>
      <c r="J9" s="126">
        <f>J6*Table1117[[#This Row],[%]]</f>
        <v>1.3840000000000001</v>
      </c>
      <c r="K9" s="126">
        <f>K6*Table1117[[#This Row],[%]]</f>
        <v>1.5224000000000002</v>
      </c>
      <c r="L9" s="126">
        <f>L6*Table1117[[#This Row],[%]]</f>
        <v>1.6746400000000004</v>
      </c>
      <c r="M9" s="126">
        <f>M6*Table1117[[#This Row],[%]]</f>
        <v>1.8421040000000006</v>
      </c>
      <c r="N9" s="127">
        <f>N6*Table1117[[#This Row],[%]]</f>
        <v>2.0263144000000008</v>
      </c>
    </row>
    <row r="10" spans="1:14" ht="30" x14ac:dyDescent="0.25">
      <c r="A10" s="145">
        <v>4</v>
      </c>
      <c r="B10" s="148">
        <f t="shared" si="0"/>
        <v>9.2513249280000025</v>
      </c>
      <c r="C10" s="151">
        <v>0.08</v>
      </c>
      <c r="D10" s="148">
        <f>Table14[[#This Row],[Arras Assets ($M)]]/(1+C$2)^Table14[[#This Row],[Time]]</f>
        <v>6.3187794057782938</v>
      </c>
      <c r="H10" s="128" t="s">
        <v>305</v>
      </c>
      <c r="I10" s="163">
        <v>0.15</v>
      </c>
      <c r="J10" s="129">
        <f>Table1117[[#This Row],[%]]*J6</f>
        <v>2.5950000000000002</v>
      </c>
      <c r="K10" s="129">
        <f>Table1117[[#This Row],[%]]*K6</f>
        <v>2.8545000000000003</v>
      </c>
      <c r="L10" s="129">
        <f>Table1117[[#This Row],[%]]*L6</f>
        <v>3.1399500000000002</v>
      </c>
      <c r="M10" s="129">
        <f>Table1117[[#This Row],[%]]*M6</f>
        <v>3.4539450000000009</v>
      </c>
      <c r="N10" s="130">
        <f>Table1117[[#This Row],[%]]*N6</f>
        <v>3.7993395000000012</v>
      </c>
    </row>
    <row r="11" spans="1:14" ht="30" x14ac:dyDescent="0.25">
      <c r="A11" s="145">
        <v>5</v>
      </c>
      <c r="B11" s="148">
        <f t="shared" si="0"/>
        <v>9.9914309222400028</v>
      </c>
      <c r="C11" s="151">
        <v>0.08</v>
      </c>
      <c r="D11" s="148">
        <f>Table14[[#This Row],[Arras Assets ($M)]]/(1+C$2)^Table14[[#This Row],[Time]]</f>
        <v>6.2038925074914157</v>
      </c>
      <c r="H11" s="128" t="s">
        <v>306</v>
      </c>
      <c r="I11" s="163">
        <v>0.09</v>
      </c>
      <c r="J11" s="129">
        <f>Table1117[[#This Row],[%]]*J6</f>
        <v>1.5569999999999999</v>
      </c>
      <c r="K11" s="129">
        <f>Table1117[[#This Row],[%]]*K6</f>
        <v>1.7127000000000001</v>
      </c>
      <c r="L11" s="129">
        <f>Table1117[[#This Row],[%]]*L6</f>
        <v>1.8839700000000001</v>
      </c>
      <c r="M11" s="129">
        <f>Table1117[[#This Row],[%]]*M6</f>
        <v>2.0723670000000003</v>
      </c>
      <c r="N11" s="130">
        <f>Table1117[[#This Row],[%]]*N6</f>
        <v>2.2796037000000009</v>
      </c>
    </row>
    <row r="12" spans="1:14" x14ac:dyDescent="0.25">
      <c r="A12" s="145">
        <v>6</v>
      </c>
      <c r="B12" s="148">
        <f>B11*(1+C12)</f>
        <v>10.391088159129604</v>
      </c>
      <c r="C12" s="151">
        <v>0.04</v>
      </c>
      <c r="D12" s="148">
        <f>Table14[[#This Row],[Arras Assets ($M)]]/(1+C$2)^Table14[[#This Row],[Time]]</f>
        <v>5.8654983707191564</v>
      </c>
      <c r="H12" s="115" t="s">
        <v>184</v>
      </c>
      <c r="I12" s="164"/>
      <c r="J12" s="123">
        <f>J8+J9-J10-J11</f>
        <v>10.899000000000001</v>
      </c>
      <c r="K12" s="123">
        <f t="shared" ref="K12:M12" si="2">K8+K9-K10-K11</f>
        <v>11.988900000000001</v>
      </c>
      <c r="L12" s="123">
        <f t="shared" si="2"/>
        <v>13.187790000000003</v>
      </c>
      <c r="M12" s="123">
        <f t="shared" si="2"/>
        <v>14.506569000000002</v>
      </c>
      <c r="N12" s="124">
        <f>N8+N9-N10-N11</f>
        <v>15.957225900000006</v>
      </c>
    </row>
    <row r="13" spans="1:14" x14ac:dyDescent="0.25">
      <c r="H13" s="136" t="s">
        <v>47</v>
      </c>
      <c r="I13" s="165"/>
      <c r="J13" s="137">
        <f>J12/(1+$J$2)^Table1117[[#Headers],[1]]</f>
        <v>9.8189189189189197</v>
      </c>
      <c r="K13" s="137">
        <f>K12/(1+$J$2)^Table1117[[#Headers],[2]]</f>
        <v>9.7304601899196488</v>
      </c>
      <c r="L13" s="137">
        <f>L12/(1+$J$2)^Table1117[[#Headers],[3]]</f>
        <v>9.6427983864068594</v>
      </c>
      <c r="M13" s="137">
        <f>M12/(1+$J$2)^Table1117[[#Headers],[4]]</f>
        <v>9.5559263288716618</v>
      </c>
      <c r="N13" s="137">
        <f>N12/(1+$J$2)^Table1117[[#Headers],[5]]</f>
        <v>9.469836902485433</v>
      </c>
    </row>
    <row r="14" spans="1:14" x14ac:dyDescent="0.25">
      <c r="A14" t="s">
        <v>280</v>
      </c>
    </row>
    <row r="16" spans="1:14" x14ac:dyDescent="0.25">
      <c r="A16" t="s">
        <v>282</v>
      </c>
    </row>
    <row r="17" spans="1:9" ht="23.25" x14ac:dyDescent="0.25">
      <c r="A17" t="s">
        <v>281</v>
      </c>
      <c r="B17" s="147">
        <f>B12/(0.1-C12)</f>
        <v>173.18480265216004</v>
      </c>
      <c r="H17" s="167" t="s">
        <v>308</v>
      </c>
    </row>
    <row r="18" spans="1:9" ht="23.25" x14ac:dyDescent="0.25">
      <c r="H18" s="167" t="s">
        <v>308</v>
      </c>
      <c r="I18" s="14">
        <f>N12*(1+0.03)/(0.11-0.03)</f>
        <v>205.44928346250009</v>
      </c>
    </row>
    <row r="19" spans="1:9" ht="20.25" x14ac:dyDescent="0.25">
      <c r="A19" t="s">
        <v>283</v>
      </c>
      <c r="H19" s="167" t="s">
        <v>309</v>
      </c>
      <c r="I19" s="168">
        <f>I18/(1+J2)^5</f>
        <v>121.92415011949994</v>
      </c>
    </row>
    <row r="21" spans="1:9" ht="20.25" x14ac:dyDescent="0.25">
      <c r="A21" s="152" t="s">
        <v>285</v>
      </c>
      <c r="H21" s="167" t="s">
        <v>310</v>
      </c>
      <c r="I21" s="168">
        <f>SUM(J13:N13) + I19</f>
        <v>170.14209084610246</v>
      </c>
    </row>
    <row r="23" spans="1:9" ht="18.75" x14ac:dyDescent="0.25">
      <c r="A23" s="153"/>
    </row>
    <row r="24" spans="1:9" ht="20.25" x14ac:dyDescent="0.25">
      <c r="A24" s="153" t="s">
        <v>286</v>
      </c>
      <c r="B24" s="147">
        <f>SUM(D7:D11) + B17/(1+C2)^A11</f>
        <v>139.72394139198141</v>
      </c>
    </row>
    <row r="26" spans="1:9" x14ac:dyDescent="0.25">
      <c r="A26" t="s">
        <v>288</v>
      </c>
    </row>
    <row r="28" spans="1:9" x14ac:dyDescent="0.25">
      <c r="A28" t="s">
        <v>290</v>
      </c>
      <c r="C28" s="147">
        <f>B24-30</f>
        <v>109.72394139198141</v>
      </c>
    </row>
    <row r="30" spans="1:9" x14ac:dyDescent="0.25">
      <c r="A30" t="s">
        <v>289</v>
      </c>
    </row>
    <row r="32" spans="1:9" x14ac:dyDescent="0.25">
      <c r="A32" t="s">
        <v>291</v>
      </c>
      <c r="E32" s="63" t="s">
        <v>292</v>
      </c>
      <c r="F32">
        <f xml:space="preserve"> 109.72/2.5</f>
        <v>43.887999999999998</v>
      </c>
    </row>
  </sheetData>
  <pageMargins left="0.7" right="0.7" top="0.75" bottom="0.75" header="0.3" footer="0.3"/>
  <pageSetup orientation="portrait" r:id="rId1"/>
  <drawing r:id="rId2"/>
  <tableParts count="2">
    <tablePart r:id="rId3"/>
    <tablePart r:id="rId4"/>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8124-B37B-435E-981F-ACB7D27C1936}">
  <dimension ref="A2:H28"/>
  <sheetViews>
    <sheetView workbookViewId="0">
      <selection activeCell="B23" sqref="B23"/>
    </sheetView>
  </sheetViews>
  <sheetFormatPr defaultRowHeight="15" x14ac:dyDescent="0.25"/>
  <cols>
    <col min="1" max="1" width="37.85546875" customWidth="1"/>
    <col min="2" max="2" width="13.140625" customWidth="1"/>
    <col min="3" max="3" width="12.5703125" customWidth="1"/>
    <col min="6" max="6" width="21.7109375" style="8" customWidth="1"/>
    <col min="7" max="7" width="13.140625" customWidth="1"/>
    <col min="8" max="8" width="12.5703125" customWidth="1"/>
  </cols>
  <sheetData>
    <row r="2" spans="1:8" x14ac:dyDescent="0.25">
      <c r="A2" s="188" t="s">
        <v>251</v>
      </c>
      <c r="B2" s="188" t="s">
        <v>252</v>
      </c>
      <c r="C2" s="188" t="s">
        <v>316</v>
      </c>
      <c r="F2" s="175" t="s">
        <v>197</v>
      </c>
      <c r="G2" s="176" t="s">
        <v>252</v>
      </c>
      <c r="H2" s="177" t="s">
        <v>316</v>
      </c>
    </row>
    <row r="3" spans="1:8" x14ac:dyDescent="0.25">
      <c r="A3" s="108" t="s">
        <v>245</v>
      </c>
      <c r="B3" s="172">
        <v>100000</v>
      </c>
      <c r="C3" s="172">
        <v>100000</v>
      </c>
      <c r="F3" s="8" t="s">
        <v>255</v>
      </c>
      <c r="G3" s="103">
        <v>10000</v>
      </c>
      <c r="H3" s="103">
        <v>15000</v>
      </c>
    </row>
    <row r="4" spans="1:8" x14ac:dyDescent="0.25">
      <c r="A4" s="63" t="s">
        <v>248</v>
      </c>
      <c r="B4" s="104">
        <v>-70000</v>
      </c>
      <c r="C4" s="104">
        <v>-65000</v>
      </c>
      <c r="F4" s="8" t="s">
        <v>256</v>
      </c>
      <c r="G4" s="104">
        <v>98000</v>
      </c>
      <c r="H4" s="104">
        <v>147000</v>
      </c>
    </row>
    <row r="5" spans="1:8" x14ac:dyDescent="0.25">
      <c r="A5" s="63" t="s">
        <v>249</v>
      </c>
      <c r="B5" s="104">
        <v>-8000</v>
      </c>
      <c r="C5" s="104">
        <v>-10000</v>
      </c>
      <c r="F5" s="8" t="s">
        <v>257</v>
      </c>
      <c r="G5" s="104">
        <v>2000</v>
      </c>
      <c r="H5" s="104">
        <v>3000</v>
      </c>
    </row>
    <row r="6" spans="1:8" x14ac:dyDescent="0.25">
      <c r="A6" s="63" t="s">
        <v>250</v>
      </c>
      <c r="B6" s="104">
        <v>-2000</v>
      </c>
      <c r="C6" s="104">
        <v>-1000</v>
      </c>
      <c r="F6" s="112" t="s">
        <v>258</v>
      </c>
      <c r="G6" s="110">
        <v>110000</v>
      </c>
      <c r="H6" s="111">
        <v>165000</v>
      </c>
    </row>
    <row r="7" spans="1:8" x14ac:dyDescent="0.25">
      <c r="A7" s="108" t="s">
        <v>246</v>
      </c>
      <c r="B7" s="109">
        <v>20000</v>
      </c>
      <c r="C7" s="109">
        <v>24000</v>
      </c>
      <c r="F7" s="8" t="s">
        <v>199</v>
      </c>
      <c r="G7" s="103">
        <v>40000</v>
      </c>
      <c r="H7" s="103">
        <v>40000</v>
      </c>
    </row>
    <row r="8" spans="1:8" x14ac:dyDescent="0.25">
      <c r="A8" t="s">
        <v>247</v>
      </c>
      <c r="B8" s="104">
        <v>-7000</v>
      </c>
      <c r="C8" s="104">
        <v>-8400</v>
      </c>
      <c r="F8" s="8" t="s">
        <v>259</v>
      </c>
      <c r="G8" s="103">
        <v>70000</v>
      </c>
      <c r="H8" s="103">
        <v>125000</v>
      </c>
    </row>
    <row r="9" spans="1:8" x14ac:dyDescent="0.25">
      <c r="A9" s="108" t="s">
        <v>254</v>
      </c>
      <c r="B9" s="172">
        <v>13000</v>
      </c>
      <c r="C9" s="172">
        <v>15600</v>
      </c>
      <c r="F9" s="112" t="s">
        <v>260</v>
      </c>
      <c r="G9" s="110">
        <v>110000</v>
      </c>
      <c r="H9" s="111">
        <v>165000</v>
      </c>
    </row>
    <row r="10" spans="1:8" x14ac:dyDescent="0.25">
      <c r="A10" s="189" t="s">
        <v>317</v>
      </c>
      <c r="B10" s="190">
        <f>B9/B3</f>
        <v>0.13</v>
      </c>
      <c r="C10" s="191">
        <f>C9/C3</f>
        <v>0.156</v>
      </c>
      <c r="F10" s="192" t="s">
        <v>261</v>
      </c>
      <c r="G10" s="193"/>
      <c r="H10" s="194"/>
    </row>
    <row r="14" spans="1:8" x14ac:dyDescent="0.25">
      <c r="F14" s="183" t="s">
        <v>251</v>
      </c>
      <c r="G14" s="184" t="s">
        <v>252</v>
      </c>
      <c r="H14" s="185" t="s">
        <v>316</v>
      </c>
    </row>
    <row r="15" spans="1:8" x14ac:dyDescent="0.25">
      <c r="F15" s="195" t="s">
        <v>245</v>
      </c>
      <c r="G15" s="196">
        <v>100000</v>
      </c>
      <c r="H15" s="197">
        <v>100000</v>
      </c>
    </row>
    <row r="16" spans="1:8" x14ac:dyDescent="0.25">
      <c r="F16" s="178" t="s">
        <v>197</v>
      </c>
      <c r="G16" s="179" t="s">
        <v>252</v>
      </c>
      <c r="H16" s="180" t="s">
        <v>253</v>
      </c>
    </row>
    <row r="17" spans="6:8" x14ac:dyDescent="0.25">
      <c r="F17" s="195" t="s">
        <v>263</v>
      </c>
      <c r="G17" s="196">
        <v>110000</v>
      </c>
      <c r="H17" s="197">
        <v>165000</v>
      </c>
    </row>
    <row r="18" spans="6:8" ht="30" x14ac:dyDescent="0.25">
      <c r="F18" s="181" t="s">
        <v>318</v>
      </c>
      <c r="G18" s="182">
        <f>G15/G17</f>
        <v>0.90909090909090906</v>
      </c>
      <c r="H18" s="182">
        <f>H15/H17</f>
        <v>0.60606060606060608</v>
      </c>
    </row>
    <row r="21" spans="6:8" x14ac:dyDescent="0.25">
      <c r="F21" s="183" t="s">
        <v>251</v>
      </c>
      <c r="G21" s="184" t="s">
        <v>252</v>
      </c>
      <c r="H21" s="185" t="s">
        <v>316</v>
      </c>
    </row>
    <row r="22" spans="6:8" x14ac:dyDescent="0.25">
      <c r="F22" s="195" t="s">
        <v>245</v>
      </c>
      <c r="G22" s="196">
        <v>100000</v>
      </c>
      <c r="H22" s="197">
        <v>100000</v>
      </c>
    </row>
    <row r="23" spans="6:8" ht="30" x14ac:dyDescent="0.25">
      <c r="F23" s="195" t="s">
        <v>254</v>
      </c>
      <c r="G23" s="196">
        <v>13000</v>
      </c>
      <c r="H23" s="197">
        <v>15600</v>
      </c>
    </row>
    <row r="24" spans="6:8" x14ac:dyDescent="0.25">
      <c r="F24" s="178" t="s">
        <v>197</v>
      </c>
      <c r="G24" s="179" t="s">
        <v>252</v>
      </c>
      <c r="H24" s="180" t="s">
        <v>316</v>
      </c>
    </row>
    <row r="25" spans="6:8" x14ac:dyDescent="0.25">
      <c r="F25" s="195" t="s">
        <v>263</v>
      </c>
      <c r="G25" s="196">
        <v>110000</v>
      </c>
      <c r="H25" s="197">
        <v>165000</v>
      </c>
    </row>
    <row r="26" spans="6:8" ht="30" x14ac:dyDescent="0.25">
      <c r="F26" s="186" t="s">
        <v>317</v>
      </c>
      <c r="G26" s="187">
        <f>G23/G22</f>
        <v>0.13</v>
      </c>
      <c r="H26" s="187">
        <f>H23/H22</f>
        <v>0.156</v>
      </c>
    </row>
    <row r="27" spans="6:8" ht="30" x14ac:dyDescent="0.25">
      <c r="F27" s="181" t="s">
        <v>318</v>
      </c>
      <c r="G27" s="182">
        <f>G22/G25</f>
        <v>0.90909090909090906</v>
      </c>
      <c r="H27" s="182">
        <f>H22/H25</f>
        <v>0.60606060606060608</v>
      </c>
    </row>
    <row r="28" spans="6:8" x14ac:dyDescent="0.25">
      <c r="F28" s="173" t="s">
        <v>262</v>
      </c>
      <c r="G28" s="174">
        <f>G23/G25</f>
        <v>0.11818181818181818</v>
      </c>
      <c r="H28" s="174">
        <f>H23/H25</f>
        <v>9.4545454545454544E-2</v>
      </c>
    </row>
  </sheetData>
  <pageMargins left="0.7" right="0.7" top="0.75" bottom="0.75" header="0.3" footer="0.3"/>
  <pageSetup orientation="portrait" r:id="rId1"/>
  <tableParts count="2">
    <tablePart r:id="rId2"/>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66D4-2481-4B67-880D-4517055CF123}">
  <dimension ref="A1:C21"/>
  <sheetViews>
    <sheetView workbookViewId="0">
      <selection activeCell="F10" sqref="F10"/>
    </sheetView>
  </sheetViews>
  <sheetFormatPr defaultRowHeight="15" x14ac:dyDescent="0.25"/>
  <cols>
    <col min="1" max="1" width="31.42578125" customWidth="1"/>
    <col min="2" max="2" width="13.140625" customWidth="1"/>
    <col min="3" max="3" width="12.28515625" customWidth="1"/>
  </cols>
  <sheetData>
    <row r="1" spans="1:3" x14ac:dyDescent="0.25">
      <c r="A1" t="s">
        <v>319</v>
      </c>
    </row>
    <row r="4" spans="1:3" x14ac:dyDescent="0.25">
      <c r="A4" s="175" t="s">
        <v>197</v>
      </c>
      <c r="B4" s="176" t="s">
        <v>252</v>
      </c>
      <c r="C4" s="177" t="s">
        <v>316</v>
      </c>
    </row>
    <row r="5" spans="1:3" x14ac:dyDescent="0.25">
      <c r="A5" s="8" t="s">
        <v>255</v>
      </c>
      <c r="B5" s="103">
        <v>10000</v>
      </c>
      <c r="C5" s="103">
        <v>15000</v>
      </c>
    </row>
    <row r="6" spans="1:3" x14ac:dyDescent="0.25">
      <c r="A6" s="8" t="s">
        <v>256</v>
      </c>
      <c r="B6" s="104">
        <v>98000</v>
      </c>
      <c r="C6" s="104">
        <v>147000</v>
      </c>
    </row>
    <row r="7" spans="1:3" x14ac:dyDescent="0.25">
      <c r="A7" s="8" t="s">
        <v>257</v>
      </c>
      <c r="B7" s="104">
        <v>2000</v>
      </c>
      <c r="C7" s="104">
        <v>3000</v>
      </c>
    </row>
    <row r="8" spans="1:3" x14ac:dyDescent="0.25">
      <c r="A8" s="112" t="s">
        <v>258</v>
      </c>
      <c r="B8" s="110">
        <v>110000</v>
      </c>
      <c r="C8" s="111">
        <v>165000</v>
      </c>
    </row>
    <row r="9" spans="1:3" x14ac:dyDescent="0.25">
      <c r="A9" s="8" t="s">
        <v>199</v>
      </c>
      <c r="B9" s="103">
        <v>40000</v>
      </c>
      <c r="C9" s="103">
        <v>40000</v>
      </c>
    </row>
    <row r="10" spans="1:3" x14ac:dyDescent="0.25">
      <c r="A10" s="8" t="s">
        <v>259</v>
      </c>
      <c r="B10" s="103">
        <v>70000</v>
      </c>
      <c r="C10" s="103">
        <v>125000</v>
      </c>
    </row>
    <row r="11" spans="1:3" x14ac:dyDescent="0.25">
      <c r="A11" s="112" t="s">
        <v>260</v>
      </c>
      <c r="B11" s="110">
        <v>110000</v>
      </c>
      <c r="C11" s="111">
        <v>165000</v>
      </c>
    </row>
    <row r="12" spans="1:3" x14ac:dyDescent="0.25">
      <c r="A12" s="183" t="s">
        <v>251</v>
      </c>
      <c r="B12" s="184" t="s">
        <v>252</v>
      </c>
      <c r="C12" s="185" t="s">
        <v>316</v>
      </c>
    </row>
    <row r="13" spans="1:3" x14ac:dyDescent="0.25">
      <c r="A13" s="195" t="s">
        <v>245</v>
      </c>
      <c r="B13" s="196">
        <v>100000</v>
      </c>
      <c r="C13" s="197">
        <v>100000</v>
      </c>
    </row>
    <row r="14" spans="1:3" ht="30" x14ac:dyDescent="0.25">
      <c r="A14" s="195" t="s">
        <v>323</v>
      </c>
      <c r="B14" s="196">
        <v>13000</v>
      </c>
      <c r="C14" s="197">
        <v>15600</v>
      </c>
    </row>
    <row r="15" spans="1:3" x14ac:dyDescent="0.25">
      <c r="A15" s="235" t="s">
        <v>312</v>
      </c>
      <c r="B15" s="236">
        <v>0.1</v>
      </c>
      <c r="C15" s="236">
        <v>0.1</v>
      </c>
    </row>
    <row r="16" spans="1:3" ht="18.75" x14ac:dyDescent="0.3">
      <c r="A16" s="198" t="s">
        <v>320</v>
      </c>
      <c r="B16" s="201"/>
      <c r="C16" s="201"/>
    </row>
    <row r="17" spans="1:3" x14ac:dyDescent="0.25">
      <c r="A17" s="199" t="s">
        <v>321</v>
      </c>
      <c r="B17" s="200">
        <f>B11*B15</f>
        <v>11000</v>
      </c>
      <c r="C17" s="200">
        <f>C11*$C15</f>
        <v>16500</v>
      </c>
    </row>
    <row r="18" spans="1:3" x14ac:dyDescent="0.25">
      <c r="A18" s="199" t="s">
        <v>322</v>
      </c>
      <c r="B18" s="200">
        <f>B14-B17</f>
        <v>2000</v>
      </c>
      <c r="C18" s="200">
        <f>C14-C17</f>
        <v>-900</v>
      </c>
    </row>
    <row r="19" spans="1:3" ht="18.75" x14ac:dyDescent="0.3">
      <c r="A19" s="202" t="s">
        <v>324</v>
      </c>
      <c r="B19" s="103"/>
      <c r="C19" s="103"/>
    </row>
    <row r="20" spans="1:3" ht="30" x14ac:dyDescent="0.25">
      <c r="A20" s="199" t="s">
        <v>326</v>
      </c>
      <c r="B20" s="119">
        <f>B14/B11</f>
        <v>0.11818181818181818</v>
      </c>
      <c r="C20" s="119">
        <f>C14/C11</f>
        <v>9.4545454545454544E-2</v>
      </c>
    </row>
    <row r="21" spans="1:3" x14ac:dyDescent="0.25">
      <c r="A21" s="199" t="s">
        <v>325</v>
      </c>
      <c r="B21" s="200">
        <f>(B20-$B15)*B11</f>
        <v>1999.9999999999991</v>
      </c>
      <c r="C21" s="200">
        <f>(C20-$C15)*C11</f>
        <v>-900.00000000000125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B3469-2E4D-4CBC-9B71-4CA4D7D210E1}">
  <dimension ref="A2:N17"/>
  <sheetViews>
    <sheetView workbookViewId="0">
      <selection activeCell="Q21" sqref="Q21"/>
    </sheetView>
  </sheetViews>
  <sheetFormatPr defaultRowHeight="15" x14ac:dyDescent="0.25"/>
  <cols>
    <col min="1" max="1" width="23.42578125" bestFit="1" customWidth="1"/>
    <col min="9" max="9" width="30.140625" bestFit="1" customWidth="1"/>
  </cols>
  <sheetData>
    <row r="2" spans="1:14" x14ac:dyDescent="0.25">
      <c r="A2" t="s">
        <v>293</v>
      </c>
      <c r="B2" t="s">
        <v>300</v>
      </c>
      <c r="C2" t="s">
        <v>185</v>
      </c>
      <c r="D2" t="s">
        <v>186</v>
      </c>
      <c r="E2" t="s">
        <v>187</v>
      </c>
      <c r="F2" t="s">
        <v>188</v>
      </c>
      <c r="I2" s="105" t="s">
        <v>311</v>
      </c>
      <c r="J2" s="106">
        <v>0</v>
      </c>
      <c r="K2" s="106">
        <v>1</v>
      </c>
      <c r="L2" s="106">
        <v>2</v>
      </c>
      <c r="M2" s="106">
        <v>3</v>
      </c>
      <c r="N2" s="107">
        <v>4</v>
      </c>
    </row>
    <row r="3" spans="1:14" x14ac:dyDescent="0.25">
      <c r="A3" t="s">
        <v>294</v>
      </c>
      <c r="B3" s="70">
        <v>-100</v>
      </c>
      <c r="I3" s="166" t="s">
        <v>327</v>
      </c>
      <c r="J3" s="169"/>
      <c r="K3" s="203">
        <v>100</v>
      </c>
      <c r="L3" s="203">
        <v>75</v>
      </c>
      <c r="M3" s="203">
        <v>50</v>
      </c>
      <c r="N3" s="204">
        <v>25</v>
      </c>
    </row>
    <row r="4" spans="1:14" x14ac:dyDescent="0.25">
      <c r="A4" t="s">
        <v>295</v>
      </c>
      <c r="C4" s="154">
        <v>80</v>
      </c>
      <c r="D4" s="154">
        <v>80</v>
      </c>
      <c r="E4" s="154">
        <v>80</v>
      </c>
      <c r="F4" s="154">
        <v>80</v>
      </c>
      <c r="I4" s="166" t="s">
        <v>312</v>
      </c>
      <c r="J4" s="169"/>
      <c r="K4" s="206">
        <v>0.1</v>
      </c>
      <c r="L4" s="206">
        <v>0.1</v>
      </c>
      <c r="M4" s="206">
        <v>0.1</v>
      </c>
      <c r="N4" s="206">
        <v>0.1</v>
      </c>
    </row>
    <row r="5" spans="1:14" x14ac:dyDescent="0.25">
      <c r="A5" t="s">
        <v>296</v>
      </c>
      <c r="C5" s="3">
        <v>13.33</v>
      </c>
      <c r="D5" s="3">
        <v>13.33</v>
      </c>
      <c r="E5" s="3">
        <v>13.33</v>
      </c>
      <c r="F5" s="3">
        <v>13.33</v>
      </c>
      <c r="I5" s="166" t="s">
        <v>313</v>
      </c>
      <c r="J5" s="169"/>
      <c r="K5" s="170">
        <f>K3*K4</f>
        <v>10</v>
      </c>
      <c r="L5" s="170">
        <f t="shared" ref="L5:N5" si="0">L3*L4</f>
        <v>7.5</v>
      </c>
      <c r="M5" s="170">
        <f t="shared" si="0"/>
        <v>5</v>
      </c>
      <c r="N5" s="170">
        <f t="shared" si="0"/>
        <v>2.5</v>
      </c>
    </row>
    <row r="6" spans="1:14" x14ac:dyDescent="0.25">
      <c r="A6" t="s">
        <v>151</v>
      </c>
      <c r="C6" s="3">
        <v>25</v>
      </c>
      <c r="D6" s="3">
        <v>25</v>
      </c>
      <c r="E6" s="3">
        <v>25</v>
      </c>
      <c r="F6" s="3">
        <v>25</v>
      </c>
      <c r="I6" s="166" t="s">
        <v>328</v>
      </c>
      <c r="J6" s="169"/>
      <c r="K6" s="203">
        <v>25</v>
      </c>
      <c r="L6" s="203">
        <v>25</v>
      </c>
      <c r="M6" s="203">
        <v>25</v>
      </c>
      <c r="N6" s="203">
        <v>25</v>
      </c>
    </row>
    <row r="7" spans="1:14" x14ac:dyDescent="0.25">
      <c r="A7" s="108" t="s">
        <v>297</v>
      </c>
      <c r="B7" s="108"/>
      <c r="C7" s="155">
        <f>C4-C5-C6</f>
        <v>41.67</v>
      </c>
      <c r="D7" s="155">
        <f t="shared" ref="D7:F7" si="1">D4-D5-D6</f>
        <v>41.67</v>
      </c>
      <c r="E7" s="155">
        <f t="shared" si="1"/>
        <v>41.67</v>
      </c>
      <c r="F7" s="155">
        <f t="shared" si="1"/>
        <v>41.67</v>
      </c>
      <c r="I7" s="171" t="s">
        <v>314</v>
      </c>
      <c r="J7" s="169"/>
      <c r="K7" s="170">
        <f>K5</f>
        <v>10</v>
      </c>
      <c r="L7" s="170">
        <f t="shared" ref="L7:N7" si="2">L5</f>
        <v>7.5</v>
      </c>
      <c r="M7" s="170">
        <f t="shared" si="2"/>
        <v>5</v>
      </c>
      <c r="N7" s="170">
        <f t="shared" si="2"/>
        <v>2.5</v>
      </c>
    </row>
    <row r="8" spans="1:14" x14ac:dyDescent="0.25">
      <c r="A8" t="s">
        <v>298</v>
      </c>
      <c r="C8" s="70">
        <f>C7*0.4</f>
        <v>16.668000000000003</v>
      </c>
      <c r="D8" s="70">
        <f t="shared" ref="D8:F8" si="3">D7*0.4</f>
        <v>16.668000000000003</v>
      </c>
      <c r="E8" s="70">
        <f t="shared" si="3"/>
        <v>16.668000000000003</v>
      </c>
      <c r="F8" s="70">
        <f t="shared" si="3"/>
        <v>16.668000000000003</v>
      </c>
      <c r="I8" s="166" t="s">
        <v>315</v>
      </c>
      <c r="J8" s="169"/>
      <c r="K8" s="170">
        <f>K6-K7</f>
        <v>15</v>
      </c>
      <c r="L8" s="170">
        <f t="shared" ref="L8:N8" si="4">L6-L7</f>
        <v>17.5</v>
      </c>
      <c r="M8" s="170">
        <f t="shared" si="4"/>
        <v>20</v>
      </c>
      <c r="N8" s="170">
        <f t="shared" si="4"/>
        <v>22.5</v>
      </c>
    </row>
    <row r="9" spans="1:14" ht="18" x14ac:dyDescent="0.35">
      <c r="A9" t="s">
        <v>329</v>
      </c>
      <c r="C9" s="70">
        <f>C7-C8</f>
        <v>25.001999999999999</v>
      </c>
      <c r="D9" s="70">
        <f t="shared" ref="D9:F9" si="5">D7-D8</f>
        <v>25.001999999999999</v>
      </c>
      <c r="E9" s="70">
        <f t="shared" si="5"/>
        <v>25.001999999999999</v>
      </c>
      <c r="F9" s="70">
        <f t="shared" si="5"/>
        <v>25.001999999999999</v>
      </c>
      <c r="I9" s="166" t="s">
        <v>332</v>
      </c>
      <c r="J9" s="169"/>
      <c r="K9" s="170">
        <f>K8/(1+K4)^K2</f>
        <v>13.636363636363635</v>
      </c>
      <c r="L9" s="170">
        <f t="shared" ref="L9:M9" si="6">L8/(1+L4)^L2</f>
        <v>14.46280991735537</v>
      </c>
      <c r="M9" s="170">
        <f t="shared" si="6"/>
        <v>15.02629601803155</v>
      </c>
      <c r="N9" s="170">
        <f>N8/(1+N4)^N2</f>
        <v>15.367802745714087</v>
      </c>
    </row>
    <row r="10" spans="1:14" ht="18" x14ac:dyDescent="0.35">
      <c r="A10" t="s">
        <v>151</v>
      </c>
      <c r="C10">
        <f>C6</f>
        <v>25</v>
      </c>
      <c r="D10">
        <f t="shared" ref="D10:F10" si="7">D6</f>
        <v>25</v>
      </c>
      <c r="E10">
        <f t="shared" si="7"/>
        <v>25</v>
      </c>
      <c r="F10">
        <f t="shared" si="7"/>
        <v>25</v>
      </c>
      <c r="I10" s="105" t="s">
        <v>334</v>
      </c>
      <c r="J10" s="106"/>
      <c r="K10" s="205">
        <f>SUM(K9:N9)</f>
        <v>58.493272317464644</v>
      </c>
      <c r="L10" s="106"/>
      <c r="M10" s="106"/>
      <c r="N10" s="107"/>
    </row>
    <row r="11" spans="1:14" x14ac:dyDescent="0.25">
      <c r="A11" t="s">
        <v>301</v>
      </c>
      <c r="B11" s="70">
        <v>-100</v>
      </c>
      <c r="C11" s="70">
        <f>C9+C10</f>
        <v>50.001999999999995</v>
      </c>
      <c r="D11" s="70">
        <f t="shared" ref="D11:F11" si="8">D9+D10</f>
        <v>50.001999999999995</v>
      </c>
      <c r="E11" s="70">
        <f t="shared" si="8"/>
        <v>50.001999999999995</v>
      </c>
      <c r="F11" s="70">
        <f t="shared" si="8"/>
        <v>50.001999999999995</v>
      </c>
    </row>
    <row r="12" spans="1:14" ht="15.75" x14ac:dyDescent="0.25">
      <c r="A12" t="s">
        <v>333</v>
      </c>
      <c r="B12" s="70"/>
      <c r="C12" s="4">
        <v>0.1</v>
      </c>
      <c r="D12" s="4">
        <v>0.1</v>
      </c>
      <c r="E12" s="4">
        <v>0.1</v>
      </c>
      <c r="F12" s="4">
        <v>0.1</v>
      </c>
      <c r="I12" s="152" t="s">
        <v>331</v>
      </c>
    </row>
    <row r="13" spans="1:14" ht="18" x14ac:dyDescent="0.35">
      <c r="A13" s="166" t="s">
        <v>330</v>
      </c>
      <c r="B13" s="70">
        <f>B11/(1 + B12)^Table16[[#Headers],[1]]</f>
        <v>-100</v>
      </c>
      <c r="C13" s="70">
        <f>C11/(1 + C12)^Table16[[#Headers],[1]]</f>
        <v>45.456363636363626</v>
      </c>
      <c r="D13" s="70">
        <f>D11/(1 + D12)^Table16[[#Headers],[2]]</f>
        <v>41.323966942148751</v>
      </c>
      <c r="E13" s="70">
        <f>E11/(1 + E12)^Table16[[#Headers],[3]]</f>
        <v>37.567242674680678</v>
      </c>
      <c r="F13" s="70">
        <f>F11/(1 + F12)^Table16[[#Headers],[4]]</f>
        <v>34.152038795164252</v>
      </c>
    </row>
    <row r="14" spans="1:14" ht="18" x14ac:dyDescent="0.35">
      <c r="A14" s="105" t="s">
        <v>335</v>
      </c>
      <c r="B14" s="207">
        <f>SUM(B13:F13)</f>
        <v>58.499612048357307</v>
      </c>
      <c r="C14" s="205"/>
      <c r="D14" s="106"/>
      <c r="E14" s="106"/>
      <c r="F14" s="107"/>
    </row>
    <row r="17" spans="1:1" x14ac:dyDescent="0.25">
      <c r="A17" t="s">
        <v>299</v>
      </c>
    </row>
  </sheetData>
  <phoneticPr fontId="7" type="noConversion"/>
  <pageMargins left="0.7" right="0.7" top="0.75" bottom="0.75" header="0.3" footer="0.3"/>
  <drawing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592CD-F4F3-4639-9137-F4560B6529DF}">
  <dimension ref="B2:I23"/>
  <sheetViews>
    <sheetView workbookViewId="0">
      <selection activeCell="B20" sqref="B20:D23"/>
    </sheetView>
  </sheetViews>
  <sheetFormatPr defaultRowHeight="15" x14ac:dyDescent="0.25"/>
  <cols>
    <col min="2" max="2" width="24.85546875" bestFit="1" customWidth="1"/>
    <col min="3" max="4" width="8.5703125" customWidth="1"/>
    <col min="5" max="5" width="9.85546875" customWidth="1"/>
  </cols>
  <sheetData>
    <row r="2" spans="2:9" x14ac:dyDescent="0.25">
      <c r="B2" t="s">
        <v>209</v>
      </c>
      <c r="C2" t="s">
        <v>336</v>
      </c>
      <c r="D2" t="s">
        <v>337</v>
      </c>
      <c r="E2" t="s">
        <v>338</v>
      </c>
    </row>
    <row r="3" spans="2:9" x14ac:dyDescent="0.25">
      <c r="B3" t="s">
        <v>339</v>
      </c>
      <c r="C3" s="71">
        <v>0.04</v>
      </c>
      <c r="D3" s="208">
        <v>2.5000000000000001E-2</v>
      </c>
      <c r="E3" s="208">
        <v>1.4999999999999999E-2</v>
      </c>
    </row>
    <row r="4" spans="2:9" x14ac:dyDescent="0.25">
      <c r="B4" t="s">
        <v>174</v>
      </c>
      <c r="C4" s="208">
        <v>5.2499999999999998E-2</v>
      </c>
      <c r="D4" s="208">
        <v>6.2E-2</v>
      </c>
      <c r="E4" s="208">
        <v>4.7500000000000001E-2</v>
      </c>
    </row>
    <row r="8" spans="2:9" x14ac:dyDescent="0.25">
      <c r="B8" t="s">
        <v>209</v>
      </c>
      <c r="C8" t="s">
        <v>340</v>
      </c>
      <c r="D8" t="s">
        <v>341</v>
      </c>
    </row>
    <row r="9" spans="2:9" x14ac:dyDescent="0.25">
      <c r="B9" t="s">
        <v>342</v>
      </c>
      <c r="C9" s="103">
        <v>670</v>
      </c>
      <c r="D9" s="103">
        <v>530</v>
      </c>
    </row>
    <row r="10" spans="2:9" x14ac:dyDescent="0.25">
      <c r="B10" t="s">
        <v>343</v>
      </c>
      <c r="C10">
        <v>9.1999999999999993</v>
      </c>
      <c r="D10">
        <v>9</v>
      </c>
    </row>
    <row r="13" spans="2:9" x14ac:dyDescent="0.25">
      <c r="B13" t="s">
        <v>209</v>
      </c>
      <c r="C13" t="s">
        <v>347</v>
      </c>
      <c r="D13" t="s">
        <v>348</v>
      </c>
      <c r="E13" t="s">
        <v>349</v>
      </c>
      <c r="F13" t="s">
        <v>350</v>
      </c>
      <c r="G13" t="s">
        <v>351</v>
      </c>
      <c r="H13" t="s">
        <v>352</v>
      </c>
      <c r="I13" t="s">
        <v>353</v>
      </c>
    </row>
    <row r="14" spans="2:9" x14ac:dyDescent="0.25">
      <c r="B14" t="s">
        <v>344</v>
      </c>
      <c r="C14" s="103">
        <v>-1200</v>
      </c>
      <c r="D14" s="103">
        <v>-500</v>
      </c>
      <c r="E14" s="103">
        <v>100</v>
      </c>
      <c r="F14" s="103">
        <v>1400</v>
      </c>
      <c r="G14" s="103">
        <v>3000</v>
      </c>
      <c r="H14" s="103">
        <v>3300</v>
      </c>
      <c r="I14" s="103">
        <v>4300</v>
      </c>
    </row>
    <row r="15" spans="2:9" x14ac:dyDescent="0.25">
      <c r="B15" t="s">
        <v>345</v>
      </c>
      <c r="C15" s="103">
        <v>600</v>
      </c>
      <c r="D15" s="103">
        <v>800</v>
      </c>
      <c r="E15" s="103">
        <v>1000</v>
      </c>
      <c r="F15" s="103">
        <v>900</v>
      </c>
      <c r="G15" s="103">
        <v>500</v>
      </c>
      <c r="H15" s="103">
        <v>290</v>
      </c>
      <c r="I15" s="103">
        <v>290</v>
      </c>
    </row>
    <row r="16" spans="2:9" x14ac:dyDescent="0.25">
      <c r="B16" t="s">
        <v>346</v>
      </c>
      <c r="C16" s="103">
        <v>500</v>
      </c>
      <c r="D16" s="103">
        <v>400</v>
      </c>
      <c r="E16" s="103">
        <v>200</v>
      </c>
      <c r="F16" s="103">
        <v>100</v>
      </c>
      <c r="G16" s="103">
        <v>100</v>
      </c>
      <c r="H16" s="103">
        <v>-100</v>
      </c>
      <c r="I16" s="103">
        <v>-100</v>
      </c>
    </row>
    <row r="17" spans="2:9" x14ac:dyDescent="0.25">
      <c r="B17" t="s">
        <v>151</v>
      </c>
      <c r="C17" s="103">
        <v>80</v>
      </c>
      <c r="D17" s="103">
        <v>160</v>
      </c>
      <c r="E17" s="103">
        <v>205</v>
      </c>
      <c r="F17" s="103">
        <v>280</v>
      </c>
      <c r="G17" s="103">
        <v>290</v>
      </c>
      <c r="H17" s="103">
        <v>290</v>
      </c>
      <c r="I17" s="103">
        <v>290</v>
      </c>
    </row>
    <row r="20" spans="2:9" x14ac:dyDescent="0.25">
      <c r="B20" t="s">
        <v>209</v>
      </c>
      <c r="C20" t="s">
        <v>354</v>
      </c>
      <c r="D20" t="s">
        <v>355</v>
      </c>
    </row>
    <row r="21" spans="2:9" x14ac:dyDescent="0.25">
      <c r="B21" t="s">
        <v>101</v>
      </c>
      <c r="C21">
        <v>0.15</v>
      </c>
      <c r="D21">
        <v>1.8</v>
      </c>
    </row>
    <row r="22" spans="2:9" x14ac:dyDescent="0.25">
      <c r="B22" t="s">
        <v>356</v>
      </c>
      <c r="C22">
        <v>203</v>
      </c>
      <c r="D22">
        <v>100</v>
      </c>
    </row>
    <row r="23" spans="2:9" x14ac:dyDescent="0.25">
      <c r="B23" t="s">
        <v>357</v>
      </c>
      <c r="C23" s="71">
        <v>0.5</v>
      </c>
      <c r="D23" s="71">
        <v>0.05</v>
      </c>
    </row>
  </sheetData>
  <pageMargins left="0.7" right="0.7" top="0.75" bottom="0.75" header="0.3" footer="0.3"/>
  <tableParts count="4">
    <tablePart r:id="rId1"/>
    <tablePart r:id="rId2"/>
    <tablePart r:id="rId3"/>
    <tablePart r:id="rId4"/>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4B946-6C6B-43BC-AAFD-D2CE9602FB56}">
  <dimension ref="B3:C17"/>
  <sheetViews>
    <sheetView workbookViewId="0">
      <selection activeCell="J31" sqref="J31"/>
    </sheetView>
  </sheetViews>
  <sheetFormatPr defaultRowHeight="15" x14ac:dyDescent="0.25"/>
  <cols>
    <col min="2" max="2" width="28.5703125" bestFit="1" customWidth="1"/>
    <col min="3" max="3" width="16.42578125" bestFit="1" customWidth="1"/>
  </cols>
  <sheetData>
    <row r="3" spans="2:3" x14ac:dyDescent="0.25">
      <c r="B3" t="s">
        <v>376</v>
      </c>
      <c r="C3" s="208" t="s">
        <v>377</v>
      </c>
    </row>
    <row r="4" spans="2:3" x14ac:dyDescent="0.25">
      <c r="B4" t="s">
        <v>375</v>
      </c>
      <c r="C4" s="208">
        <v>2.0899999999999998E-2</v>
      </c>
    </row>
    <row r="5" spans="2:3" x14ac:dyDescent="0.25">
      <c r="B5" t="s">
        <v>358</v>
      </c>
      <c r="C5" s="208">
        <v>6.25E-2</v>
      </c>
    </row>
    <row r="6" spans="2:3" x14ac:dyDescent="0.25">
      <c r="B6" t="s">
        <v>359</v>
      </c>
      <c r="C6" s="71">
        <v>0.21</v>
      </c>
    </row>
    <row r="7" spans="2:3" x14ac:dyDescent="0.25">
      <c r="B7" t="s">
        <v>360</v>
      </c>
      <c r="C7" t="s">
        <v>361</v>
      </c>
    </row>
    <row r="8" spans="2:3" x14ac:dyDescent="0.25">
      <c r="B8" t="s">
        <v>362</v>
      </c>
      <c r="C8" t="s">
        <v>363</v>
      </c>
    </row>
    <row r="9" spans="2:3" x14ac:dyDescent="0.25">
      <c r="B9" t="s">
        <v>101</v>
      </c>
      <c r="C9">
        <v>0.7</v>
      </c>
    </row>
    <row r="10" spans="2:3" x14ac:dyDescent="0.25">
      <c r="B10" t="s">
        <v>364</v>
      </c>
      <c r="C10" t="s">
        <v>365</v>
      </c>
    </row>
    <row r="11" spans="2:3" x14ac:dyDescent="0.25">
      <c r="B11" t="s">
        <v>366</v>
      </c>
      <c r="C11" t="s">
        <v>367</v>
      </c>
    </row>
    <row r="12" spans="2:3" x14ac:dyDescent="0.25">
      <c r="B12" t="s">
        <v>368</v>
      </c>
      <c r="C12" s="70">
        <v>141.65</v>
      </c>
    </row>
    <row r="13" spans="2:3" x14ac:dyDescent="0.25">
      <c r="B13" t="s">
        <v>369</v>
      </c>
      <c r="C13">
        <v>4.2699999999999996</v>
      </c>
    </row>
    <row r="14" spans="2:3" x14ac:dyDescent="0.25">
      <c r="B14" t="s">
        <v>370</v>
      </c>
      <c r="C14" s="208">
        <v>5.5899999999999998E-2</v>
      </c>
    </row>
    <row r="15" spans="2:3" x14ac:dyDescent="0.25">
      <c r="B15" t="s">
        <v>371</v>
      </c>
      <c r="C15">
        <v>54.02</v>
      </c>
    </row>
    <row r="16" spans="2:3" x14ac:dyDescent="0.25">
      <c r="B16" t="s">
        <v>372</v>
      </c>
      <c r="C16" t="s">
        <v>373</v>
      </c>
    </row>
    <row r="17" spans="2:3" x14ac:dyDescent="0.25">
      <c r="B17" t="s">
        <v>374</v>
      </c>
      <c r="C17" s="70">
        <v>50.5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Present Future Values</vt:lpstr>
      <vt:lpstr>WACC</vt:lpstr>
      <vt:lpstr>Stock Prices</vt:lpstr>
      <vt:lpstr>Week 3 Assessment</vt:lpstr>
      <vt:lpstr>Week 3 Assessment Take 2</vt:lpstr>
      <vt:lpstr>Week 4 Assessment</vt:lpstr>
      <vt:lpstr>Week 4 Take 2</vt:lpstr>
      <vt:lpstr>Week 4 Take 3</vt:lpstr>
      <vt:lpstr>Sheet3</vt:lpstr>
      <vt:lpstr>Week 4 Supplemental</vt:lpstr>
      <vt:lpstr>Week 5 Assessment</vt:lpstr>
      <vt:lpstr>Week 5 Take 3</vt:lpstr>
      <vt:lpstr>Week 5 Take 4</vt:lpstr>
      <vt:lpstr>Supplemental 1</vt:lpstr>
      <vt:lpstr>Extra 1</vt:lpstr>
      <vt:lpstr>MVA</vt:lpstr>
      <vt:lpstr>Capital Expense Comparison</vt:lpstr>
      <vt:lpstr>Net Present Value and IRR</vt:lpstr>
      <vt:lpstr>Bonds</vt:lpstr>
      <vt:lpstr>Betas</vt:lpstr>
      <vt:lpstr>Comparables</vt:lpstr>
      <vt:lpstr>Stock Price from Cash Flows</vt:lpstr>
      <vt:lpstr>ROS CT ROTC</vt:lpstr>
      <vt:lpstr>Economic Profit</vt:lpstr>
      <vt:lpstr>NPV EVA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Liat A</dc:creator>
  <cp:lastModifiedBy>Nancy</cp:lastModifiedBy>
  <dcterms:created xsi:type="dcterms:W3CDTF">2021-06-02T19:14:22Z</dcterms:created>
  <dcterms:modified xsi:type="dcterms:W3CDTF">2021-06-19T23:05:53Z</dcterms:modified>
</cp:coreProperties>
</file>