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INTERNSHIP\PF\ST02\"/>
    </mc:Choice>
  </mc:AlternateContent>
  <bookViews>
    <workbookView xWindow="0" yWindow="0" windowWidth="20490" windowHeight="7050"/>
  </bookViews>
  <sheets>
    <sheet name="FinFlows" sheetId="1" r:id="rId1"/>
    <sheet name="Cost" sheetId="7" r:id="rId2"/>
    <sheet name="Revenue" sheetId="6" r:id="rId3"/>
    <sheet name="Debt" sheetId="8" r:id="rId4"/>
  </sheets>
  <definedNames>
    <definedName name="Grid_Avail">FinFlows!$I$3</definedName>
  </definedNames>
  <calcPr calcId="162913"/>
</workbook>
</file>

<file path=xl/calcChain.xml><?xml version="1.0" encoding="utf-8"?>
<calcChain xmlns="http://schemas.openxmlformats.org/spreadsheetml/2006/main">
  <c r="E36" i="1" l="1"/>
  <c r="B7" i="8" l="1"/>
  <c r="B6" i="8"/>
  <c r="B5" i="8"/>
  <c r="B12" i="6" l="1"/>
  <c r="D28" i="7"/>
  <c r="D27" i="7"/>
  <c r="D26" i="7"/>
  <c r="D25" i="7"/>
  <c r="D24" i="7"/>
  <c r="B14" i="6" l="1"/>
  <c r="C12" i="6"/>
  <c r="B13" i="6"/>
  <c r="D30" i="7"/>
  <c r="D18" i="7"/>
  <c r="D16" i="7"/>
  <c r="D15" i="7"/>
  <c r="D13" i="7"/>
  <c r="D12" i="7"/>
  <c r="D11" i="7"/>
  <c r="D10" i="7"/>
  <c r="D8" i="7"/>
  <c r="D7" i="7"/>
  <c r="D6" i="7"/>
  <c r="C13" i="6" l="1"/>
  <c r="C14" i="6" s="1"/>
  <c r="D12" i="6"/>
  <c r="D5" i="7"/>
  <c r="D4" i="7"/>
  <c r="S39" i="1"/>
  <c r="R39" i="1"/>
  <c r="Q39" i="1"/>
  <c r="P39" i="1"/>
  <c r="D14" i="6" l="1"/>
  <c r="D13" i="6"/>
  <c r="E12" i="6"/>
  <c r="AC39" i="1"/>
  <c r="AB39" i="1" s="1"/>
  <c r="AA39" i="1" s="1"/>
  <c r="Z39" i="1" s="1"/>
  <c r="Y39" i="1" s="1"/>
  <c r="X39" i="1" s="1"/>
  <c r="W39" i="1" s="1"/>
  <c r="V39" i="1" s="1"/>
  <c r="U39" i="1" s="1"/>
  <c r="T39" i="1" s="1"/>
  <c r="D21" i="7"/>
  <c r="O39" i="1"/>
  <c r="E18" i="7" l="1"/>
  <c r="E15" i="7"/>
  <c r="E12" i="7"/>
  <c r="E10" i="7"/>
  <c r="E7" i="7"/>
  <c r="E8" i="7"/>
  <c r="E16" i="7"/>
  <c r="E13" i="7"/>
  <c r="E6" i="7"/>
  <c r="E11" i="7"/>
  <c r="E5" i="7"/>
  <c r="E13" i="6"/>
  <c r="E14" i="6" s="1"/>
  <c r="F12" i="6"/>
  <c r="E4" i="7"/>
  <c r="D37" i="1"/>
  <c r="D41" i="1" s="1"/>
  <c r="F13" i="6" l="1"/>
  <c r="F14" i="6" s="1"/>
  <c r="E26" i="1"/>
  <c r="E34" i="1" s="1"/>
  <c r="F26" i="1" l="1"/>
  <c r="F34" i="1" l="1"/>
  <c r="G26" i="1"/>
  <c r="G34" i="1" l="1"/>
  <c r="H26" i="1"/>
  <c r="H34" i="1" l="1"/>
  <c r="I26" i="1"/>
  <c r="I34" i="1" l="1"/>
  <c r="J26" i="1"/>
  <c r="J34" i="1" l="1"/>
  <c r="K26" i="1"/>
  <c r="K34" i="1" l="1"/>
  <c r="L26" i="1"/>
  <c r="L34" i="1" l="1"/>
  <c r="M26" i="1"/>
  <c r="M34" i="1" s="1"/>
  <c r="E20" i="1" l="1"/>
  <c r="I12" i="1"/>
  <c r="H12" i="1"/>
  <c r="G12" i="1"/>
  <c r="F12" i="1"/>
  <c r="E12" i="1"/>
  <c r="I11" i="1" l="1"/>
  <c r="H11" i="1"/>
  <c r="G11" i="1"/>
  <c r="F11" i="1"/>
  <c r="E11" i="1" s="1"/>
  <c r="C9" i="1"/>
  <c r="F8" i="1" l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B5" i="1" l="1"/>
  <c r="D9" i="1" l="1"/>
  <c r="B8" i="8"/>
  <c r="E9" i="1" l="1"/>
  <c r="B10" i="8"/>
  <c r="B11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F9" i="1" l="1"/>
  <c r="K5" i="8"/>
  <c r="K6" i="8" s="1"/>
  <c r="K7" i="8" s="1"/>
  <c r="K8" i="8" s="1"/>
  <c r="K9" i="8" s="1"/>
  <c r="K10" i="8" s="1"/>
  <c r="K11" i="8" s="1"/>
  <c r="K12" i="8" s="1"/>
  <c r="K13" i="8" s="1"/>
  <c r="K14" i="8" s="1"/>
  <c r="E5" i="8"/>
  <c r="C3" i="1"/>
  <c r="C41" i="1" s="1"/>
  <c r="E14" i="1"/>
  <c r="E16" i="1"/>
  <c r="F16" i="1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E19" i="1"/>
  <c r="F14" i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F20" i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G14" i="1"/>
  <c r="H14" i="1"/>
  <c r="I14" i="1"/>
  <c r="N26" i="1"/>
  <c r="N34" i="1" s="1"/>
  <c r="O26" i="1"/>
  <c r="O34" i="1" s="1"/>
  <c r="G9" i="1" l="1"/>
  <c r="H9" i="1" s="1"/>
  <c r="I9" i="1" s="1"/>
  <c r="J9" i="1" s="1"/>
  <c r="K9" i="1" s="1"/>
  <c r="L9" i="1" s="1"/>
  <c r="M9" i="1" s="1"/>
  <c r="N9" i="1" s="1"/>
  <c r="E21" i="1"/>
  <c r="E23" i="1" s="1"/>
  <c r="G16" i="1"/>
  <c r="F21" i="1"/>
  <c r="F23" i="1" s="1"/>
  <c r="P26" i="1"/>
  <c r="O27" i="1"/>
  <c r="C4" i="1"/>
  <c r="C32" i="1" s="1"/>
  <c r="C37" i="1" s="1"/>
  <c r="C5" i="1" l="1"/>
  <c r="B4" i="8" s="1"/>
  <c r="F8" i="8" s="1"/>
  <c r="O9" i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G9" i="8"/>
  <c r="G21" i="1"/>
  <c r="G23" i="1" s="1"/>
  <c r="H16" i="1"/>
  <c r="F7" i="8"/>
  <c r="G7" i="8"/>
  <c r="F12" i="8"/>
  <c r="G13" i="8"/>
  <c r="F17" i="8"/>
  <c r="G17" i="8"/>
  <c r="F21" i="8"/>
  <c r="G21" i="8"/>
  <c r="F25" i="8"/>
  <c r="G25" i="8"/>
  <c r="F29" i="8"/>
  <c r="G29" i="8"/>
  <c r="F32" i="8"/>
  <c r="G32" i="8"/>
  <c r="F36" i="8"/>
  <c r="G36" i="8"/>
  <c r="F40" i="8"/>
  <c r="G40" i="8"/>
  <c r="F44" i="8"/>
  <c r="G42" i="8"/>
  <c r="H7" i="8"/>
  <c r="H31" i="8"/>
  <c r="H39" i="8"/>
  <c r="H45" i="8"/>
  <c r="H10" i="8"/>
  <c r="H18" i="8"/>
  <c r="F5" i="8"/>
  <c r="H5" i="8" s="1"/>
  <c r="H28" i="8"/>
  <c r="H36" i="8"/>
  <c r="H14" i="8"/>
  <c r="F6" i="8"/>
  <c r="F10" i="8"/>
  <c r="G11" i="8"/>
  <c r="F19" i="8"/>
  <c r="G19" i="8"/>
  <c r="F27" i="8"/>
  <c r="F30" i="8"/>
  <c r="G30" i="8"/>
  <c r="F38" i="8"/>
  <c r="F42" i="8"/>
  <c r="G44" i="8"/>
  <c r="H15" i="8"/>
  <c r="H38" i="8"/>
  <c r="H16" i="8"/>
  <c r="H35" i="8"/>
  <c r="H33" i="8"/>
  <c r="G8" i="8"/>
  <c r="G10" i="8"/>
  <c r="F14" i="8"/>
  <c r="G14" i="8"/>
  <c r="F18" i="8"/>
  <c r="G18" i="8"/>
  <c r="F22" i="8"/>
  <c r="G22" i="8"/>
  <c r="F26" i="8"/>
  <c r="G26" i="8"/>
  <c r="F33" i="8"/>
  <c r="G33" i="8"/>
  <c r="F37" i="8"/>
  <c r="G37" i="8"/>
  <c r="F41" i="8"/>
  <c r="G41" i="8"/>
  <c r="F45" i="8"/>
  <c r="G43" i="8"/>
  <c r="H43" i="8"/>
  <c r="H9" i="8"/>
  <c r="H40" i="8"/>
  <c r="H41" i="8"/>
  <c r="H24" i="8"/>
  <c r="H44" i="8"/>
  <c r="H20" i="8"/>
  <c r="H34" i="8"/>
  <c r="H21" i="8"/>
  <c r="H12" i="8"/>
  <c r="H26" i="8"/>
  <c r="F9" i="8"/>
  <c r="G6" i="8"/>
  <c r="I6" i="8" s="1"/>
  <c r="F11" i="8"/>
  <c r="G12" i="8"/>
  <c r="M6" i="8" s="1"/>
  <c r="F35" i="1" s="1"/>
  <c r="F16" i="8"/>
  <c r="G16" i="8"/>
  <c r="F20" i="8"/>
  <c r="G20" i="8"/>
  <c r="F24" i="8"/>
  <c r="G24" i="8"/>
  <c r="F28" i="8"/>
  <c r="G28" i="8"/>
  <c r="F31" i="8"/>
  <c r="G31" i="8"/>
  <c r="F35" i="8"/>
  <c r="G35" i="8"/>
  <c r="F39" i="8"/>
  <c r="G39" i="8"/>
  <c r="F43" i="8"/>
  <c r="G45" i="8"/>
  <c r="H42" i="8"/>
  <c r="H27" i="8"/>
  <c r="H32" i="8"/>
  <c r="H25" i="8"/>
  <c r="H11" i="8"/>
  <c r="H13" i="8"/>
  <c r="H29" i="8"/>
  <c r="H6" i="8"/>
  <c r="H23" i="8"/>
  <c r="H30" i="8"/>
  <c r="F15" i="8"/>
  <c r="L7" i="8" s="1"/>
  <c r="G15" i="8"/>
  <c r="F23" i="8"/>
  <c r="G23" i="8"/>
  <c r="G27" i="8"/>
  <c r="F34" i="8"/>
  <c r="G34" i="8"/>
  <c r="G38" i="8"/>
  <c r="H17" i="8"/>
  <c r="H8" i="8"/>
  <c r="H22" i="8"/>
  <c r="H37" i="8"/>
  <c r="H19" i="8"/>
  <c r="P27" i="1"/>
  <c r="Q26" i="1"/>
  <c r="P34" i="1"/>
  <c r="F13" i="8"/>
  <c r="M12" i="8" l="1"/>
  <c r="L35" i="1" s="1"/>
  <c r="L5" i="8"/>
  <c r="E25" i="1" s="1"/>
  <c r="M5" i="8"/>
  <c r="E35" i="1" s="1"/>
  <c r="L12" i="8"/>
  <c r="M7" i="8"/>
  <c r="G35" i="1" s="1"/>
  <c r="M13" i="8"/>
  <c r="M35" i="1" s="1"/>
  <c r="I7" i="8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G25" i="1"/>
  <c r="M9" i="8"/>
  <c r="I35" i="1" s="1"/>
  <c r="M11" i="8"/>
  <c r="K35" i="1" s="1"/>
  <c r="L25" i="1"/>
  <c r="L10" i="8"/>
  <c r="L8" i="8"/>
  <c r="L13" i="8"/>
  <c r="M8" i="8"/>
  <c r="H35" i="1" s="1"/>
  <c r="Q27" i="1"/>
  <c r="R26" i="1"/>
  <c r="Q34" i="1"/>
  <c r="I16" i="1"/>
  <c r="H21" i="1"/>
  <c r="H23" i="1" s="1"/>
  <c r="M14" i="8"/>
  <c r="N35" i="1" s="1"/>
  <c r="M10" i="8"/>
  <c r="J35" i="1" s="1"/>
  <c r="L14" i="8"/>
  <c r="L6" i="8"/>
  <c r="L9" i="8"/>
  <c r="L11" i="8"/>
  <c r="N5" i="8" l="1"/>
  <c r="N12" i="8"/>
  <c r="N7" i="8"/>
  <c r="L15" i="8"/>
  <c r="K25" i="1"/>
  <c r="N11" i="8"/>
  <c r="E27" i="1"/>
  <c r="E28" i="1" s="1"/>
  <c r="E29" i="1" s="1"/>
  <c r="E30" i="1" s="1"/>
  <c r="E33" i="1" s="1"/>
  <c r="N14" i="8"/>
  <c r="N25" i="1"/>
  <c r="N10" i="8"/>
  <c r="J25" i="1"/>
  <c r="I21" i="1"/>
  <c r="I23" i="1" s="1"/>
  <c r="J16" i="1"/>
  <c r="G27" i="1"/>
  <c r="G28" i="1" s="1"/>
  <c r="G29" i="1" s="1"/>
  <c r="G30" i="1" s="1"/>
  <c r="G33" i="1" s="1"/>
  <c r="G36" i="1" s="1"/>
  <c r="F25" i="1"/>
  <c r="N6" i="8"/>
  <c r="R27" i="1"/>
  <c r="S26" i="1"/>
  <c r="R34" i="1"/>
  <c r="N8" i="8"/>
  <c r="H25" i="1"/>
  <c r="M15" i="8"/>
  <c r="L27" i="1"/>
  <c r="I25" i="1"/>
  <c r="N9" i="8"/>
  <c r="M25" i="1"/>
  <c r="N13" i="8"/>
  <c r="N15" i="8" l="1"/>
  <c r="E39" i="1"/>
  <c r="G37" i="1"/>
  <c r="G41" i="1" s="1"/>
  <c r="G39" i="1"/>
  <c r="I27" i="1"/>
  <c r="I28" i="1" s="1"/>
  <c r="I29" i="1" s="1"/>
  <c r="I30" i="1" s="1"/>
  <c r="I33" i="1" s="1"/>
  <c r="S34" i="1"/>
  <c r="S27" i="1"/>
  <c r="T26" i="1"/>
  <c r="J27" i="1"/>
  <c r="F27" i="1"/>
  <c r="F28" i="1" s="1"/>
  <c r="H27" i="1"/>
  <c r="H28" i="1" s="1"/>
  <c r="M27" i="1"/>
  <c r="K27" i="1"/>
  <c r="J21" i="1"/>
  <c r="K16" i="1"/>
  <c r="N27" i="1"/>
  <c r="E37" i="1" l="1"/>
  <c r="H29" i="1"/>
  <c r="H30" i="1" s="1"/>
  <c r="H33" i="1" s="1"/>
  <c r="I36" i="1"/>
  <c r="I39" i="1" s="1"/>
  <c r="K21" i="1"/>
  <c r="L16" i="1"/>
  <c r="F29" i="1"/>
  <c r="F30" i="1" s="1"/>
  <c r="F33" i="1" s="1"/>
  <c r="T27" i="1"/>
  <c r="U26" i="1"/>
  <c r="T34" i="1"/>
  <c r="E41" i="1" l="1"/>
  <c r="H36" i="1"/>
  <c r="H37" i="1" s="1"/>
  <c r="H41" i="1" s="1"/>
  <c r="U27" i="1"/>
  <c r="V26" i="1"/>
  <c r="U34" i="1"/>
  <c r="F36" i="1"/>
  <c r="F39" i="1" s="1"/>
  <c r="L21" i="1"/>
  <c r="M16" i="1"/>
  <c r="I37" i="1"/>
  <c r="I41" i="1" s="1"/>
  <c r="F37" i="1" l="1"/>
  <c r="V27" i="1"/>
  <c r="W26" i="1"/>
  <c r="V34" i="1"/>
  <c r="H39" i="1"/>
  <c r="M21" i="1"/>
  <c r="N16" i="1"/>
  <c r="F41" i="1" l="1"/>
  <c r="N21" i="1"/>
  <c r="O16" i="1"/>
  <c r="W34" i="1"/>
  <c r="W27" i="1"/>
  <c r="X26" i="1"/>
  <c r="X27" i="1" l="1"/>
  <c r="Y26" i="1"/>
  <c r="X34" i="1"/>
  <c r="O21" i="1"/>
  <c r="P16" i="1"/>
  <c r="Y27" i="1" l="1"/>
  <c r="Z26" i="1"/>
  <c r="Y34" i="1"/>
  <c r="P21" i="1"/>
  <c r="Q16" i="1"/>
  <c r="Z27" i="1" l="1"/>
  <c r="Z34" i="1"/>
  <c r="AA26" i="1"/>
  <c r="R16" i="1"/>
  <c r="Q21" i="1"/>
  <c r="AA34" i="1" l="1"/>
  <c r="AA27" i="1"/>
  <c r="AB26" i="1"/>
  <c r="R21" i="1"/>
  <c r="S16" i="1"/>
  <c r="S21" i="1" l="1"/>
  <c r="T16" i="1"/>
  <c r="AB27" i="1"/>
  <c r="AC26" i="1"/>
  <c r="AB34" i="1"/>
  <c r="T21" i="1" l="1"/>
  <c r="U16" i="1"/>
  <c r="AC27" i="1"/>
  <c r="AC34" i="1"/>
  <c r="V16" i="1" l="1"/>
  <c r="U21" i="1"/>
  <c r="V21" i="1" l="1"/>
  <c r="W16" i="1"/>
  <c r="W21" i="1" l="1"/>
  <c r="X16" i="1"/>
  <c r="X21" i="1" l="1"/>
  <c r="Y16" i="1"/>
  <c r="Z16" i="1" l="1"/>
  <c r="Y21" i="1"/>
  <c r="Z21" i="1" l="1"/>
  <c r="AA16" i="1"/>
  <c r="AA21" i="1" l="1"/>
  <c r="AB16" i="1"/>
  <c r="AB21" i="1" l="1"/>
  <c r="AC16" i="1"/>
  <c r="AC21" i="1" s="1"/>
  <c r="I45" i="8" l="1"/>
  <c r="G12" i="6" l="1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C11" i="1"/>
  <c r="Z13" i="6"/>
  <c r="AC12" i="1"/>
  <c r="AC14" i="1"/>
  <c r="AC23" i="1"/>
  <c r="AC28" i="1"/>
  <c r="AC29" i="1"/>
  <c r="AC30" i="1"/>
  <c r="AC33" i="1"/>
  <c r="AC36" i="1"/>
  <c r="AC37" i="1"/>
  <c r="AB11" i="1"/>
  <c r="Y13" i="6"/>
  <c r="AB12" i="1"/>
  <c r="AB14" i="1"/>
  <c r="AB23" i="1"/>
  <c r="AB28" i="1"/>
  <c r="AB29" i="1"/>
  <c r="AB30" i="1"/>
  <c r="AB33" i="1"/>
  <c r="AB36" i="1"/>
  <c r="AB37" i="1"/>
  <c r="AA11" i="1"/>
  <c r="X13" i="6"/>
  <c r="AA12" i="1"/>
  <c r="AA14" i="1"/>
  <c r="AA23" i="1"/>
  <c r="AA28" i="1"/>
  <c r="AA29" i="1"/>
  <c r="AA30" i="1"/>
  <c r="AA33" i="1"/>
  <c r="AA36" i="1"/>
  <c r="AA37" i="1"/>
  <c r="Z11" i="1"/>
  <c r="W13" i="6"/>
  <c r="Z12" i="1"/>
  <c r="Z14" i="1"/>
  <c r="Z23" i="1"/>
  <c r="Z28" i="1"/>
  <c r="Z29" i="1"/>
  <c r="Z30" i="1"/>
  <c r="Z33" i="1"/>
  <c r="Z36" i="1"/>
  <c r="Z37" i="1"/>
  <c r="Y11" i="1"/>
  <c r="V13" i="6"/>
  <c r="Y12" i="1"/>
  <c r="Y14" i="1"/>
  <c r="Y23" i="1"/>
  <c r="Y28" i="1"/>
  <c r="Y29" i="1"/>
  <c r="Y30" i="1"/>
  <c r="Y33" i="1"/>
  <c r="Y36" i="1"/>
  <c r="Y37" i="1"/>
  <c r="X11" i="1"/>
  <c r="U13" i="6"/>
  <c r="X12" i="1"/>
  <c r="X14" i="1"/>
  <c r="X23" i="1"/>
  <c r="X28" i="1"/>
  <c r="X29" i="1"/>
  <c r="X30" i="1"/>
  <c r="X33" i="1"/>
  <c r="X36" i="1"/>
  <c r="X37" i="1"/>
  <c r="W11" i="1"/>
  <c r="T13" i="6"/>
  <c r="W12" i="1"/>
  <c r="W14" i="1"/>
  <c r="W23" i="1"/>
  <c r="W28" i="1"/>
  <c r="W29" i="1"/>
  <c r="W30" i="1"/>
  <c r="W33" i="1"/>
  <c r="W36" i="1"/>
  <c r="W37" i="1"/>
  <c r="V11" i="1"/>
  <c r="S13" i="6"/>
  <c r="V12" i="1"/>
  <c r="V14" i="1"/>
  <c r="V23" i="1"/>
  <c r="V28" i="1"/>
  <c r="V29" i="1"/>
  <c r="V30" i="1"/>
  <c r="V33" i="1"/>
  <c r="V36" i="1"/>
  <c r="V37" i="1"/>
  <c r="U11" i="1"/>
  <c r="R13" i="6"/>
  <c r="U12" i="1"/>
  <c r="U14" i="1"/>
  <c r="U23" i="1"/>
  <c r="U28" i="1"/>
  <c r="U29" i="1"/>
  <c r="U30" i="1"/>
  <c r="U33" i="1"/>
  <c r="U36" i="1"/>
  <c r="U37" i="1"/>
  <c r="T11" i="1"/>
  <c r="Q13" i="6"/>
  <c r="T12" i="1"/>
  <c r="T14" i="1"/>
  <c r="T23" i="1"/>
  <c r="T28" i="1"/>
  <c r="T29" i="1"/>
  <c r="T30" i="1"/>
  <c r="T33" i="1"/>
  <c r="T36" i="1"/>
  <c r="T37" i="1"/>
  <c r="S11" i="1"/>
  <c r="P13" i="6"/>
  <c r="S12" i="1"/>
  <c r="S14" i="1"/>
  <c r="S23" i="1"/>
  <c r="S28" i="1"/>
  <c r="S29" i="1"/>
  <c r="S30" i="1"/>
  <c r="S33" i="1"/>
  <c r="S36" i="1"/>
  <c r="S37" i="1"/>
  <c r="R11" i="1"/>
  <c r="O13" i="6"/>
  <c r="R12" i="1"/>
  <c r="R14" i="1"/>
  <c r="R23" i="1"/>
  <c r="R28" i="1"/>
  <c r="R29" i="1"/>
  <c r="R30" i="1"/>
  <c r="R33" i="1"/>
  <c r="R36" i="1"/>
  <c r="R37" i="1"/>
  <c r="Q11" i="1"/>
  <c r="N13" i="6"/>
  <c r="Q12" i="1"/>
  <c r="Q14" i="1"/>
  <c r="Q23" i="1"/>
  <c r="Q28" i="1"/>
  <c r="Q29" i="1"/>
  <c r="Q30" i="1"/>
  <c r="Q33" i="1"/>
  <c r="Q36" i="1"/>
  <c r="Q37" i="1"/>
  <c r="P11" i="1"/>
  <c r="M13" i="6"/>
  <c r="P12" i="1"/>
  <c r="P14" i="1"/>
  <c r="P23" i="1"/>
  <c r="P28" i="1"/>
  <c r="P29" i="1"/>
  <c r="P30" i="1"/>
  <c r="P33" i="1"/>
  <c r="P36" i="1"/>
  <c r="P37" i="1"/>
  <c r="J11" i="1"/>
  <c r="G13" i="6"/>
  <c r="J12" i="1"/>
  <c r="J14" i="1"/>
  <c r="J23" i="1"/>
  <c r="J28" i="1"/>
  <c r="J29" i="1"/>
  <c r="J30" i="1"/>
  <c r="J33" i="1"/>
  <c r="J36" i="1"/>
  <c r="J39" i="1"/>
  <c r="K11" i="1"/>
  <c r="H13" i="6"/>
  <c r="K12" i="1"/>
  <c r="K14" i="1"/>
  <c r="K23" i="1"/>
  <c r="K28" i="1"/>
  <c r="K29" i="1"/>
  <c r="K30" i="1"/>
  <c r="K33" i="1"/>
  <c r="K36" i="1"/>
  <c r="K39" i="1"/>
  <c r="L11" i="1"/>
  <c r="I13" i="6"/>
  <c r="L12" i="1"/>
  <c r="L14" i="1"/>
  <c r="L23" i="1"/>
  <c r="L28" i="1"/>
  <c r="L29" i="1"/>
  <c r="L30" i="1"/>
  <c r="L33" i="1"/>
  <c r="L36" i="1"/>
  <c r="L39" i="1"/>
  <c r="M11" i="1"/>
  <c r="J13" i="6"/>
  <c r="M12" i="1"/>
  <c r="M14" i="1"/>
  <c r="M23" i="1"/>
  <c r="M28" i="1"/>
  <c r="M29" i="1"/>
  <c r="M30" i="1"/>
  <c r="M33" i="1"/>
  <c r="M36" i="1"/>
  <c r="M39" i="1"/>
  <c r="N11" i="1"/>
  <c r="K13" i="6"/>
  <c r="N12" i="1"/>
  <c r="N14" i="1"/>
  <c r="N23" i="1"/>
  <c r="N28" i="1"/>
  <c r="N29" i="1"/>
  <c r="N30" i="1"/>
  <c r="N33" i="1"/>
  <c r="N36" i="1"/>
  <c r="N39" i="1"/>
  <c r="L4" i="1"/>
  <c r="L5" i="1"/>
  <c r="O11" i="1"/>
  <c r="L13" i="6"/>
  <c r="O12" i="1"/>
  <c r="O14" i="1"/>
  <c r="O23" i="1"/>
  <c r="O28" i="1"/>
  <c r="O29" i="1"/>
  <c r="O30" i="1"/>
  <c r="O33" i="1"/>
  <c r="O36" i="1"/>
  <c r="O37" i="1"/>
  <c r="N37" i="1"/>
  <c r="N41" i="1"/>
  <c r="M37" i="1"/>
  <c r="M41" i="1"/>
  <c r="J37" i="1"/>
  <c r="K37" i="1"/>
  <c r="L37" i="1"/>
  <c r="L3" i="1"/>
  <c r="D38" i="1"/>
  <c r="J41" i="1"/>
  <c r="L41" i="1"/>
  <c r="K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L6" i="1"/>
  <c r="G14" i="6"/>
  <c r="H14" i="6"/>
  <c r="I14" i="6"/>
  <c r="J14" i="6"/>
  <c r="K14" i="6"/>
  <c r="L14" i="6"/>
  <c r="M14" i="6"/>
  <c r="N14" i="6"/>
  <c r="O14" i="6"/>
  <c r="P14" i="6"/>
  <c r="Q14" i="6"/>
  <c r="R14" i="6"/>
  <c r="T14" i="6"/>
  <c r="S14" i="6"/>
  <c r="U14" i="6"/>
  <c r="V14" i="6"/>
  <c r="W14" i="6"/>
  <c r="X14" i="6"/>
  <c r="Y14" i="6"/>
  <c r="Z14" i="6"/>
</calcChain>
</file>

<file path=xl/sharedStrings.xml><?xml version="1.0" encoding="utf-8"?>
<sst xmlns="http://schemas.openxmlformats.org/spreadsheetml/2006/main" count="115" uniqueCount="98">
  <si>
    <t>Date ---&gt;</t>
  </si>
  <si>
    <t>Equity</t>
  </si>
  <si>
    <t>Debt</t>
  </si>
  <si>
    <t>Inflation</t>
  </si>
  <si>
    <t>EBITDA</t>
  </si>
  <si>
    <t>Tax Holiday</t>
  </si>
  <si>
    <t>Tax rate</t>
  </si>
  <si>
    <t>Debt rate</t>
  </si>
  <si>
    <t>Moratorium</t>
  </si>
  <si>
    <t>Debt Amount</t>
  </si>
  <si>
    <t>Term</t>
  </si>
  <si>
    <t>Interest payment</t>
  </si>
  <si>
    <t>Depreciation</t>
  </si>
  <si>
    <t>Total</t>
  </si>
  <si>
    <t>Income before taxes</t>
  </si>
  <si>
    <t>Tax</t>
  </si>
  <si>
    <t>Net Income</t>
  </si>
  <si>
    <t>Min DSCR</t>
  </si>
  <si>
    <t>DSCR ---&gt;</t>
  </si>
  <si>
    <t>COD</t>
  </si>
  <si>
    <t>Operating expenses</t>
  </si>
  <si>
    <t>Debt Service Resv (DSR)</t>
  </si>
  <si>
    <t>Debt tenure</t>
  </si>
  <si>
    <t>Blue coloured cells are inputs</t>
  </si>
  <si>
    <t>Equity IRR</t>
  </si>
  <si>
    <t>Avg DSCR</t>
  </si>
  <si>
    <t>Year ------&gt;</t>
  </si>
  <si>
    <t>CSR, HSE, Training</t>
  </si>
  <si>
    <t>Total Project Cost</t>
  </si>
  <si>
    <t>Project Cost</t>
  </si>
  <si>
    <t>Total O&amp;M Cost (per year)</t>
  </si>
  <si>
    <t>Year---&gt;</t>
  </si>
  <si>
    <t>Insurance (0.35 %)</t>
  </si>
  <si>
    <t>MAT</t>
  </si>
  <si>
    <t>Numbers in mill INR</t>
  </si>
  <si>
    <t>Rent (Rs./Month)</t>
  </si>
  <si>
    <t>Flat</t>
  </si>
  <si>
    <t>Interior Decoration</t>
  </si>
  <si>
    <t>Furniture</t>
  </si>
  <si>
    <t>Fixtures</t>
  </si>
  <si>
    <t>Broker Fee</t>
  </si>
  <si>
    <t>Stamp Duty</t>
  </si>
  <si>
    <t>Fund Raising Fee</t>
  </si>
  <si>
    <t>Building Registration</t>
  </si>
  <si>
    <t>Tranfer of Deed Fee</t>
  </si>
  <si>
    <t>Interest During Moratorium</t>
  </si>
  <si>
    <t>Building Maintainence</t>
  </si>
  <si>
    <t>Utilities (Electric + Water + Internet)</t>
  </si>
  <si>
    <t>Salary (Maid + Acountant)</t>
  </si>
  <si>
    <t>Rate (Rs./sq.ft)</t>
  </si>
  <si>
    <t>Revenue Parameters</t>
  </si>
  <si>
    <t>City</t>
  </si>
  <si>
    <t>Size (Sq. ft)</t>
  </si>
  <si>
    <t>Deposit (Months)</t>
  </si>
  <si>
    <t>Mumbai</t>
  </si>
  <si>
    <t>Rent</t>
  </si>
  <si>
    <t xml:space="preserve">Interest on Deposit </t>
  </si>
  <si>
    <t>Revenue (million INR)</t>
  </si>
  <si>
    <t>Loan and Documentation Fee</t>
  </si>
  <si>
    <t>% of Project Cost</t>
  </si>
  <si>
    <t>Plumber + Electrician + Misc etc</t>
  </si>
  <si>
    <t>Other Sources</t>
  </si>
  <si>
    <t>Size in Sq. Ft</t>
  </si>
  <si>
    <t>Total Operating Expenses</t>
  </si>
  <si>
    <t>Add back depreciation</t>
  </si>
  <si>
    <t>CSR (0.50 % of Net Income) (-)</t>
  </si>
  <si>
    <t>DDT</t>
  </si>
  <si>
    <t>USD/INR</t>
  </si>
  <si>
    <t>Construction</t>
  </si>
  <si>
    <t>ASSUMPTIONS</t>
  </si>
  <si>
    <t xml:space="preserve">Today </t>
  </si>
  <si>
    <t>Non Operating Expenses</t>
  </si>
  <si>
    <t>Total Non-Operating Expenses</t>
  </si>
  <si>
    <t>Revenue Collection</t>
  </si>
  <si>
    <t>Total Revenue (million INR)</t>
  </si>
  <si>
    <t>Cash Flow</t>
  </si>
  <si>
    <t>Principal Payment (-)</t>
  </si>
  <si>
    <t>Final Project Cashflow</t>
  </si>
  <si>
    <t>Avg. Occupancy (Months)</t>
  </si>
  <si>
    <t>Rent Appreciation</t>
  </si>
  <si>
    <t>Interest on Rental Deposit</t>
  </si>
  <si>
    <t>Debt /Loan Repayment Schedule</t>
  </si>
  <si>
    <t>Payment Periods</t>
  </si>
  <si>
    <t>Period No.</t>
  </si>
  <si>
    <t>Date (EoQ)</t>
  </si>
  <si>
    <t>First Quarter End</t>
  </si>
  <si>
    <t>Int. Pmt.</t>
  </si>
  <si>
    <t>Prin. Pmt.</t>
  </si>
  <si>
    <t>Total Pmt.</t>
  </si>
  <si>
    <t>Prin. Balance</t>
  </si>
  <si>
    <t>Discount</t>
  </si>
  <si>
    <t>RESULTS</t>
  </si>
  <si>
    <t>O &amp; M Cost (Monthly Breakdown)</t>
  </si>
  <si>
    <t>One period is one quarter</t>
  </si>
  <si>
    <t>(OR One-Third of Annual Rent)</t>
  </si>
  <si>
    <t>PROJECT DETAILS</t>
  </si>
  <si>
    <t>Project IRR</t>
  </si>
  <si>
    <t>Final Project Cashflow (Equity)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</si>
</sst>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&quot;$&quot;#,##0.00_);[Red]\(&quot;$&quot;#,##0.00\)"/>
    <numFmt numFmtId="165" formatCode="_(* #,##0.00_);_(* \(#,##0.00\);_(* &quot;-&quot;??_);_(@_)"/>
    <numFmt numFmtId="166" formatCode="0.0"/>
    <numFmt numFmtId="167" formatCode="0&quot; yrs&quot;"/>
    <numFmt numFmtId="168" formatCode="0.0&quot; yrs&quot;"/>
    <numFmt numFmtId="169" formatCode="0.0%"/>
    <numFmt numFmtId="170" formatCode="0.000"/>
    <numFmt numFmtId="171" formatCode="0.00&quot; yrs&quot;"/>
    <numFmt numFmtId="172" formatCode="_(* #,##0_);_(* \(#,##0\);_(* &quot;-&quot;??_);_(@_)"/>
    <numFmt numFmtId="173" formatCode="[$-409]d\-mmm\-yy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rgb="FF0000FF"/>
      <name val="Tahoma"/>
      <family val="2"/>
    </font>
    <font>
      <i/>
      <sz val="11"/>
      <color theme="1"/>
      <name val="Tahoma"/>
      <family val="2"/>
    </font>
    <font>
      <sz val="9"/>
      <color theme="1"/>
      <name val="Tahoma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i/>
      <sz val="10"/>
      <color rgb="FFC00000"/>
      <name val="Arial"/>
      <family val="2"/>
    </font>
    <font>
      <b/>
      <sz val="10"/>
      <color theme="0"/>
      <name val="Arial"/>
      <family val="2"/>
    </font>
    <font>
      <sz val="10"/>
      <color theme="1"/>
      <name val="Courier New"/>
      <family val="3"/>
    </font>
    <font>
      <sz val="11"/>
      <color theme="1"/>
      <name val="Bahnschrift"/>
      <family val="2"/>
    </font>
    <font>
      <sz val="10"/>
      <color rgb="FFC00000"/>
      <name val="Bahnschrift"/>
      <family val="2"/>
    </font>
    <font>
      <sz val="10"/>
      <color rgb="FF0000FF"/>
      <name val="Bahnschrift"/>
      <family val="2"/>
    </font>
    <font>
      <sz val="10"/>
      <color theme="1"/>
      <name val="Bahnschrift"/>
      <family val="2"/>
    </font>
    <font>
      <b/>
      <sz val="9"/>
      <color theme="1"/>
      <name val="Arial"/>
      <family val="2"/>
    </font>
    <font>
      <sz val="9"/>
      <color theme="1"/>
      <name val="Courier New"/>
      <family val="3"/>
    </font>
    <font>
      <b/>
      <sz val="9"/>
      <color theme="1"/>
      <name val="Courier New"/>
      <family val="3"/>
    </font>
    <font>
      <sz val="9"/>
      <name val="Courier New"/>
      <family val="3"/>
    </font>
    <font>
      <i/>
      <sz val="9"/>
      <color rgb="FFC00000"/>
      <name val="Courier New"/>
      <family val="3"/>
    </font>
    <font>
      <sz val="11"/>
      <color theme="1"/>
      <name val="Arial"/>
      <family val="2"/>
    </font>
    <font>
      <b/>
      <sz val="11"/>
      <color rgb="FFFF0000"/>
      <name val="Bahnschrift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183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5" fillId="0" borderId="0" xfId="0" applyFont="1"/>
    <xf numFmtId="0" fontId="2" fillId="0" borderId="0" xfId="0" applyFont="1" applyBorder="1" applyAlignment="1">
      <alignment horizontal="right"/>
    </xf>
    <xf numFmtId="0" fontId="4" fillId="0" borderId="0" xfId="0" applyFont="1"/>
    <xf numFmtId="169" fontId="2" fillId="0" borderId="0" xfId="1" applyNumberFormat="1" applyFont="1" applyBorder="1" applyAlignment="1">
      <alignment horizontal="center"/>
    </xf>
    <xf numFmtId="166" fontId="2" fillId="0" borderId="0" xfId="0" applyNumberFormat="1" applyFont="1"/>
    <xf numFmtId="10" fontId="2" fillId="0" borderId="0" xfId="1" applyNumberFormat="1" applyFont="1"/>
    <xf numFmtId="0" fontId="6" fillId="0" borderId="0" xfId="0" applyFont="1"/>
    <xf numFmtId="164" fontId="2" fillId="0" borderId="0" xfId="0" applyNumberFormat="1" applyFont="1"/>
    <xf numFmtId="0" fontId="6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166" fontId="10" fillId="0" borderId="0" xfId="0" applyNumberFormat="1" applyFont="1" applyAlignment="1">
      <alignment horizontal="center"/>
    </xf>
    <xf numFmtId="170" fontId="13" fillId="0" borderId="3" xfId="0" applyNumberFormat="1" applyFont="1" applyBorder="1"/>
    <xf numFmtId="170" fontId="10" fillId="0" borderId="3" xfId="0" applyNumberFormat="1" applyFont="1" applyBorder="1"/>
    <xf numFmtId="0" fontId="10" fillId="0" borderId="1" xfId="0" applyFont="1" applyBorder="1"/>
    <xf numFmtId="0" fontId="10" fillId="0" borderId="0" xfId="0" applyFont="1" applyBorder="1"/>
    <xf numFmtId="2" fontId="10" fillId="0" borderId="0" xfId="0" applyNumberFormat="1" applyFont="1"/>
    <xf numFmtId="166" fontId="10" fillId="0" borderId="0" xfId="0" applyNumberFormat="1" applyFont="1"/>
    <xf numFmtId="170" fontId="10" fillId="0" borderId="0" xfId="0" applyNumberFormat="1" applyFont="1"/>
    <xf numFmtId="170" fontId="10" fillId="5" borderId="3" xfId="0" applyNumberFormat="1" applyFont="1" applyFill="1" applyBorder="1"/>
    <xf numFmtId="0" fontId="8" fillId="5" borderId="0" xfId="0" applyFont="1" applyFill="1"/>
    <xf numFmtId="14" fontId="10" fillId="0" borderId="3" xfId="0" applyNumberFormat="1" applyFont="1" applyFill="1" applyBorder="1"/>
    <xf numFmtId="0" fontId="2" fillId="0" borderId="0" xfId="0" applyFont="1" applyFill="1"/>
    <xf numFmtId="0" fontId="11" fillId="0" borderId="0" xfId="0" applyFont="1" applyFill="1" applyBorder="1"/>
    <xf numFmtId="0" fontId="10" fillId="0" borderId="0" xfId="0" applyFont="1" applyFill="1" applyBorder="1"/>
    <xf numFmtId="170" fontId="10" fillId="0" borderId="0" xfId="0" applyNumberFormat="1" applyFont="1" applyFill="1" applyBorder="1"/>
    <xf numFmtId="0" fontId="8" fillId="0" borderId="0" xfId="0" applyFont="1" applyFill="1" applyBorder="1"/>
    <xf numFmtId="0" fontId="11" fillId="0" borderId="0" xfId="0" applyFont="1" applyAlignment="1">
      <alignment vertical="center"/>
    </xf>
    <xf numFmtId="0" fontId="10" fillId="5" borderId="2" xfId="0" applyFont="1" applyFill="1" applyBorder="1"/>
    <xf numFmtId="0" fontId="11" fillId="5" borderId="2" xfId="0" applyFont="1" applyFill="1" applyBorder="1"/>
    <xf numFmtId="170" fontId="10" fillId="0" borderId="13" xfId="0" applyNumberFormat="1" applyFont="1" applyBorder="1"/>
    <xf numFmtId="170" fontId="10" fillId="0" borderId="11" xfId="0" applyNumberFormat="1" applyFont="1" applyBorder="1"/>
    <xf numFmtId="0" fontId="11" fillId="5" borderId="12" xfId="0" applyFont="1" applyFill="1" applyBorder="1"/>
    <xf numFmtId="0" fontId="8" fillId="5" borderId="2" xfId="0" applyFont="1" applyFill="1" applyBorder="1"/>
    <xf numFmtId="0" fontId="2" fillId="5" borderId="2" xfId="0" applyFont="1" applyFill="1" applyBorder="1"/>
    <xf numFmtId="2" fontId="9" fillId="0" borderId="0" xfId="0" applyNumberFormat="1" applyFont="1"/>
    <xf numFmtId="0" fontId="11" fillId="2" borderId="4" xfId="0" applyFont="1" applyFill="1" applyBorder="1"/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0" fillId="2" borderId="0" xfId="0" applyFont="1" applyFill="1" applyBorder="1"/>
    <xf numFmtId="0" fontId="10" fillId="2" borderId="8" xfId="0" applyFont="1" applyFill="1" applyBorder="1"/>
    <xf numFmtId="165" fontId="12" fillId="2" borderId="0" xfId="2" applyFont="1" applyFill="1" applyBorder="1"/>
    <xf numFmtId="0" fontId="10" fillId="2" borderId="9" xfId="0" applyFont="1" applyFill="1" applyBorder="1"/>
    <xf numFmtId="0" fontId="10" fillId="2" borderId="1" xfId="0" applyFont="1" applyFill="1" applyBorder="1"/>
    <xf numFmtId="0" fontId="10" fillId="2" borderId="10" xfId="0" applyFont="1" applyFill="1" applyBorder="1"/>
    <xf numFmtId="0" fontId="13" fillId="2" borderId="3" xfId="0" applyFont="1" applyFill="1" applyBorder="1"/>
    <xf numFmtId="0" fontId="13" fillId="2" borderId="3" xfId="0" applyFont="1" applyFill="1" applyBorder="1" applyAlignment="1">
      <alignment horizontal="center" vertical="center"/>
    </xf>
    <xf numFmtId="170" fontId="13" fillId="2" borderId="3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right"/>
    </xf>
    <xf numFmtId="9" fontId="12" fillId="2" borderId="0" xfId="1" applyFont="1" applyFill="1" applyBorder="1"/>
    <xf numFmtId="9" fontId="12" fillId="2" borderId="1" xfId="1" applyFont="1" applyFill="1" applyBorder="1"/>
    <xf numFmtId="0" fontId="14" fillId="2" borderId="8" xfId="0" applyFont="1" applyFill="1" applyBorder="1"/>
    <xf numFmtId="0" fontId="15" fillId="2" borderId="0" xfId="0" applyFont="1" applyFill="1" applyBorder="1"/>
    <xf numFmtId="0" fontId="11" fillId="3" borderId="4" xfId="0" applyFont="1" applyFill="1" applyBorder="1" applyAlignment="1">
      <alignment vertical="center"/>
    </xf>
    <xf numFmtId="0" fontId="10" fillId="3" borderId="5" xfId="0" applyFont="1" applyFill="1" applyBorder="1"/>
    <xf numFmtId="0" fontId="14" fillId="3" borderId="5" xfId="0" applyFont="1" applyFill="1" applyBorder="1" applyAlignment="1">
      <alignment horizontal="right"/>
    </xf>
    <xf numFmtId="0" fontId="14" fillId="3" borderId="6" xfId="0" applyFont="1" applyFill="1" applyBorder="1" applyAlignment="1">
      <alignment horizontal="right"/>
    </xf>
    <xf numFmtId="0" fontId="10" fillId="2" borderId="7" xfId="0" applyFont="1" applyFill="1" applyBorder="1" applyAlignment="1">
      <alignment wrapText="1"/>
    </xf>
    <xf numFmtId="0" fontId="10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1" fillId="2" borderId="8" xfId="0" applyFont="1" applyFill="1" applyBorder="1" applyAlignment="1">
      <alignment horizontal="center" wrapText="1"/>
    </xf>
    <xf numFmtId="0" fontId="12" fillId="2" borderId="0" xfId="0" applyFont="1" applyFill="1" applyBorder="1"/>
    <xf numFmtId="172" fontId="10" fillId="2" borderId="0" xfId="2" applyNumberFormat="1" applyFont="1" applyFill="1" applyBorder="1"/>
    <xf numFmtId="169" fontId="10" fillId="2" borderId="8" xfId="1" applyNumberFormat="1" applyFont="1" applyFill="1" applyBorder="1" applyAlignment="1">
      <alignment horizontal="center"/>
    </xf>
    <xf numFmtId="172" fontId="10" fillId="2" borderId="8" xfId="2" applyNumberFormat="1" applyFont="1" applyFill="1" applyBorder="1"/>
    <xf numFmtId="0" fontId="11" fillId="2" borderId="9" xfId="0" applyFont="1" applyFill="1" applyBorder="1"/>
    <xf numFmtId="0" fontId="11" fillId="2" borderId="1" xfId="0" applyFont="1" applyFill="1" applyBorder="1"/>
    <xf numFmtId="172" fontId="11" fillId="2" borderId="1" xfId="2" applyNumberFormat="1" applyFont="1" applyFill="1" applyBorder="1"/>
    <xf numFmtId="172" fontId="11" fillId="2" borderId="10" xfId="2" applyNumberFormat="1" applyFont="1" applyFill="1" applyBorder="1" applyAlignment="1">
      <alignment horizontal="center" vertical="center"/>
    </xf>
    <xf numFmtId="0" fontId="11" fillId="3" borderId="5" xfId="0" applyFont="1" applyFill="1" applyBorder="1"/>
    <xf numFmtId="0" fontId="11" fillId="3" borderId="6" xfId="0" applyFont="1" applyFill="1" applyBorder="1"/>
    <xf numFmtId="165" fontId="10" fillId="2" borderId="8" xfId="2" applyNumberFormat="1" applyFont="1" applyFill="1" applyBorder="1"/>
    <xf numFmtId="1" fontId="12" fillId="2" borderId="1" xfId="0" applyNumberFormat="1" applyFont="1" applyFill="1" applyBorder="1"/>
    <xf numFmtId="165" fontId="10" fillId="2" borderId="10" xfId="2" applyNumberFormat="1" applyFont="1" applyFill="1" applyBorder="1"/>
    <xf numFmtId="170" fontId="10" fillId="2" borderId="0" xfId="0" applyNumberFormat="1" applyFont="1" applyFill="1" applyBorder="1"/>
    <xf numFmtId="165" fontId="11" fillId="2" borderId="1" xfId="2" applyFont="1" applyFill="1" applyBorder="1"/>
    <xf numFmtId="172" fontId="11" fillId="2" borderId="10" xfId="2" applyNumberFormat="1" applyFont="1" applyFill="1" applyBorder="1"/>
    <xf numFmtId="0" fontId="17" fillId="0" borderId="0" xfId="0" applyFont="1"/>
    <xf numFmtId="0" fontId="17" fillId="0" borderId="0" xfId="0" applyFont="1" applyAlignment="1">
      <alignment horizontal="center" wrapText="1"/>
    </xf>
    <xf numFmtId="0" fontId="2" fillId="0" borderId="0" xfId="0" applyFont="1" applyFill="1" applyBorder="1" applyAlignment="1">
      <alignment vertical="center"/>
    </xf>
    <xf numFmtId="171" fontId="4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169" fontId="2" fillId="0" borderId="0" xfId="1" applyNumberFormat="1" applyFont="1" applyFill="1" applyBorder="1" applyAlignment="1">
      <alignment horizontal="center"/>
    </xf>
    <xf numFmtId="9" fontId="4" fillId="0" borderId="0" xfId="0" applyNumberFormat="1" applyFont="1" applyFill="1" applyBorder="1" applyAlignment="1">
      <alignment horizontal="center" vertical="center"/>
    </xf>
    <xf numFmtId="169" fontId="4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2" fillId="0" borderId="3" xfId="0" applyFont="1" applyBorder="1" applyAlignment="1">
      <alignment horizontal="center" vertical="center"/>
    </xf>
    <xf numFmtId="0" fontId="23" fillId="0" borderId="0" xfId="0" applyFont="1"/>
    <xf numFmtId="0" fontId="23" fillId="0" borderId="3" xfId="0" applyFont="1" applyBorder="1" applyAlignment="1">
      <alignment horizontal="center"/>
    </xf>
    <xf numFmtId="173" fontId="23" fillId="0" borderId="3" xfId="0" applyNumberFormat="1" applyFont="1" applyBorder="1" applyAlignment="1">
      <alignment horizontal="center"/>
    </xf>
    <xf numFmtId="2" fontId="23" fillId="0" borderId="3" xfId="0" applyNumberFormat="1" applyFont="1" applyBorder="1" applyAlignment="1">
      <alignment horizontal="center"/>
    </xf>
    <xf numFmtId="170" fontId="23" fillId="0" borderId="3" xfId="0" applyNumberFormat="1" applyFont="1" applyBorder="1"/>
    <xf numFmtId="2" fontId="23" fillId="0" borderId="3" xfId="0" applyNumberFormat="1" applyFont="1" applyBorder="1"/>
    <xf numFmtId="0" fontId="24" fillId="0" borderId="3" xfId="0" applyFont="1" applyBorder="1"/>
    <xf numFmtId="170" fontId="24" fillId="0" borderId="3" xfId="0" applyNumberFormat="1" applyFont="1" applyBorder="1"/>
    <xf numFmtId="2" fontId="24" fillId="0" borderId="3" xfId="0" applyNumberFormat="1" applyFont="1" applyBorder="1"/>
    <xf numFmtId="0" fontId="9" fillId="0" borderId="3" xfId="0" applyFont="1" applyBorder="1"/>
    <xf numFmtId="2" fontId="23" fillId="0" borderId="3" xfId="0" applyNumberFormat="1" applyFont="1" applyBorder="1" applyAlignment="1">
      <alignment horizontal="right" vertical="center"/>
    </xf>
    <xf numFmtId="10" fontId="23" fillId="0" borderId="3" xfId="0" applyNumberFormat="1" applyFont="1" applyBorder="1" applyAlignment="1">
      <alignment horizontal="right" vertical="center"/>
    </xf>
    <xf numFmtId="171" fontId="25" fillId="0" borderId="3" xfId="0" applyNumberFormat="1" applyFont="1" applyBorder="1" applyAlignment="1">
      <alignment horizontal="right" vertical="center"/>
    </xf>
    <xf numFmtId="168" fontId="25" fillId="0" borderId="3" xfId="0" applyNumberFormat="1" applyFont="1" applyBorder="1" applyAlignment="1">
      <alignment horizontal="right" vertical="center"/>
    </xf>
    <xf numFmtId="0" fontId="9" fillId="0" borderId="3" xfId="0" applyFont="1" applyFill="1" applyBorder="1"/>
    <xf numFmtId="0" fontId="23" fillId="0" borderId="3" xfId="0" applyFont="1" applyBorder="1" applyAlignment="1">
      <alignment horizontal="right" vertical="center"/>
    </xf>
    <xf numFmtId="173" fontId="23" fillId="0" borderId="3" xfId="0" applyNumberFormat="1" applyFont="1" applyBorder="1"/>
    <xf numFmtId="0" fontId="2" fillId="7" borderId="0" xfId="0" applyFont="1" applyFill="1"/>
    <xf numFmtId="0" fontId="2" fillId="8" borderId="0" xfId="0" applyFont="1" applyFill="1"/>
    <xf numFmtId="0" fontId="27" fillId="4" borderId="12" xfId="0" applyFont="1" applyFill="1" applyBorder="1"/>
    <xf numFmtId="0" fontId="27" fillId="4" borderId="2" xfId="0" applyFont="1" applyFill="1" applyBorder="1"/>
    <xf numFmtId="2" fontId="27" fillId="4" borderId="2" xfId="0" applyNumberFormat="1" applyFont="1" applyFill="1" applyBorder="1"/>
    <xf numFmtId="166" fontId="27" fillId="4" borderId="2" xfId="0" applyNumberFormat="1" applyFont="1" applyFill="1" applyBorder="1"/>
    <xf numFmtId="170" fontId="27" fillId="4" borderId="3" xfId="0" applyNumberFormat="1" applyFont="1" applyFill="1" applyBorder="1"/>
    <xf numFmtId="0" fontId="27" fillId="7" borderId="12" xfId="0" applyFont="1" applyFill="1" applyBorder="1"/>
    <xf numFmtId="0" fontId="27" fillId="7" borderId="2" xfId="0" applyFont="1" applyFill="1" applyBorder="1"/>
    <xf numFmtId="2" fontId="27" fillId="7" borderId="2" xfId="0" applyNumberFormat="1" applyFont="1" applyFill="1" applyBorder="1"/>
    <xf numFmtId="166" fontId="27" fillId="7" borderId="2" xfId="0" applyNumberFormat="1" applyFont="1" applyFill="1" applyBorder="1"/>
    <xf numFmtId="170" fontId="27" fillId="7" borderId="3" xfId="0" applyNumberFormat="1" applyFont="1" applyFill="1" applyBorder="1"/>
    <xf numFmtId="0" fontId="29" fillId="6" borderId="3" xfId="0" applyFont="1" applyFill="1" applyBorder="1" applyAlignment="1">
      <alignment vertical="center"/>
    </xf>
    <xf numFmtId="170" fontId="29" fillId="6" borderId="3" xfId="0" applyNumberFormat="1" applyFont="1" applyFill="1" applyBorder="1" applyAlignment="1">
      <alignment horizontal="center" vertical="center"/>
    </xf>
    <xf numFmtId="0" fontId="27" fillId="6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26" fillId="0" borderId="12" xfId="0" applyFont="1" applyFill="1" applyBorder="1" applyAlignment="1">
      <alignment horizontal="left"/>
    </xf>
    <xf numFmtId="0" fontId="26" fillId="0" borderId="2" xfId="0" applyFont="1" applyFill="1" applyBorder="1" applyAlignment="1">
      <alignment horizontal="left"/>
    </xf>
    <xf numFmtId="0" fontId="7" fillId="0" borderId="0" xfId="0" applyFont="1" applyAlignment="1">
      <alignment horizontal="center" wrapText="1"/>
    </xf>
    <xf numFmtId="0" fontId="18" fillId="9" borderId="12" xfId="0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18" fillId="9" borderId="14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vertical="center"/>
    </xf>
    <xf numFmtId="0" fontId="20" fillId="9" borderId="5" xfId="0" applyFont="1" applyFill="1" applyBorder="1" applyAlignment="1">
      <alignment horizontal="center" vertical="center"/>
    </xf>
    <xf numFmtId="2" fontId="21" fillId="9" borderId="6" xfId="0" applyNumberFormat="1" applyFont="1" applyFill="1" applyBorder="1" applyAlignment="1">
      <alignment horizontal="center" vertical="center"/>
    </xf>
    <xf numFmtId="0" fontId="19" fillId="9" borderId="7" xfId="0" applyFont="1" applyFill="1" applyBorder="1" applyAlignment="1">
      <alignment vertical="center"/>
    </xf>
    <xf numFmtId="9" fontId="20" fillId="9" borderId="0" xfId="0" applyNumberFormat="1" applyFont="1" applyFill="1" applyBorder="1" applyAlignment="1">
      <alignment horizontal="center" vertical="center"/>
    </xf>
    <xf numFmtId="2" fontId="21" fillId="9" borderId="8" xfId="0" applyNumberFormat="1" applyFont="1" applyFill="1" applyBorder="1" applyAlignment="1">
      <alignment horizontal="center" vertical="center"/>
    </xf>
    <xf numFmtId="9" fontId="21" fillId="9" borderId="0" xfId="0" applyNumberFormat="1" applyFont="1" applyFill="1" applyBorder="1" applyAlignment="1">
      <alignment horizontal="center" vertical="center"/>
    </xf>
    <xf numFmtId="0" fontId="19" fillId="9" borderId="9" xfId="0" applyFont="1" applyFill="1" applyBorder="1" applyAlignment="1">
      <alignment vertical="center"/>
    </xf>
    <xf numFmtId="171" fontId="20" fillId="9" borderId="1" xfId="0" applyNumberFormat="1" applyFont="1" applyFill="1" applyBorder="1" applyAlignment="1">
      <alignment horizontal="center" vertical="center"/>
    </xf>
    <xf numFmtId="1" fontId="21" fillId="9" borderId="10" xfId="0" applyNumberFormat="1" applyFont="1" applyFill="1" applyBorder="1" applyAlignment="1">
      <alignment horizontal="center" vertical="center"/>
    </xf>
    <xf numFmtId="0" fontId="18" fillId="7" borderId="12" xfId="0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18" fillId="7" borderId="14" xfId="0" applyFont="1" applyFill="1" applyBorder="1" applyAlignment="1">
      <alignment horizontal="center"/>
    </xf>
    <xf numFmtId="0" fontId="19" fillId="7" borderId="4" xfId="0" applyFont="1" applyFill="1" applyBorder="1" applyAlignment="1">
      <alignment vertical="center"/>
    </xf>
    <xf numFmtId="10" fontId="20" fillId="7" borderId="6" xfId="0" applyNumberFormat="1" applyFont="1" applyFill="1" applyBorder="1" applyAlignment="1">
      <alignment horizontal="center" vertical="center"/>
    </xf>
    <xf numFmtId="169" fontId="20" fillId="7" borderId="6" xfId="0" applyNumberFormat="1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left" vertical="center"/>
    </xf>
    <xf numFmtId="2" fontId="20" fillId="7" borderId="6" xfId="0" applyNumberFormat="1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vertical="center"/>
    </xf>
    <xf numFmtId="10" fontId="20" fillId="7" borderId="8" xfId="1" applyNumberFormat="1" applyFont="1" applyFill="1" applyBorder="1" applyAlignment="1">
      <alignment horizontal="center" vertical="center"/>
    </xf>
    <xf numFmtId="171" fontId="20" fillId="7" borderId="8" xfId="0" applyNumberFormat="1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left" vertical="center"/>
    </xf>
    <xf numFmtId="9" fontId="20" fillId="7" borderId="8" xfId="1" applyFont="1" applyFill="1" applyBorder="1" applyAlignment="1">
      <alignment horizontal="center" vertical="center"/>
    </xf>
    <xf numFmtId="167" fontId="20" fillId="7" borderId="8" xfId="0" applyNumberFormat="1" applyFont="1" applyFill="1" applyBorder="1" applyAlignment="1">
      <alignment horizontal="center" vertical="center"/>
    </xf>
    <xf numFmtId="168" fontId="20" fillId="7" borderId="8" xfId="0" applyNumberFormat="1" applyFont="1" applyFill="1" applyBorder="1" applyAlignment="1">
      <alignment horizontal="center" vertical="center"/>
    </xf>
    <xf numFmtId="0" fontId="19" fillId="7" borderId="9" xfId="0" applyFont="1" applyFill="1" applyBorder="1" applyAlignment="1">
      <alignment vertical="center"/>
    </xf>
    <xf numFmtId="10" fontId="20" fillId="7" borderId="10" xfId="0" applyNumberFormat="1" applyFont="1" applyFill="1" applyBorder="1" applyAlignment="1">
      <alignment horizontal="center" vertical="center"/>
    </xf>
    <xf numFmtId="0" fontId="19" fillId="7" borderId="9" xfId="0" applyFont="1" applyFill="1" applyBorder="1" applyAlignment="1">
      <alignment horizontal="left" vertical="center"/>
    </xf>
    <xf numFmtId="169" fontId="20" fillId="7" borderId="10" xfId="0" applyNumberFormat="1" applyFont="1" applyFill="1" applyBorder="1" applyAlignment="1">
      <alignment horizontal="center" vertical="center"/>
    </xf>
    <xf numFmtId="0" fontId="10" fillId="10" borderId="4" xfId="0" applyFont="1" applyFill="1" applyBorder="1"/>
    <xf numFmtId="9" fontId="10" fillId="10" borderId="5" xfId="0" applyNumberFormat="1" applyFont="1" applyFill="1" applyBorder="1" applyAlignment="1">
      <alignment horizontal="center"/>
    </xf>
    <xf numFmtId="1" fontId="11" fillId="10" borderId="5" xfId="0" applyNumberFormat="1" applyFont="1" applyFill="1" applyBorder="1" applyAlignment="1">
      <alignment horizontal="center"/>
    </xf>
    <xf numFmtId="0" fontId="11" fillId="10" borderId="6" xfId="0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 vertical="center"/>
    </xf>
    <xf numFmtId="0" fontId="10" fillId="10" borderId="9" xfId="0" applyFont="1" applyFill="1" applyBorder="1"/>
    <xf numFmtId="14" fontId="10" fillId="10" borderId="1" xfId="0" applyNumberFormat="1" applyFont="1" applyFill="1" applyBorder="1"/>
    <xf numFmtId="173" fontId="12" fillId="10" borderId="1" xfId="0" applyNumberFormat="1" applyFont="1" applyFill="1" applyBorder="1"/>
    <xf numFmtId="173" fontId="12" fillId="10" borderId="10" xfId="0" applyNumberFormat="1" applyFont="1" applyFill="1" applyBorder="1" applyAlignment="1">
      <alignment horizontal="center"/>
    </xf>
    <xf numFmtId="173" fontId="10" fillId="10" borderId="3" xfId="0" applyNumberFormat="1" applyFont="1" applyFill="1" applyBorder="1"/>
    <xf numFmtId="0" fontId="28" fillId="11" borderId="12" xfId="0" applyFont="1" applyFill="1" applyBorder="1" applyAlignment="1">
      <alignment horizontal="center"/>
    </xf>
    <xf numFmtId="0" fontId="28" fillId="11" borderId="14" xfId="0" applyFont="1" applyFill="1" applyBorder="1" applyAlignment="1">
      <alignment horizontal="center"/>
    </xf>
    <xf numFmtId="0" fontId="21" fillId="11" borderId="7" xfId="0" applyFont="1" applyFill="1" applyBorder="1"/>
    <xf numFmtId="10" fontId="21" fillId="11" borderId="8" xfId="1" applyNumberFormat="1" applyFont="1" applyFill="1" applyBorder="1"/>
    <xf numFmtId="2" fontId="21" fillId="11" borderId="8" xfId="0" applyNumberFormat="1" applyFont="1" applyFill="1" applyBorder="1"/>
    <xf numFmtId="0" fontId="21" fillId="11" borderId="9" xfId="0" applyFont="1" applyFill="1" applyBorder="1"/>
    <xf numFmtId="10" fontId="21" fillId="11" borderId="10" xfId="1" applyNumberFormat="1" applyFont="1" applyFill="1" applyBorder="1"/>
  </cellXfs>
  <cellStyles count="4">
    <cellStyle name="Comma" xfId="2" builtinId="3"/>
    <cellStyle name="Normal" xfId="0" builtinId="0"/>
    <cellStyle name="Normal 2" xfId="3"/>
    <cellStyle name="Percent" xfId="1" builtinId="5"/>
  </cellStyles>
  <dxfs count="0"/>
  <tableStyles count="0" defaultTableStyle="TableStyleMedium9" defaultPivotStyle="PivotStyleLight16"/>
  <colors>
    <mruColors>
      <color rgb="FFCCFFFF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showGridLines="0" tabSelected="1" zoomScaleNormal="100" workbookViewId="0"/>
  </sheetViews>
  <sheetFormatPr defaultColWidth="0" defaultRowHeight="14.25" zeroHeight="1" x14ac:dyDescent="0.2"/>
  <cols>
    <col min="1" max="1" width="26" style="1" customWidth="1"/>
    <col min="2" max="2" width="11.5703125" style="1" bestFit="1" customWidth="1"/>
    <col min="3" max="3" width="13.28515625" style="1" customWidth="1"/>
    <col min="4" max="4" width="16.5703125" style="1" bestFit="1" customWidth="1"/>
    <col min="5" max="5" width="13.140625" style="1" bestFit="1" customWidth="1"/>
    <col min="6" max="6" width="13" style="1" bestFit="1" customWidth="1"/>
    <col min="7" max="7" width="11.7109375" style="1" bestFit="1" customWidth="1"/>
    <col min="8" max="8" width="11.5703125" style="1" customWidth="1"/>
    <col min="9" max="9" width="12.85546875" style="1" bestFit="1" customWidth="1"/>
    <col min="10" max="10" width="11.7109375" style="1" bestFit="1" customWidth="1"/>
    <col min="11" max="11" width="12.42578125" style="1" bestFit="1" customWidth="1"/>
    <col min="12" max="12" width="11.7109375" style="1" bestFit="1" customWidth="1"/>
    <col min="13" max="13" width="12.85546875" style="1" customWidth="1"/>
    <col min="14" max="17" width="11.7109375" style="1" bestFit="1" customWidth="1"/>
    <col min="18" max="18" width="12" style="1" customWidth="1"/>
    <col min="19" max="27" width="11.7109375" style="1" bestFit="1" customWidth="1"/>
    <col min="28" max="28" width="11.28515625" style="1" customWidth="1"/>
    <col min="29" max="29" width="11.7109375" style="1" bestFit="1" customWidth="1"/>
    <col min="30" max="30" width="9.140625" style="1" customWidth="1"/>
    <col min="31" max="16384" width="9.140625" style="1" hidden="1"/>
  </cols>
  <sheetData>
    <row r="1" spans="1:29" x14ac:dyDescent="0.2"/>
    <row r="2" spans="1:29" x14ac:dyDescent="0.2">
      <c r="A2" s="134" t="s">
        <v>95</v>
      </c>
      <c r="B2" s="135"/>
      <c r="C2" s="136"/>
      <c r="D2" s="147" t="s">
        <v>69</v>
      </c>
      <c r="E2" s="148"/>
      <c r="F2" s="148"/>
      <c r="G2" s="148"/>
      <c r="H2" s="148"/>
      <c r="I2" s="149"/>
      <c r="J2" s="2"/>
      <c r="K2" s="176" t="s">
        <v>91</v>
      </c>
      <c r="L2" s="177"/>
      <c r="N2" s="3" t="s">
        <v>34</v>
      </c>
    </row>
    <row r="3" spans="1:29" ht="15" x14ac:dyDescent="0.25">
      <c r="A3" s="137" t="s">
        <v>62</v>
      </c>
      <c r="B3" s="138">
        <v>3000</v>
      </c>
      <c r="C3" s="139">
        <f>Cost!D21/10^6</f>
        <v>10.35</v>
      </c>
      <c r="D3" s="150" t="s">
        <v>3</v>
      </c>
      <c r="E3" s="151">
        <v>7.0000000000000007E-2</v>
      </c>
      <c r="F3" s="150" t="s">
        <v>7</v>
      </c>
      <c r="G3" s="152">
        <v>0.1</v>
      </c>
      <c r="H3" s="153" t="s">
        <v>67</v>
      </c>
      <c r="I3" s="154">
        <v>70</v>
      </c>
      <c r="K3" s="178" t="s">
        <v>24</v>
      </c>
      <c r="L3" s="179">
        <f ca="1">XIRR(C37:AC37,C9:AC9,I4)</f>
        <v>0.19969642758369449</v>
      </c>
      <c r="M3"/>
      <c r="N3" s="5" t="s">
        <v>23</v>
      </c>
    </row>
    <row r="4" spans="1:29" ht="15" x14ac:dyDescent="0.25">
      <c r="A4" s="140" t="s">
        <v>1</v>
      </c>
      <c r="B4" s="141">
        <v>0.3</v>
      </c>
      <c r="C4" s="142">
        <f>B4*C3</f>
        <v>3.105</v>
      </c>
      <c r="D4" s="155" t="s">
        <v>66</v>
      </c>
      <c r="E4" s="156">
        <v>0</v>
      </c>
      <c r="F4" s="155" t="s">
        <v>8</v>
      </c>
      <c r="G4" s="157">
        <v>0.25</v>
      </c>
      <c r="H4" s="158" t="s">
        <v>90</v>
      </c>
      <c r="I4" s="159">
        <v>0.1</v>
      </c>
      <c r="K4" s="178" t="s">
        <v>17</v>
      </c>
      <c r="L4" s="180">
        <f>MIN($E$39:$AC$39)</f>
        <v>1.697016583894964</v>
      </c>
      <c r="M4"/>
    </row>
    <row r="5" spans="1:29" ht="15" x14ac:dyDescent="0.25">
      <c r="A5" s="140" t="s">
        <v>2</v>
      </c>
      <c r="B5" s="143">
        <f>1-B4</f>
        <v>0.7</v>
      </c>
      <c r="C5" s="142">
        <f>C3-C4</f>
        <v>7.2449999999999992</v>
      </c>
      <c r="D5" s="155" t="s">
        <v>5</v>
      </c>
      <c r="E5" s="160">
        <v>0</v>
      </c>
      <c r="F5" s="155" t="s">
        <v>22</v>
      </c>
      <c r="G5" s="161">
        <v>10</v>
      </c>
      <c r="H5" s="158" t="s">
        <v>68</v>
      </c>
      <c r="I5" s="157">
        <v>0.25</v>
      </c>
      <c r="K5" s="178" t="s">
        <v>25</v>
      </c>
      <c r="L5" s="180">
        <f>AVERAGE(E39:AC39)</f>
        <v>2.0398881736556529</v>
      </c>
      <c r="M5"/>
    </row>
    <row r="6" spans="1:29" x14ac:dyDescent="0.2">
      <c r="A6" s="144" t="s">
        <v>21</v>
      </c>
      <c r="B6" s="145">
        <v>0.25</v>
      </c>
      <c r="C6" s="146"/>
      <c r="D6" s="162" t="s">
        <v>6</v>
      </c>
      <c r="E6" s="163">
        <v>0.25</v>
      </c>
      <c r="F6" s="162" t="s">
        <v>12</v>
      </c>
      <c r="G6" s="163">
        <v>7.0000000000000007E-2</v>
      </c>
      <c r="H6" s="164" t="s">
        <v>33</v>
      </c>
      <c r="I6" s="165">
        <v>0.185</v>
      </c>
      <c r="K6" s="181" t="s">
        <v>96</v>
      </c>
      <c r="L6" s="182">
        <f ca="1">XIRR(C41:AC41,C9:AC9,I4)</f>
        <v>8.4251585602760318E-2</v>
      </c>
      <c r="M6" s="4"/>
      <c r="N6" s="6"/>
    </row>
    <row r="7" spans="1:29" s="2" customFormat="1" x14ac:dyDescent="0.2">
      <c r="A7" s="83"/>
      <c r="B7" s="84"/>
      <c r="C7" s="85"/>
      <c r="D7" s="83"/>
      <c r="E7" s="89"/>
      <c r="F7" s="83"/>
      <c r="G7" s="90"/>
      <c r="H7" s="91"/>
      <c r="I7" s="89"/>
      <c r="L7" s="86"/>
      <c r="M7" s="87"/>
      <c r="N7" s="88"/>
    </row>
    <row r="8" spans="1:29" s="111" customFormat="1" x14ac:dyDescent="0.2">
      <c r="A8" s="166" t="s">
        <v>26</v>
      </c>
      <c r="B8" s="167"/>
      <c r="C8" s="168" t="s">
        <v>70</v>
      </c>
      <c r="D8" s="169" t="s">
        <v>19</v>
      </c>
      <c r="E8" s="170">
        <v>1</v>
      </c>
      <c r="F8" s="170">
        <f>E8+1</f>
        <v>2</v>
      </c>
      <c r="G8" s="170">
        <f t="shared" ref="G8:Y8" si="0">F8+1</f>
        <v>3</v>
      </c>
      <c r="H8" s="170">
        <f t="shared" si="0"/>
        <v>4</v>
      </c>
      <c r="I8" s="170">
        <f t="shared" si="0"/>
        <v>5</v>
      </c>
      <c r="J8" s="170">
        <f t="shared" si="0"/>
        <v>6</v>
      </c>
      <c r="K8" s="170">
        <f t="shared" si="0"/>
        <v>7</v>
      </c>
      <c r="L8" s="170">
        <f t="shared" si="0"/>
        <v>8</v>
      </c>
      <c r="M8" s="170">
        <f t="shared" si="0"/>
        <v>9</v>
      </c>
      <c r="N8" s="170">
        <f t="shared" si="0"/>
        <v>10</v>
      </c>
      <c r="O8" s="170">
        <f t="shared" si="0"/>
        <v>11</v>
      </c>
      <c r="P8" s="170">
        <f t="shared" si="0"/>
        <v>12</v>
      </c>
      <c r="Q8" s="170">
        <f t="shared" si="0"/>
        <v>13</v>
      </c>
      <c r="R8" s="170">
        <f t="shared" si="0"/>
        <v>14</v>
      </c>
      <c r="S8" s="170">
        <f t="shared" si="0"/>
        <v>15</v>
      </c>
      <c r="T8" s="170">
        <f t="shared" si="0"/>
        <v>16</v>
      </c>
      <c r="U8" s="170">
        <f t="shared" si="0"/>
        <v>17</v>
      </c>
      <c r="V8" s="170">
        <f t="shared" si="0"/>
        <v>18</v>
      </c>
      <c r="W8" s="170">
        <f t="shared" si="0"/>
        <v>19</v>
      </c>
      <c r="X8" s="170">
        <f t="shared" si="0"/>
        <v>20</v>
      </c>
      <c r="Y8" s="170">
        <f t="shared" si="0"/>
        <v>21</v>
      </c>
      <c r="Z8" s="170">
        <f>Y8+1</f>
        <v>22</v>
      </c>
      <c r="AA8" s="170">
        <f>Z8+1</f>
        <v>23</v>
      </c>
      <c r="AB8" s="170">
        <f>AA8+1</f>
        <v>24</v>
      </c>
      <c r="AC8" s="170">
        <f>AB8+1</f>
        <v>25</v>
      </c>
    </row>
    <row r="9" spans="1:29" s="111" customFormat="1" x14ac:dyDescent="0.2">
      <c r="A9" s="171" t="s">
        <v>0</v>
      </c>
      <c r="B9" s="172"/>
      <c r="C9" s="173">
        <f ca="1">TODAY()</f>
        <v>44046</v>
      </c>
      <c r="D9" s="174">
        <f ca="1">C9+(I5*365)</f>
        <v>44137.25</v>
      </c>
      <c r="E9" s="175">
        <f ca="1">EOMONTH(D9,12)</f>
        <v>44530</v>
      </c>
      <c r="F9" s="175">
        <f ca="1">EOMONTH(E9,12)</f>
        <v>44895</v>
      </c>
      <c r="G9" s="175">
        <f t="shared" ref="G9:Y9" ca="1" si="1">EOMONTH(F9,12)</f>
        <v>45260</v>
      </c>
      <c r="H9" s="175">
        <f t="shared" ca="1" si="1"/>
        <v>45626</v>
      </c>
      <c r="I9" s="175">
        <f t="shared" ca="1" si="1"/>
        <v>45991</v>
      </c>
      <c r="J9" s="175">
        <f t="shared" ca="1" si="1"/>
        <v>46356</v>
      </c>
      <c r="K9" s="175">
        <f t="shared" ca="1" si="1"/>
        <v>46721</v>
      </c>
      <c r="L9" s="175">
        <f t="shared" ca="1" si="1"/>
        <v>47087</v>
      </c>
      <c r="M9" s="175">
        <f t="shared" ca="1" si="1"/>
        <v>47452</v>
      </c>
      <c r="N9" s="175">
        <f t="shared" ca="1" si="1"/>
        <v>47817</v>
      </c>
      <c r="O9" s="175">
        <f t="shared" ca="1" si="1"/>
        <v>48182</v>
      </c>
      <c r="P9" s="175">
        <f t="shared" ca="1" si="1"/>
        <v>48548</v>
      </c>
      <c r="Q9" s="175">
        <f t="shared" ca="1" si="1"/>
        <v>48913</v>
      </c>
      <c r="R9" s="175">
        <f t="shared" ca="1" si="1"/>
        <v>49278</v>
      </c>
      <c r="S9" s="175">
        <f t="shared" ca="1" si="1"/>
        <v>49643</v>
      </c>
      <c r="T9" s="175">
        <f t="shared" ca="1" si="1"/>
        <v>50009</v>
      </c>
      <c r="U9" s="175">
        <f t="shared" ca="1" si="1"/>
        <v>50374</v>
      </c>
      <c r="V9" s="175">
        <f t="shared" ca="1" si="1"/>
        <v>50739</v>
      </c>
      <c r="W9" s="175">
        <f t="shared" ca="1" si="1"/>
        <v>51104</v>
      </c>
      <c r="X9" s="175">
        <f t="shared" ca="1" si="1"/>
        <v>51470</v>
      </c>
      <c r="Y9" s="175">
        <f t="shared" ca="1" si="1"/>
        <v>51835</v>
      </c>
      <c r="Z9" s="175">
        <f ca="1">EOMONTH(Y9,12)</f>
        <v>52200</v>
      </c>
      <c r="AA9" s="175">
        <f ca="1">EOMONTH(Z9,12)</f>
        <v>52565</v>
      </c>
      <c r="AB9" s="175">
        <f ca="1">EOMONTH(AA9,12)</f>
        <v>52931</v>
      </c>
      <c r="AC9" s="175">
        <f ca="1">EOMONTH(AB9,12)</f>
        <v>53296</v>
      </c>
    </row>
    <row r="10" spans="1:29" s="25" customFormat="1" x14ac:dyDescent="0.2">
      <c r="A10" s="128" t="s">
        <v>73</v>
      </c>
      <c r="B10" s="128"/>
      <c r="C10" s="128"/>
      <c r="D10" s="129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spans="1:29" x14ac:dyDescent="0.2">
      <c r="A11" s="13" t="s">
        <v>55</v>
      </c>
      <c r="B11" s="13"/>
      <c r="C11" s="13"/>
      <c r="D11" s="14"/>
      <c r="E11" s="15">
        <f>Revenue!B12</f>
        <v>2.5</v>
      </c>
      <c r="F11" s="15">
        <f>Revenue!C12</f>
        <v>2.625</v>
      </c>
      <c r="G11" s="15">
        <f>Revenue!D12</f>
        <v>2.7562500000000001</v>
      </c>
      <c r="H11" s="15">
        <f>Revenue!E12</f>
        <v>2.8940625000000004</v>
      </c>
      <c r="I11" s="15">
        <f>Revenue!F12</f>
        <v>3.0387656250000004</v>
      </c>
      <c r="J11" s="15">
        <f>Revenue!G12</f>
        <v>3.1907039062500004</v>
      </c>
      <c r="K11" s="15">
        <f>Revenue!H12</f>
        <v>3.3502391015625008</v>
      </c>
      <c r="L11" s="15">
        <f>Revenue!I12</f>
        <v>3.517751056640626</v>
      </c>
      <c r="M11" s="15">
        <f>Revenue!J12</f>
        <v>3.6936386094726577</v>
      </c>
      <c r="N11" s="15">
        <f>Revenue!K12</f>
        <v>3.8783205399462908</v>
      </c>
      <c r="O11" s="15">
        <f>Revenue!L12</f>
        <v>4.0722365669436051</v>
      </c>
      <c r="P11" s="15">
        <f>Revenue!M12</f>
        <v>4.2758483952907858</v>
      </c>
      <c r="Q11" s="15">
        <f>Revenue!N12</f>
        <v>4.4896408150553251</v>
      </c>
      <c r="R11" s="15">
        <f>Revenue!O12</f>
        <v>4.7141228558080916</v>
      </c>
      <c r="S11" s="15">
        <f>Revenue!P12</f>
        <v>4.9498289985984965</v>
      </c>
      <c r="T11" s="15">
        <f>Revenue!Q12</f>
        <v>5.1973204485284219</v>
      </c>
      <c r="U11" s="15">
        <f>Revenue!R12</f>
        <v>5.4571864709548432</v>
      </c>
      <c r="V11" s="15">
        <f>Revenue!S12</f>
        <v>5.730045794502586</v>
      </c>
      <c r="W11" s="15">
        <f>Revenue!T12</f>
        <v>6.0165480842277157</v>
      </c>
      <c r="X11" s="15">
        <f>Revenue!U12</f>
        <v>6.3173754884391018</v>
      </c>
      <c r="Y11" s="15">
        <f>Revenue!V12</f>
        <v>6.6332442628610568</v>
      </c>
      <c r="Z11" s="15">
        <f>Revenue!W12</f>
        <v>6.9649064760041099</v>
      </c>
      <c r="AA11" s="15">
        <f>Revenue!X12</f>
        <v>7.3131517998043156</v>
      </c>
      <c r="AB11" s="15">
        <f>Revenue!Y12</f>
        <v>7.678809389794532</v>
      </c>
      <c r="AC11" s="15">
        <f>Revenue!Z12</f>
        <v>8.0627498592842581</v>
      </c>
    </row>
    <row r="12" spans="1:29" x14ac:dyDescent="0.2">
      <c r="A12" s="13" t="s">
        <v>56</v>
      </c>
      <c r="B12" s="13"/>
      <c r="C12" s="13"/>
      <c r="D12" s="13"/>
      <c r="E12" s="16">
        <f>Revenue!B13</f>
        <v>6.6666666666666666E-2</v>
      </c>
      <c r="F12" s="16">
        <f>Revenue!C13</f>
        <v>7.0000000000000007E-2</v>
      </c>
      <c r="G12" s="16">
        <f>Revenue!D13</f>
        <v>7.350000000000001E-2</v>
      </c>
      <c r="H12" s="16">
        <f>Revenue!E13</f>
        <v>7.7175000000000007E-2</v>
      </c>
      <c r="I12" s="16">
        <f>Revenue!F13</f>
        <v>8.1033750000000015E-2</v>
      </c>
      <c r="J12" s="16">
        <f>Revenue!G13</f>
        <v>8.5085437500000013E-2</v>
      </c>
      <c r="K12" s="16">
        <f>Revenue!H13</f>
        <v>8.933970937500002E-2</v>
      </c>
      <c r="L12" s="16">
        <f>Revenue!I13</f>
        <v>9.3806694843750038E-2</v>
      </c>
      <c r="M12" s="16">
        <f>Revenue!J13</f>
        <v>9.8497029585937548E-2</v>
      </c>
      <c r="N12" s="16">
        <f>Revenue!K13</f>
        <v>0.10342188106523442</v>
      </c>
      <c r="O12" s="16">
        <f>Revenue!L13</f>
        <v>0.10859297511849614</v>
      </c>
      <c r="P12" s="16">
        <f>Revenue!M13</f>
        <v>0.11402262387442096</v>
      </c>
      <c r="Q12" s="16">
        <f>Revenue!N13</f>
        <v>0.11972375506814201</v>
      </c>
      <c r="R12" s="16">
        <f>Revenue!O13</f>
        <v>0.12570994282154913</v>
      </c>
      <c r="S12" s="16">
        <f>Revenue!P13</f>
        <v>0.13199543996262658</v>
      </c>
      <c r="T12" s="16">
        <f>Revenue!Q13</f>
        <v>0.13859521196075791</v>
      </c>
      <c r="U12" s="16">
        <f>Revenue!R13</f>
        <v>0.14552497255879582</v>
      </c>
      <c r="V12" s="16">
        <f>Revenue!S13</f>
        <v>0.15280122118673561</v>
      </c>
      <c r="W12" s="16">
        <f>Revenue!T13</f>
        <v>0.16044128224607243</v>
      </c>
      <c r="X12" s="16">
        <f>Revenue!U13</f>
        <v>0.16846334635837604</v>
      </c>
      <c r="Y12" s="16">
        <f>Revenue!V13</f>
        <v>0.17688651367629488</v>
      </c>
      <c r="Z12" s="16">
        <f>Revenue!W13</f>
        <v>0.18573083936010959</v>
      </c>
      <c r="AA12" s="16">
        <f>Revenue!X13</f>
        <v>0.19501738132811508</v>
      </c>
      <c r="AB12" s="16">
        <f>Revenue!Y13</f>
        <v>0.20476825039452085</v>
      </c>
      <c r="AC12" s="16">
        <f>Revenue!Z13</f>
        <v>0.21500666291424689</v>
      </c>
    </row>
    <row r="13" spans="1:29" x14ac:dyDescent="0.2">
      <c r="A13" s="13" t="s">
        <v>61</v>
      </c>
      <c r="B13" s="13"/>
      <c r="C13" s="13"/>
      <c r="D13" s="13"/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</row>
    <row r="14" spans="1:29" s="36" customFormat="1" ht="15" x14ac:dyDescent="0.2">
      <c r="A14" s="35" t="s">
        <v>74</v>
      </c>
      <c r="B14" s="31"/>
      <c r="C14" s="31"/>
      <c r="D14" s="31"/>
      <c r="E14" s="22">
        <f>SUM(E11:E13)</f>
        <v>2.5666666666666669</v>
      </c>
      <c r="F14" s="22">
        <f t="shared" ref="F14:AC14" si="2">SUM(F11:F13)</f>
        <v>2.6949999999999998</v>
      </c>
      <c r="G14" s="22">
        <f t="shared" si="2"/>
        <v>2.8297500000000002</v>
      </c>
      <c r="H14" s="22">
        <f t="shared" si="2"/>
        <v>2.9712375000000004</v>
      </c>
      <c r="I14" s="22">
        <f t="shared" si="2"/>
        <v>3.1197993750000004</v>
      </c>
      <c r="J14" s="22">
        <f t="shared" si="2"/>
        <v>3.2757893437500005</v>
      </c>
      <c r="K14" s="22">
        <f t="shared" si="2"/>
        <v>3.4395788109375007</v>
      </c>
      <c r="L14" s="22">
        <f t="shared" si="2"/>
        <v>3.611557751484376</v>
      </c>
      <c r="M14" s="22">
        <f t="shared" si="2"/>
        <v>3.7921356390585954</v>
      </c>
      <c r="N14" s="22">
        <f t="shared" si="2"/>
        <v>3.9817424210115253</v>
      </c>
      <c r="O14" s="22">
        <f t="shared" si="2"/>
        <v>4.1808295420621011</v>
      </c>
      <c r="P14" s="22">
        <f t="shared" si="2"/>
        <v>4.3898710191652066</v>
      </c>
      <c r="Q14" s="22">
        <f t="shared" si="2"/>
        <v>4.6093645701234669</v>
      </c>
      <c r="R14" s="22">
        <f t="shared" si="2"/>
        <v>4.839832798629641</v>
      </c>
      <c r="S14" s="22">
        <f t="shared" si="2"/>
        <v>5.0818244385611226</v>
      </c>
      <c r="T14" s="22">
        <f t="shared" si="2"/>
        <v>5.3359156604891798</v>
      </c>
      <c r="U14" s="22">
        <f t="shared" si="2"/>
        <v>5.6027114435136394</v>
      </c>
      <c r="V14" s="22">
        <f t="shared" si="2"/>
        <v>5.8828470156893218</v>
      </c>
      <c r="W14" s="22">
        <f t="shared" si="2"/>
        <v>6.176989366473788</v>
      </c>
      <c r="X14" s="22">
        <f t="shared" si="2"/>
        <v>6.4858388347974776</v>
      </c>
      <c r="Y14" s="22">
        <f t="shared" si="2"/>
        <v>6.8101307765373518</v>
      </c>
      <c r="Z14" s="22">
        <f t="shared" si="2"/>
        <v>7.1506373153642198</v>
      </c>
      <c r="AA14" s="22">
        <f t="shared" si="2"/>
        <v>7.5081691811324305</v>
      </c>
      <c r="AB14" s="22">
        <f t="shared" si="2"/>
        <v>7.8835776401890527</v>
      </c>
      <c r="AC14" s="22">
        <f t="shared" si="2"/>
        <v>8.277756522198505</v>
      </c>
    </row>
    <row r="15" spans="1:29" x14ac:dyDescent="0.2">
      <c r="A15" s="126" t="s">
        <v>20</v>
      </c>
      <c r="B15" s="126"/>
      <c r="C15" s="126"/>
      <c r="D15" s="127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</row>
    <row r="16" spans="1:29" x14ac:dyDescent="0.2">
      <c r="A16" s="13" t="s">
        <v>46</v>
      </c>
      <c r="B16" s="13"/>
      <c r="C16" s="13"/>
      <c r="D16" s="13"/>
      <c r="E16" s="16">
        <f>(Cost!D24*12)/10^6</f>
        <v>0.54</v>
      </c>
      <c r="F16" s="16">
        <f>E16*(1+$E$3)</f>
        <v>0.57780000000000009</v>
      </c>
      <c r="G16" s="16">
        <f t="shared" ref="G16:AC20" si="3">F16*(1+$E$3)</f>
        <v>0.61824600000000018</v>
      </c>
      <c r="H16" s="16">
        <f t="shared" si="3"/>
        <v>0.66152322000000019</v>
      </c>
      <c r="I16" s="16">
        <f t="shared" si="3"/>
        <v>0.70782984540000027</v>
      </c>
      <c r="J16" s="16">
        <f t="shared" si="3"/>
        <v>0.75737793457800029</v>
      </c>
      <c r="K16" s="16">
        <f t="shared" si="3"/>
        <v>0.81039438999846036</v>
      </c>
      <c r="L16" s="16">
        <f t="shared" si="3"/>
        <v>0.8671219972983526</v>
      </c>
      <c r="M16" s="16">
        <f t="shared" si="3"/>
        <v>0.92782053710923729</v>
      </c>
      <c r="N16" s="16">
        <f t="shared" si="3"/>
        <v>0.99276797470688394</v>
      </c>
      <c r="O16" s="16">
        <f t="shared" si="3"/>
        <v>1.0622617329363659</v>
      </c>
      <c r="P16" s="16">
        <f t="shared" si="3"/>
        <v>1.1366200542419116</v>
      </c>
      <c r="Q16" s="16">
        <f t="shared" si="3"/>
        <v>1.2161834580388455</v>
      </c>
      <c r="R16" s="16">
        <f t="shared" si="3"/>
        <v>1.3013163001015648</v>
      </c>
      <c r="S16" s="16">
        <f t="shared" si="3"/>
        <v>1.3924084411086746</v>
      </c>
      <c r="T16" s="16">
        <f t="shared" si="3"/>
        <v>1.489877031986282</v>
      </c>
      <c r="U16" s="16">
        <f t="shared" si="3"/>
        <v>1.5941684242253218</v>
      </c>
      <c r="V16" s="16">
        <f t="shared" si="3"/>
        <v>1.7057602139210943</v>
      </c>
      <c r="W16" s="16">
        <f t="shared" si="3"/>
        <v>1.8251634288955711</v>
      </c>
      <c r="X16" s="16">
        <f t="shared" si="3"/>
        <v>1.9529248689182612</v>
      </c>
      <c r="Y16" s="16">
        <f t="shared" si="3"/>
        <v>2.0896296097425395</v>
      </c>
      <c r="Z16" s="16">
        <f t="shared" si="3"/>
        <v>2.2359036824245173</v>
      </c>
      <c r="AA16" s="16">
        <f t="shared" si="3"/>
        <v>2.3924169401942335</v>
      </c>
      <c r="AB16" s="16">
        <f t="shared" si="3"/>
        <v>2.5598861260078301</v>
      </c>
      <c r="AC16" s="16">
        <f t="shared" si="3"/>
        <v>2.7390781548283782</v>
      </c>
    </row>
    <row r="17" spans="1:29" x14ac:dyDescent="0.2">
      <c r="A17" s="13" t="s">
        <v>47</v>
      </c>
      <c r="B17" s="13"/>
      <c r="C17" s="13"/>
      <c r="D17" s="13"/>
      <c r="E17" s="16">
        <f>(Cost!D25*12)/10^6</f>
        <v>0.14399999999999999</v>
      </c>
      <c r="F17" s="16">
        <f>E17*(1+$E$3)</f>
        <v>0.15407999999999999</v>
      </c>
      <c r="G17" s="16">
        <f t="shared" ref="G17:U17" si="4">F17*(1+$E$3)</f>
        <v>0.1648656</v>
      </c>
      <c r="H17" s="16">
        <f t="shared" si="4"/>
        <v>0.17640619200000002</v>
      </c>
      <c r="I17" s="16">
        <f t="shared" si="4"/>
        <v>0.18875462544000002</v>
      </c>
      <c r="J17" s="16">
        <f t="shared" si="4"/>
        <v>0.20196744922080004</v>
      </c>
      <c r="K17" s="16">
        <f t="shared" si="4"/>
        <v>0.21610517066625606</v>
      </c>
      <c r="L17" s="16">
        <f t="shared" si="4"/>
        <v>0.231232532612894</v>
      </c>
      <c r="M17" s="16">
        <f t="shared" si="4"/>
        <v>0.24741880989579659</v>
      </c>
      <c r="N17" s="16">
        <f t="shared" si="4"/>
        <v>0.26473812658850238</v>
      </c>
      <c r="O17" s="16">
        <f t="shared" si="4"/>
        <v>0.28326979544969755</v>
      </c>
      <c r="P17" s="16">
        <f t="shared" si="4"/>
        <v>0.30309868113117638</v>
      </c>
      <c r="Q17" s="16">
        <f t="shared" si="4"/>
        <v>0.32431558881035877</v>
      </c>
      <c r="R17" s="16">
        <f t="shared" si="4"/>
        <v>0.34701768002708389</v>
      </c>
      <c r="S17" s="16">
        <f t="shared" si="4"/>
        <v>0.37130891762897977</v>
      </c>
      <c r="T17" s="16">
        <f t="shared" si="4"/>
        <v>0.39730054186300839</v>
      </c>
      <c r="U17" s="16">
        <f t="shared" si="4"/>
        <v>0.42511157979341901</v>
      </c>
      <c r="V17" s="16">
        <f t="shared" si="3"/>
        <v>0.45486939037895835</v>
      </c>
      <c r="W17" s="16">
        <f t="shared" si="3"/>
        <v>0.48671024770548549</v>
      </c>
      <c r="X17" s="16">
        <f t="shared" si="3"/>
        <v>0.52077996504486945</v>
      </c>
      <c r="Y17" s="16">
        <f t="shared" si="3"/>
        <v>0.5572345625980103</v>
      </c>
      <c r="Z17" s="16">
        <f t="shared" si="3"/>
        <v>0.59624098197987108</v>
      </c>
      <c r="AA17" s="16">
        <f t="shared" si="3"/>
        <v>0.63797785071846214</v>
      </c>
      <c r="AB17" s="16">
        <f t="shared" si="3"/>
        <v>0.68263630026875455</v>
      </c>
      <c r="AC17" s="16">
        <f t="shared" si="3"/>
        <v>0.73042084128756746</v>
      </c>
    </row>
    <row r="18" spans="1:29" x14ac:dyDescent="0.2">
      <c r="A18" s="13" t="s">
        <v>48</v>
      </c>
      <c r="B18" s="13"/>
      <c r="C18" s="13"/>
      <c r="D18" s="13"/>
      <c r="E18" s="16">
        <f>Cost!D26*12/10^6</f>
        <v>0.14399999999999999</v>
      </c>
      <c r="F18" s="16">
        <f>E18*(1+$E$3)</f>
        <v>0.15407999999999999</v>
      </c>
      <c r="G18" s="16">
        <f t="shared" si="3"/>
        <v>0.1648656</v>
      </c>
      <c r="H18" s="16">
        <f t="shared" si="3"/>
        <v>0.17640619200000002</v>
      </c>
      <c r="I18" s="16">
        <f t="shared" si="3"/>
        <v>0.18875462544000002</v>
      </c>
      <c r="J18" s="16">
        <f t="shared" si="3"/>
        <v>0.20196744922080004</v>
      </c>
      <c r="K18" s="16">
        <f t="shared" si="3"/>
        <v>0.21610517066625606</v>
      </c>
      <c r="L18" s="16">
        <f t="shared" si="3"/>
        <v>0.231232532612894</v>
      </c>
      <c r="M18" s="16">
        <f t="shared" si="3"/>
        <v>0.24741880989579659</v>
      </c>
      <c r="N18" s="16">
        <f t="shared" si="3"/>
        <v>0.26473812658850238</v>
      </c>
      <c r="O18" s="16">
        <f t="shared" si="3"/>
        <v>0.28326979544969755</v>
      </c>
      <c r="P18" s="16">
        <f t="shared" si="3"/>
        <v>0.30309868113117638</v>
      </c>
      <c r="Q18" s="16">
        <f t="shared" si="3"/>
        <v>0.32431558881035877</v>
      </c>
      <c r="R18" s="16">
        <f t="shared" si="3"/>
        <v>0.34701768002708389</v>
      </c>
      <c r="S18" s="16">
        <f t="shared" si="3"/>
        <v>0.37130891762897977</v>
      </c>
      <c r="T18" s="16">
        <f t="shared" si="3"/>
        <v>0.39730054186300839</v>
      </c>
      <c r="U18" s="16">
        <f t="shared" si="3"/>
        <v>0.42511157979341901</v>
      </c>
      <c r="V18" s="16">
        <f t="shared" si="3"/>
        <v>0.45486939037895835</v>
      </c>
      <c r="W18" s="16">
        <f t="shared" si="3"/>
        <v>0.48671024770548549</v>
      </c>
      <c r="X18" s="16">
        <f t="shared" si="3"/>
        <v>0.52077996504486945</v>
      </c>
      <c r="Y18" s="16">
        <f t="shared" si="3"/>
        <v>0.5572345625980103</v>
      </c>
      <c r="Z18" s="16">
        <f t="shared" si="3"/>
        <v>0.59624098197987108</v>
      </c>
      <c r="AA18" s="16">
        <f t="shared" si="3"/>
        <v>0.63797785071846214</v>
      </c>
      <c r="AB18" s="16">
        <f t="shared" si="3"/>
        <v>0.68263630026875455</v>
      </c>
      <c r="AC18" s="16">
        <f t="shared" si="3"/>
        <v>0.73042084128756746</v>
      </c>
    </row>
    <row r="19" spans="1:29" x14ac:dyDescent="0.2">
      <c r="A19" s="13" t="s">
        <v>60</v>
      </c>
      <c r="B19" s="13"/>
      <c r="C19" s="13"/>
      <c r="D19" s="13"/>
      <c r="E19" s="16">
        <f>Cost!D27*12/10^6</f>
        <v>0.108</v>
      </c>
      <c r="F19" s="16">
        <f>E19*(1+$E$3)</f>
        <v>0.11556000000000001</v>
      </c>
      <c r="G19" s="16">
        <f t="shared" si="3"/>
        <v>0.12364920000000001</v>
      </c>
      <c r="H19" s="16">
        <f t="shared" si="3"/>
        <v>0.13230464400000003</v>
      </c>
      <c r="I19" s="16">
        <f t="shared" si="3"/>
        <v>0.14156596908000005</v>
      </c>
      <c r="J19" s="16">
        <f t="shared" si="3"/>
        <v>0.15147558691560006</v>
      </c>
      <c r="K19" s="16">
        <f t="shared" si="3"/>
        <v>0.16207887799969209</v>
      </c>
      <c r="L19" s="16">
        <f t="shared" si="3"/>
        <v>0.17342439945967056</v>
      </c>
      <c r="M19" s="16">
        <f t="shared" si="3"/>
        <v>0.18556410742184751</v>
      </c>
      <c r="N19" s="16">
        <f t="shared" si="3"/>
        <v>0.19855359494137684</v>
      </c>
      <c r="O19" s="16">
        <f t="shared" si="3"/>
        <v>0.21245234658727322</v>
      </c>
      <c r="P19" s="16">
        <f t="shared" si="3"/>
        <v>0.22732401084838236</v>
      </c>
      <c r="Q19" s="16">
        <f t="shared" si="3"/>
        <v>0.24323669160776915</v>
      </c>
      <c r="R19" s="16">
        <f t="shared" si="3"/>
        <v>0.26026326002031303</v>
      </c>
      <c r="S19" s="16">
        <f t="shared" si="3"/>
        <v>0.27848168822173497</v>
      </c>
      <c r="T19" s="16">
        <f t="shared" si="3"/>
        <v>0.29797540639725645</v>
      </c>
      <c r="U19" s="16">
        <f t="shared" si="3"/>
        <v>0.31883368484506441</v>
      </c>
      <c r="V19" s="16">
        <f t="shared" si="3"/>
        <v>0.34115204278421896</v>
      </c>
      <c r="W19" s="16">
        <f t="shared" si="3"/>
        <v>0.3650326857791143</v>
      </c>
      <c r="X19" s="16">
        <f t="shared" si="3"/>
        <v>0.39058497378365231</v>
      </c>
      <c r="Y19" s="16">
        <f t="shared" si="3"/>
        <v>0.41792592194850797</v>
      </c>
      <c r="Z19" s="16">
        <f t="shared" si="3"/>
        <v>0.44718073648490353</v>
      </c>
      <c r="AA19" s="16">
        <f t="shared" si="3"/>
        <v>0.47848338803884682</v>
      </c>
      <c r="AB19" s="16">
        <f t="shared" si="3"/>
        <v>0.51197722520156608</v>
      </c>
      <c r="AC19" s="16">
        <f t="shared" si="3"/>
        <v>0.54781563096567576</v>
      </c>
    </row>
    <row r="20" spans="1:29" x14ac:dyDescent="0.2">
      <c r="A20" s="18" t="s">
        <v>32</v>
      </c>
      <c r="B20" s="18"/>
      <c r="C20" s="18"/>
      <c r="D20" s="18"/>
      <c r="E20" s="33">
        <f>Cost!D28/10^6</f>
        <v>0.03</v>
      </c>
      <c r="F20" s="33">
        <f>E20*(1+$E$3)</f>
        <v>3.2100000000000004E-2</v>
      </c>
      <c r="G20" s="33">
        <f t="shared" si="3"/>
        <v>3.4347000000000003E-2</v>
      </c>
      <c r="H20" s="33">
        <f t="shared" si="3"/>
        <v>3.6751290000000006E-2</v>
      </c>
      <c r="I20" s="33">
        <f t="shared" si="3"/>
        <v>3.932388030000001E-2</v>
      </c>
      <c r="J20" s="33">
        <f t="shared" si="3"/>
        <v>4.2076551921000016E-2</v>
      </c>
      <c r="K20" s="33">
        <f t="shared" si="3"/>
        <v>4.5021910555470022E-2</v>
      </c>
      <c r="L20" s="33">
        <f t="shared" si="3"/>
        <v>4.8173444294352927E-2</v>
      </c>
      <c r="M20" s="33">
        <f t="shared" si="3"/>
        <v>5.1545585394957634E-2</v>
      </c>
      <c r="N20" s="33">
        <f t="shared" si="3"/>
        <v>5.5153776372604671E-2</v>
      </c>
      <c r="O20" s="33">
        <f t="shared" si="3"/>
        <v>5.9014540718687003E-2</v>
      </c>
      <c r="P20" s="33">
        <f t="shared" si="3"/>
        <v>6.3145558568995092E-2</v>
      </c>
      <c r="Q20" s="33">
        <f t="shared" si="3"/>
        <v>6.7565747668824755E-2</v>
      </c>
      <c r="R20" s="33">
        <f t="shared" si="3"/>
        <v>7.2295350005642495E-2</v>
      </c>
      <c r="S20" s="33">
        <f t="shared" si="3"/>
        <v>7.7356024506037471E-2</v>
      </c>
      <c r="T20" s="33">
        <f t="shared" si="3"/>
        <v>8.2770946221460098E-2</v>
      </c>
      <c r="U20" s="33">
        <f t="shared" si="3"/>
        <v>8.8564912456962311E-2</v>
      </c>
      <c r="V20" s="33">
        <f t="shared" si="3"/>
        <v>9.4764456328949684E-2</v>
      </c>
      <c r="W20" s="33">
        <f t="shared" si="3"/>
        <v>0.10139796827197617</v>
      </c>
      <c r="X20" s="33">
        <f t="shared" si="3"/>
        <v>0.1084958260510145</v>
      </c>
      <c r="Y20" s="33">
        <f t="shared" si="3"/>
        <v>0.11609053387458552</v>
      </c>
      <c r="Z20" s="33">
        <f t="shared" si="3"/>
        <v>0.12421687124580652</v>
      </c>
      <c r="AA20" s="33">
        <f t="shared" si="3"/>
        <v>0.13291205223301297</v>
      </c>
      <c r="AB20" s="33">
        <f t="shared" si="3"/>
        <v>0.1422158958893239</v>
      </c>
      <c r="AC20" s="33">
        <f t="shared" si="3"/>
        <v>0.15217100860157659</v>
      </c>
    </row>
    <row r="21" spans="1:29" s="36" customFormat="1" ht="15" x14ac:dyDescent="0.2">
      <c r="A21" s="35" t="s">
        <v>63</v>
      </c>
      <c r="B21" s="31"/>
      <c r="C21" s="31"/>
      <c r="D21" s="31"/>
      <c r="E21" s="22">
        <f>SUM(E16:E20)</f>
        <v>0.96600000000000008</v>
      </c>
      <c r="F21" s="22">
        <f t="shared" ref="F21:X21" si="5">SUM(F16:F20)</f>
        <v>1.0336200000000002</v>
      </c>
      <c r="G21" s="22">
        <f t="shared" si="5"/>
        <v>1.1059734000000001</v>
      </c>
      <c r="H21" s="22">
        <f t="shared" si="5"/>
        <v>1.1833915380000002</v>
      </c>
      <c r="I21" s="22">
        <f t="shared" si="5"/>
        <v>1.2662289456600002</v>
      </c>
      <c r="J21" s="22">
        <f t="shared" si="5"/>
        <v>1.3548649718562005</v>
      </c>
      <c r="K21" s="22">
        <f t="shared" si="5"/>
        <v>1.4497055198861346</v>
      </c>
      <c r="L21" s="22">
        <f t="shared" si="5"/>
        <v>1.551184906278164</v>
      </c>
      <c r="M21" s="22">
        <f t="shared" si="5"/>
        <v>1.6597678497176356</v>
      </c>
      <c r="N21" s="22">
        <f t="shared" si="5"/>
        <v>1.7759515991978703</v>
      </c>
      <c r="O21" s="22">
        <f t="shared" si="5"/>
        <v>1.9002682111417213</v>
      </c>
      <c r="P21" s="22">
        <f t="shared" si="5"/>
        <v>2.033286985921642</v>
      </c>
      <c r="Q21" s="22">
        <f t="shared" si="5"/>
        <v>2.1756170749361572</v>
      </c>
      <c r="R21" s="22">
        <f t="shared" si="5"/>
        <v>2.3279102701816883</v>
      </c>
      <c r="S21" s="22">
        <f t="shared" si="5"/>
        <v>2.4908639890944069</v>
      </c>
      <c r="T21" s="22">
        <f t="shared" si="5"/>
        <v>2.6652244683310156</v>
      </c>
      <c r="U21" s="22">
        <f t="shared" si="5"/>
        <v>2.8517901811141861</v>
      </c>
      <c r="V21" s="22">
        <f t="shared" si="5"/>
        <v>3.05141549379218</v>
      </c>
      <c r="W21" s="22">
        <f t="shared" si="5"/>
        <v>3.2650145783576328</v>
      </c>
      <c r="X21" s="22">
        <f t="shared" si="5"/>
        <v>3.4935655988426673</v>
      </c>
      <c r="Y21" s="22">
        <f>SUM(Y16:Y20)</f>
        <v>3.7381151907616537</v>
      </c>
      <c r="Z21" s="22">
        <f>SUM(Z16:Z20)</f>
        <v>3.9997832541149698</v>
      </c>
      <c r="AA21" s="22">
        <f>SUM(AA16:AA20)</f>
        <v>4.2797680819030175</v>
      </c>
      <c r="AB21" s="22">
        <f>SUM(AB16:AB20)</f>
        <v>4.5793518476362287</v>
      </c>
      <c r="AC21" s="22">
        <f>SUM(AC16:AC20)</f>
        <v>4.8999064769707656</v>
      </c>
    </row>
    <row r="22" spans="1:29" s="29" customFormat="1" ht="15" x14ac:dyDescent="0.2">
      <c r="A22" s="26"/>
      <c r="B22" s="27"/>
      <c r="C22" s="27"/>
      <c r="D22" s="27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spans="1:29" s="37" customFormat="1" x14ac:dyDescent="0.2">
      <c r="A23" s="35" t="s">
        <v>4</v>
      </c>
      <c r="B23" s="31"/>
      <c r="C23" s="31"/>
      <c r="D23" s="31"/>
      <c r="E23" s="22">
        <f t="shared" ref="E23:X23" si="6">E14-E21</f>
        <v>1.6006666666666667</v>
      </c>
      <c r="F23" s="22">
        <f t="shared" si="6"/>
        <v>1.6613799999999996</v>
      </c>
      <c r="G23" s="22">
        <f t="shared" si="6"/>
        <v>1.7237766000000001</v>
      </c>
      <c r="H23" s="22">
        <f t="shared" si="6"/>
        <v>1.7878459620000002</v>
      </c>
      <c r="I23" s="22">
        <f t="shared" si="6"/>
        <v>1.8535704293400002</v>
      </c>
      <c r="J23" s="22">
        <f t="shared" si="6"/>
        <v>1.9209243718938001</v>
      </c>
      <c r="K23" s="22">
        <f t="shared" si="6"/>
        <v>1.9898732910513661</v>
      </c>
      <c r="L23" s="22">
        <f t="shared" si="6"/>
        <v>2.0603728452062118</v>
      </c>
      <c r="M23" s="22">
        <f t="shared" si="6"/>
        <v>2.1323677893409601</v>
      </c>
      <c r="N23" s="22">
        <f t="shared" si="6"/>
        <v>2.2057908218136548</v>
      </c>
      <c r="O23" s="22">
        <f t="shared" si="6"/>
        <v>2.2805613309203796</v>
      </c>
      <c r="P23" s="22">
        <f t="shared" si="6"/>
        <v>2.3565840332435646</v>
      </c>
      <c r="Q23" s="22">
        <f t="shared" si="6"/>
        <v>2.4337474951873097</v>
      </c>
      <c r="R23" s="22">
        <f t="shared" si="6"/>
        <v>2.5119225284479527</v>
      </c>
      <c r="S23" s="22">
        <f t="shared" si="6"/>
        <v>2.5909604494667158</v>
      </c>
      <c r="T23" s="22">
        <f t="shared" si="6"/>
        <v>2.6706911921581642</v>
      </c>
      <c r="U23" s="22">
        <f t="shared" si="6"/>
        <v>2.7509212623994532</v>
      </c>
      <c r="V23" s="22">
        <f t="shared" si="6"/>
        <v>2.8314315218971418</v>
      </c>
      <c r="W23" s="22">
        <f t="shared" si="6"/>
        <v>2.9119747881161553</v>
      </c>
      <c r="X23" s="22">
        <f t="shared" si="6"/>
        <v>2.9922732359548103</v>
      </c>
      <c r="Y23" s="22">
        <f>Y14-Y21</f>
        <v>3.0720155857756981</v>
      </c>
      <c r="Z23" s="22">
        <f>Z14-Z21</f>
        <v>3.1508540612492499</v>
      </c>
      <c r="AA23" s="22">
        <f>AA14-AA21</f>
        <v>3.228401099229413</v>
      </c>
      <c r="AB23" s="22">
        <f>AB14-AB21</f>
        <v>3.304225792552824</v>
      </c>
      <c r="AC23" s="22">
        <f>AC14-AC21</f>
        <v>3.3778500452277394</v>
      </c>
    </row>
    <row r="24" spans="1:29" x14ac:dyDescent="0.2">
      <c r="A24" s="125" t="s">
        <v>71</v>
      </c>
      <c r="B24" s="125"/>
      <c r="C24" s="125"/>
      <c r="D24" s="130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</row>
    <row r="25" spans="1:29" x14ac:dyDescent="0.2">
      <c r="A25" s="13" t="s">
        <v>11</v>
      </c>
      <c r="B25" s="13"/>
      <c r="C25" s="13"/>
      <c r="D25" s="13"/>
      <c r="E25" s="16">
        <f>-Debt!L5</f>
        <v>-0.70810632282957342</v>
      </c>
      <c r="F25" s="16">
        <f>-Debt!L6</f>
        <v>-0.66176967639265827</v>
      </c>
      <c r="G25" s="16">
        <f>-Debt!L7</f>
        <v>-0.61062268874725811</v>
      </c>
      <c r="H25" s="16">
        <f>-Debt!L8</f>
        <v>-0.55416598446762799</v>
      </c>
      <c r="I25" s="16">
        <f>-Debt!L9</f>
        <v>-0.49184834652156872</v>
      </c>
      <c r="J25" s="16">
        <f>-Debt!L10</f>
        <v>-0.42306133444340666</v>
      </c>
      <c r="K25" s="16">
        <f>-Debt!L11</f>
        <v>-0.34713334380395389</v>
      </c>
      <c r="L25" s="16">
        <f>-Debt!L12</f>
        <v>-0.26332304897687159</v>
      </c>
      <c r="M25" s="16">
        <f>-Debt!L13</f>
        <v>-0.17081216517965639</v>
      </c>
      <c r="N25" s="16">
        <f>-Debt!L14</f>
        <v>-6.8697459121178819E-2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</row>
    <row r="26" spans="1:29" x14ac:dyDescent="0.2">
      <c r="A26" s="17" t="s">
        <v>12</v>
      </c>
      <c r="B26" s="17"/>
      <c r="C26" s="17"/>
      <c r="D26" s="17"/>
      <c r="E26" s="16">
        <f>-(Cost!D4*FinFlows!$G$6)/10^6</f>
        <v>-0.52500000000000002</v>
      </c>
      <c r="F26" s="16">
        <f t="shared" ref="F26:K26" si="7">(E26-E26*$G$6)</f>
        <v>-0.48825000000000002</v>
      </c>
      <c r="G26" s="16">
        <f t="shared" si="7"/>
        <v>-0.45407249999999999</v>
      </c>
      <c r="H26" s="16">
        <f t="shared" si="7"/>
        <v>-0.42228742499999999</v>
      </c>
      <c r="I26" s="16">
        <f t="shared" si="7"/>
        <v>-0.39272730524999999</v>
      </c>
      <c r="J26" s="16">
        <f t="shared" si="7"/>
        <v>-0.36523639388250001</v>
      </c>
      <c r="K26" s="16">
        <f t="shared" si="7"/>
        <v>-0.339669846310725</v>
      </c>
      <c r="L26" s="16">
        <f t="shared" ref="L26:R26" si="8">(K26-K26*$G$6)</f>
        <v>-0.31589295706897424</v>
      </c>
      <c r="M26" s="16">
        <f t="shared" si="8"/>
        <v>-0.29378045007414605</v>
      </c>
      <c r="N26" s="16">
        <f t="shared" si="8"/>
        <v>-0.27321581856895583</v>
      </c>
      <c r="O26" s="16">
        <f t="shared" si="8"/>
        <v>-0.25409071126912891</v>
      </c>
      <c r="P26" s="16">
        <f t="shared" si="8"/>
        <v>-0.23630436148028988</v>
      </c>
      <c r="Q26" s="16">
        <f t="shared" si="8"/>
        <v>-0.21976305617666958</v>
      </c>
      <c r="R26" s="16">
        <f t="shared" si="8"/>
        <v>-0.20437964224430272</v>
      </c>
      <c r="S26" s="16">
        <f t="shared" ref="S26:AC26" si="9">(R26-R26*$G$6)</f>
        <v>-0.19007306728720152</v>
      </c>
      <c r="T26" s="16">
        <f t="shared" si="9"/>
        <v>-0.17676795257709743</v>
      </c>
      <c r="U26" s="16">
        <f t="shared" si="9"/>
        <v>-0.16439419589670062</v>
      </c>
      <c r="V26" s="16">
        <f t="shared" si="9"/>
        <v>-0.15288660218393157</v>
      </c>
      <c r="W26" s="16">
        <f t="shared" si="9"/>
        <v>-0.14218454003105635</v>
      </c>
      <c r="X26" s="16">
        <f t="shared" si="9"/>
        <v>-0.13223162222888241</v>
      </c>
      <c r="Y26" s="16">
        <f t="shared" si="9"/>
        <v>-0.12297540867286064</v>
      </c>
      <c r="Z26" s="16">
        <f t="shared" si="9"/>
        <v>-0.11436713006576039</v>
      </c>
      <c r="AA26" s="16">
        <f t="shared" si="9"/>
        <v>-0.10636143096115716</v>
      </c>
      <c r="AB26" s="16">
        <f t="shared" si="9"/>
        <v>-9.8916130793876164E-2</v>
      </c>
      <c r="AC26" s="16">
        <f t="shared" si="9"/>
        <v>-9.1992001638304829E-2</v>
      </c>
    </row>
    <row r="27" spans="1:29" s="23" customFormat="1" ht="15" x14ac:dyDescent="0.2">
      <c r="A27" s="32" t="s">
        <v>72</v>
      </c>
      <c r="B27" s="31"/>
      <c r="C27" s="31"/>
      <c r="D27" s="31"/>
      <c r="E27" s="22">
        <f t="shared" ref="E27:AC27" si="10">SUM(E25:E26)</f>
        <v>-1.2331063228295736</v>
      </c>
      <c r="F27" s="22">
        <f t="shared" si="10"/>
        <v>-1.1500196763926582</v>
      </c>
      <c r="G27" s="22">
        <f t="shared" si="10"/>
        <v>-1.0646951887472582</v>
      </c>
      <c r="H27" s="22">
        <f t="shared" si="10"/>
        <v>-0.97645340946762804</v>
      </c>
      <c r="I27" s="22">
        <f t="shared" si="10"/>
        <v>-0.88457565177156872</v>
      </c>
      <c r="J27" s="22">
        <f t="shared" si="10"/>
        <v>-0.78829772832590672</v>
      </c>
      <c r="K27" s="22">
        <f t="shared" si="10"/>
        <v>-0.68680319011467894</v>
      </c>
      <c r="L27" s="22">
        <f t="shared" si="10"/>
        <v>-0.57921600604584578</v>
      </c>
      <c r="M27" s="22">
        <f t="shared" si="10"/>
        <v>-0.46459261525380247</v>
      </c>
      <c r="N27" s="22">
        <f t="shared" si="10"/>
        <v>-0.34191327769013463</v>
      </c>
      <c r="O27" s="22">
        <f t="shared" si="10"/>
        <v>-0.25409071126912891</v>
      </c>
      <c r="P27" s="22">
        <f t="shared" si="10"/>
        <v>-0.23630436148028988</v>
      </c>
      <c r="Q27" s="22">
        <f t="shared" si="10"/>
        <v>-0.21976305617666958</v>
      </c>
      <c r="R27" s="22">
        <f t="shared" si="10"/>
        <v>-0.20437964224430272</v>
      </c>
      <c r="S27" s="22">
        <f t="shared" si="10"/>
        <v>-0.19007306728720152</v>
      </c>
      <c r="T27" s="22">
        <f t="shared" si="10"/>
        <v>-0.17676795257709743</v>
      </c>
      <c r="U27" s="22">
        <f t="shared" si="10"/>
        <v>-0.16439419589670062</v>
      </c>
      <c r="V27" s="22">
        <f t="shared" si="10"/>
        <v>-0.15288660218393157</v>
      </c>
      <c r="W27" s="22">
        <f t="shared" si="10"/>
        <v>-0.14218454003105635</v>
      </c>
      <c r="X27" s="22">
        <f t="shared" si="10"/>
        <v>-0.13223162222888241</v>
      </c>
      <c r="Y27" s="22">
        <f t="shared" si="10"/>
        <v>-0.12297540867286064</v>
      </c>
      <c r="Z27" s="22">
        <f t="shared" si="10"/>
        <v>-0.11436713006576039</v>
      </c>
      <c r="AA27" s="22">
        <f t="shared" si="10"/>
        <v>-0.10636143096115716</v>
      </c>
      <c r="AB27" s="22">
        <f t="shared" si="10"/>
        <v>-9.8916130793876164E-2</v>
      </c>
      <c r="AC27" s="22">
        <f t="shared" si="10"/>
        <v>-9.1992001638304829E-2</v>
      </c>
    </row>
    <row r="28" spans="1:29" x14ac:dyDescent="0.2">
      <c r="A28" s="13" t="s">
        <v>14</v>
      </c>
      <c r="B28" s="13"/>
      <c r="C28" s="13"/>
      <c r="D28" s="13"/>
      <c r="E28" s="16">
        <f t="shared" ref="E28:AC28" si="11">E23+E27</f>
        <v>0.36756034383709313</v>
      </c>
      <c r="F28" s="16">
        <f t="shared" si="11"/>
        <v>0.5113603236073414</v>
      </c>
      <c r="G28" s="16">
        <f t="shared" si="11"/>
        <v>0.65908141125274189</v>
      </c>
      <c r="H28" s="16">
        <f t="shared" si="11"/>
        <v>0.81139255253237219</v>
      </c>
      <c r="I28" s="16">
        <f t="shared" si="11"/>
        <v>0.96899477756843144</v>
      </c>
      <c r="J28" s="16">
        <f t="shared" si="11"/>
        <v>1.1326266435678933</v>
      </c>
      <c r="K28" s="16">
        <f t="shared" si="11"/>
        <v>1.3030701009366872</v>
      </c>
      <c r="L28" s="16">
        <f t="shared" si="11"/>
        <v>1.481156839160366</v>
      </c>
      <c r="M28" s="16">
        <f t="shared" si="11"/>
        <v>1.6677751740871576</v>
      </c>
      <c r="N28" s="16">
        <f t="shared" si="11"/>
        <v>1.8638775441235202</v>
      </c>
      <c r="O28" s="16">
        <f t="shared" si="11"/>
        <v>2.0264706196512505</v>
      </c>
      <c r="P28" s="16">
        <f t="shared" si="11"/>
        <v>2.1202796717632748</v>
      </c>
      <c r="Q28" s="16">
        <f t="shared" si="11"/>
        <v>2.2139844390106402</v>
      </c>
      <c r="R28" s="16">
        <f t="shared" si="11"/>
        <v>2.3075428862036498</v>
      </c>
      <c r="S28" s="16">
        <f t="shared" si="11"/>
        <v>2.4008873821795143</v>
      </c>
      <c r="T28" s="16">
        <f t="shared" si="11"/>
        <v>2.4939232395810667</v>
      </c>
      <c r="U28" s="16">
        <f t="shared" si="11"/>
        <v>2.5865270665027524</v>
      </c>
      <c r="V28" s="16">
        <f t="shared" si="11"/>
        <v>2.6785449197132101</v>
      </c>
      <c r="W28" s="16">
        <f t="shared" si="11"/>
        <v>2.7697902480850991</v>
      </c>
      <c r="X28" s="16">
        <f t="shared" si="11"/>
        <v>2.8600416137259277</v>
      </c>
      <c r="Y28" s="16">
        <f t="shared" si="11"/>
        <v>2.9490401771028374</v>
      </c>
      <c r="Z28" s="16">
        <f t="shared" si="11"/>
        <v>3.0364869311834894</v>
      </c>
      <c r="AA28" s="16">
        <f t="shared" si="11"/>
        <v>3.1220396682682559</v>
      </c>
      <c r="AB28" s="16">
        <f t="shared" si="11"/>
        <v>3.2053096617589478</v>
      </c>
      <c r="AC28" s="16">
        <f t="shared" si="11"/>
        <v>3.2858580435894345</v>
      </c>
    </row>
    <row r="29" spans="1:29" x14ac:dyDescent="0.2">
      <c r="A29" s="18" t="s">
        <v>15</v>
      </c>
      <c r="B29" s="18"/>
      <c r="C29" s="18"/>
      <c r="D29" s="18"/>
      <c r="E29" s="33">
        <f>-($E$6*E28)</f>
        <v>-9.1890085959273282E-2</v>
      </c>
      <c r="F29" s="33">
        <f>-($E$6*F28)</f>
        <v>-0.12784008090183535</v>
      </c>
      <c r="G29" s="33">
        <f t="shared" ref="G29:AC29" si="12">-($E$6*G28)</f>
        <v>-0.16477035281318547</v>
      </c>
      <c r="H29" s="33">
        <f t="shared" si="12"/>
        <v>-0.20284813813309305</v>
      </c>
      <c r="I29" s="33">
        <f t="shared" si="12"/>
        <v>-0.24224869439210786</v>
      </c>
      <c r="J29" s="33">
        <f t="shared" si="12"/>
        <v>-0.28315666089197333</v>
      </c>
      <c r="K29" s="33">
        <f t="shared" si="12"/>
        <v>-0.3257675252341718</v>
      </c>
      <c r="L29" s="33">
        <f t="shared" si="12"/>
        <v>-0.3702892097900915</v>
      </c>
      <c r="M29" s="33">
        <f t="shared" si="12"/>
        <v>-0.4169437935217894</v>
      </c>
      <c r="N29" s="33">
        <f t="shared" si="12"/>
        <v>-0.46596938603088006</v>
      </c>
      <c r="O29" s="33">
        <f t="shared" si="12"/>
        <v>-0.50661765491281263</v>
      </c>
      <c r="P29" s="33">
        <f t="shared" si="12"/>
        <v>-0.5300699179408187</v>
      </c>
      <c r="Q29" s="33">
        <f t="shared" si="12"/>
        <v>-0.55349610975266006</v>
      </c>
      <c r="R29" s="33">
        <f t="shared" si="12"/>
        <v>-0.57688572155091244</v>
      </c>
      <c r="S29" s="33">
        <f t="shared" si="12"/>
        <v>-0.60022184554487856</v>
      </c>
      <c r="T29" s="33">
        <f t="shared" si="12"/>
        <v>-0.62348080989526666</v>
      </c>
      <c r="U29" s="33">
        <f t="shared" si="12"/>
        <v>-0.64663176662568811</v>
      </c>
      <c r="V29" s="33">
        <f t="shared" si="12"/>
        <v>-0.66963622992830252</v>
      </c>
      <c r="W29" s="33">
        <f t="shared" si="12"/>
        <v>-0.69244756202127478</v>
      </c>
      <c r="X29" s="33">
        <f t="shared" si="12"/>
        <v>-0.71501040343148192</v>
      </c>
      <c r="Y29" s="33">
        <f t="shared" si="12"/>
        <v>-0.73726004427570935</v>
      </c>
      <c r="Z29" s="33">
        <f t="shared" si="12"/>
        <v>-0.75912173279587236</v>
      </c>
      <c r="AA29" s="33">
        <f t="shared" si="12"/>
        <v>-0.78050991706706396</v>
      </c>
      <c r="AB29" s="33">
        <f t="shared" si="12"/>
        <v>-0.80132741543973696</v>
      </c>
      <c r="AC29" s="33">
        <f t="shared" si="12"/>
        <v>-0.82146451089735861</v>
      </c>
    </row>
    <row r="30" spans="1:29" s="36" customFormat="1" ht="15" x14ac:dyDescent="0.2">
      <c r="A30" s="35" t="s">
        <v>16</v>
      </c>
      <c r="B30" s="31"/>
      <c r="C30" s="31"/>
      <c r="D30" s="31"/>
      <c r="E30" s="22">
        <f t="shared" ref="E30:AC30" si="13">SUM(E28:E29)</f>
        <v>0.27567025787781985</v>
      </c>
      <c r="F30" s="22">
        <f t="shared" si="13"/>
        <v>0.38352024270550605</v>
      </c>
      <c r="G30" s="22">
        <f t="shared" si="13"/>
        <v>0.49431105843955642</v>
      </c>
      <c r="H30" s="22">
        <f t="shared" si="13"/>
        <v>0.60854441439927909</v>
      </c>
      <c r="I30" s="22">
        <f t="shared" si="13"/>
        <v>0.72674608317632361</v>
      </c>
      <c r="J30" s="22">
        <f t="shared" si="13"/>
        <v>0.84946998267592</v>
      </c>
      <c r="K30" s="22">
        <f t="shared" si="13"/>
        <v>0.97730257570251533</v>
      </c>
      <c r="L30" s="22">
        <f t="shared" si="13"/>
        <v>1.1108676293702744</v>
      </c>
      <c r="M30" s="22">
        <f t="shared" si="13"/>
        <v>1.2508313805653681</v>
      </c>
      <c r="N30" s="22">
        <f t="shared" si="13"/>
        <v>1.3979081580926402</v>
      </c>
      <c r="O30" s="22">
        <f t="shared" si="13"/>
        <v>1.5198529647384378</v>
      </c>
      <c r="P30" s="22">
        <f t="shared" si="13"/>
        <v>1.5902097538224562</v>
      </c>
      <c r="Q30" s="22">
        <f t="shared" si="13"/>
        <v>1.6604883292579802</v>
      </c>
      <c r="R30" s="22">
        <f t="shared" si="13"/>
        <v>1.7306571646527373</v>
      </c>
      <c r="S30" s="22">
        <f t="shared" si="13"/>
        <v>1.8006655366346358</v>
      </c>
      <c r="T30" s="22">
        <f t="shared" si="13"/>
        <v>1.8704424296858</v>
      </c>
      <c r="U30" s="22">
        <f t="shared" si="13"/>
        <v>1.9398952998770644</v>
      </c>
      <c r="V30" s="22">
        <f t="shared" si="13"/>
        <v>2.0089086897849073</v>
      </c>
      <c r="W30" s="22">
        <f t="shared" si="13"/>
        <v>2.0773426860638242</v>
      </c>
      <c r="X30" s="22">
        <f t="shared" si="13"/>
        <v>2.1450312102944458</v>
      </c>
      <c r="Y30" s="22">
        <f t="shared" si="13"/>
        <v>2.211780132827128</v>
      </c>
      <c r="Z30" s="22">
        <f t="shared" si="13"/>
        <v>2.2773651983876171</v>
      </c>
      <c r="AA30" s="22">
        <f t="shared" si="13"/>
        <v>2.3415297512011919</v>
      </c>
      <c r="AB30" s="22">
        <f t="shared" si="13"/>
        <v>2.4039822463192109</v>
      </c>
      <c r="AC30" s="22">
        <f t="shared" si="13"/>
        <v>2.4643935326920756</v>
      </c>
    </row>
    <row r="31" spans="1:29" s="30" customFormat="1" ht="13.9" customHeight="1" x14ac:dyDescent="0.25">
      <c r="A31" s="125" t="s">
        <v>75</v>
      </c>
      <c r="B31" s="125"/>
      <c r="C31" s="125"/>
      <c r="D31" s="125"/>
    </row>
    <row r="32" spans="1:29" x14ac:dyDescent="0.2">
      <c r="A32" s="13" t="s">
        <v>1</v>
      </c>
      <c r="B32" s="13"/>
      <c r="C32" s="19">
        <f>-C4+SUM(E32:AC32)</f>
        <v>-3.105</v>
      </c>
      <c r="D32" s="13"/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</row>
    <row r="33" spans="1:29" x14ac:dyDescent="0.2">
      <c r="A33" s="13" t="s">
        <v>16</v>
      </c>
      <c r="B33" s="13"/>
      <c r="C33" s="13"/>
      <c r="D33" s="13"/>
      <c r="E33" s="16">
        <f t="shared" ref="E33:X33" si="14">E30</f>
        <v>0.27567025787781985</v>
      </c>
      <c r="F33" s="16">
        <f t="shared" si="14"/>
        <v>0.38352024270550605</v>
      </c>
      <c r="G33" s="16">
        <f t="shared" si="14"/>
        <v>0.49431105843955642</v>
      </c>
      <c r="H33" s="16">
        <f t="shared" si="14"/>
        <v>0.60854441439927909</v>
      </c>
      <c r="I33" s="16">
        <f t="shared" si="14"/>
        <v>0.72674608317632361</v>
      </c>
      <c r="J33" s="16">
        <f t="shared" si="14"/>
        <v>0.84946998267592</v>
      </c>
      <c r="K33" s="16">
        <f t="shared" si="14"/>
        <v>0.97730257570251533</v>
      </c>
      <c r="L33" s="16">
        <f t="shared" si="14"/>
        <v>1.1108676293702744</v>
      </c>
      <c r="M33" s="16">
        <f t="shared" si="14"/>
        <v>1.2508313805653681</v>
      </c>
      <c r="N33" s="16">
        <f t="shared" si="14"/>
        <v>1.3979081580926402</v>
      </c>
      <c r="O33" s="16">
        <f t="shared" si="14"/>
        <v>1.5198529647384378</v>
      </c>
      <c r="P33" s="16">
        <f t="shared" si="14"/>
        <v>1.5902097538224562</v>
      </c>
      <c r="Q33" s="16">
        <f t="shared" si="14"/>
        <v>1.6604883292579802</v>
      </c>
      <c r="R33" s="16">
        <f t="shared" si="14"/>
        <v>1.7306571646527373</v>
      </c>
      <c r="S33" s="16">
        <f t="shared" si="14"/>
        <v>1.8006655366346358</v>
      </c>
      <c r="T33" s="16">
        <f t="shared" si="14"/>
        <v>1.8704424296858</v>
      </c>
      <c r="U33" s="16">
        <f t="shared" si="14"/>
        <v>1.9398952998770644</v>
      </c>
      <c r="V33" s="16">
        <f t="shared" si="14"/>
        <v>2.0089086897849073</v>
      </c>
      <c r="W33" s="16">
        <f t="shared" si="14"/>
        <v>2.0773426860638242</v>
      </c>
      <c r="X33" s="16">
        <f t="shared" si="14"/>
        <v>2.1450312102944458</v>
      </c>
      <c r="Y33" s="16">
        <f>Y30</f>
        <v>2.211780132827128</v>
      </c>
      <c r="Z33" s="16">
        <f>Z30</f>
        <v>2.2773651983876171</v>
      </c>
      <c r="AA33" s="16">
        <f>AA30</f>
        <v>2.3415297512011919</v>
      </c>
      <c r="AB33" s="16">
        <f>AB30</f>
        <v>2.4039822463192109</v>
      </c>
      <c r="AC33" s="16">
        <f>AC30</f>
        <v>2.4643935326920756</v>
      </c>
    </row>
    <row r="34" spans="1:29" x14ac:dyDescent="0.2">
      <c r="A34" s="13" t="s">
        <v>64</v>
      </c>
      <c r="B34" s="13"/>
      <c r="C34" s="13"/>
      <c r="D34" s="13"/>
      <c r="E34" s="16">
        <f t="shared" ref="E34:AC34" si="15">-E26</f>
        <v>0.52500000000000002</v>
      </c>
      <c r="F34" s="16">
        <f t="shared" si="15"/>
        <v>0.48825000000000002</v>
      </c>
      <c r="G34" s="16">
        <f t="shared" si="15"/>
        <v>0.45407249999999999</v>
      </c>
      <c r="H34" s="16">
        <f t="shared" si="15"/>
        <v>0.42228742499999999</v>
      </c>
      <c r="I34" s="16">
        <f t="shared" si="15"/>
        <v>0.39272730524999999</v>
      </c>
      <c r="J34" s="16">
        <f t="shared" si="15"/>
        <v>0.36523639388250001</v>
      </c>
      <c r="K34" s="16">
        <f t="shared" si="15"/>
        <v>0.339669846310725</v>
      </c>
      <c r="L34" s="16">
        <f t="shared" si="15"/>
        <v>0.31589295706897424</v>
      </c>
      <c r="M34" s="16">
        <f t="shared" si="15"/>
        <v>0.29378045007414605</v>
      </c>
      <c r="N34" s="16">
        <f t="shared" si="15"/>
        <v>0.27321581856895583</v>
      </c>
      <c r="O34" s="16">
        <f t="shared" si="15"/>
        <v>0.25409071126912891</v>
      </c>
      <c r="P34" s="16">
        <f t="shared" si="15"/>
        <v>0.23630436148028988</v>
      </c>
      <c r="Q34" s="16">
        <f t="shared" si="15"/>
        <v>0.21976305617666958</v>
      </c>
      <c r="R34" s="16">
        <f t="shared" si="15"/>
        <v>0.20437964224430272</v>
      </c>
      <c r="S34" s="16">
        <f t="shared" si="15"/>
        <v>0.19007306728720152</v>
      </c>
      <c r="T34" s="16">
        <f t="shared" si="15"/>
        <v>0.17676795257709743</v>
      </c>
      <c r="U34" s="16">
        <f t="shared" si="15"/>
        <v>0.16439419589670062</v>
      </c>
      <c r="V34" s="16">
        <f t="shared" si="15"/>
        <v>0.15288660218393157</v>
      </c>
      <c r="W34" s="16">
        <f t="shared" si="15"/>
        <v>0.14218454003105635</v>
      </c>
      <c r="X34" s="16">
        <f t="shared" si="15"/>
        <v>0.13223162222888241</v>
      </c>
      <c r="Y34" s="16">
        <f t="shared" si="15"/>
        <v>0.12297540867286064</v>
      </c>
      <c r="Z34" s="16">
        <f t="shared" si="15"/>
        <v>0.11436713006576039</v>
      </c>
      <c r="AA34" s="16">
        <f t="shared" si="15"/>
        <v>0.10636143096115716</v>
      </c>
      <c r="AB34" s="16">
        <f t="shared" si="15"/>
        <v>9.8916130793876164E-2</v>
      </c>
      <c r="AC34" s="16">
        <f t="shared" si="15"/>
        <v>9.1992001638304829E-2</v>
      </c>
    </row>
    <row r="35" spans="1:29" x14ac:dyDescent="0.2">
      <c r="A35" s="13" t="s">
        <v>76</v>
      </c>
      <c r="B35" s="13"/>
      <c r="C35" s="13"/>
      <c r="D35" s="13"/>
      <c r="E35" s="16">
        <f>-Debt!M5</f>
        <v>-0.44634771421880182</v>
      </c>
      <c r="F35" s="16">
        <f>-Debt!M6</f>
        <v>-0.49268436065571708</v>
      </c>
      <c r="G35" s="16">
        <f>-Debt!M7</f>
        <v>-0.54383134830111701</v>
      </c>
      <c r="H35" s="16">
        <f>-Debt!M8</f>
        <v>-0.60028805258074724</v>
      </c>
      <c r="I35" s="16">
        <f>-Debt!M9</f>
        <v>-0.66260569052680662</v>
      </c>
      <c r="J35" s="16">
        <f>-Debt!M10</f>
        <v>-0.73139270260496858</v>
      </c>
      <c r="K35" s="16">
        <f>-Debt!M11</f>
        <v>-0.80732069324442124</v>
      </c>
      <c r="L35" s="16">
        <f>-Debt!M12</f>
        <v>-0.89113098807150359</v>
      </c>
      <c r="M35" s="16">
        <f>-Debt!M13</f>
        <v>-0.98364187186871876</v>
      </c>
      <c r="N35" s="16">
        <f>-Debt!M14</f>
        <v>-1.0857565779271965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</row>
    <row r="36" spans="1:29" x14ac:dyDescent="0.2">
      <c r="A36" s="13" t="s">
        <v>65</v>
      </c>
      <c r="B36" s="13"/>
      <c r="C36" s="13"/>
      <c r="D36" s="13"/>
      <c r="E36" s="16">
        <f>-SUM(E33+E34)*0.5%</f>
        <v>-4.0033512893890991E-3</v>
      </c>
      <c r="F36" s="16">
        <f t="shared" ref="F36:AC36" si="16">-SUM(F33+F34)*0.5%</f>
        <v>-4.3588512135275303E-3</v>
      </c>
      <c r="G36" s="16">
        <f t="shared" si="16"/>
        <v>-4.7419177921977822E-3</v>
      </c>
      <c r="H36" s="16">
        <f t="shared" si="16"/>
        <v>-5.1541591969963951E-3</v>
      </c>
      <c r="I36" s="16">
        <f t="shared" si="16"/>
        <v>-5.5973669421316187E-3</v>
      </c>
      <c r="J36" s="16">
        <f t="shared" si="16"/>
        <v>-6.0735318827921008E-3</v>
      </c>
      <c r="K36" s="16">
        <f t="shared" si="16"/>
        <v>-6.5848621100662022E-3</v>
      </c>
      <c r="L36" s="16">
        <f t="shared" si="16"/>
        <v>-7.1338029321962428E-3</v>
      </c>
      <c r="M36" s="16">
        <f t="shared" si="16"/>
        <v>-7.7230591531975709E-3</v>
      </c>
      <c r="N36" s="16">
        <f t="shared" si="16"/>
        <v>-8.3556198833079805E-3</v>
      </c>
      <c r="O36" s="16">
        <f t="shared" si="16"/>
        <v>-8.8697183800378332E-3</v>
      </c>
      <c r="P36" s="16">
        <f t="shared" si="16"/>
        <v>-9.1325705765137304E-3</v>
      </c>
      <c r="Q36" s="16">
        <f t="shared" si="16"/>
        <v>-9.4012569271732498E-3</v>
      </c>
      <c r="R36" s="16">
        <f t="shared" si="16"/>
        <v>-9.675184034485201E-3</v>
      </c>
      <c r="S36" s="16">
        <f t="shared" si="16"/>
        <v>-9.9536930196091871E-3</v>
      </c>
      <c r="T36" s="16">
        <f t="shared" si="16"/>
        <v>-1.0236051911314489E-2</v>
      </c>
      <c r="U36" s="16">
        <f t="shared" si="16"/>
        <v>-1.0521447478868826E-2</v>
      </c>
      <c r="V36" s="16">
        <f t="shared" si="16"/>
        <v>-1.0808976459844195E-2</v>
      </c>
      <c r="W36" s="16">
        <f t="shared" si="16"/>
        <v>-1.1097636130474401E-2</v>
      </c>
      <c r="X36" s="16">
        <f t="shared" si="16"/>
        <v>-1.138631416261664E-2</v>
      </c>
      <c r="Y36" s="16">
        <f t="shared" si="16"/>
        <v>-1.1673777707499944E-2</v>
      </c>
      <c r="Z36" s="16">
        <f t="shared" si="16"/>
        <v>-1.1958661642266888E-2</v>
      </c>
      <c r="AA36" s="16">
        <f t="shared" si="16"/>
        <v>-1.2239455910811745E-2</v>
      </c>
      <c r="AB36" s="16">
        <f t="shared" si="16"/>
        <v>-1.2514491885565436E-2</v>
      </c>
      <c r="AC36" s="16">
        <f t="shared" si="16"/>
        <v>-1.2781927671651903E-2</v>
      </c>
    </row>
    <row r="37" spans="1:29" s="113" customFormat="1" x14ac:dyDescent="0.2">
      <c r="A37" s="112" t="s">
        <v>97</v>
      </c>
      <c r="C37" s="114">
        <f t="shared" ref="C37:AC37" si="17">SUM(C32:C36)</f>
        <v>-3.105</v>
      </c>
      <c r="D37" s="115">
        <f t="shared" si="17"/>
        <v>0</v>
      </c>
      <c r="E37" s="116">
        <f t="shared" si="17"/>
        <v>0.35031919236962894</v>
      </c>
      <c r="F37" s="116">
        <f t="shared" si="17"/>
        <v>0.37472703083626147</v>
      </c>
      <c r="G37" s="116">
        <f t="shared" si="17"/>
        <v>0.39981029234624155</v>
      </c>
      <c r="H37" s="116">
        <f t="shared" si="17"/>
        <v>0.42538962762153537</v>
      </c>
      <c r="I37" s="116">
        <f t="shared" si="17"/>
        <v>0.45127033095738545</v>
      </c>
      <c r="J37" s="116">
        <f t="shared" si="17"/>
        <v>0.4772401420706594</v>
      </c>
      <c r="K37" s="116">
        <f t="shared" si="17"/>
        <v>0.503066866658753</v>
      </c>
      <c r="L37" s="116">
        <f t="shared" si="17"/>
        <v>0.5284957954355487</v>
      </c>
      <c r="M37" s="116">
        <f t="shared" si="17"/>
        <v>0.55324689961759788</v>
      </c>
      <c r="N37" s="116">
        <f t="shared" si="17"/>
        <v>0.57701177885109167</v>
      </c>
      <c r="O37" s="116">
        <f t="shared" si="17"/>
        <v>1.7650739576275287</v>
      </c>
      <c r="P37" s="116">
        <f t="shared" si="17"/>
        <v>1.8173815447262323</v>
      </c>
      <c r="Q37" s="116">
        <f t="shared" si="17"/>
        <v>1.8708501285074766</v>
      </c>
      <c r="R37" s="116">
        <f t="shared" si="17"/>
        <v>1.9253616228625547</v>
      </c>
      <c r="S37" s="116">
        <f t="shared" si="17"/>
        <v>1.9807849109022282</v>
      </c>
      <c r="T37" s="116">
        <f t="shared" si="17"/>
        <v>2.0369743303515833</v>
      </c>
      <c r="U37" s="116">
        <f t="shared" si="17"/>
        <v>2.0937680482948964</v>
      </c>
      <c r="V37" s="116">
        <f t="shared" si="17"/>
        <v>2.150986315508995</v>
      </c>
      <c r="W37" s="116">
        <f t="shared" si="17"/>
        <v>2.208429589964406</v>
      </c>
      <c r="X37" s="116">
        <f t="shared" si="17"/>
        <v>2.2658765183607112</v>
      </c>
      <c r="Y37" s="116">
        <f t="shared" si="17"/>
        <v>2.323081763792489</v>
      </c>
      <c r="Z37" s="116">
        <f t="shared" si="17"/>
        <v>2.3797736668111105</v>
      </c>
      <c r="AA37" s="116">
        <f t="shared" si="17"/>
        <v>2.4356517262515371</v>
      </c>
      <c r="AB37" s="116">
        <f t="shared" si="17"/>
        <v>2.4903838852275215</v>
      </c>
      <c r="AC37" s="116">
        <f t="shared" si="17"/>
        <v>2.5436036066587286</v>
      </c>
    </row>
    <row r="38" spans="1:29" x14ac:dyDescent="0.2">
      <c r="A38" s="13"/>
      <c r="B38" s="13"/>
      <c r="C38" s="19"/>
      <c r="D38" s="20">
        <f ca="1">XIRR(C37:N37,C9:N9,I4)</f>
        <v>6.9154819846153265E-2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spans="1:29" x14ac:dyDescent="0.2">
      <c r="A39" s="13" t="s">
        <v>18</v>
      </c>
      <c r="B39" s="13"/>
      <c r="C39" s="19"/>
      <c r="D39" s="13"/>
      <c r="E39" s="19">
        <f>IF(E25=0,"",-(E33+E34-E36-E25-E35)/(E25+E35))</f>
        <v>1.697016583894964</v>
      </c>
      <c r="F39" s="19">
        <f t="shared" ref="F39:N39" si="18">IF(F25=0,"",-(F33+F34-F36-F25-F35)/(F25+F35))</f>
        <v>1.7589120621545551</v>
      </c>
      <c r="G39" s="19">
        <f t="shared" si="18"/>
        <v>1.8256071230593436</v>
      </c>
      <c r="H39" s="19">
        <f t="shared" si="18"/>
        <v>1.8973817625905742</v>
      </c>
      <c r="I39" s="19">
        <f t="shared" si="18"/>
        <v>1.9745478981951978</v>
      </c>
      <c r="J39" s="19">
        <f t="shared" si="18"/>
        <v>2.0574521542342334</v>
      </c>
      <c r="K39" s="19">
        <f t="shared" si="18"/>
        <v>2.146478977636288</v>
      </c>
      <c r="L39" s="19">
        <f t="shared" si="18"/>
        <v>2.2420541167992472</v>
      </c>
      <c r="M39" s="19">
        <f t="shared" si="18"/>
        <v>2.3446485004821933</v>
      </c>
      <c r="N39" s="19">
        <f t="shared" si="18"/>
        <v>2.4547825575099345</v>
      </c>
      <c r="O39" s="19" t="str">
        <f>IF(O25=0,"",-(O33+O34-O36-O25-O35-#REF!)/(O25+O35))</f>
        <v/>
      </c>
      <c r="P39" s="19" t="str">
        <f>IF(P25=0,"",-(P33+P34-P36-P25-P35-#REF!)/(P25+P35))</f>
        <v/>
      </c>
      <c r="Q39" s="19" t="str">
        <f>IF(Q25=0,"",-(Q33+Q34-Q36-Q25-Q35-#REF!)/(Q25+Q35))</f>
        <v/>
      </c>
      <c r="R39" s="19" t="str">
        <f>IF(R25=0,"",-(R33+R34-R36-R25-R35-#REF!)/(R25+R35))</f>
        <v/>
      </c>
      <c r="S39" s="19" t="str">
        <f>IF(S25=0,"",-(S33+S34-S36-S25-S35-#REF!)/(S25+S35))</f>
        <v/>
      </c>
      <c r="T39" s="19" t="str">
        <f>IF(T25=0,"",-(T33+T34+T36-T25-T35-#REF!)/(T25+T35))</f>
        <v/>
      </c>
      <c r="U39" s="19" t="str">
        <f>IF(U25=0,"",-(U33+U34+U36-U25-U35-#REF!)/(U25+U35))</f>
        <v/>
      </c>
      <c r="V39" s="19" t="str">
        <f>IF(V25=0,"",-(V33+V34+V36-V25-V35-#REF!)/(V25+V35))</f>
        <v/>
      </c>
      <c r="W39" s="19" t="str">
        <f>IF(W25=0,"",-(W33+W34+W36-W25-W35-#REF!)/(W25+W35))</f>
        <v/>
      </c>
      <c r="X39" s="19" t="str">
        <f>IF(X25=0,"",-(X33+X34+X36-X25-X35-#REF!)/(X25+X35))</f>
        <v/>
      </c>
      <c r="Y39" s="19" t="str">
        <f>IF(Y25=0,"",-(Y33+Y34+Y36-Y25-Y35-#REF!)/(Y25+Y35))</f>
        <v/>
      </c>
      <c r="Z39" s="19" t="str">
        <f>IF(Z25=0,"",-(Z33+Z34+Z36-Z25-Z35-#REF!)/(Z25+Z35))</f>
        <v/>
      </c>
      <c r="AA39" s="19" t="str">
        <f>IF(AA25=0,"",-(AA33+AA34+AA36-AA25-AA35-#REF!)/(AA25+AA35))</f>
        <v/>
      </c>
      <c r="AB39" s="19" t="str">
        <f>IF(AB25=0,"",-(AB33+AB34+AB36-AB25-AB35-#REF!)/(AB25+AB35))</f>
        <v/>
      </c>
      <c r="AC39" s="19" t="str">
        <f>IF(AC25=0,"",-(AC33+AC34+AC36-AC25-AC35-#REF!)/(AC25+AC35))</f>
        <v/>
      </c>
    </row>
    <row r="40" spans="1:29" x14ac:dyDescent="0.2">
      <c r="D40" s="10"/>
      <c r="E40" s="10"/>
      <c r="G40" s="8"/>
      <c r="H40" s="8"/>
      <c r="I40" s="8"/>
      <c r="J40" s="8"/>
      <c r="K40" s="8"/>
    </row>
    <row r="41" spans="1:29" s="110" customFormat="1" x14ac:dyDescent="0.2">
      <c r="A41" s="117" t="s">
        <v>77</v>
      </c>
      <c r="B41" s="118"/>
      <c r="C41" s="119">
        <f>-C3</f>
        <v>-10.35</v>
      </c>
      <c r="D41" s="120">
        <f>D37</f>
        <v>0</v>
      </c>
      <c r="E41" s="121">
        <f t="shared" ref="E41:AC41" si="19">E37</f>
        <v>0.35031919236962894</v>
      </c>
      <c r="F41" s="121">
        <f t="shared" si="19"/>
        <v>0.37472703083626147</v>
      </c>
      <c r="G41" s="121">
        <f t="shared" si="19"/>
        <v>0.39981029234624155</v>
      </c>
      <c r="H41" s="121">
        <f t="shared" si="19"/>
        <v>0.42538962762153537</v>
      </c>
      <c r="I41" s="121">
        <f t="shared" si="19"/>
        <v>0.45127033095738545</v>
      </c>
      <c r="J41" s="121">
        <f t="shared" si="19"/>
        <v>0.4772401420706594</v>
      </c>
      <c r="K41" s="121">
        <f t="shared" si="19"/>
        <v>0.503066866658753</v>
      </c>
      <c r="L41" s="121">
        <f t="shared" si="19"/>
        <v>0.5284957954355487</v>
      </c>
      <c r="M41" s="121">
        <f t="shared" si="19"/>
        <v>0.55324689961759788</v>
      </c>
      <c r="N41" s="121">
        <f t="shared" si="19"/>
        <v>0.57701177885109167</v>
      </c>
      <c r="O41" s="121">
        <f t="shared" si="19"/>
        <v>1.7650739576275287</v>
      </c>
      <c r="P41" s="121">
        <f t="shared" si="19"/>
        <v>1.8173815447262323</v>
      </c>
      <c r="Q41" s="121">
        <f t="shared" si="19"/>
        <v>1.8708501285074766</v>
      </c>
      <c r="R41" s="121">
        <f t="shared" si="19"/>
        <v>1.9253616228625547</v>
      </c>
      <c r="S41" s="121">
        <f t="shared" si="19"/>
        <v>1.9807849109022282</v>
      </c>
      <c r="T41" s="121">
        <f t="shared" si="19"/>
        <v>2.0369743303515833</v>
      </c>
      <c r="U41" s="121">
        <f t="shared" si="19"/>
        <v>2.0937680482948964</v>
      </c>
      <c r="V41" s="121">
        <f t="shared" si="19"/>
        <v>2.150986315508995</v>
      </c>
      <c r="W41" s="121">
        <f t="shared" si="19"/>
        <v>2.208429589964406</v>
      </c>
      <c r="X41" s="121">
        <f t="shared" si="19"/>
        <v>2.2658765183607112</v>
      </c>
      <c r="Y41" s="121">
        <f t="shared" si="19"/>
        <v>2.323081763792489</v>
      </c>
      <c r="Z41" s="121">
        <f t="shared" si="19"/>
        <v>2.3797736668111105</v>
      </c>
      <c r="AA41" s="121">
        <f t="shared" si="19"/>
        <v>2.4356517262515371</v>
      </c>
      <c r="AB41" s="121">
        <f t="shared" si="19"/>
        <v>2.4903838852275215</v>
      </c>
      <c r="AC41" s="121">
        <f t="shared" si="19"/>
        <v>2.5436036066587286</v>
      </c>
    </row>
    <row r="42" spans="1:29" x14ac:dyDescent="0.2">
      <c r="R42" s="7"/>
    </row>
  </sheetData>
  <mergeCells count="7">
    <mergeCell ref="A31:D31"/>
    <mergeCell ref="D2:I2"/>
    <mergeCell ref="A2:C2"/>
    <mergeCell ref="K2:L2"/>
    <mergeCell ref="A15:D15"/>
    <mergeCell ref="A10:D10"/>
    <mergeCell ref="A24:D24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topLeftCell="A23" workbookViewId="0">
      <selection activeCell="D46" sqref="D46"/>
    </sheetView>
  </sheetViews>
  <sheetFormatPr defaultColWidth="9.140625" defaultRowHeight="12.75" x14ac:dyDescent="0.2"/>
  <cols>
    <col min="1" max="1" width="3.28515625" style="9" customWidth="1"/>
    <col min="2" max="2" width="32.42578125" style="13" customWidth="1"/>
    <col min="3" max="3" width="11" style="13" customWidth="1"/>
    <col min="4" max="4" width="15.7109375" style="13" customWidth="1"/>
    <col min="5" max="5" width="17.5703125" style="13" customWidth="1"/>
    <col min="6" max="16384" width="9.140625" style="9"/>
  </cols>
  <sheetData>
    <row r="2" spans="2:5" ht="15.75" customHeight="1" x14ac:dyDescent="0.2">
      <c r="B2" s="57" t="s">
        <v>29</v>
      </c>
      <c r="C2" s="58"/>
      <c r="D2" s="59"/>
      <c r="E2" s="60"/>
    </row>
    <row r="3" spans="2:5" s="11" customFormat="1" ht="25.5" x14ac:dyDescent="0.2">
      <c r="B3" s="61"/>
      <c r="C3" s="62" t="s">
        <v>49</v>
      </c>
      <c r="D3" s="63">
        <v>3000</v>
      </c>
      <c r="E3" s="64" t="s">
        <v>59</v>
      </c>
    </row>
    <row r="4" spans="2:5" x14ac:dyDescent="0.2">
      <c r="B4" s="42" t="s">
        <v>36</v>
      </c>
      <c r="C4" s="65">
        <v>2500</v>
      </c>
      <c r="D4" s="66">
        <f>C4*$D$3</f>
        <v>7500000</v>
      </c>
      <c r="E4" s="67">
        <f>(D4/$D$21)</f>
        <v>0.72463768115942029</v>
      </c>
    </row>
    <row r="5" spans="2:5" x14ac:dyDescent="0.2">
      <c r="B5" s="42" t="s">
        <v>37</v>
      </c>
      <c r="C5" s="65">
        <v>125</v>
      </c>
      <c r="D5" s="66">
        <f t="shared" ref="D5:D18" si="0">C5*$D$3</f>
        <v>375000</v>
      </c>
      <c r="E5" s="67">
        <f>(D5/$D$21)</f>
        <v>3.6231884057971016E-2</v>
      </c>
    </row>
    <row r="6" spans="2:5" x14ac:dyDescent="0.2">
      <c r="B6" s="42" t="s">
        <v>38</v>
      </c>
      <c r="C6" s="65">
        <v>250</v>
      </c>
      <c r="D6" s="66">
        <f t="shared" si="0"/>
        <v>750000</v>
      </c>
      <c r="E6" s="67">
        <f>(D6/$D$21)</f>
        <v>7.2463768115942032E-2</v>
      </c>
    </row>
    <row r="7" spans="2:5" x14ac:dyDescent="0.2">
      <c r="B7" s="42" t="s">
        <v>39</v>
      </c>
      <c r="C7" s="65">
        <v>10</v>
      </c>
      <c r="D7" s="66">
        <f t="shared" si="0"/>
        <v>30000</v>
      </c>
      <c r="E7" s="67">
        <f>(D7/$D$21)</f>
        <v>2.8985507246376812E-3</v>
      </c>
    </row>
    <row r="8" spans="2:5" x14ac:dyDescent="0.2">
      <c r="B8" s="42" t="s">
        <v>43</v>
      </c>
      <c r="C8" s="65">
        <v>10</v>
      </c>
      <c r="D8" s="66">
        <f t="shared" si="0"/>
        <v>30000</v>
      </c>
      <c r="E8" s="67">
        <f>(D8/$D$21)</f>
        <v>2.8985507246376812E-3</v>
      </c>
    </row>
    <row r="9" spans="2:5" x14ac:dyDescent="0.2">
      <c r="B9" s="42"/>
      <c r="C9" s="65"/>
      <c r="D9" s="66"/>
      <c r="E9" s="67"/>
    </row>
    <row r="10" spans="2:5" x14ac:dyDescent="0.2">
      <c r="B10" s="42" t="s">
        <v>40</v>
      </c>
      <c r="C10" s="65">
        <v>75</v>
      </c>
      <c r="D10" s="66">
        <f t="shared" si="0"/>
        <v>225000</v>
      </c>
      <c r="E10" s="67">
        <f>(D10/$D$21)</f>
        <v>2.1739130434782608E-2</v>
      </c>
    </row>
    <row r="11" spans="2:5" x14ac:dyDescent="0.2">
      <c r="B11" s="42" t="s">
        <v>41</v>
      </c>
      <c r="C11" s="65">
        <v>250</v>
      </c>
      <c r="D11" s="66">
        <f t="shared" si="0"/>
        <v>750000</v>
      </c>
      <c r="E11" s="67">
        <f>(D11/$D$21)</f>
        <v>7.2463768115942032E-2</v>
      </c>
    </row>
    <row r="12" spans="2:5" x14ac:dyDescent="0.2">
      <c r="B12" s="42" t="s">
        <v>42</v>
      </c>
      <c r="C12" s="65">
        <v>25</v>
      </c>
      <c r="D12" s="66">
        <f t="shared" si="0"/>
        <v>75000</v>
      </c>
      <c r="E12" s="67">
        <f>(D12/$D$21)</f>
        <v>7.246376811594203E-3</v>
      </c>
    </row>
    <row r="13" spans="2:5" x14ac:dyDescent="0.2">
      <c r="B13" s="42" t="s">
        <v>44</v>
      </c>
      <c r="C13" s="65">
        <v>50</v>
      </c>
      <c r="D13" s="66">
        <f t="shared" si="0"/>
        <v>150000</v>
      </c>
      <c r="E13" s="67">
        <f>(D13/$D$21)</f>
        <v>1.4492753623188406E-2</v>
      </c>
    </row>
    <row r="14" spans="2:5" x14ac:dyDescent="0.2">
      <c r="B14" s="42"/>
      <c r="C14" s="65"/>
      <c r="D14" s="66"/>
      <c r="E14" s="67"/>
    </row>
    <row r="15" spans="2:5" x14ac:dyDescent="0.2">
      <c r="B15" s="42" t="s">
        <v>45</v>
      </c>
      <c r="C15" s="65">
        <v>120</v>
      </c>
      <c r="D15" s="66">
        <f t="shared" si="0"/>
        <v>360000</v>
      </c>
      <c r="E15" s="67">
        <f>(D15/$D$21)</f>
        <v>3.4782608695652174E-2</v>
      </c>
    </row>
    <row r="16" spans="2:5" x14ac:dyDescent="0.2">
      <c r="B16" s="42" t="s">
        <v>58</v>
      </c>
      <c r="C16" s="65">
        <v>25</v>
      </c>
      <c r="D16" s="66">
        <f t="shared" si="0"/>
        <v>75000</v>
      </c>
      <c r="E16" s="67">
        <f>(D16/$D$21)</f>
        <v>7.246376811594203E-3</v>
      </c>
    </row>
    <row r="17" spans="2:5" x14ac:dyDescent="0.2">
      <c r="B17" s="42"/>
      <c r="C17" s="65"/>
      <c r="D17" s="66"/>
      <c r="E17" s="67"/>
    </row>
    <row r="18" spans="2:5" x14ac:dyDescent="0.2">
      <c r="B18" s="42" t="s">
        <v>27</v>
      </c>
      <c r="C18" s="65">
        <v>10</v>
      </c>
      <c r="D18" s="66">
        <f t="shared" si="0"/>
        <v>30000</v>
      </c>
      <c r="E18" s="67">
        <f>(D18/$D$21)</f>
        <v>2.8985507246376812E-3</v>
      </c>
    </row>
    <row r="19" spans="2:5" x14ac:dyDescent="0.2">
      <c r="B19" s="42"/>
      <c r="C19" s="65"/>
      <c r="D19" s="66"/>
      <c r="E19" s="68"/>
    </row>
    <row r="20" spans="2:5" x14ac:dyDescent="0.2">
      <c r="B20" s="42"/>
      <c r="C20" s="43"/>
      <c r="D20" s="66"/>
      <c r="E20" s="68"/>
    </row>
    <row r="21" spans="2:5" x14ac:dyDescent="0.2">
      <c r="B21" s="69" t="s">
        <v>28</v>
      </c>
      <c r="C21" s="70"/>
      <c r="D21" s="71">
        <f>SUM(D4:D20)</f>
        <v>10350000</v>
      </c>
      <c r="E21" s="72"/>
    </row>
    <row r="23" spans="2:5" ht="18" customHeight="1" x14ac:dyDescent="0.2">
      <c r="B23" s="57" t="s">
        <v>92</v>
      </c>
      <c r="C23" s="73"/>
      <c r="D23" s="73"/>
      <c r="E23" s="74"/>
    </row>
    <row r="24" spans="2:5" x14ac:dyDescent="0.2">
      <c r="B24" s="42" t="s">
        <v>46</v>
      </c>
      <c r="C24" s="65">
        <v>15</v>
      </c>
      <c r="D24" s="66">
        <f>C24*$D$3</f>
        <v>45000</v>
      </c>
      <c r="E24" s="75"/>
    </row>
    <row r="25" spans="2:5" x14ac:dyDescent="0.2">
      <c r="B25" s="42" t="s">
        <v>47</v>
      </c>
      <c r="C25" s="65">
        <v>4</v>
      </c>
      <c r="D25" s="66">
        <f>C25*$D$3</f>
        <v>12000</v>
      </c>
      <c r="E25" s="75"/>
    </row>
    <row r="26" spans="2:5" x14ac:dyDescent="0.2">
      <c r="B26" s="42" t="s">
        <v>48</v>
      </c>
      <c r="C26" s="65">
        <v>4</v>
      </c>
      <c r="D26" s="66">
        <f>C26*$D$3</f>
        <v>12000</v>
      </c>
      <c r="E26" s="75"/>
    </row>
    <row r="27" spans="2:5" x14ac:dyDescent="0.2">
      <c r="B27" s="42" t="s">
        <v>60</v>
      </c>
      <c r="C27" s="65">
        <v>3</v>
      </c>
      <c r="D27" s="66">
        <f>C27*$D$3</f>
        <v>9000</v>
      </c>
      <c r="E27" s="75"/>
    </row>
    <row r="28" spans="2:5" x14ac:dyDescent="0.2">
      <c r="B28" s="42" t="s">
        <v>32</v>
      </c>
      <c r="C28" s="76">
        <v>10</v>
      </c>
      <c r="D28" s="66">
        <f>C28*$D$3</f>
        <v>30000</v>
      </c>
      <c r="E28" s="77"/>
    </row>
    <row r="29" spans="2:5" x14ac:dyDescent="0.2">
      <c r="B29" s="42"/>
      <c r="C29" s="78"/>
      <c r="D29" s="66"/>
      <c r="E29" s="68"/>
    </row>
    <row r="30" spans="2:5" x14ac:dyDescent="0.2">
      <c r="B30" s="69" t="s">
        <v>30</v>
      </c>
      <c r="C30" s="79"/>
      <c r="D30" s="71">
        <f>SUM(D24:D27)*12+D28</f>
        <v>966000</v>
      </c>
      <c r="E30" s="8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5"/>
  <sheetViews>
    <sheetView workbookViewId="0">
      <selection activeCell="C19" sqref="C19"/>
    </sheetView>
  </sheetViews>
  <sheetFormatPr defaultColWidth="9.140625" defaultRowHeight="12" x14ac:dyDescent="0.2"/>
  <cols>
    <col min="1" max="1" width="22.85546875" style="12" customWidth="1"/>
    <col min="2" max="2" width="12" style="12" customWidth="1"/>
    <col min="3" max="3" width="6.85546875" style="12" customWidth="1"/>
    <col min="4" max="4" width="9.5703125" style="12" customWidth="1"/>
    <col min="5" max="5" width="8.140625" style="12" customWidth="1"/>
    <col min="6" max="6" width="8.5703125" style="12" customWidth="1"/>
    <col min="7" max="7" width="8.85546875" style="12" customWidth="1"/>
    <col min="8" max="8" width="9.42578125" style="12" customWidth="1"/>
    <col min="9" max="9" width="8.28515625" style="12" customWidth="1"/>
    <col min="10" max="10" width="8.5703125" style="12" customWidth="1"/>
    <col min="11" max="11" width="8" style="12" customWidth="1"/>
    <col min="12" max="12" width="7.85546875" style="12" customWidth="1"/>
    <col min="13" max="13" width="7.7109375" style="12" customWidth="1"/>
    <col min="14" max="14" width="8.28515625" style="12" customWidth="1"/>
    <col min="15" max="15" width="9.28515625" style="12" customWidth="1"/>
    <col min="16" max="17" width="7.85546875" style="12" customWidth="1"/>
    <col min="18" max="25" width="8" style="12" customWidth="1"/>
    <col min="26" max="26" width="7.28515625" style="12" customWidth="1"/>
    <col min="27" max="16384" width="9.140625" style="12"/>
  </cols>
  <sheetData>
    <row r="2" spans="1:26" s="13" customFormat="1" ht="12.75" x14ac:dyDescent="0.2">
      <c r="A2" s="39" t="s">
        <v>50</v>
      </c>
      <c r="B2" s="40"/>
      <c r="C2" s="40"/>
      <c r="D2" s="40"/>
      <c r="E2" s="41"/>
    </row>
    <row r="3" spans="1:26" s="13" customFormat="1" ht="12.75" x14ac:dyDescent="0.2">
      <c r="A3" s="42" t="s">
        <v>51</v>
      </c>
      <c r="B3" s="52" t="s">
        <v>54</v>
      </c>
      <c r="C3" s="43"/>
      <c r="D3" s="43"/>
      <c r="E3" s="44"/>
    </row>
    <row r="4" spans="1:26" s="13" customFormat="1" ht="12.75" x14ac:dyDescent="0.2">
      <c r="A4" s="42" t="s">
        <v>52</v>
      </c>
      <c r="B4" s="45">
        <v>3000</v>
      </c>
      <c r="C4" s="43"/>
      <c r="D4" s="43"/>
      <c r="E4" s="44"/>
    </row>
    <row r="5" spans="1:26" s="13" customFormat="1" ht="12.75" x14ac:dyDescent="0.2">
      <c r="A5" s="42" t="s">
        <v>78</v>
      </c>
      <c r="B5" s="45">
        <v>10</v>
      </c>
      <c r="C5" s="43"/>
      <c r="D5" s="43"/>
      <c r="E5" s="44"/>
    </row>
    <row r="6" spans="1:26" s="13" customFormat="1" ht="12.75" x14ac:dyDescent="0.2">
      <c r="A6" s="42" t="s">
        <v>35</v>
      </c>
      <c r="B6" s="45">
        <v>250000</v>
      </c>
      <c r="C6" s="43"/>
      <c r="D6" s="43"/>
      <c r="E6" s="44"/>
    </row>
    <row r="7" spans="1:26" s="13" customFormat="1" ht="12.75" x14ac:dyDescent="0.2">
      <c r="A7" s="42" t="s">
        <v>53</v>
      </c>
      <c r="B7" s="45">
        <v>4</v>
      </c>
      <c r="C7" s="56" t="s">
        <v>94</v>
      </c>
      <c r="D7" s="43"/>
      <c r="E7" s="55"/>
    </row>
    <row r="8" spans="1:26" s="13" customFormat="1" ht="12.75" x14ac:dyDescent="0.2">
      <c r="A8" s="42" t="s">
        <v>79</v>
      </c>
      <c r="B8" s="53">
        <v>0.05</v>
      </c>
      <c r="C8" s="43"/>
      <c r="D8" s="43"/>
      <c r="E8" s="44"/>
    </row>
    <row r="9" spans="1:26" s="13" customFormat="1" ht="12.75" x14ac:dyDescent="0.2">
      <c r="A9" s="46" t="s">
        <v>80</v>
      </c>
      <c r="B9" s="54">
        <v>0.08</v>
      </c>
      <c r="C9" s="47"/>
      <c r="D9" s="47"/>
      <c r="E9" s="48"/>
    </row>
    <row r="10" spans="1:26" s="13" customFormat="1" ht="12.75" x14ac:dyDescent="0.2">
      <c r="B10" s="45"/>
    </row>
    <row r="11" spans="1:26" s="13" customFormat="1" ht="12.75" x14ac:dyDescent="0.2">
      <c r="A11" s="49" t="s">
        <v>31</v>
      </c>
      <c r="B11" s="50">
        <v>1</v>
      </c>
      <c r="C11" s="50">
        <v>2</v>
      </c>
      <c r="D11" s="50">
        <v>3</v>
      </c>
      <c r="E11" s="50">
        <v>4</v>
      </c>
      <c r="F11" s="50">
        <v>5</v>
      </c>
      <c r="G11" s="50">
        <v>6</v>
      </c>
      <c r="H11" s="50">
        <v>7</v>
      </c>
      <c r="I11" s="50">
        <v>8</v>
      </c>
      <c r="J11" s="50">
        <v>9</v>
      </c>
      <c r="K11" s="50">
        <v>10</v>
      </c>
      <c r="L11" s="50">
        <v>11</v>
      </c>
      <c r="M11" s="50">
        <v>12</v>
      </c>
      <c r="N11" s="50">
        <v>13</v>
      </c>
      <c r="O11" s="50">
        <v>14</v>
      </c>
      <c r="P11" s="50">
        <v>15</v>
      </c>
      <c r="Q11" s="50">
        <v>16</v>
      </c>
      <c r="R11" s="50">
        <v>17</v>
      </c>
      <c r="S11" s="50">
        <v>18</v>
      </c>
      <c r="T11" s="50">
        <v>19</v>
      </c>
      <c r="U11" s="50">
        <v>20</v>
      </c>
      <c r="V11" s="50">
        <v>21</v>
      </c>
      <c r="W11" s="50">
        <v>22</v>
      </c>
      <c r="X11" s="50">
        <v>23</v>
      </c>
      <c r="Y11" s="50">
        <v>24</v>
      </c>
      <c r="Z11" s="50">
        <v>25</v>
      </c>
    </row>
    <row r="12" spans="1:26" s="13" customFormat="1" ht="12.75" x14ac:dyDescent="0.2">
      <c r="A12" s="49" t="s">
        <v>55</v>
      </c>
      <c r="B12" s="51">
        <f>(B6*B5)/10^6</f>
        <v>2.5</v>
      </c>
      <c r="C12" s="51">
        <f>B12*(1+$B$8)</f>
        <v>2.625</v>
      </c>
      <c r="D12" s="51">
        <f>C12*(1+$B$8)</f>
        <v>2.7562500000000001</v>
      </c>
      <c r="E12" s="51">
        <f t="shared" ref="E12:Z12" si="0">D12*(1+$B$8)</f>
        <v>2.8940625000000004</v>
      </c>
      <c r="F12" s="51">
        <f t="shared" si="0"/>
        <v>3.0387656250000004</v>
      </c>
      <c r="G12" s="51">
        <f t="shared" si="0"/>
        <v>3.1907039062500004</v>
      </c>
      <c r="H12" s="51">
        <f t="shared" si="0"/>
        <v>3.3502391015625008</v>
      </c>
      <c r="I12" s="51">
        <f t="shared" si="0"/>
        <v>3.517751056640626</v>
      </c>
      <c r="J12" s="51">
        <f t="shared" si="0"/>
        <v>3.6936386094726577</v>
      </c>
      <c r="K12" s="51">
        <f t="shared" si="0"/>
        <v>3.8783205399462908</v>
      </c>
      <c r="L12" s="51">
        <f t="shared" si="0"/>
        <v>4.0722365669436051</v>
      </c>
      <c r="M12" s="51">
        <f t="shared" si="0"/>
        <v>4.2758483952907858</v>
      </c>
      <c r="N12" s="51">
        <f t="shared" si="0"/>
        <v>4.4896408150553251</v>
      </c>
      <c r="O12" s="51">
        <f t="shared" si="0"/>
        <v>4.7141228558080916</v>
      </c>
      <c r="P12" s="51">
        <f t="shared" si="0"/>
        <v>4.9498289985984965</v>
      </c>
      <c r="Q12" s="51">
        <f t="shared" si="0"/>
        <v>5.1973204485284219</v>
      </c>
      <c r="R12" s="51">
        <f t="shared" si="0"/>
        <v>5.4571864709548432</v>
      </c>
      <c r="S12" s="51">
        <f t="shared" si="0"/>
        <v>5.730045794502586</v>
      </c>
      <c r="T12" s="51">
        <f t="shared" si="0"/>
        <v>6.0165480842277157</v>
      </c>
      <c r="U12" s="51">
        <f t="shared" si="0"/>
        <v>6.3173754884391018</v>
      </c>
      <c r="V12" s="51">
        <f t="shared" si="0"/>
        <v>6.6332442628610568</v>
      </c>
      <c r="W12" s="51">
        <f t="shared" si="0"/>
        <v>6.9649064760041099</v>
      </c>
      <c r="X12" s="51">
        <f t="shared" si="0"/>
        <v>7.3131517998043156</v>
      </c>
      <c r="Y12" s="51">
        <f t="shared" si="0"/>
        <v>7.678809389794532</v>
      </c>
      <c r="Z12" s="51">
        <f t="shared" si="0"/>
        <v>8.0627498592842581</v>
      </c>
    </row>
    <row r="13" spans="1:26" s="13" customFormat="1" ht="12.75" x14ac:dyDescent="0.2">
      <c r="A13" s="49" t="s">
        <v>56</v>
      </c>
      <c r="B13" s="51">
        <f>(B12/3)*$B$9</f>
        <v>6.6666666666666666E-2</v>
      </c>
      <c r="C13" s="51">
        <f t="shared" ref="C13:Z13" si="1">(C12/3)*$B$9</f>
        <v>7.0000000000000007E-2</v>
      </c>
      <c r="D13" s="51">
        <f t="shared" si="1"/>
        <v>7.350000000000001E-2</v>
      </c>
      <c r="E13" s="51">
        <f t="shared" si="1"/>
        <v>7.7175000000000007E-2</v>
      </c>
      <c r="F13" s="51">
        <f t="shared" si="1"/>
        <v>8.1033750000000015E-2</v>
      </c>
      <c r="G13" s="51">
        <f t="shared" si="1"/>
        <v>8.5085437500000013E-2</v>
      </c>
      <c r="H13" s="51">
        <f t="shared" si="1"/>
        <v>8.933970937500002E-2</v>
      </c>
      <c r="I13" s="51">
        <f t="shared" si="1"/>
        <v>9.3806694843750038E-2</v>
      </c>
      <c r="J13" s="51">
        <f t="shared" si="1"/>
        <v>9.8497029585937548E-2</v>
      </c>
      <c r="K13" s="51">
        <f t="shared" si="1"/>
        <v>0.10342188106523442</v>
      </c>
      <c r="L13" s="51">
        <f t="shared" si="1"/>
        <v>0.10859297511849614</v>
      </c>
      <c r="M13" s="51">
        <f t="shared" si="1"/>
        <v>0.11402262387442096</v>
      </c>
      <c r="N13" s="51">
        <f t="shared" si="1"/>
        <v>0.11972375506814201</v>
      </c>
      <c r="O13" s="51">
        <f t="shared" si="1"/>
        <v>0.12570994282154913</v>
      </c>
      <c r="P13" s="51">
        <f t="shared" si="1"/>
        <v>0.13199543996262658</v>
      </c>
      <c r="Q13" s="51">
        <f t="shared" si="1"/>
        <v>0.13859521196075791</v>
      </c>
      <c r="R13" s="51">
        <f t="shared" si="1"/>
        <v>0.14552497255879582</v>
      </c>
      <c r="S13" s="51">
        <f t="shared" si="1"/>
        <v>0.15280122118673561</v>
      </c>
      <c r="T13" s="51">
        <f t="shared" si="1"/>
        <v>0.16044128224607243</v>
      </c>
      <c r="U13" s="51">
        <f t="shared" si="1"/>
        <v>0.16846334635837604</v>
      </c>
      <c r="V13" s="51">
        <f t="shared" si="1"/>
        <v>0.17688651367629488</v>
      </c>
      <c r="W13" s="51">
        <f t="shared" si="1"/>
        <v>0.18573083936010959</v>
      </c>
      <c r="X13" s="51">
        <f t="shared" si="1"/>
        <v>0.19501738132811508</v>
      </c>
      <c r="Y13" s="51">
        <f t="shared" si="1"/>
        <v>0.20476825039452085</v>
      </c>
      <c r="Z13" s="51">
        <f t="shared" si="1"/>
        <v>0.21500666291424689</v>
      </c>
    </row>
    <row r="14" spans="1:26" s="124" customFormat="1" ht="14.25" x14ac:dyDescent="0.25">
      <c r="A14" s="122" t="s">
        <v>57</v>
      </c>
      <c r="B14" s="123">
        <f>B12+B13</f>
        <v>2.5666666666666669</v>
      </c>
      <c r="C14" s="123">
        <f t="shared" ref="C14:Z14" si="2">C12+C13</f>
        <v>2.6949999999999998</v>
      </c>
      <c r="D14" s="123">
        <f t="shared" si="2"/>
        <v>2.8297500000000002</v>
      </c>
      <c r="E14" s="123">
        <f t="shared" si="2"/>
        <v>2.9712375000000004</v>
      </c>
      <c r="F14" s="123">
        <f t="shared" si="2"/>
        <v>3.1197993750000004</v>
      </c>
      <c r="G14" s="123">
        <f t="shared" si="2"/>
        <v>3.2757893437500005</v>
      </c>
      <c r="H14" s="123">
        <f t="shared" si="2"/>
        <v>3.4395788109375007</v>
      </c>
      <c r="I14" s="123">
        <f t="shared" si="2"/>
        <v>3.611557751484376</v>
      </c>
      <c r="J14" s="123">
        <f t="shared" si="2"/>
        <v>3.7921356390585954</v>
      </c>
      <c r="K14" s="123">
        <f t="shared" si="2"/>
        <v>3.9817424210115253</v>
      </c>
      <c r="L14" s="123">
        <f t="shared" si="2"/>
        <v>4.1808295420621011</v>
      </c>
      <c r="M14" s="123">
        <f t="shared" si="2"/>
        <v>4.3898710191652066</v>
      </c>
      <c r="N14" s="123">
        <f t="shared" si="2"/>
        <v>4.6093645701234669</v>
      </c>
      <c r="O14" s="123">
        <f t="shared" si="2"/>
        <v>4.839832798629641</v>
      </c>
      <c r="P14" s="123">
        <f t="shared" si="2"/>
        <v>5.0818244385611226</v>
      </c>
      <c r="Q14" s="123">
        <f t="shared" si="2"/>
        <v>5.3359156604891798</v>
      </c>
      <c r="R14" s="123">
        <f t="shared" si="2"/>
        <v>5.6027114435136394</v>
      </c>
      <c r="S14" s="123">
        <f t="shared" si="2"/>
        <v>5.8828470156893218</v>
      </c>
      <c r="T14" s="123">
        <f t="shared" si="2"/>
        <v>6.176989366473788</v>
      </c>
      <c r="U14" s="123">
        <f t="shared" si="2"/>
        <v>6.4858388347974776</v>
      </c>
      <c r="V14" s="123">
        <f t="shared" si="2"/>
        <v>6.8101307765373518</v>
      </c>
      <c r="W14" s="123">
        <f t="shared" si="2"/>
        <v>7.1506373153642198</v>
      </c>
      <c r="X14" s="123">
        <f t="shared" si="2"/>
        <v>7.5081691811324305</v>
      </c>
      <c r="Y14" s="123">
        <f t="shared" si="2"/>
        <v>7.8835776401890527</v>
      </c>
      <c r="Z14" s="123">
        <f t="shared" si="2"/>
        <v>8.277756522198505</v>
      </c>
    </row>
    <row r="15" spans="1:26" x14ac:dyDescent="0.2"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sqref="A1:N1"/>
    </sheetView>
  </sheetViews>
  <sheetFormatPr defaultColWidth="8.85546875" defaultRowHeight="13.5" x14ac:dyDescent="0.25"/>
  <cols>
    <col min="1" max="1" width="13.7109375" style="81" customWidth="1"/>
    <col min="2" max="2" width="12.42578125" style="81" customWidth="1"/>
    <col min="3" max="3" width="2.28515625" style="81" customWidth="1"/>
    <col min="4" max="4" width="9.5703125" style="81" customWidth="1"/>
    <col min="5" max="5" width="12.7109375" style="81" customWidth="1"/>
    <col min="6" max="7" width="8.42578125" style="81" customWidth="1"/>
    <col min="8" max="8" width="8.7109375" style="81" customWidth="1"/>
    <col min="9" max="9" width="12.140625" style="81" customWidth="1"/>
    <col min="10" max="10" width="3.42578125" style="81" customWidth="1"/>
    <col min="11" max="11" width="12" style="81" bestFit="1" customWidth="1"/>
    <col min="12" max="16384" width="8.85546875" style="81"/>
  </cols>
  <sheetData>
    <row r="1" spans="1:15" ht="15.6" customHeight="1" x14ac:dyDescent="0.25">
      <c r="A1" s="133" t="s">
        <v>81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x14ac:dyDescent="0.25">
      <c r="A2" s="82"/>
      <c r="B2" s="82"/>
      <c r="C2" s="82"/>
      <c r="D2" s="82"/>
      <c r="E2" s="82"/>
      <c r="F2" s="82"/>
      <c r="G2" s="82"/>
      <c r="H2" s="82"/>
      <c r="I2" s="82"/>
    </row>
    <row r="3" spans="1:15" x14ac:dyDescent="0.25">
      <c r="A3" s="82"/>
      <c r="B3" s="82"/>
      <c r="C3" s="82"/>
      <c r="D3" s="82"/>
      <c r="E3" s="82"/>
      <c r="F3" s="82"/>
      <c r="G3" s="82"/>
      <c r="H3" s="82"/>
      <c r="I3" s="82"/>
    </row>
    <row r="4" spans="1:15" x14ac:dyDescent="0.25">
      <c r="A4" s="102" t="s">
        <v>9</v>
      </c>
      <c r="B4" s="103">
        <f>FinFlows!C5</f>
        <v>7.2449999999999992</v>
      </c>
      <c r="D4" s="92" t="s">
        <v>83</v>
      </c>
      <c r="E4" s="92" t="s">
        <v>84</v>
      </c>
      <c r="F4" s="92" t="s">
        <v>86</v>
      </c>
      <c r="G4" s="92" t="s">
        <v>87</v>
      </c>
      <c r="H4" s="92" t="s">
        <v>88</v>
      </c>
      <c r="I4" s="92" t="s">
        <v>89</v>
      </c>
      <c r="J4" s="93"/>
      <c r="K4" s="92" t="s">
        <v>84</v>
      </c>
      <c r="L4" s="92" t="s">
        <v>86</v>
      </c>
      <c r="M4" s="92" t="s">
        <v>87</v>
      </c>
      <c r="N4" s="92" t="s">
        <v>88</v>
      </c>
      <c r="O4" s="93"/>
    </row>
    <row r="5" spans="1:15" x14ac:dyDescent="0.25">
      <c r="A5" s="102" t="s">
        <v>7</v>
      </c>
      <c r="B5" s="104">
        <f>FinFlows!G3</f>
        <v>0.1</v>
      </c>
      <c r="D5" s="94">
        <v>0</v>
      </c>
      <c r="E5" s="95">
        <f ca="1">B10</f>
        <v>44137.25</v>
      </c>
      <c r="F5" s="96">
        <f>IPMT($B$5/4,D6,$B$8,-$B$4)</f>
        <v>0.18112499999999998</v>
      </c>
      <c r="G5" s="94">
        <v>0</v>
      </c>
      <c r="H5" s="96">
        <f>F5+G5</f>
        <v>0.18112499999999998</v>
      </c>
      <c r="I5" s="94">
        <v>7.25</v>
      </c>
      <c r="J5" s="93"/>
      <c r="K5" s="109">
        <f ca="1">FinFlows!E9</f>
        <v>44530</v>
      </c>
      <c r="L5" s="97">
        <f>SUM(F6:F9)</f>
        <v>0.70810632282957342</v>
      </c>
      <c r="M5" s="98">
        <f>SUM(G6:G9)</f>
        <v>0.44634771421880182</v>
      </c>
      <c r="N5" s="97">
        <f>L5+M5</f>
        <v>1.1544540370483753</v>
      </c>
      <c r="O5" s="93"/>
    </row>
    <row r="6" spans="1:15" x14ac:dyDescent="0.25">
      <c r="A6" s="102" t="s">
        <v>8</v>
      </c>
      <c r="B6" s="105">
        <f>FinFlows!G4</f>
        <v>0.25</v>
      </c>
      <c r="D6" s="94">
        <v>1</v>
      </c>
      <c r="E6" s="95">
        <f ca="1">B11</f>
        <v>44227.25</v>
      </c>
      <c r="F6" s="96">
        <f>IPMT($B$5/4,D6,$B$8,-$B$4)</f>
        <v>0.18112499999999998</v>
      </c>
      <c r="G6" s="96">
        <f>PPMT($B$5/4,D6,$B$8,0,-$B$4)</f>
        <v>0.10748850926209381</v>
      </c>
      <c r="H6" s="96">
        <f>PMT($B$5/4,$B$8,-$B$4)</f>
        <v>0.28861350926209378</v>
      </c>
      <c r="I6" s="96">
        <f>I5-G6</f>
        <v>7.1425114907379061</v>
      </c>
      <c r="J6" s="93"/>
      <c r="K6" s="109">
        <f ca="1">K5+365</f>
        <v>44895</v>
      </c>
      <c r="L6" s="97">
        <f>SUM(F10:F13)</f>
        <v>0.66176967639265827</v>
      </c>
      <c r="M6" s="98">
        <f>SUM(G10:G13)</f>
        <v>0.49268436065571708</v>
      </c>
      <c r="N6" s="97">
        <f t="shared" ref="N6:N15" si="0">L6+M6</f>
        <v>1.1544540370483753</v>
      </c>
      <c r="O6" s="93"/>
    </row>
    <row r="7" spans="1:15" x14ac:dyDescent="0.25">
      <c r="A7" s="102" t="s">
        <v>10</v>
      </c>
      <c r="B7" s="106">
        <f>FinFlows!G5</f>
        <v>10</v>
      </c>
      <c r="D7" s="94">
        <v>2</v>
      </c>
      <c r="E7" s="95">
        <f ca="1">E6+90</f>
        <v>44317.25</v>
      </c>
      <c r="F7" s="96">
        <f t="shared" ref="F7:F35" si="1">IPMT($B$5/4,D7,$B$8,-$B$4)</f>
        <v>0.17843778726844764</v>
      </c>
      <c r="G7" s="96">
        <f t="shared" ref="G7:G35" si="2">PPMT($B$5/4,D7,$B$8,0,-$B$4)</f>
        <v>0.11017572199364617</v>
      </c>
      <c r="H7" s="96">
        <f t="shared" ref="H7:H45" si="3">PMT($B$5/4,$B$8,-$B$4)</f>
        <v>0.28861350926209378</v>
      </c>
      <c r="I7" s="96">
        <f>I6-G7</f>
        <v>7.03233576874426</v>
      </c>
      <c r="J7" s="93"/>
      <c r="K7" s="109">
        <f t="shared" ref="K7:K14" ca="1" si="4">K6+365</f>
        <v>45260</v>
      </c>
      <c r="L7" s="97">
        <f>SUM(F14:F17)</f>
        <v>0.61062268874725811</v>
      </c>
      <c r="M7" s="98">
        <f>SUM(G14:G17)</f>
        <v>0.54383134830111701</v>
      </c>
      <c r="N7" s="97">
        <f t="shared" si="0"/>
        <v>1.1544540370483751</v>
      </c>
      <c r="O7" s="93"/>
    </row>
    <row r="8" spans="1:15" x14ac:dyDescent="0.25">
      <c r="A8" s="107" t="s">
        <v>82</v>
      </c>
      <c r="B8" s="108">
        <f>B7*4</f>
        <v>40</v>
      </c>
      <c r="D8" s="94">
        <v>3</v>
      </c>
      <c r="E8" s="95">
        <f t="shared" ref="E8:E35" ca="1" si="5">E7+90</f>
        <v>44407.25</v>
      </c>
      <c r="F8" s="96">
        <f t="shared" si="1"/>
        <v>0.17568339421860649</v>
      </c>
      <c r="G8" s="96">
        <f t="shared" si="2"/>
        <v>0.11293011504348732</v>
      </c>
      <c r="H8" s="96">
        <f t="shared" si="3"/>
        <v>0.28861350926209378</v>
      </c>
      <c r="I8" s="96">
        <f t="shared" ref="I8:I19" si="6">I7-G8</f>
        <v>6.9194056537007729</v>
      </c>
      <c r="J8" s="93"/>
      <c r="K8" s="109">
        <f t="shared" ca="1" si="4"/>
        <v>45625</v>
      </c>
      <c r="L8" s="97">
        <f>SUM(F18:F21)</f>
        <v>0.55416598446762799</v>
      </c>
      <c r="M8" s="98">
        <f>SUM(G18:G21)</f>
        <v>0.60028805258074724</v>
      </c>
      <c r="N8" s="97">
        <f t="shared" si="0"/>
        <v>1.1544540370483753</v>
      </c>
      <c r="O8" s="93"/>
    </row>
    <row r="9" spans="1:15" x14ac:dyDescent="0.25">
      <c r="A9" s="131" t="s">
        <v>93</v>
      </c>
      <c r="B9" s="132"/>
      <c r="D9" s="94">
        <v>4</v>
      </c>
      <c r="E9" s="95">
        <f t="shared" ca="1" si="5"/>
        <v>44497.25</v>
      </c>
      <c r="F9" s="96">
        <f t="shared" si="1"/>
        <v>0.17286014134251931</v>
      </c>
      <c r="G9" s="96">
        <f t="shared" si="2"/>
        <v>0.1157533679195745</v>
      </c>
      <c r="H9" s="96">
        <f t="shared" si="3"/>
        <v>0.28861350926209378</v>
      </c>
      <c r="I9" s="96">
        <f t="shared" si="6"/>
        <v>6.8036522857811983</v>
      </c>
      <c r="J9" s="93"/>
      <c r="K9" s="109">
        <f t="shared" ca="1" si="4"/>
        <v>45990</v>
      </c>
      <c r="L9" s="97">
        <f>SUM(F22:F25)</f>
        <v>0.49184834652156872</v>
      </c>
      <c r="M9" s="98">
        <f>SUM(G22:G25)</f>
        <v>0.66260569052680662</v>
      </c>
      <c r="N9" s="97">
        <f t="shared" si="0"/>
        <v>1.1544540370483753</v>
      </c>
      <c r="O9" s="93"/>
    </row>
    <row r="10" spans="1:15" x14ac:dyDescent="0.25">
      <c r="A10" s="107" t="s">
        <v>19</v>
      </c>
      <c r="B10" s="109">
        <f ca="1">FinFlows!D9</f>
        <v>44137.25</v>
      </c>
      <c r="D10" s="94">
        <v>5</v>
      </c>
      <c r="E10" s="95">
        <f t="shared" ca="1" si="5"/>
        <v>44587.25</v>
      </c>
      <c r="F10" s="96">
        <f t="shared" si="1"/>
        <v>0.16996630714452998</v>
      </c>
      <c r="G10" s="96">
        <f t="shared" si="2"/>
        <v>0.11864720211756385</v>
      </c>
      <c r="H10" s="96">
        <f t="shared" si="3"/>
        <v>0.28861350926209378</v>
      </c>
      <c r="I10" s="96">
        <f t="shared" si="6"/>
        <v>6.6850050836636346</v>
      </c>
      <c r="J10" s="93"/>
      <c r="K10" s="109">
        <f t="shared" ca="1" si="4"/>
        <v>46355</v>
      </c>
      <c r="L10" s="97">
        <f>SUM(F26:F29)</f>
        <v>0.42306133444340666</v>
      </c>
      <c r="M10" s="98">
        <f>SUM(G26:G29)</f>
        <v>0.73139270260496858</v>
      </c>
      <c r="N10" s="97">
        <f t="shared" si="0"/>
        <v>1.1544540370483753</v>
      </c>
      <c r="O10" s="93"/>
    </row>
    <row r="11" spans="1:15" x14ac:dyDescent="0.25">
      <c r="A11" s="107" t="s">
        <v>85</v>
      </c>
      <c r="B11" s="109">
        <f ca="1">B10+90</f>
        <v>44227.25</v>
      </c>
      <c r="D11" s="94">
        <v>6</v>
      </c>
      <c r="E11" s="95">
        <f t="shared" ca="1" si="5"/>
        <v>44677.25</v>
      </c>
      <c r="F11" s="96">
        <f t="shared" si="1"/>
        <v>0.16700012709159084</v>
      </c>
      <c r="G11" s="96">
        <f t="shared" si="2"/>
        <v>0.12161338217050298</v>
      </c>
      <c r="H11" s="96">
        <f t="shared" si="3"/>
        <v>0.28861350926209378</v>
      </c>
      <c r="I11" s="96">
        <f t="shared" si="6"/>
        <v>6.5633917014931313</v>
      </c>
      <c r="J11" s="93"/>
      <c r="K11" s="109">
        <f t="shared" ca="1" si="4"/>
        <v>46720</v>
      </c>
      <c r="L11" s="97">
        <f>SUM(F30:F33)</f>
        <v>0.34713334380395389</v>
      </c>
      <c r="M11" s="98">
        <f>SUM(G30:G33)</f>
        <v>0.80732069324442124</v>
      </c>
      <c r="N11" s="97">
        <f t="shared" si="0"/>
        <v>1.1544540370483751</v>
      </c>
      <c r="O11" s="93"/>
    </row>
    <row r="12" spans="1:15" x14ac:dyDescent="0.25">
      <c r="D12" s="94">
        <v>7</v>
      </c>
      <c r="E12" s="95">
        <f t="shared" ca="1" si="5"/>
        <v>44767.25</v>
      </c>
      <c r="F12" s="96">
        <f t="shared" si="1"/>
        <v>0.16395979253732826</v>
      </c>
      <c r="G12" s="96">
        <f t="shared" si="2"/>
        <v>0.12465371672476555</v>
      </c>
      <c r="H12" s="96">
        <f t="shared" si="3"/>
        <v>0.28861350926209378</v>
      </c>
      <c r="I12" s="96">
        <f t="shared" si="6"/>
        <v>6.4387379847683661</v>
      </c>
      <c r="J12" s="93"/>
      <c r="K12" s="109">
        <f t="shared" ca="1" si="4"/>
        <v>47085</v>
      </c>
      <c r="L12" s="97">
        <f>SUM(F34:F37)</f>
        <v>0.26332304897687159</v>
      </c>
      <c r="M12" s="98">
        <f>SUM(G34:G37)</f>
        <v>0.89113098807150359</v>
      </c>
      <c r="N12" s="97">
        <f t="shared" si="0"/>
        <v>1.1544540370483751</v>
      </c>
      <c r="O12" s="93"/>
    </row>
    <row r="13" spans="1:15" x14ac:dyDescent="0.25">
      <c r="D13" s="94">
        <v>8</v>
      </c>
      <c r="E13" s="95">
        <f t="shared" ca="1" si="5"/>
        <v>44857.25</v>
      </c>
      <c r="F13" s="96">
        <f t="shared" si="1"/>
        <v>0.16084344961920916</v>
      </c>
      <c r="G13" s="96">
        <f t="shared" si="2"/>
        <v>0.12777005964288468</v>
      </c>
      <c r="H13" s="96">
        <f t="shared" si="3"/>
        <v>0.28861350926209378</v>
      </c>
      <c r="I13" s="96">
        <f t="shared" si="6"/>
        <v>6.3109679251254818</v>
      </c>
      <c r="J13" s="93"/>
      <c r="K13" s="109">
        <f t="shared" ca="1" si="4"/>
        <v>47450</v>
      </c>
      <c r="L13" s="97">
        <f>SUM(F38:F41)</f>
        <v>0.17081216517965639</v>
      </c>
      <c r="M13" s="98">
        <f>SUM(G38:G41)</f>
        <v>0.98364187186871876</v>
      </c>
      <c r="N13" s="97">
        <f t="shared" si="0"/>
        <v>1.1544540370483751</v>
      </c>
      <c r="O13" s="93"/>
    </row>
    <row r="14" spans="1:15" x14ac:dyDescent="0.25">
      <c r="D14" s="94">
        <v>9</v>
      </c>
      <c r="E14" s="95">
        <f t="shared" ca="1" si="5"/>
        <v>44947.25</v>
      </c>
      <c r="F14" s="96">
        <f t="shared" si="1"/>
        <v>0.15764919812813702</v>
      </c>
      <c r="G14" s="96">
        <f t="shared" si="2"/>
        <v>0.13096431113395679</v>
      </c>
      <c r="H14" s="96">
        <f t="shared" si="3"/>
        <v>0.28861350926209378</v>
      </c>
      <c r="I14" s="96">
        <f t="shared" si="6"/>
        <v>6.1800036139915253</v>
      </c>
      <c r="J14" s="93"/>
      <c r="K14" s="109">
        <f t="shared" ca="1" si="4"/>
        <v>47815</v>
      </c>
      <c r="L14" s="97">
        <f>SUM(F42:F45)</f>
        <v>6.8697459121178819E-2</v>
      </c>
      <c r="M14" s="98">
        <f>SUM(G42:G45)</f>
        <v>1.0857565779271965</v>
      </c>
      <c r="N14" s="97">
        <f t="shared" si="0"/>
        <v>1.1544540370483753</v>
      </c>
      <c r="O14" s="93"/>
    </row>
    <row r="15" spans="1:15" x14ac:dyDescent="0.25">
      <c r="D15" s="94">
        <v>10</v>
      </c>
      <c r="E15" s="95">
        <f ca="1">E14+90</f>
        <v>45037.25</v>
      </c>
      <c r="F15" s="96">
        <f t="shared" si="1"/>
        <v>0.15437509034978808</v>
      </c>
      <c r="G15" s="96">
        <f t="shared" si="2"/>
        <v>0.1342384189123057</v>
      </c>
      <c r="H15" s="96">
        <f t="shared" si="3"/>
        <v>0.28861350926209378</v>
      </c>
      <c r="I15" s="96">
        <f t="shared" si="6"/>
        <v>6.0457651950792197</v>
      </c>
      <c r="J15" s="93"/>
      <c r="K15" s="99" t="s">
        <v>13</v>
      </c>
      <c r="L15" s="100">
        <f>SUM(L5:L14)</f>
        <v>4.2995403704837534</v>
      </c>
      <c r="M15" s="101">
        <f>SUM(M5:M14)</f>
        <v>7.2449999999999983</v>
      </c>
      <c r="N15" s="100">
        <f t="shared" si="0"/>
        <v>11.544540370483752</v>
      </c>
      <c r="O15" s="93"/>
    </row>
    <row r="16" spans="1:15" x14ac:dyDescent="0.25">
      <c r="D16" s="94">
        <v>11</v>
      </c>
      <c r="E16" s="95">
        <f t="shared" ca="1" si="5"/>
        <v>45127.25</v>
      </c>
      <c r="F16" s="96">
        <f t="shared" si="1"/>
        <v>0.15101912987698046</v>
      </c>
      <c r="G16" s="96">
        <f t="shared" si="2"/>
        <v>0.13759437938511335</v>
      </c>
      <c r="H16" s="96">
        <f t="shared" si="3"/>
        <v>0.28861350926209378</v>
      </c>
      <c r="I16" s="96">
        <f t="shared" si="6"/>
        <v>5.9081708156941062</v>
      </c>
      <c r="J16" s="93"/>
      <c r="K16" s="93"/>
      <c r="L16" s="93"/>
      <c r="M16" s="93"/>
      <c r="N16" s="93"/>
      <c r="O16" s="93"/>
    </row>
    <row r="17" spans="4:15" x14ac:dyDescent="0.25">
      <c r="D17" s="94">
        <v>12</v>
      </c>
      <c r="E17" s="95">
        <f t="shared" ca="1" si="5"/>
        <v>45217.25</v>
      </c>
      <c r="F17" s="96">
        <f t="shared" si="1"/>
        <v>0.14757927039235261</v>
      </c>
      <c r="G17" s="96">
        <f t="shared" si="2"/>
        <v>0.1410342388697412</v>
      </c>
      <c r="H17" s="96">
        <f t="shared" si="3"/>
        <v>0.28861350926209378</v>
      </c>
      <c r="I17" s="96">
        <f t="shared" si="6"/>
        <v>5.767136576824365</v>
      </c>
      <c r="J17" s="93"/>
      <c r="K17" s="93"/>
      <c r="L17" s="93"/>
      <c r="M17" s="93"/>
      <c r="N17" s="93"/>
      <c r="O17" s="93"/>
    </row>
    <row r="18" spans="4:15" x14ac:dyDescent="0.25">
      <c r="D18" s="94">
        <v>13</v>
      </c>
      <c r="E18" s="95">
        <f t="shared" ca="1" si="5"/>
        <v>45307.25</v>
      </c>
      <c r="F18" s="96">
        <f t="shared" si="1"/>
        <v>0.14405341442060907</v>
      </c>
      <c r="G18" s="96">
        <f t="shared" si="2"/>
        <v>0.14456009484148474</v>
      </c>
      <c r="H18" s="96">
        <f t="shared" si="3"/>
        <v>0.28861350926209378</v>
      </c>
      <c r="I18" s="96">
        <f t="shared" si="6"/>
        <v>5.6225764819828798</v>
      </c>
      <c r="J18" s="93"/>
      <c r="K18" s="93"/>
      <c r="L18" s="93"/>
      <c r="M18" s="93"/>
      <c r="N18" s="93"/>
      <c r="O18" s="93"/>
    </row>
    <row r="19" spans="4:15" x14ac:dyDescent="0.25">
      <c r="D19" s="94">
        <v>14</v>
      </c>
      <c r="E19" s="95">
        <f t="shared" ca="1" si="5"/>
        <v>45397.25</v>
      </c>
      <c r="F19" s="96">
        <f t="shared" si="1"/>
        <v>0.14043941204957197</v>
      </c>
      <c r="G19" s="96">
        <f t="shared" si="2"/>
        <v>0.14817409721252184</v>
      </c>
      <c r="H19" s="96">
        <f t="shared" si="3"/>
        <v>0.28861350926209378</v>
      </c>
      <c r="I19" s="96">
        <f t="shared" si="6"/>
        <v>5.4744023847703582</v>
      </c>
      <c r="J19" s="93"/>
      <c r="K19" s="93"/>
      <c r="L19" s="93"/>
      <c r="M19" s="93"/>
      <c r="N19" s="93"/>
      <c r="O19" s="93"/>
    </row>
    <row r="20" spans="4:15" x14ac:dyDescent="0.25">
      <c r="D20" s="94">
        <v>15</v>
      </c>
      <c r="E20" s="95">
        <f t="shared" ca="1" si="5"/>
        <v>45487.25</v>
      </c>
      <c r="F20" s="96">
        <f t="shared" si="1"/>
        <v>0.13673505961925889</v>
      </c>
      <c r="G20" s="96">
        <f t="shared" si="2"/>
        <v>0.15187844964283492</v>
      </c>
      <c r="H20" s="96">
        <f t="shared" si="3"/>
        <v>0.28861350926209378</v>
      </c>
      <c r="I20" s="96">
        <f>I19-G20</f>
        <v>5.3225239351275233</v>
      </c>
      <c r="J20" s="93"/>
      <c r="K20" s="93"/>
      <c r="L20" s="93"/>
      <c r="M20" s="93"/>
      <c r="N20" s="93"/>
      <c r="O20" s="93"/>
    </row>
    <row r="21" spans="4:15" x14ac:dyDescent="0.25">
      <c r="D21" s="94">
        <v>16</v>
      </c>
      <c r="E21" s="95">
        <f t="shared" ca="1" si="5"/>
        <v>45577.25</v>
      </c>
      <c r="F21" s="96">
        <f t="shared" si="1"/>
        <v>0.13293809837818804</v>
      </c>
      <c r="G21" s="96">
        <f t="shared" si="2"/>
        <v>0.1556754108839058</v>
      </c>
      <c r="H21" s="96">
        <f t="shared" si="3"/>
        <v>0.28861350926209378</v>
      </c>
      <c r="I21" s="96">
        <f>I20-G21</f>
        <v>5.1668485242436173</v>
      </c>
      <c r="J21" s="93"/>
      <c r="K21" s="93"/>
      <c r="L21" s="93"/>
      <c r="M21" s="93"/>
      <c r="N21" s="93"/>
      <c r="O21" s="93"/>
    </row>
    <row r="22" spans="4:15" x14ac:dyDescent="0.25">
      <c r="D22" s="94">
        <v>17</v>
      </c>
      <c r="E22" s="95">
        <f ca="1">E21+90</f>
        <v>45667.25</v>
      </c>
      <c r="F22" s="96">
        <f t="shared" si="1"/>
        <v>0.12904621310609041</v>
      </c>
      <c r="G22" s="96">
        <f t="shared" si="2"/>
        <v>0.1595672961560034</v>
      </c>
      <c r="H22" s="96">
        <f t="shared" si="3"/>
        <v>0.28861350926209378</v>
      </c>
      <c r="I22" s="96">
        <f t="shared" ref="I22:I28" si="7">I21-G22</f>
        <v>5.0072812280876136</v>
      </c>
      <c r="J22" s="93"/>
      <c r="K22" s="93"/>
      <c r="L22" s="93"/>
      <c r="M22" s="93"/>
      <c r="N22" s="93"/>
      <c r="O22" s="93"/>
    </row>
    <row r="23" spans="4:15" x14ac:dyDescent="0.25">
      <c r="D23" s="94">
        <v>18</v>
      </c>
      <c r="E23" s="95">
        <f t="shared" ca="1" si="5"/>
        <v>45757.25</v>
      </c>
      <c r="F23" s="96">
        <f t="shared" si="1"/>
        <v>0.12505703070219032</v>
      </c>
      <c r="G23" s="96">
        <f t="shared" si="2"/>
        <v>0.16355647855990352</v>
      </c>
      <c r="H23" s="96">
        <f t="shared" si="3"/>
        <v>0.28861350926209378</v>
      </c>
      <c r="I23" s="96">
        <f t="shared" si="7"/>
        <v>4.84372474952771</v>
      </c>
      <c r="J23" s="93"/>
      <c r="K23" s="93"/>
      <c r="L23" s="93"/>
      <c r="M23" s="93"/>
      <c r="N23" s="93"/>
      <c r="O23" s="93"/>
    </row>
    <row r="24" spans="4:15" x14ac:dyDescent="0.25">
      <c r="D24" s="94">
        <v>19</v>
      </c>
      <c r="E24" s="95">
        <f t="shared" ca="1" si="5"/>
        <v>45847.25</v>
      </c>
      <c r="F24" s="96">
        <f t="shared" si="1"/>
        <v>0.12096811873819276</v>
      </c>
      <c r="G24" s="96">
        <f t="shared" si="2"/>
        <v>0.16764539052390109</v>
      </c>
      <c r="H24" s="96">
        <f t="shared" si="3"/>
        <v>0.28861350926209378</v>
      </c>
      <c r="I24" s="96">
        <f t="shared" si="7"/>
        <v>4.6760793590038086</v>
      </c>
      <c r="J24" s="93"/>
      <c r="K24" s="93"/>
      <c r="L24" s="93"/>
      <c r="M24" s="93"/>
      <c r="N24" s="93"/>
      <c r="O24" s="93"/>
    </row>
    <row r="25" spans="4:15" x14ac:dyDescent="0.25">
      <c r="D25" s="94">
        <v>20</v>
      </c>
      <c r="E25" s="95">
        <f t="shared" ca="1" si="5"/>
        <v>45937.25</v>
      </c>
      <c r="F25" s="96">
        <f t="shared" si="1"/>
        <v>0.1167769839750952</v>
      </c>
      <c r="G25" s="96">
        <f t="shared" si="2"/>
        <v>0.17183652528699861</v>
      </c>
      <c r="H25" s="96">
        <f t="shared" si="3"/>
        <v>0.28861350926209378</v>
      </c>
      <c r="I25" s="96">
        <f t="shared" si="7"/>
        <v>4.5042428337168099</v>
      </c>
      <c r="J25" s="93"/>
      <c r="K25" s="93"/>
      <c r="L25" s="93"/>
      <c r="M25" s="93"/>
      <c r="N25" s="93"/>
      <c r="O25" s="93"/>
    </row>
    <row r="26" spans="4:15" x14ac:dyDescent="0.25">
      <c r="D26" s="94">
        <v>21</v>
      </c>
      <c r="E26" s="95">
        <f t="shared" ca="1" si="5"/>
        <v>46027.25</v>
      </c>
      <c r="F26" s="96">
        <f t="shared" si="1"/>
        <v>0.11248107084292024</v>
      </c>
      <c r="G26" s="96">
        <f t="shared" si="2"/>
        <v>0.17613243841917359</v>
      </c>
      <c r="H26" s="96">
        <f t="shared" si="3"/>
        <v>0.28861350926209378</v>
      </c>
      <c r="I26" s="96">
        <f t="shared" si="7"/>
        <v>4.3281103952976361</v>
      </c>
      <c r="J26" s="93"/>
      <c r="K26" s="93"/>
      <c r="L26" s="93"/>
      <c r="M26" s="93"/>
      <c r="N26" s="93"/>
      <c r="O26" s="93"/>
    </row>
    <row r="27" spans="4:15" x14ac:dyDescent="0.25">
      <c r="D27" s="94">
        <v>22</v>
      </c>
      <c r="E27" s="95">
        <f t="shared" ca="1" si="5"/>
        <v>46117.25</v>
      </c>
      <c r="F27" s="96">
        <f t="shared" si="1"/>
        <v>0.10807775988244091</v>
      </c>
      <c r="G27" s="96">
        <f t="shared" si="2"/>
        <v>0.18053574937965292</v>
      </c>
      <c r="H27" s="96">
        <f t="shared" si="3"/>
        <v>0.28861350926209378</v>
      </c>
      <c r="I27" s="96">
        <f t="shared" si="7"/>
        <v>4.1475746459179827</v>
      </c>
      <c r="J27" s="93"/>
      <c r="K27" s="93"/>
      <c r="L27" s="93"/>
      <c r="M27" s="93"/>
      <c r="N27" s="93"/>
      <c r="O27" s="93"/>
    </row>
    <row r="28" spans="4:15" x14ac:dyDescent="0.25">
      <c r="D28" s="94">
        <v>23</v>
      </c>
      <c r="E28" s="95">
        <f t="shared" ca="1" si="5"/>
        <v>46207.25</v>
      </c>
      <c r="F28" s="96">
        <f t="shared" si="1"/>
        <v>0.10356436614794957</v>
      </c>
      <c r="G28" s="96">
        <f t="shared" si="2"/>
        <v>0.18504914311414422</v>
      </c>
      <c r="H28" s="96">
        <f t="shared" si="3"/>
        <v>0.28861350926209378</v>
      </c>
      <c r="I28" s="96">
        <f t="shared" si="7"/>
        <v>3.9625255028038384</v>
      </c>
      <c r="J28" s="93"/>
      <c r="K28" s="93"/>
      <c r="L28" s="93"/>
      <c r="M28" s="93"/>
      <c r="N28" s="93"/>
      <c r="O28" s="93"/>
    </row>
    <row r="29" spans="4:15" x14ac:dyDescent="0.25">
      <c r="D29" s="94">
        <v>24</v>
      </c>
      <c r="E29" s="95">
        <f t="shared" ca="1" si="5"/>
        <v>46297.25</v>
      </c>
      <c r="F29" s="96">
        <f t="shared" si="1"/>
        <v>9.8938137570095966E-2</v>
      </c>
      <c r="G29" s="96">
        <f t="shared" si="2"/>
        <v>0.18967537169199786</v>
      </c>
      <c r="H29" s="96">
        <f t="shared" si="3"/>
        <v>0.28861350926209378</v>
      </c>
      <c r="I29" s="96">
        <f>I28-G29</f>
        <v>3.7728501311118405</v>
      </c>
      <c r="J29" s="93"/>
      <c r="K29" s="93"/>
      <c r="L29" s="93"/>
      <c r="M29" s="93"/>
      <c r="N29" s="93"/>
      <c r="O29" s="93"/>
    </row>
    <row r="30" spans="4:15" x14ac:dyDescent="0.25">
      <c r="D30" s="94">
        <v>25</v>
      </c>
      <c r="E30" s="95">
        <f ca="1">E29+90</f>
        <v>46387.25</v>
      </c>
      <c r="F30" s="96">
        <f t="shared" si="1"/>
        <v>9.4196253277796016E-2</v>
      </c>
      <c r="G30" s="96">
        <f t="shared" si="2"/>
        <v>0.19441725598429779</v>
      </c>
      <c r="H30" s="96">
        <f t="shared" si="3"/>
        <v>0.28861350926209378</v>
      </c>
      <c r="I30" s="96">
        <f>I29-G30</f>
        <v>3.5784328751275427</v>
      </c>
      <c r="J30" s="93"/>
      <c r="K30" s="93"/>
      <c r="L30" s="93"/>
      <c r="M30" s="93"/>
      <c r="N30" s="93"/>
      <c r="O30" s="93"/>
    </row>
    <row r="31" spans="4:15" x14ac:dyDescent="0.25">
      <c r="D31" s="94">
        <v>26</v>
      </c>
      <c r="E31" s="95">
        <f t="shared" ca="1" si="5"/>
        <v>46477.25</v>
      </c>
      <c r="F31" s="96">
        <f t="shared" si="1"/>
        <v>8.9335821878188573E-2</v>
      </c>
      <c r="G31" s="96">
        <f t="shared" si="2"/>
        <v>0.19927768738390522</v>
      </c>
      <c r="H31" s="96">
        <f t="shared" si="3"/>
        <v>0.28861350926209378</v>
      </c>
      <c r="I31" s="96">
        <f t="shared" ref="I31:I37" si="8">I30-G31</f>
        <v>3.3791551877436374</v>
      </c>
      <c r="J31" s="93"/>
      <c r="K31" s="93"/>
      <c r="L31" s="93"/>
      <c r="M31" s="93"/>
      <c r="N31" s="93"/>
      <c r="O31" s="93"/>
    </row>
    <row r="32" spans="4:15" x14ac:dyDescent="0.25">
      <c r="D32" s="94">
        <v>27</v>
      </c>
      <c r="E32" s="95">
        <f t="shared" ca="1" si="5"/>
        <v>46567.25</v>
      </c>
      <c r="F32" s="96">
        <f t="shared" si="1"/>
        <v>8.4353879693590941E-2</v>
      </c>
      <c r="G32" s="96">
        <f t="shared" si="2"/>
        <v>0.20425962956850285</v>
      </c>
      <c r="H32" s="96">
        <f t="shared" si="3"/>
        <v>0.28861350926209378</v>
      </c>
      <c r="I32" s="96">
        <f t="shared" si="8"/>
        <v>3.1748955581751348</v>
      </c>
      <c r="J32" s="93"/>
      <c r="K32" s="93"/>
      <c r="L32" s="93"/>
      <c r="M32" s="93"/>
      <c r="N32" s="93"/>
      <c r="O32" s="93"/>
    </row>
    <row r="33" spans="4:15" x14ac:dyDescent="0.25">
      <c r="D33" s="94">
        <v>28</v>
      </c>
      <c r="E33" s="95">
        <f ca="1">E32+90</f>
        <v>46657.25</v>
      </c>
      <c r="F33" s="96">
        <f t="shared" si="1"/>
        <v>7.9247388954378356E-2</v>
      </c>
      <c r="G33" s="96">
        <f t="shared" si="2"/>
        <v>0.20936612030771543</v>
      </c>
      <c r="H33" s="96">
        <f t="shared" si="3"/>
        <v>0.28861350926209378</v>
      </c>
      <c r="I33" s="96">
        <f t="shared" si="8"/>
        <v>2.9655294378674193</v>
      </c>
      <c r="J33" s="93"/>
      <c r="K33" s="93"/>
      <c r="L33" s="93"/>
      <c r="M33" s="93"/>
      <c r="N33" s="93"/>
      <c r="O33" s="93"/>
    </row>
    <row r="34" spans="4:15" x14ac:dyDescent="0.25">
      <c r="D34" s="94">
        <v>29</v>
      </c>
      <c r="E34" s="95">
        <f t="shared" ca="1" si="5"/>
        <v>46747.25</v>
      </c>
      <c r="F34" s="96">
        <f t="shared" si="1"/>
        <v>7.4013235946685477E-2</v>
      </c>
      <c r="G34" s="96">
        <f t="shared" si="2"/>
        <v>0.21460027331540832</v>
      </c>
      <c r="H34" s="96">
        <f t="shared" si="3"/>
        <v>0.28861350926209378</v>
      </c>
      <c r="I34" s="96">
        <f t="shared" si="8"/>
        <v>2.7509291645520109</v>
      </c>
      <c r="J34" s="93"/>
      <c r="K34" s="93"/>
      <c r="L34" s="93"/>
      <c r="M34" s="93"/>
      <c r="N34" s="93"/>
      <c r="O34" s="93"/>
    </row>
    <row r="35" spans="4:15" x14ac:dyDescent="0.25">
      <c r="D35" s="94">
        <v>30</v>
      </c>
      <c r="E35" s="95">
        <f t="shared" ca="1" si="5"/>
        <v>46837.25</v>
      </c>
      <c r="F35" s="96">
        <f t="shared" si="1"/>
        <v>6.864822911380028E-2</v>
      </c>
      <c r="G35" s="96">
        <f t="shared" si="2"/>
        <v>0.21996528014829353</v>
      </c>
      <c r="H35" s="96">
        <f t="shared" si="3"/>
        <v>0.28861350926209378</v>
      </c>
      <c r="I35" s="96">
        <f t="shared" si="8"/>
        <v>2.5309638844037172</v>
      </c>
      <c r="J35" s="93"/>
      <c r="K35" s="93"/>
      <c r="L35" s="93"/>
      <c r="M35" s="93"/>
      <c r="N35" s="93"/>
      <c r="O35" s="93"/>
    </row>
    <row r="36" spans="4:15" x14ac:dyDescent="0.25">
      <c r="D36" s="94">
        <v>31</v>
      </c>
      <c r="E36" s="95">
        <f t="shared" ref="E36:E45" ca="1" si="9">E35+90</f>
        <v>46927.25</v>
      </c>
      <c r="F36" s="96">
        <f t="shared" ref="F36:F45" si="10">IPMT($B$5/4,D36,$B$8,-$B$4)</f>
        <v>6.3149097110092936E-2</v>
      </c>
      <c r="G36" s="96">
        <f t="shared" ref="G36:G45" si="11">PPMT($B$5/4,D36,$B$8,0,-$B$4)</f>
        <v>0.22546441215200086</v>
      </c>
      <c r="H36" s="96">
        <f t="shared" si="3"/>
        <v>0.28861350926209378</v>
      </c>
      <c r="I36" s="96">
        <f t="shared" si="8"/>
        <v>2.3054994722517161</v>
      </c>
      <c r="J36" s="93"/>
      <c r="K36" s="93"/>
      <c r="L36" s="93"/>
      <c r="M36" s="93"/>
      <c r="N36" s="93"/>
      <c r="O36" s="93"/>
    </row>
    <row r="37" spans="4:15" x14ac:dyDescent="0.25">
      <c r="D37" s="94">
        <v>32</v>
      </c>
      <c r="E37" s="95">
        <f t="shared" ca="1" si="9"/>
        <v>47017.25</v>
      </c>
      <c r="F37" s="96">
        <f t="shared" si="10"/>
        <v>5.7512486806292909E-2</v>
      </c>
      <c r="G37" s="96">
        <f t="shared" si="11"/>
        <v>0.23110102245580089</v>
      </c>
      <c r="H37" s="96">
        <f t="shared" si="3"/>
        <v>0.28861350926209378</v>
      </c>
      <c r="I37" s="96">
        <f t="shared" si="8"/>
        <v>2.0743984497959151</v>
      </c>
      <c r="J37" s="93"/>
      <c r="K37" s="93"/>
      <c r="L37" s="93"/>
      <c r="M37" s="93"/>
      <c r="N37" s="93"/>
      <c r="O37" s="93"/>
    </row>
    <row r="38" spans="4:15" x14ac:dyDescent="0.25">
      <c r="D38" s="94">
        <v>33</v>
      </c>
      <c r="E38" s="95">
        <f t="shared" ca="1" si="9"/>
        <v>47107.25</v>
      </c>
      <c r="F38" s="96">
        <f t="shared" si="10"/>
        <v>5.1734961244897883E-2</v>
      </c>
      <c r="G38" s="96">
        <f t="shared" si="11"/>
        <v>0.23687854801719591</v>
      </c>
      <c r="H38" s="96">
        <f t="shared" si="3"/>
        <v>0.28861350926209378</v>
      </c>
      <c r="I38" s="96">
        <f>I37-G38</f>
        <v>1.8375199017787192</v>
      </c>
      <c r="J38" s="93"/>
      <c r="K38" s="93"/>
      <c r="L38" s="93"/>
      <c r="M38" s="93"/>
      <c r="N38" s="93"/>
      <c r="O38" s="93"/>
    </row>
    <row r="39" spans="4:15" x14ac:dyDescent="0.25">
      <c r="D39" s="94">
        <v>34</v>
      </c>
      <c r="E39" s="95">
        <f t="shared" ca="1" si="9"/>
        <v>47197.25</v>
      </c>
      <c r="F39" s="96">
        <f t="shared" si="10"/>
        <v>4.5812997544467993E-2</v>
      </c>
      <c r="G39" s="96">
        <f t="shared" si="11"/>
        <v>0.24280051171762579</v>
      </c>
      <c r="H39" s="96">
        <f t="shared" si="3"/>
        <v>0.28861350926209378</v>
      </c>
      <c r="I39" s="96">
        <f>I38-G39</f>
        <v>1.5947193900610934</v>
      </c>
      <c r="J39" s="93"/>
      <c r="K39" s="93"/>
      <c r="L39" s="93"/>
      <c r="M39" s="93"/>
      <c r="N39" s="93"/>
      <c r="O39" s="93"/>
    </row>
    <row r="40" spans="4:15" x14ac:dyDescent="0.25">
      <c r="D40" s="94">
        <v>35</v>
      </c>
      <c r="E40" s="95">
        <f t="shared" ca="1" si="9"/>
        <v>47287.25</v>
      </c>
      <c r="F40" s="96">
        <f t="shared" si="10"/>
        <v>3.9742984751527342E-2</v>
      </c>
      <c r="G40" s="96">
        <f t="shared" si="11"/>
        <v>0.24887052451056646</v>
      </c>
      <c r="H40" s="96">
        <f t="shared" si="3"/>
        <v>0.28861350926209378</v>
      </c>
      <c r="I40" s="96">
        <f t="shared" ref="I40:I45" si="12">I39-G40</f>
        <v>1.345848865550527</v>
      </c>
      <c r="J40" s="93"/>
      <c r="K40" s="93"/>
      <c r="L40" s="93"/>
      <c r="M40" s="93"/>
      <c r="N40" s="93"/>
      <c r="O40" s="93"/>
    </row>
    <row r="41" spans="4:15" x14ac:dyDescent="0.25">
      <c r="D41" s="94">
        <v>36</v>
      </c>
      <c r="E41" s="95">
        <f t="shared" ca="1" si="9"/>
        <v>47377.25</v>
      </c>
      <c r="F41" s="96">
        <f t="shared" si="10"/>
        <v>3.3521221638763178E-2</v>
      </c>
      <c r="G41" s="96">
        <f t="shared" si="11"/>
        <v>0.25509228762333064</v>
      </c>
      <c r="H41" s="96">
        <f t="shared" si="3"/>
        <v>0.28861350926209378</v>
      </c>
      <c r="I41" s="96">
        <f t="shared" si="12"/>
        <v>1.0907565779271964</v>
      </c>
      <c r="J41" s="93"/>
      <c r="K41" s="93"/>
      <c r="L41" s="93"/>
      <c r="M41" s="93"/>
      <c r="N41" s="93"/>
      <c r="O41" s="93"/>
    </row>
    <row r="42" spans="4:15" x14ac:dyDescent="0.25">
      <c r="D42" s="94">
        <v>37</v>
      </c>
      <c r="E42" s="95">
        <f t="shared" ca="1" si="9"/>
        <v>47467.25</v>
      </c>
      <c r="F42" s="96">
        <f t="shared" si="10"/>
        <v>2.7143914448179915E-2</v>
      </c>
      <c r="G42" s="96">
        <f t="shared" si="11"/>
        <v>0.26146959481391391</v>
      </c>
      <c r="H42" s="96">
        <f t="shared" si="3"/>
        <v>0.28861350926209378</v>
      </c>
      <c r="I42" s="96">
        <f t="shared" si="12"/>
        <v>0.82928698311328253</v>
      </c>
      <c r="J42" s="93"/>
      <c r="K42" s="93"/>
      <c r="L42" s="93"/>
      <c r="M42" s="93"/>
      <c r="N42" s="93"/>
      <c r="O42" s="93"/>
    </row>
    <row r="43" spans="4:15" x14ac:dyDescent="0.25">
      <c r="D43" s="94">
        <v>38</v>
      </c>
      <c r="E43" s="95">
        <f t="shared" ca="1" si="9"/>
        <v>47557.25</v>
      </c>
      <c r="F43" s="96">
        <f t="shared" si="10"/>
        <v>2.0607174577832066E-2</v>
      </c>
      <c r="G43" s="96">
        <f t="shared" si="11"/>
        <v>0.26800633468426177</v>
      </c>
      <c r="H43" s="96">
        <f t="shared" si="3"/>
        <v>0.28861350926209378</v>
      </c>
      <c r="I43" s="96">
        <f t="shared" si="12"/>
        <v>0.5612806484290207</v>
      </c>
      <c r="J43" s="93"/>
      <c r="K43" s="93"/>
      <c r="L43" s="93"/>
      <c r="M43" s="93"/>
      <c r="N43" s="93"/>
      <c r="O43" s="93"/>
    </row>
    <row r="44" spans="4:15" x14ac:dyDescent="0.25">
      <c r="D44" s="94">
        <v>39</v>
      </c>
      <c r="E44" s="95">
        <f t="shared" ca="1" si="9"/>
        <v>47647.25</v>
      </c>
      <c r="F44" s="96">
        <f t="shared" si="10"/>
        <v>1.3907016210725523E-2</v>
      </c>
      <c r="G44" s="96">
        <f t="shared" si="11"/>
        <v>0.27470649305136829</v>
      </c>
      <c r="H44" s="96">
        <f t="shared" si="3"/>
        <v>0.28861350926209378</v>
      </c>
      <c r="I44" s="96">
        <f t="shared" si="12"/>
        <v>0.28657415537765241</v>
      </c>
      <c r="J44" s="93"/>
      <c r="K44" s="93"/>
      <c r="L44" s="93"/>
      <c r="M44" s="93"/>
      <c r="N44" s="93"/>
      <c r="O44" s="93"/>
    </row>
    <row r="45" spans="4:15" x14ac:dyDescent="0.25">
      <c r="D45" s="94">
        <v>40</v>
      </c>
      <c r="E45" s="95">
        <f t="shared" ca="1" si="9"/>
        <v>47737.25</v>
      </c>
      <c r="F45" s="96">
        <f t="shared" si="10"/>
        <v>7.0393538844413135E-3</v>
      </c>
      <c r="G45" s="96">
        <f t="shared" si="11"/>
        <v>0.28157415537765246</v>
      </c>
      <c r="H45" s="96">
        <f t="shared" si="3"/>
        <v>0.28861350926209378</v>
      </c>
      <c r="I45" s="96">
        <f t="shared" si="12"/>
        <v>4.9999999999999489E-3</v>
      </c>
      <c r="J45" s="93"/>
      <c r="K45" s="93"/>
      <c r="L45" s="93"/>
      <c r="M45" s="93"/>
      <c r="N45" s="93"/>
      <c r="O45" s="93"/>
    </row>
    <row r="46" spans="4:15" x14ac:dyDescent="0.25"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</row>
    <row r="47" spans="4:15" x14ac:dyDescent="0.25"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</row>
    <row r="48" spans="4:15" x14ac:dyDescent="0.25"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</row>
    <row r="49" spans="4:15" x14ac:dyDescent="0.25"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</row>
    <row r="50" spans="4:15" x14ac:dyDescent="0.25"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</row>
    <row r="51" spans="4:15" x14ac:dyDescent="0.25"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</row>
    <row r="52" spans="4:15" x14ac:dyDescent="0.25"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</row>
    <row r="53" spans="4:15" x14ac:dyDescent="0.25"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</row>
    <row r="54" spans="4:15" x14ac:dyDescent="0.25"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</row>
    <row r="55" spans="4:15" x14ac:dyDescent="0.25"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</row>
    <row r="56" spans="4:15" x14ac:dyDescent="0.25"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</row>
    <row r="57" spans="4:15" x14ac:dyDescent="0.25"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</row>
    <row r="58" spans="4:15" x14ac:dyDescent="0.25"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</row>
    <row r="59" spans="4:15" x14ac:dyDescent="0.25"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</row>
  </sheetData>
  <mergeCells count="2">
    <mergeCell ref="A9:B9"/>
    <mergeCell ref="A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FinFlows</vt:lpstr>
      <vt:lpstr>Cost</vt:lpstr>
      <vt:lpstr>Revenue</vt:lpstr>
      <vt:lpstr>Debt</vt:lpstr>
      <vt:lpstr>Grid_Avail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HP</cp:lastModifiedBy>
  <dcterms:created xsi:type="dcterms:W3CDTF">2013-05-27T07:03:46Z</dcterms:created>
  <dcterms:modified xsi:type="dcterms:W3CDTF">2020-08-03T12:39:16Z</dcterms:modified>
</cp:coreProperties>
</file>