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13_ncr:1_{F0ECB90F-C83A-BF43-8C92-9B131A45009B}" xr6:coauthVersionLast="47" xr6:coauthVersionMax="47" xr10:uidLastSave="{00000000-0000-0000-0000-000000000000}"/>
  <bookViews>
    <workbookView xWindow="37480" yWindow="0" windowWidth="26520" windowHeight="21600" activeTab="4" xr2:uid="{8A9FC0CA-1CC5-D44C-954E-9211FA078705}"/>
  </bookViews>
  <sheets>
    <sheet name="viktor-input-sheet" sheetId="1" r:id="rId1"/>
    <sheet name="calculation-sheet" sheetId="2" r:id="rId2"/>
    <sheet name="calculation-sheet2" sheetId="4" r:id="rId3"/>
    <sheet name="calculation-sheet3" sheetId="5" r:id="rId4"/>
    <sheet name="viktor-output-sheet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2" i="3"/>
  <c r="B51" i="2"/>
  <c r="B52" i="2"/>
  <c r="B53" i="2"/>
  <c r="B54" i="2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50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0" i="2"/>
  <c r="E74" i="2"/>
  <c r="E62" i="2"/>
  <c r="E79" i="2"/>
  <c r="E76" i="2"/>
  <c r="E73" i="2"/>
  <c r="E70" i="2"/>
  <c r="E67" i="2"/>
  <c r="E64" i="2"/>
  <c r="E61" i="2"/>
  <c r="E58" i="2"/>
  <c r="E55" i="2"/>
  <c r="E52" i="2"/>
  <c r="E77" i="2"/>
  <c r="E75" i="2"/>
  <c r="E71" i="2"/>
  <c r="E69" i="2"/>
  <c r="E65" i="2"/>
  <c r="E63" i="2"/>
  <c r="E59" i="2"/>
  <c r="E57" i="2"/>
  <c r="E53" i="2"/>
  <c r="E51" i="2"/>
  <c r="E72" i="2"/>
  <c r="E78" i="2"/>
  <c r="E54" i="2"/>
  <c r="E56" i="2"/>
  <c r="E60" i="2"/>
  <c r="E66" i="2"/>
  <c r="E68" i="2"/>
  <c r="E5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B49" i="2"/>
  <c r="C49" i="2"/>
  <c r="E49" i="2"/>
  <c r="B48" i="2"/>
  <c r="D77" i="5"/>
  <c r="D75" i="5"/>
  <c r="D73" i="5"/>
  <c r="D67" i="5"/>
  <c r="D56" i="5"/>
  <c r="D58" i="5"/>
  <c r="D54" i="5"/>
  <c r="D50" i="5" s="1"/>
  <c r="D48" i="5"/>
  <c r="H103" i="5"/>
  <c r="H102" i="5"/>
  <c r="B19" i="2"/>
  <c r="B20" i="2"/>
  <c r="G51" i="5"/>
  <c r="G49" i="5"/>
  <c r="B18" i="2"/>
  <c r="H21" i="5" s="1"/>
  <c r="I28" i="5"/>
  <c r="H28" i="5"/>
  <c r="G28" i="5"/>
  <c r="F28" i="5"/>
  <c r="E28" i="5"/>
  <c r="I27" i="5"/>
  <c r="H27" i="5"/>
  <c r="G27" i="5"/>
  <c r="F27" i="5"/>
  <c r="E27" i="5"/>
  <c r="I26" i="5"/>
  <c r="H26" i="5"/>
  <c r="G26" i="5"/>
  <c r="F26" i="5"/>
  <c r="E26" i="5"/>
  <c r="B17" i="2"/>
  <c r="H95" i="5" s="1"/>
  <c r="B35" i="2"/>
  <c r="B8" i="2"/>
  <c r="B9" i="2"/>
  <c r="G42" i="5" s="1"/>
  <c r="B10" i="2"/>
  <c r="B11" i="2"/>
  <c r="F23" i="2" s="1" a="1"/>
  <c r="F23" i="2" s="1"/>
  <c r="B12" i="2"/>
  <c r="B13" i="2"/>
  <c r="G59" i="5" s="1"/>
  <c r="D59" i="5" s="1"/>
  <c r="B14" i="2"/>
  <c r="G60" i="5" s="1"/>
  <c r="B15" i="2"/>
  <c r="G68" i="5" s="1"/>
  <c r="D68" i="5" s="1"/>
  <c r="B16" i="2"/>
  <c r="G69" i="5" s="1"/>
  <c r="B7" i="2"/>
  <c r="G40" i="5" s="1"/>
  <c r="D90" i="5" s="1"/>
  <c r="D91" i="5" s="1"/>
  <c r="B29" i="2"/>
  <c r="B30" i="2"/>
  <c r="B31" i="2"/>
  <c r="B32" i="2"/>
  <c r="B3" i="2"/>
  <c r="B4" i="2"/>
  <c r="B5" i="2"/>
  <c r="B6" i="2"/>
  <c r="B2" i="2"/>
  <c r="D23" i="5" l="1"/>
  <c r="D103" i="5"/>
  <c r="G50" i="5"/>
  <c r="F22" i="2" a="1"/>
  <c r="F22" i="2" s="1"/>
  <c r="G41" i="5"/>
  <c r="F24" i="2" a="1"/>
  <c r="F24" i="2" s="1"/>
  <c r="B45" i="2" s="1"/>
  <c r="D105" i="5"/>
  <c r="D83" i="5"/>
  <c r="D53" i="5"/>
  <c r="D44" i="5"/>
  <c r="D99" i="5"/>
  <c r="D72" i="5"/>
  <c r="D69" i="5" s="1"/>
  <c r="D76" i="5" s="1"/>
  <c r="D63" i="5"/>
  <c r="D60" i="5" s="1"/>
  <c r="B39" i="2"/>
  <c r="B40" i="2"/>
  <c r="B41" i="2"/>
  <c r="D41" i="5" l="1"/>
  <c r="D40" i="5" s="1"/>
  <c r="D84" i="5"/>
  <c r="D57" i="5"/>
  <c r="D49" i="5" s="1"/>
  <c r="B43" i="2"/>
  <c r="B42" i="2"/>
  <c r="D39" i="5" l="1"/>
  <c r="B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<sst xmlns="http://schemas.openxmlformats.org/spreadsheetml/2006/main" count="616" uniqueCount="211">
  <si>
    <t>Parameters</t>
  </si>
  <si>
    <t>Unit</t>
  </si>
  <si>
    <t>Comment</t>
  </si>
  <si>
    <t>Values</t>
  </si>
  <si>
    <t>Inputs as defined on the viktor-input-sheet and set parameters</t>
  </si>
  <si>
    <t>Wohnfläche</t>
  </si>
  <si>
    <t>Outputs für the viktoroutput sheet</t>
  </si>
  <si>
    <t>Gebäudeart</t>
  </si>
  <si>
    <t>Neubau</t>
  </si>
  <si>
    <t>Bestandsgebäude</t>
  </si>
  <si>
    <t>Sanierung</t>
  </si>
  <si>
    <t>Anzahl WE</t>
  </si>
  <si>
    <t>Anzahl Personen</t>
  </si>
  <si>
    <t>aktuelle Wärmeerzeugung</t>
  </si>
  <si>
    <t xml:space="preserve">Erdgas </t>
  </si>
  <si>
    <t>Heizöl</t>
  </si>
  <si>
    <t>Jahresenergiebedarf_Wärme</t>
  </si>
  <si>
    <t>Jahresenergiebedarf_TWW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</si>
  <si>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</si>
  <si>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</si>
  <si>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</si>
  <si>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</si>
  <si>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</si>
  <si>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m^2</t>
  </si>
  <si>
    <t>spezifischer Heizwärmebedarf Neubau, Sanierung</t>
  </si>
  <si>
    <t>spezifischer Heizwärmebedarf Bestand</t>
  </si>
  <si>
    <t>bis 2 WE TWWbedarf je Person</t>
  </si>
  <si>
    <t>ab 3 WE TWWbedarf je WE</t>
  </si>
  <si>
    <t>Strombedarf bis 2 WE</t>
  </si>
  <si>
    <t>Strombedarf ab 3 WE je WE</t>
  </si>
  <si>
    <t>Anteil nutzbare Energie</t>
  </si>
  <si>
    <t>Solarerträge</t>
  </si>
  <si>
    <t>Ausrichtung</t>
  </si>
  <si>
    <t>Neigung</t>
  </si>
  <si>
    <t>Anteil  vom Optimum</t>
  </si>
  <si>
    <t>5°</t>
  </si>
  <si>
    <t>25°</t>
  </si>
  <si>
    <t>35°</t>
  </si>
  <si>
    <t>45°</t>
  </si>
  <si>
    <t>55°</t>
  </si>
  <si>
    <t>70°</t>
  </si>
  <si>
    <t>90°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</si>
  <si>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</si>
  <si>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</si>
  <si>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</si>
  <si>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</si>
  <si>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</si>
  <si>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</si>
  <si>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</si>
  <si>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Area 2</t>
  </si>
  <si>
    <t>Ausrichtung der Fläche (2)</t>
  </si>
  <si>
    <t>Azimut 2</t>
  </si>
  <si>
    <t>Neigung der Fläche (2)</t>
  </si>
  <si>
    <t>Neigung 2</t>
  </si>
  <si>
    <t>Fläche der PV-Anlage (3)</t>
  </si>
  <si>
    <t>Area 3</t>
  </si>
  <si>
    <t>Ausrichtung der Fläche (3)</t>
  </si>
  <si>
    <t>Azimut 3</t>
  </si>
  <si>
    <t>Fläche der PVT-Anlage (4)</t>
  </si>
  <si>
    <t>Area 4</t>
  </si>
  <si>
    <t>Ausrichtung der Fläche (4)</t>
  </si>
  <si>
    <t>Azimut 4</t>
  </si>
  <si>
    <t xml:space="preserve">spez. Jährlicher Ertrag </t>
  </si>
  <si>
    <t>solarthermischer Ertrag</t>
  </si>
  <si>
    <t xml:space="preserve">jährlicher Ertrag BIPV elektr. </t>
  </si>
  <si>
    <t xml:space="preserve">jährlicher Ertrag BIPVT elektr. </t>
  </si>
  <si>
    <t xml:space="preserve">jährlicher Ertrag BIPVT thermisch </t>
  </si>
  <si>
    <t>Stromspeicher</t>
  </si>
  <si>
    <t>Speicher</t>
  </si>
  <si>
    <t>anteil nutzbar thermisch erforderlich</t>
  </si>
  <si>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</si>
  <si>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</si>
  <si>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</si>
  <si>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</si>
  <si>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</si>
  <si>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</si>
  <si>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</si>
  <si>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</si>
  <si>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Investitionkosten</t>
  </si>
  <si>
    <t>€</t>
  </si>
  <si>
    <t>kumulierter Barwert_1</t>
  </si>
  <si>
    <t>kumulierter Barwert_2</t>
  </si>
  <si>
    <t>kumulierter Barwert_0</t>
  </si>
  <si>
    <t>kumulierter Barwert_3</t>
  </si>
  <si>
    <t>kumulierter Barwert_4</t>
  </si>
  <si>
    <t>kumulierter Barwert_5</t>
  </si>
  <si>
    <t>kumulierter Barwert_6</t>
  </si>
  <si>
    <t>kumulierter Barwert_7</t>
  </si>
  <si>
    <t>kumulierter Barwert_8</t>
  </si>
  <si>
    <t>kumulierter Barwert_9</t>
  </si>
  <si>
    <t>kumulierter Barwert_10</t>
  </si>
  <si>
    <t>kumulierter Barwert_11</t>
  </si>
  <si>
    <t>kumulierter Barwert_12</t>
  </si>
  <si>
    <t>kumulierter Barwert_13</t>
  </si>
  <si>
    <t>kumulierter Barwert_14</t>
  </si>
  <si>
    <t>kumulierter Barwert_15</t>
  </si>
  <si>
    <t>kumulierter Barwert_16</t>
  </si>
  <si>
    <t>kumulierter Barwert_17</t>
  </si>
  <si>
    <t>kumulierter Barwert_18</t>
  </si>
  <si>
    <t>kumulierter Barwert_19</t>
  </si>
  <si>
    <t>kumulierter Barwert_20</t>
  </si>
  <si>
    <t>kumulierter Barwert_21</t>
  </si>
  <si>
    <t>kumulierter Barwert_22</t>
  </si>
  <si>
    <t>kumulierter Barwert_23</t>
  </si>
  <si>
    <t>kumulierter Barwert_24</t>
  </si>
  <si>
    <t>kumulierter Barwert_25</t>
  </si>
  <si>
    <t>kumulierter Barwert_26</t>
  </si>
  <si>
    <t>kumulierter Barwert_27</t>
  </si>
  <si>
    <t>kumulierter Barwert_28</t>
  </si>
  <si>
    <t>kumulierter Barwert_29</t>
  </si>
  <si>
    <t>kumulierter Barwert_30</t>
  </si>
  <si>
    <t>5.1.4</t>
  </si>
  <si>
    <t>Vergleichkaufpreise</t>
  </si>
  <si>
    <t>Netzstrom Haushalte</t>
  </si>
  <si>
    <t>€/kWh</t>
  </si>
  <si>
    <t>Netzstrom Nicht-Haushalte</t>
  </si>
  <si>
    <t>Erdgas Haushalte</t>
  </si>
  <si>
    <t>Erdgas Nicht-Haushalte</t>
  </si>
  <si>
    <t>Heizöl Haushalte</t>
  </si>
  <si>
    <t>Heizöl Nicht-Haushalte</t>
  </si>
  <si>
    <t>5.1.5</t>
  </si>
  <si>
    <t>Staatliche Förderungen</t>
  </si>
  <si>
    <t>Inbetreibnahme der Anlage</t>
  </si>
  <si>
    <t>Flächenleistung der Modul</t>
  </si>
  <si>
    <t>kWpeak/m2</t>
  </si>
  <si>
    <t>Einspeisevergütung ersten 20 Jahre</t>
  </si>
  <si>
    <t>Größe</t>
  </si>
  <si>
    <t>anzulegender Wert</t>
  </si>
  <si>
    <t>Vergütung ct/kWh</t>
  </si>
  <si>
    <t>&lt; 10 kWp</t>
  </si>
  <si>
    <t>&lt; 40 kWp</t>
  </si>
  <si>
    <t>&lt; 100 kWp</t>
  </si>
  <si>
    <t>Einspeisevergütung nach 20 Jahre</t>
  </si>
  <si>
    <t>5.1.6</t>
  </si>
  <si>
    <t>Kalkulationszinssatz</t>
  </si>
  <si>
    <t>5.2</t>
  </si>
  <si>
    <t>Projektspezifische Eingangsparameter</t>
  </si>
  <si>
    <t>5.2.1</t>
  </si>
  <si>
    <t>Investitionskosten</t>
  </si>
  <si>
    <t xml:space="preserve">5.2.3.1 Anlagenflächen  </t>
  </si>
  <si>
    <t>a</t>
  </si>
  <si>
    <t>BIPV</t>
  </si>
  <si>
    <t>Dachintegriert</t>
  </si>
  <si>
    <t>Fläche</t>
  </si>
  <si>
    <t>m2</t>
  </si>
  <si>
    <t>Mindestkosten bei Unterkonstruktion und Zubehör bei 1000€ bzw. 1500€ für fassadenintegriert</t>
  </si>
  <si>
    <t>Komponenten</t>
  </si>
  <si>
    <t>Mindestkosten für Installation !!</t>
  </si>
  <si>
    <t>Module</t>
  </si>
  <si>
    <t>€/ m2</t>
  </si>
  <si>
    <t>°</t>
  </si>
  <si>
    <t>Unterkonstruktion und Zubehör</t>
  </si>
  <si>
    <t>Wechselrichter</t>
  </si>
  <si>
    <t>Installation je m2</t>
  </si>
  <si>
    <t>Installation pauschal</t>
  </si>
  <si>
    <t>Planung und Auslegung</t>
  </si>
  <si>
    <t>Einsparungen</t>
  </si>
  <si>
    <t>b</t>
  </si>
  <si>
    <t>BIPVT</t>
  </si>
  <si>
    <t>Wärmepumpe</t>
  </si>
  <si>
    <t>c</t>
  </si>
  <si>
    <t>Fassadenintegriert</t>
  </si>
  <si>
    <t>d</t>
  </si>
  <si>
    <t>5.2.2</t>
  </si>
  <si>
    <t xml:space="preserve">laufende Kosten </t>
  </si>
  <si>
    <t>aus 5.1.5</t>
  </si>
  <si>
    <t>Kosten für Stromzähler</t>
  </si>
  <si>
    <t>€/a</t>
  </si>
  <si>
    <t>5.2.2.1</t>
  </si>
  <si>
    <t>Wartungskosten Module und Unterkonstruktion</t>
  </si>
  <si>
    <t>€/m2/2a</t>
  </si>
  <si>
    <t xml:space="preserve">Reinigung und Sichtprüfung der Module </t>
  </si>
  <si>
    <t>5.2.2.2</t>
  </si>
  <si>
    <t>Wartungskosten Verkabelung und Wechselrichter</t>
  </si>
  <si>
    <t>€/3a</t>
  </si>
  <si>
    <t>durch Elektriker</t>
  </si>
  <si>
    <t>5.2.2.3</t>
  </si>
  <si>
    <t>Instandsetzung</t>
  </si>
  <si>
    <t>€/ 12a</t>
  </si>
  <si>
    <t>Wechselrichter nach 12 Jahren (5.1.1)</t>
  </si>
  <si>
    <t>Anlagenfläche</t>
  </si>
  <si>
    <t>s.o.</t>
  </si>
  <si>
    <t>Gesamt</t>
  </si>
  <si>
    <t>kWpeak</t>
  </si>
  <si>
    <t>5.2.4.5</t>
  </si>
  <si>
    <t>Lastmanagementpotentiale</t>
  </si>
  <si>
    <t>Soll ein Speicher verbaut werden?</t>
  </si>
  <si>
    <t>Investitionskosten für einen Speicher</t>
  </si>
  <si>
    <t>5.4.1</t>
  </si>
  <si>
    <t xml:space="preserve">bestehende Förderungsmöglichkeiten </t>
  </si>
  <si>
    <t>Ist eine im Haushalt lebende Person in Besitz eines Elektroautos?</t>
  </si>
  <si>
    <t>KfW Förderprogramm 442</t>
  </si>
  <si>
    <t>Soll eine Ladesäule verbaut werden?</t>
  </si>
  <si>
    <t>Förderhöhe</t>
  </si>
  <si>
    <t>Kosten für die Ladestation</t>
  </si>
  <si>
    <t>Inbetriebnahme-Zeitpunkt</t>
  </si>
  <si>
    <t>Inbetrieb</t>
  </si>
  <si>
    <t>Elektroauto</t>
  </si>
  <si>
    <t>Ladesäule</t>
  </si>
  <si>
    <t>Förder1</t>
  </si>
  <si>
    <t>Förder2</t>
  </si>
  <si>
    <t>Barwerte</t>
  </si>
  <si>
    <t>Abzins</t>
  </si>
  <si>
    <t>Ausgabe</t>
  </si>
  <si>
    <t>Ertrag</t>
  </si>
  <si>
    <t>bis 31.01.2024</t>
  </si>
  <si>
    <t>ab 01.02.2024</t>
  </si>
  <si>
    <t>ab 01.08.2024</t>
  </si>
  <si>
    <t>ab 01.02.2025</t>
  </si>
  <si>
    <t>ab 01.08.2025</t>
  </si>
  <si>
    <t>ab 01.02.2026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</si>
</sst>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000"/>
    <numFmt numFmtId="165" formatCode="_-* #,##0.00\ _€_-;\-* #,##0.00\ _€_-;_-* &quot;-&quot;??\ _€_-;_-@_-"/>
    <numFmt numFmtId="167" formatCode="#,##0.00\ &quot;€&quot;"/>
    <numFmt numFmtId="168" formatCode="#,##0.00\ _€;[Red]\-#,##0.00\ _€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Textkörper)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0" fontId="0" fillId="0" borderId="0" xfId="0" applyAlignment="1">
      <alignment wrapText="1"/>
    </xf>
    <xf numFmtId="2" fontId="0" fillId="2" borderId="0" xfId="0" applyNumberFormat="1" applyFill="1"/>
    <xf numFmtId="9" fontId="0" fillId="2" borderId="0" xfId="0" applyNumberFormat="1" applyFill="1"/>
    <xf numFmtId="43" fontId="0" fillId="0" borderId="0" xfId="1" applyFont="1"/>
    <xf numFmtId="43" fontId="0" fillId="4" borderId="0" xfId="1" applyFont="1" applyFill="1"/>
    <xf numFmtId="2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left"/>
    </xf>
    <xf numFmtId="43" fontId="0" fillId="2" borderId="0" xfId="1" applyFont="1" applyFill="1"/>
    <xf numFmtId="43" fontId="1" fillId="2" borderId="0" xfId="1" applyFont="1" applyFill="1"/>
    <xf numFmtId="2" fontId="0" fillId="2" borderId="0" xfId="0" applyNumberForma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43" fontId="0" fillId="0" borderId="0" xfId="1" applyFont="1" applyFill="1"/>
    <xf numFmtId="43" fontId="1" fillId="0" borderId="0" xfId="1" applyFont="1" applyFill="1"/>
    <xf numFmtId="165" fontId="1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49" fontId="7" fillId="0" borderId="0" xfId="0" applyNumberFormat="1" applyFont="1" applyAlignment="1">
      <alignment horizontal="center"/>
    </xf>
    <xf numFmtId="2" fontId="0" fillId="4" borderId="0" xfId="1" applyNumberFormat="1" applyFont="1" applyFill="1"/>
    <xf numFmtId="44" fontId="0" fillId="2" borderId="0" xfId="2" applyFont="1" applyFill="1"/>
    <xf numFmtId="44" fontId="1" fillId="2" borderId="0" xfId="2" applyFont="1" applyFill="1"/>
    <xf numFmtId="0" fontId="0" fillId="0" borderId="0" xfId="0" applyFill="1"/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  <xf numFmtId="49" fontId="0" fillId="0" borderId="0" xfId="0" applyNumberFormat="1" applyFill="1" applyAlignment="1">
      <alignment horizontal="center"/>
    </xf>
    <xf numFmtId="0" fontId="0" fillId="3" borderId="0" xfId="0" applyFill="1" applyAlignment="1" applyProtection="1">
      <alignment wrapText="1"/>
      <protection locked="0"/>
    </xf>
    <xf numFmtId="0" fontId="0" fillId="0" borderId="0" xfId="0" applyFill="1" applyAlignment="1">
      <alignment horizontal="center"/>
    </xf>
    <xf numFmtId="9" fontId="0" fillId="0" borderId="0" xfId="0" applyNumberFormat="1" applyFill="1"/>
    <xf numFmtId="165" fontId="0" fillId="0" borderId="0" xfId="0" applyNumberFormat="1"/>
    <xf numFmtId="164" fontId="0" fillId="0" borderId="0" xfId="0" applyNumberFormat="1"/>
    <xf numFmtId="167" fontId="0" fillId="0" borderId="0" xfId="0" applyNumberFormat="1"/>
    <xf numFmtId="8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3">
    <cellStyle name="Komma" xfId="1" builtinId="3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udentsrwthaachende-my.sharepoint.com/personal/962324bwsdsaek6n_students_rwth-aachen_de/Documents/Kalkulation%20MA.xlsx" TargetMode="External"/><Relationship Id="rId1" Type="http://schemas.openxmlformats.org/officeDocument/2006/relationships/externalLinkPath" Target="https://studentsrwthaachende-my.sharepoint.com/personal/962324bwsdsaek6n_students_rwth-aachen_de/Documents/Kalkulation%20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lfstabelle"/>
      <sheetName val="Solareerträge"/>
      <sheetName val="Eingangsparameter"/>
      <sheetName val="Ausgabekennzahlen"/>
      <sheetName val="Amortisationsdauer (ALT)"/>
      <sheetName val="Statisch (ALT)"/>
      <sheetName val="ALT"/>
    </sheetNames>
    <sheetDataSet>
      <sheetData sheetId="0">
        <row r="30">
          <cell r="C30">
            <v>616.66666666666663</v>
          </cell>
        </row>
        <row r="31">
          <cell r="C31">
            <v>916.66666666666663</v>
          </cell>
        </row>
        <row r="32">
          <cell r="C32">
            <v>583.33333333333326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20"/>
  <sheetViews>
    <sheetView workbookViewId="0">
      <selection activeCell="D19" sqref="D19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7</v>
      </c>
    </row>
    <row r="3" spans="1:5" x14ac:dyDescent="0.2">
      <c r="A3" t="s">
        <v>11</v>
      </c>
      <c r="D3">
        <v>1</v>
      </c>
    </row>
    <row r="4" spans="1:5" x14ac:dyDescent="0.2">
      <c r="A4" t="s">
        <v>12</v>
      </c>
      <c r="D4">
        <v>1</v>
      </c>
    </row>
    <row r="5" spans="1:5" x14ac:dyDescent="0.2">
      <c r="A5" t="s">
        <v>5</v>
      </c>
      <c r="B5" t="s">
        <v>23</v>
      </c>
      <c r="D5">
        <v>1</v>
      </c>
    </row>
    <row r="6" spans="1:5" x14ac:dyDescent="0.2">
      <c r="A6" t="s">
        <v>13</v>
      </c>
    </row>
    <row r="7" spans="1:5" x14ac:dyDescent="0.2">
      <c r="A7" t="s">
        <v>42</v>
      </c>
      <c r="B7" t="s">
        <v>23</v>
      </c>
      <c r="D7">
        <v>30</v>
      </c>
      <c r="E7" t="s">
        <v>43</v>
      </c>
    </row>
    <row r="8" spans="1:5" x14ac:dyDescent="0.2">
      <c r="A8" t="s">
        <v>44</v>
      </c>
      <c r="D8" t="s">
        <v>74</v>
      </c>
      <c r="E8" t="s">
        <v>45</v>
      </c>
    </row>
    <row r="9" spans="1:5" x14ac:dyDescent="0.2">
      <c r="A9" t="s">
        <v>46</v>
      </c>
      <c r="D9" t="s">
        <v>36</v>
      </c>
      <c r="E9" t="s">
        <v>47</v>
      </c>
    </row>
    <row r="10" spans="1:5" x14ac:dyDescent="0.2">
      <c r="A10" t="s">
        <v>48</v>
      </c>
      <c r="B10" t="s">
        <v>23</v>
      </c>
      <c r="D10">
        <v>0</v>
      </c>
      <c r="E10" t="s">
        <v>49</v>
      </c>
    </row>
    <row r="11" spans="1:5" x14ac:dyDescent="0.2">
      <c r="A11" t="s">
        <v>50</v>
      </c>
      <c r="D11" t="s">
        <v>74</v>
      </c>
      <c r="E11" t="s">
        <v>51</v>
      </c>
    </row>
    <row r="12" spans="1:5" x14ac:dyDescent="0.2">
      <c r="A12" t="s">
        <v>52</v>
      </c>
      <c r="D12" t="s">
        <v>37</v>
      </c>
      <c r="E12" t="s">
        <v>53</v>
      </c>
    </row>
    <row r="13" spans="1:5" x14ac:dyDescent="0.2">
      <c r="A13" s="5" t="s">
        <v>54</v>
      </c>
      <c r="B13" t="s">
        <v>23</v>
      </c>
      <c r="D13">
        <v>0</v>
      </c>
      <c r="E13" t="s">
        <v>55</v>
      </c>
    </row>
    <row r="14" spans="1:5" x14ac:dyDescent="0.2">
      <c r="A14" s="5" t="s">
        <v>56</v>
      </c>
      <c r="D14" t="s">
        <v>74</v>
      </c>
      <c r="E14" t="s">
        <v>57</v>
      </c>
    </row>
    <row r="15" spans="1:5" x14ac:dyDescent="0.2">
      <c r="A15" s="5" t="s">
        <v>58</v>
      </c>
      <c r="B15" t="s">
        <v>23</v>
      </c>
      <c r="D15">
        <v>0</v>
      </c>
      <c r="E15" t="s">
        <v>59</v>
      </c>
    </row>
    <row r="16" spans="1:5" x14ac:dyDescent="0.2">
      <c r="A16" s="5" t="s">
        <v>60</v>
      </c>
      <c r="D16" t="s">
        <v>74</v>
      </c>
      <c r="E16" t="s">
        <v>61</v>
      </c>
    </row>
    <row r="17" spans="1:5" x14ac:dyDescent="0.2">
      <c r="A17" s="5" t="s">
        <v>67</v>
      </c>
      <c r="E17" t="s">
        <v>68</v>
      </c>
    </row>
    <row r="18" spans="1:5" x14ac:dyDescent="0.2">
      <c r="A18" s="5" t="s">
        <v>195</v>
      </c>
      <c r="D18" t="s">
        <v>205</v>
      </c>
      <c r="E18" t="s">
        <v>196</v>
      </c>
    </row>
    <row r="19" spans="1:5" x14ac:dyDescent="0.2">
      <c r="A19" s="5" t="s">
        <v>197</v>
      </c>
      <c r="E19" t="s">
        <v>199</v>
      </c>
    </row>
    <row r="20" spans="1:5" x14ac:dyDescent="0.2">
      <c r="A20" s="5" t="s">
        <v>198</v>
      </c>
      <c r="E20" t="s">
        <v>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H79"/>
  <sheetViews>
    <sheetView topLeftCell="A40" workbookViewId="0">
      <selection activeCell="H63" sqref="H63"/>
    </sheetView>
  </sheetViews>
  <sheetFormatPr baseColWidth="10" defaultRowHeight="16" x14ac:dyDescent="0.2"/>
  <cols>
    <col min="1" max="1" width="34.6640625" customWidth="1"/>
  </cols>
  <sheetData>
    <row r="1" spans="1:8" x14ac:dyDescent="0.2">
      <c r="A1" s="1" t="s">
        <v>4</v>
      </c>
    </row>
    <row r="2" spans="1:8" x14ac:dyDescent="0.2">
      <c r="A2" t="s">
        <v>7</v>
      </c>
      <c r="B2">
        <f>'viktor-input-sheet'!D2</f>
        <v>0</v>
      </c>
      <c r="F2" t="s">
        <v>8</v>
      </c>
      <c r="G2" t="s">
        <v>10</v>
      </c>
      <c r="H2" t="s">
        <v>9</v>
      </c>
    </row>
    <row r="3" spans="1:8" x14ac:dyDescent="0.2">
      <c r="A3" t="s">
        <v>11</v>
      </c>
      <c r="B3">
        <f>'viktor-input-sheet'!D3</f>
        <v>1</v>
      </c>
    </row>
    <row r="4" spans="1:8" x14ac:dyDescent="0.2">
      <c r="A4" t="s">
        <v>12</v>
      </c>
      <c r="B4">
        <f>'viktor-input-sheet'!D4</f>
        <v>1</v>
      </c>
    </row>
    <row r="5" spans="1:8" x14ac:dyDescent="0.2">
      <c r="A5" t="s">
        <v>5</v>
      </c>
      <c r="B5">
        <f>'viktor-input-sheet'!D5</f>
        <v>1</v>
      </c>
    </row>
    <row r="6" spans="1:8" x14ac:dyDescent="0.2">
      <c r="A6" t="s">
        <v>13</v>
      </c>
      <c r="B6">
        <f>'viktor-input-sheet'!D6</f>
        <v>0</v>
      </c>
      <c r="F6" t="s">
        <v>14</v>
      </c>
      <c r="G6" t="s">
        <v>15</v>
      </c>
    </row>
    <row r="7" spans="1:8" x14ac:dyDescent="0.2">
      <c r="A7" t="s">
        <v>42</v>
      </c>
      <c r="B7">
        <f>'viktor-input-sheet'!D7</f>
        <v>30</v>
      </c>
    </row>
    <row r="8" spans="1:8" x14ac:dyDescent="0.2">
      <c r="A8" t="s">
        <v>44</v>
      </c>
      <c r="B8" t="str">
        <f>'viktor-input-sheet'!D8</f>
        <v>Süd</v>
      </c>
    </row>
    <row r="9" spans="1:8" x14ac:dyDescent="0.2">
      <c r="A9" t="s">
        <v>46</v>
      </c>
      <c r="B9" t="str">
        <f>'viktor-input-sheet'!D9</f>
        <v>25°</v>
      </c>
    </row>
    <row r="10" spans="1:8" x14ac:dyDescent="0.2">
      <c r="A10" t="s">
        <v>48</v>
      </c>
      <c r="B10">
        <f>'viktor-input-sheet'!D10</f>
        <v>0</v>
      </c>
    </row>
    <row r="11" spans="1:8" x14ac:dyDescent="0.2">
      <c r="A11" t="s">
        <v>50</v>
      </c>
      <c r="B11" t="str">
        <f>'viktor-input-sheet'!D11</f>
        <v>Süd</v>
      </c>
    </row>
    <row r="12" spans="1:8" x14ac:dyDescent="0.2">
      <c r="A12" t="s">
        <v>52</v>
      </c>
      <c r="B12" t="str">
        <f>'viktor-input-sheet'!D12</f>
        <v>35°</v>
      </c>
    </row>
    <row r="13" spans="1:8" x14ac:dyDescent="0.2">
      <c r="A13" s="5" t="s">
        <v>54</v>
      </c>
      <c r="B13">
        <f>'viktor-input-sheet'!D13</f>
        <v>0</v>
      </c>
    </row>
    <row r="14" spans="1:8" x14ac:dyDescent="0.2">
      <c r="A14" s="5" t="s">
        <v>56</v>
      </c>
      <c r="B14" t="str">
        <f>'viktor-input-sheet'!D14</f>
        <v>Süd</v>
      </c>
    </row>
    <row r="15" spans="1:8" x14ac:dyDescent="0.2">
      <c r="A15" s="5" t="s">
        <v>58</v>
      </c>
      <c r="B15">
        <f>'viktor-input-sheet'!D15</f>
        <v>0</v>
      </c>
    </row>
    <row r="16" spans="1:8" x14ac:dyDescent="0.2">
      <c r="A16" s="5" t="s">
        <v>60</v>
      </c>
      <c r="B16" t="str">
        <f>'viktor-input-sheet'!D16</f>
        <v>Süd</v>
      </c>
    </row>
    <row r="17" spans="1:6" x14ac:dyDescent="0.2">
      <c r="A17" s="5" t="s">
        <v>68</v>
      </c>
      <c r="B17">
        <f>'viktor-input-sheet'!D17</f>
        <v>0</v>
      </c>
    </row>
    <row r="18" spans="1:6" x14ac:dyDescent="0.2">
      <c r="A18" s="5" t="s">
        <v>195</v>
      </c>
      <c r="B18" t="str">
        <f>'viktor-input-sheet'!D18</f>
        <v>bis 31.01.2024</v>
      </c>
    </row>
    <row r="19" spans="1:6" x14ac:dyDescent="0.2">
      <c r="A19" s="5" t="s">
        <v>197</v>
      </c>
      <c r="B19">
        <f>'viktor-input-sheet'!D19</f>
        <v>0</v>
      </c>
    </row>
    <row r="20" spans="1:6" x14ac:dyDescent="0.2">
      <c r="A20" s="5" t="s">
        <v>198</v>
      </c>
      <c r="B20">
        <f>'viktor-input-sheet'!D20</f>
        <v>0</v>
      </c>
    </row>
    <row r="22" spans="1:6" x14ac:dyDescent="0.2">
      <c r="A22" t="s">
        <v>24</v>
      </c>
      <c r="B22">
        <v>45</v>
      </c>
      <c r="D22" t="s">
        <v>64</v>
      </c>
      <c r="F22" cm="1">
        <f t="array" ref="F22">VLOOKUP(B8&amp;B9,CHOOSE({1,2},'calculation-sheet2'!A:A&amp;'calculation-sheet2'!B:B,'calculation-sheet2'!C:C),2,0)/100*B35*B7+VLOOKUP(B14&amp;"90°",CHOOSE({1,2},'calculation-sheet2'!A:A&amp;'calculation-sheet2'!B:B,'calculation-sheet2'!C:C),2,0)/100*B35*B13</f>
        <v>5922</v>
      </c>
    </row>
    <row r="23" spans="1:6" x14ac:dyDescent="0.2">
      <c r="A23" t="s">
        <v>25</v>
      </c>
      <c r="B23">
        <v>100</v>
      </c>
      <c r="D23" t="s">
        <v>65</v>
      </c>
      <c r="F23" cm="1">
        <f t="array" ref="F23">VLOOKUP(B11&amp;B12,CHOOSE({1,2},'calculation-sheet2'!A:A&amp;'calculation-sheet2'!B:B,'calculation-sheet2'!C:C),2,0)/100*B35*B10+VLOOKUP(B16&amp;"90°",CHOOSE({1,2},'calculation-sheet2'!A:A&amp;'calculation-sheet2'!B:B,'calculation-sheet2'!C:C),2,0)/100*B35*B15</f>
        <v>0</v>
      </c>
    </row>
    <row r="24" spans="1:6" x14ac:dyDescent="0.2">
      <c r="A24" t="s">
        <v>26</v>
      </c>
      <c r="B24">
        <v>500</v>
      </c>
      <c r="D24" t="s">
        <v>66</v>
      </c>
      <c r="F24" cm="1">
        <f t="array" ref="F24">VLOOKUP(B11&amp;B12,CHOOSE({1,2},'calculation-sheet2'!A:A&amp;'calculation-sheet2'!B:B,'calculation-sheet2'!C:C),2,0)/100*B36*B10+VLOOKUP(B16&amp;"90°",CHOOSE({1,2},'calculation-sheet2'!A:A&amp;'calculation-sheet2'!B:B,'calculation-sheet2'!C:C),2,0)/100*B36*B15</f>
        <v>0</v>
      </c>
    </row>
    <row r="25" spans="1:6" x14ac:dyDescent="0.2">
      <c r="A25" t="s">
        <v>27</v>
      </c>
      <c r="B25">
        <v>1000</v>
      </c>
    </row>
    <row r="26" spans="1:6" x14ac:dyDescent="0.2">
      <c r="A26" t="s">
        <v>28</v>
      </c>
    </row>
    <row r="27" spans="1:6" x14ac:dyDescent="0.2">
      <c r="A27">
        <v>1</v>
      </c>
      <c r="B27">
        <v>2350</v>
      </c>
    </row>
    <row r="28" spans="1:6" x14ac:dyDescent="0.2">
      <c r="A28">
        <v>2</v>
      </c>
      <c r="B28">
        <v>4040</v>
      </c>
    </row>
    <row r="29" spans="1:6" x14ac:dyDescent="0.2">
      <c r="A29">
        <v>3</v>
      </c>
      <c r="B29">
        <f>1650*3</f>
        <v>4950</v>
      </c>
    </row>
    <row r="30" spans="1:6" x14ac:dyDescent="0.2">
      <c r="A30">
        <v>4</v>
      </c>
      <c r="B30">
        <f>1500*4</f>
        <v>6000</v>
      </c>
    </row>
    <row r="31" spans="1:6" x14ac:dyDescent="0.2">
      <c r="A31">
        <v>5</v>
      </c>
      <c r="B31">
        <f>1400*5</f>
        <v>7000</v>
      </c>
    </row>
    <row r="32" spans="1:6" x14ac:dyDescent="0.2">
      <c r="A32">
        <v>6</v>
      </c>
      <c r="B32">
        <f>1350*6</f>
        <v>8100</v>
      </c>
    </row>
    <row r="33" spans="1:6" x14ac:dyDescent="0.2">
      <c r="A33" t="s">
        <v>29</v>
      </c>
      <c r="B33">
        <v>3000</v>
      </c>
    </row>
    <row r="34" spans="1:6" x14ac:dyDescent="0.2">
      <c r="A34" t="s">
        <v>30</v>
      </c>
      <c r="B34" s="2">
        <v>0.3</v>
      </c>
      <c r="D34" s="3"/>
    </row>
    <row r="35" spans="1:6" x14ac:dyDescent="0.2">
      <c r="A35" t="s">
        <v>62</v>
      </c>
      <c r="B35">
        <f>1000*0.2</f>
        <v>200</v>
      </c>
    </row>
    <row r="36" spans="1:6" x14ac:dyDescent="0.2">
      <c r="A36" t="s">
        <v>63</v>
      </c>
      <c r="B36">
        <v>710</v>
      </c>
    </row>
    <row r="39" spans="1:6" x14ac:dyDescent="0.2">
      <c r="A39" t="s">
        <v>16</v>
      </c>
      <c r="B39">
        <f>IF(B2="Bestandsgebäude",B23*B5,B22*B5)</f>
        <v>45</v>
      </c>
    </row>
    <row r="40" spans="1:6" x14ac:dyDescent="0.2">
      <c r="A40" t="s">
        <v>17</v>
      </c>
      <c r="B40">
        <f>IF(B3&gt;2,B3*B25,B4*B24)</f>
        <v>500</v>
      </c>
    </row>
    <row r="41" spans="1:6" x14ac:dyDescent="0.2">
      <c r="A41" t="s">
        <v>18</v>
      </c>
      <c r="B41">
        <f>IF(B3&gt;2,B3*B33,VLOOKUP(B4,A27:B32,2,0))</f>
        <v>2350</v>
      </c>
    </row>
    <row r="42" spans="1:6" x14ac:dyDescent="0.2">
      <c r="A42" t="s">
        <v>19</v>
      </c>
      <c r="B42">
        <f>SUM(B39:B41)</f>
        <v>2895</v>
      </c>
    </row>
    <row r="43" spans="1:6" x14ac:dyDescent="0.2">
      <c r="A43" t="s">
        <v>20</v>
      </c>
      <c r="B43">
        <f>IF(B17="ja",0.6,0.3)*(F22+F23)</f>
        <v>1776.6</v>
      </c>
      <c r="D43" s="3"/>
    </row>
    <row r="44" spans="1:6" x14ac:dyDescent="0.2">
      <c r="A44" t="s">
        <v>21</v>
      </c>
      <c r="B44">
        <f>F22+F23-B43</f>
        <v>4145.3999999999996</v>
      </c>
      <c r="D44" s="3"/>
    </row>
    <row r="45" spans="1:6" x14ac:dyDescent="0.2">
      <c r="A45" t="s">
        <v>22</v>
      </c>
      <c r="B45">
        <f>F24*0.3</f>
        <v>0</v>
      </c>
      <c r="D45" s="3" t="s">
        <v>69</v>
      </c>
    </row>
    <row r="47" spans="1:6" x14ac:dyDescent="0.2">
      <c r="A47" s="1" t="s">
        <v>6</v>
      </c>
    </row>
    <row r="48" spans="1:6" x14ac:dyDescent="0.2">
      <c r="A48" t="s">
        <v>78</v>
      </c>
      <c r="B48" s="41">
        <f>'calculation-sheet3'!D39+IF('calculation-sheet3'!H95="ja",'calculation-sheet3'!D99,0)+IF('calculation-sheet3'!H103="ja"&amp;'calculation-sheet3'!H102="ja",'calculation-sheet3'!D107+'calculation-sheet3'!D105,0)</f>
        <v>5166.6666666666679</v>
      </c>
      <c r="C48" t="s">
        <v>201</v>
      </c>
      <c r="D48" t="s">
        <v>202</v>
      </c>
      <c r="E48" t="s">
        <v>203</v>
      </c>
      <c r="F48" t="s">
        <v>204</v>
      </c>
    </row>
    <row r="49" spans="1:7" x14ac:dyDescent="0.2">
      <c r="A49" t="s">
        <v>82</v>
      </c>
      <c r="B49" s="45">
        <f>C49</f>
        <v>-5166.6666666666679</v>
      </c>
      <c r="C49" s="44">
        <f>E49*D49</f>
        <v>-5166.6666666666679</v>
      </c>
      <c r="D49">
        <v>1</v>
      </c>
      <c r="E49" s="44">
        <f>-B48</f>
        <v>-5166.6666666666679</v>
      </c>
      <c r="F49">
        <v>0</v>
      </c>
      <c r="G49">
        <v>0</v>
      </c>
    </row>
    <row r="50" spans="1:7" x14ac:dyDescent="0.2">
      <c r="A50" t="s">
        <v>80</v>
      </c>
      <c r="B50" s="45">
        <f>B49+C50</f>
        <v>-5071.4285714285725</v>
      </c>
      <c r="C50" s="44">
        <f t="shared" ref="C50:C79" si="0">E50*D50</f>
        <v>95.238095238095227</v>
      </c>
      <c r="D50" s="42">
        <f>1/((1+0.05)^'calculation-sheet'!G50)</f>
        <v>0.95238095238095233</v>
      </c>
      <c r="E50" s="44">
        <f>'calculation-sheet3'!$D$81</f>
        <v>100</v>
      </c>
      <c r="F50" s="43">
        <f>B44*'calculation-sheet3'!D23+'calculation-sheet'!B43*'calculation-sheet3'!D15+'calculation-sheet'!B45*IF('calculation-sheet'!B6="Erdgas",'calculation-sheet3'!D17,'calculation-sheet3'!D19)</f>
        <v>961.02215999999999</v>
      </c>
      <c r="G50">
        <v>1</v>
      </c>
    </row>
    <row r="51" spans="1:7" x14ac:dyDescent="0.2">
      <c r="A51" t="s">
        <v>81</v>
      </c>
      <c r="B51" s="45">
        <f t="shared" ref="B51:B79" si="1">B50+C51</f>
        <v>-4926.3038548752847</v>
      </c>
      <c r="C51" s="44">
        <f t="shared" si="0"/>
        <v>145.12471655328798</v>
      </c>
      <c r="D51" s="42">
        <f>1/((1+0.05)^'calculation-sheet'!G51)</f>
        <v>0.90702947845804982</v>
      </c>
      <c r="E51" s="44">
        <f>'calculation-sheet3'!$D$81+'calculation-sheet3'!D82*'calculation-sheet3'!D90</f>
        <v>160</v>
      </c>
      <c r="F51" s="43">
        <f>(B44*'calculation-sheet3'!D23+'calculation-sheet'!B43*'calculation-sheet3'!D15+'calculation-sheet'!B45*IF('calculation-sheet'!B6="Erdgas",'calculation-sheet3'!D17,'calculation-sheet3'!D19))*(100-0.4*(G51-1))/100</f>
        <v>957.17807135999988</v>
      </c>
      <c r="G51">
        <v>2</v>
      </c>
    </row>
    <row r="52" spans="1:7" x14ac:dyDescent="0.2">
      <c r="A52" t="s">
        <v>83</v>
      </c>
      <c r="B52" s="45">
        <f t="shared" si="1"/>
        <v>-4667.1525753158421</v>
      </c>
      <c r="C52" s="44">
        <f t="shared" si="0"/>
        <v>259.1512795594428</v>
      </c>
      <c r="D52" s="42">
        <f>1/((1+0.05)^'calculation-sheet'!G52)</f>
        <v>0.86383759853147601</v>
      </c>
      <c r="E52" s="44">
        <f>'calculation-sheet3'!$D$81+'calculation-sheet3'!D83</f>
        <v>300</v>
      </c>
      <c r="F52" s="43">
        <f>(B44*'calculation-sheet3'!D23+'calculation-sheet'!B43*'calculation-sheet3'!D15+'calculation-sheet'!B45*IF('calculation-sheet'!B6="Erdgas",'calculation-sheet3'!D17,'calculation-sheet3'!D19))*(100-0.4*(G52-1))/100</f>
        <v>953.33398272000011</v>
      </c>
      <c r="G52">
        <v>3</v>
      </c>
    </row>
    <row r="53" spans="1:7" x14ac:dyDescent="0.2">
      <c r="A53" t="s">
        <v>84</v>
      </c>
      <c r="B53" s="45">
        <f t="shared" si="1"/>
        <v>-4535.5201793491406</v>
      </c>
      <c r="C53" s="44">
        <f t="shared" si="0"/>
        <v>131.63239596670113</v>
      </c>
      <c r="D53" s="42">
        <f>1/((1+0.05)^'calculation-sheet'!G53)</f>
        <v>0.82270247479188197</v>
      </c>
      <c r="E53" s="44">
        <f>'calculation-sheet3'!$D$81+'calculation-sheet3'!D82*'calculation-sheet3'!D90</f>
        <v>160</v>
      </c>
      <c r="F53" s="43">
        <f>(B44*'calculation-sheet3'!D23+'calculation-sheet'!B43*'calculation-sheet3'!D15+'calculation-sheet'!B45*IF('calculation-sheet'!B6="Erdgas",'calculation-sheet3'!D17,'calculation-sheet3'!D19))*(100-0.4*(G53-1))/100</f>
        <v>949.48989407999989</v>
      </c>
      <c r="G53">
        <v>4</v>
      </c>
    </row>
    <row r="54" spans="1:7" x14ac:dyDescent="0.2">
      <c r="A54" t="s">
        <v>85</v>
      </c>
      <c r="B54" s="45">
        <f t="shared" si="1"/>
        <v>-4457.1675627022951</v>
      </c>
      <c r="C54" s="44">
        <f t="shared" si="0"/>
        <v>78.352616646845902</v>
      </c>
      <c r="D54" s="42">
        <f>1/((1+0.05)^'calculation-sheet'!G54)</f>
        <v>0.78352616646845896</v>
      </c>
      <c r="E54" s="44">
        <f>'calculation-sheet3'!$D$81</f>
        <v>100</v>
      </c>
      <c r="F54" s="43">
        <f>(B44*'calculation-sheet3'!D23+'calculation-sheet'!B43*'calculation-sheet3'!D15+'calculation-sheet'!B45*IF('calculation-sheet'!B6="Erdgas",'calculation-sheet3'!D17,'calculation-sheet3'!D19))*(100-0.4*(G54-1))/100</f>
        <v>945.64580544000012</v>
      </c>
      <c r="G54">
        <v>5</v>
      </c>
    </row>
    <row r="55" spans="1:7" x14ac:dyDescent="0.2">
      <c r="A55" t="s">
        <v>86</v>
      </c>
      <c r="B55" s="45">
        <f t="shared" si="1"/>
        <v>-4188.5300199131088</v>
      </c>
      <c r="C55" s="44">
        <f t="shared" si="0"/>
        <v>268.63754278918594</v>
      </c>
      <c r="D55" s="42">
        <f>1/((1+0.05)^'calculation-sheet'!G55)</f>
        <v>0.74621539663662761</v>
      </c>
      <c r="E55" s="44">
        <f>'calculation-sheet3'!$D$81+'calculation-sheet3'!D82*'calculation-sheet3'!D90+'calculation-sheet3'!D83</f>
        <v>360</v>
      </c>
      <c r="F55" s="43">
        <f>(B44*'calculation-sheet3'!D23+'calculation-sheet'!B43*'calculation-sheet3'!D15+'calculation-sheet'!B45*IF('calculation-sheet'!B6="Erdgas",'calculation-sheet3'!D17,'calculation-sheet3'!D19))*(100-0.4*(G55-1))/100</f>
        <v>941.80171680000001</v>
      </c>
      <c r="G55">
        <v>6</v>
      </c>
    </row>
    <row r="56" spans="1:7" x14ac:dyDescent="0.2">
      <c r="A56" t="s">
        <v>87</v>
      </c>
      <c r="B56" s="45">
        <f t="shared" si="1"/>
        <v>-4117.4618869000969</v>
      </c>
      <c r="C56" s="44">
        <f t="shared" si="0"/>
        <v>71.068133013012144</v>
      </c>
      <c r="D56" s="42">
        <f>1/((1+0.05)^'calculation-sheet'!G56)</f>
        <v>0.71068133013012147</v>
      </c>
      <c r="E56" s="44">
        <f>'calculation-sheet3'!$D$81</f>
        <v>100</v>
      </c>
      <c r="F56" s="43">
        <f>(B44*'calculation-sheet3'!D23+'calculation-sheet'!B43*'calculation-sheet3'!D15+'calculation-sheet'!B45*IF('calculation-sheet'!B6="Erdgas",'calculation-sheet3'!D17,'calculation-sheet3'!D19))*(100-0.4*(G56-1))/100</f>
        <v>937.9576281599999</v>
      </c>
      <c r="G56">
        <v>7</v>
      </c>
    </row>
    <row r="57" spans="1:7" x14ac:dyDescent="0.2">
      <c r="A57" t="s">
        <v>88</v>
      </c>
      <c r="B57" s="45">
        <f t="shared" si="1"/>
        <v>-4009.167588975507</v>
      </c>
      <c r="C57" s="44">
        <f t="shared" si="0"/>
        <v>108.29429792458996</v>
      </c>
      <c r="D57" s="42">
        <f>1/((1+0.05)^'calculation-sheet'!G57)</f>
        <v>0.67683936202868722</v>
      </c>
      <c r="E57" s="44">
        <f>'calculation-sheet3'!$D$81+'calculation-sheet3'!D82*'calculation-sheet3'!D90</f>
        <v>160</v>
      </c>
      <c r="F57" s="43">
        <f>(B44*'calculation-sheet3'!D23+'calculation-sheet'!B43*'calculation-sheet3'!D15+'calculation-sheet'!B45*IF('calculation-sheet'!B6="Erdgas",'calculation-sheet3'!D17,'calculation-sheet3'!D19))*(100-0.4*(G57-1))/100</f>
        <v>934.11353952000002</v>
      </c>
      <c r="G57">
        <v>8</v>
      </c>
    </row>
    <row r="58" spans="1:7" x14ac:dyDescent="0.2">
      <c r="A58" t="s">
        <v>89</v>
      </c>
      <c r="B58" s="45">
        <f t="shared" si="1"/>
        <v>-3815.7849141101678</v>
      </c>
      <c r="C58" s="44">
        <f t="shared" si="0"/>
        <v>193.38267486533917</v>
      </c>
      <c r="D58" s="42">
        <f>1/((1+0.05)^'calculation-sheet'!G58)</f>
        <v>0.64460891621779726</v>
      </c>
      <c r="E58" s="44">
        <f>'calculation-sheet3'!$D$81+'calculation-sheet3'!D83</f>
        <v>300</v>
      </c>
      <c r="F58" s="43">
        <f>(B44*'calculation-sheet3'!D23+'calculation-sheet'!B43*'calculation-sheet3'!D15+'calculation-sheet'!B45*IF('calculation-sheet'!B6="Erdgas",'calculation-sheet3'!D17,'calculation-sheet3'!D19))*(100-0.4*(G58-1))/100</f>
        <v>930.26945087999991</v>
      </c>
      <c r="G58">
        <v>9</v>
      </c>
    </row>
    <row r="59" spans="1:7" x14ac:dyDescent="0.2">
      <c r="A59" t="s">
        <v>90</v>
      </c>
      <c r="B59" s="45">
        <f t="shared" si="1"/>
        <v>-3717.5587935436465</v>
      </c>
      <c r="C59" s="44">
        <f t="shared" si="0"/>
        <v>98.226120566521487</v>
      </c>
      <c r="D59" s="42">
        <f>1/((1+0.05)^'calculation-sheet'!G59)</f>
        <v>0.61391325354075932</v>
      </c>
      <c r="E59" s="44">
        <f>'calculation-sheet3'!$D$81+'calculation-sheet3'!D82*'calculation-sheet3'!D90</f>
        <v>160</v>
      </c>
      <c r="F59" s="43">
        <f>(B44*'calculation-sheet3'!D23+'calculation-sheet'!B43*'calculation-sheet3'!D15+'calculation-sheet'!B45*IF('calculation-sheet'!B6="Erdgas",'calculation-sheet3'!D17,'calculation-sheet3'!D19))*(100-0.4*(G59-1))/100</f>
        <v>926.42536224000014</v>
      </c>
      <c r="G59">
        <v>10</v>
      </c>
    </row>
    <row r="60" spans="1:7" x14ac:dyDescent="0.2">
      <c r="A60" t="s">
        <v>91</v>
      </c>
      <c r="B60" s="45">
        <f t="shared" si="1"/>
        <v>-3659.0908646350026</v>
      </c>
      <c r="C60" s="44">
        <f t="shared" si="0"/>
        <v>58.467928908643742</v>
      </c>
      <c r="D60" s="42">
        <f>1/((1+0.05)^'calculation-sheet'!G60)</f>
        <v>0.5846792890864374</v>
      </c>
      <c r="E60" s="44">
        <f>'calculation-sheet3'!$D$81</f>
        <v>100</v>
      </c>
      <c r="F60" s="43">
        <f>(B44*'calculation-sheet3'!D23+'calculation-sheet'!B43*'calculation-sheet3'!D15+'calculation-sheet'!B45*IF('calculation-sheet'!B6="Erdgas",'calculation-sheet3'!D17,'calculation-sheet3'!D19))*(100-0.4*(G60-1))/100</f>
        <v>922.58127360000003</v>
      </c>
      <c r="G60">
        <v>11</v>
      </c>
    </row>
    <row r="61" spans="1:7" x14ac:dyDescent="0.2">
      <c r="A61" t="s">
        <v>92</v>
      </c>
      <c r="B61" s="45">
        <f t="shared" si="1"/>
        <v>-3458.6293940910814</v>
      </c>
      <c r="C61" s="44">
        <f t="shared" si="0"/>
        <v>200.46147054392142</v>
      </c>
      <c r="D61" s="42">
        <f>1/((1+0.05)^'calculation-sheet'!G61)</f>
        <v>0.5568374181775595</v>
      </c>
      <c r="E61" s="44">
        <f>'calculation-sheet3'!$D$81+'calculation-sheet3'!D82*'calculation-sheet3'!D90+'calculation-sheet3'!D83</f>
        <v>360</v>
      </c>
      <c r="F61" s="43">
        <f>(B44*'calculation-sheet3'!D23+'calculation-sheet'!B43*'calculation-sheet3'!D15+'calculation-sheet'!B45*IF('calculation-sheet'!B6="Erdgas",'calculation-sheet3'!D17,'calculation-sheet3'!D19))*(100-0.4*(G61-1))/100</f>
        <v>918.73718495999992</v>
      </c>
      <c r="G61">
        <v>12</v>
      </c>
    </row>
    <row r="62" spans="1:7" x14ac:dyDescent="0.2">
      <c r="A62" t="s">
        <v>93</v>
      </c>
      <c r="B62" s="45">
        <f t="shared" si="1"/>
        <v>-3078.5657594619533</v>
      </c>
      <c r="C62" s="44">
        <f t="shared" si="0"/>
        <v>380.06363462912782</v>
      </c>
      <c r="D62" s="42">
        <f>1/((1+0.05)^'calculation-sheet'!G62)</f>
        <v>0.53032135064529462</v>
      </c>
      <c r="E62" s="44">
        <f>'calculation-sheet3'!$D$81+'calculation-sheet3'!D84</f>
        <v>716.66666666666663</v>
      </c>
      <c r="F62" s="43">
        <f>(B44*'calculation-sheet3'!D23+'calculation-sheet'!B43*'calculation-sheet3'!D15+'calculation-sheet'!B45*IF('calculation-sheet'!B6="Erdgas",'calculation-sheet3'!D17,'calculation-sheet3'!D19))*(100-0.4*(G62-1))/100</f>
        <v>914.89309632000004</v>
      </c>
      <c r="G62">
        <v>13</v>
      </c>
    </row>
    <row r="63" spans="1:7" x14ac:dyDescent="0.2">
      <c r="A63" t="s">
        <v>94</v>
      </c>
      <c r="B63" s="45">
        <f t="shared" si="1"/>
        <v>-2997.7548869826705</v>
      </c>
      <c r="C63" s="44">
        <f t="shared" si="0"/>
        <v>80.81087247928302</v>
      </c>
      <c r="D63" s="42">
        <f>1/((1+0.05)^'calculation-sheet'!G63)</f>
        <v>0.50506795299551888</v>
      </c>
      <c r="E63" s="44">
        <f>'calculation-sheet3'!$D$81+'calculation-sheet3'!D82*'calculation-sheet3'!D90</f>
        <v>160</v>
      </c>
      <c r="F63" s="43">
        <f>(B44*'calculation-sheet3'!D23+'calculation-sheet'!B43*'calculation-sheet3'!D15+'calculation-sheet'!B45*IF('calculation-sheet'!B6="Erdgas",'calculation-sheet3'!D17,'calculation-sheet3'!D19))*(100-0.4*(G63-1))/100</f>
        <v>911.04900767999993</v>
      </c>
      <c r="G63">
        <v>14</v>
      </c>
    </row>
    <row r="64" spans="1:7" x14ac:dyDescent="0.2">
      <c r="A64" t="s">
        <v>95</v>
      </c>
      <c r="B64" s="45">
        <f t="shared" si="1"/>
        <v>-2853.4497575553796</v>
      </c>
      <c r="C64" s="44">
        <f t="shared" si="0"/>
        <v>144.30512942729106</v>
      </c>
      <c r="D64" s="42">
        <f>1/((1+0.05)^'calculation-sheet'!G64)</f>
        <v>0.48101709809097021</v>
      </c>
      <c r="E64" s="44">
        <f>'calculation-sheet3'!$D$81+'calculation-sheet3'!D83</f>
        <v>300</v>
      </c>
      <c r="F64" s="43">
        <f>(B44*'calculation-sheet3'!D23+'calculation-sheet'!B43*'calculation-sheet3'!D15+'calculation-sheet'!B45*IF('calculation-sheet'!B6="Erdgas",'calculation-sheet3'!D17,'calculation-sheet3'!D19))*(100-0.4*(G64-1))/100</f>
        <v>907.20491904000005</v>
      </c>
      <c r="G64">
        <v>15</v>
      </c>
    </row>
    <row r="65" spans="1:7" x14ac:dyDescent="0.2">
      <c r="A65" t="s">
        <v>96</v>
      </c>
      <c r="B65" s="45">
        <f t="shared" si="1"/>
        <v>-2780.1519140367554</v>
      </c>
      <c r="C65" s="44">
        <f t="shared" si="0"/>
        <v>73.297843518624035</v>
      </c>
      <c r="D65" s="42">
        <f>1/((1+0.05)^'calculation-sheet'!G65)</f>
        <v>0.45811152199140021</v>
      </c>
      <c r="E65" s="44">
        <f>'calculation-sheet3'!$D$81+'calculation-sheet3'!D82*'calculation-sheet3'!D90</f>
        <v>160</v>
      </c>
      <c r="F65" s="43">
        <f>(B44*'calculation-sheet3'!D23+'calculation-sheet'!B43*'calculation-sheet3'!D15+'calculation-sheet'!B45*IF('calculation-sheet'!B6="Erdgas",'calculation-sheet3'!D17,'calculation-sheet3'!D19))*(100-0.4*(G65-1))/100</f>
        <v>903.36083039999994</v>
      </c>
      <c r="G65">
        <v>16</v>
      </c>
    </row>
    <row r="66" spans="1:7" x14ac:dyDescent="0.2">
      <c r="A66" t="s">
        <v>97</v>
      </c>
      <c r="B66" s="45">
        <f t="shared" si="1"/>
        <v>-2736.5222452756698</v>
      </c>
      <c r="C66" s="44">
        <f t="shared" si="0"/>
        <v>43.629668761085725</v>
      </c>
      <c r="D66" s="42">
        <f>1/((1+0.05)^'calculation-sheet'!G66)</f>
        <v>0.43629668761085727</v>
      </c>
      <c r="E66" s="44">
        <f>'calculation-sheet3'!$D$81</f>
        <v>100</v>
      </c>
      <c r="F66" s="43">
        <f>(B44*'calculation-sheet3'!D23+'calculation-sheet'!B43*'calculation-sheet3'!D15+'calculation-sheet'!B45*IF('calculation-sheet'!B6="Erdgas",'calculation-sheet3'!D17,'calculation-sheet3'!D19))*(100-0.4*(G66-1))/100</f>
        <v>899.51674175999983</v>
      </c>
      <c r="G66">
        <v>17</v>
      </c>
    </row>
    <row r="67" spans="1:7" x14ac:dyDescent="0.2">
      <c r="A67" t="s">
        <v>98</v>
      </c>
      <c r="B67" s="45">
        <f t="shared" si="1"/>
        <v>-2586.9348095233759</v>
      </c>
      <c r="C67" s="44">
        <f t="shared" si="0"/>
        <v>149.58743575229391</v>
      </c>
      <c r="D67" s="42">
        <f>1/((1+0.05)^'calculation-sheet'!G67)</f>
        <v>0.41552065486748313</v>
      </c>
      <c r="E67" s="44">
        <f>'calculation-sheet3'!$D$81+'calculation-sheet3'!D82*'calculation-sheet3'!D90+'calculation-sheet3'!D83</f>
        <v>360</v>
      </c>
      <c r="F67" s="43">
        <f>(B44*'calculation-sheet3'!D23+'calculation-sheet'!B43*'calculation-sheet3'!D15+'calculation-sheet'!B45*IF('calculation-sheet'!B6="Erdgas",'calculation-sheet3'!D17,'calculation-sheet3'!D19))*(100-0.4*(G67-1))/100</f>
        <v>895.67265312000006</v>
      </c>
      <c r="G67">
        <v>18</v>
      </c>
    </row>
    <row r="68" spans="1:7" x14ac:dyDescent="0.2">
      <c r="A68" t="s">
        <v>99</v>
      </c>
      <c r="B68" s="45">
        <f t="shared" si="1"/>
        <v>-2547.3614138217108</v>
      </c>
      <c r="C68" s="44">
        <f t="shared" si="0"/>
        <v>39.573395701665056</v>
      </c>
      <c r="D68" s="42">
        <f>1/((1+0.05)^'calculation-sheet'!G68)</f>
        <v>0.39573395701665059</v>
      </c>
      <c r="E68" s="44">
        <f>'calculation-sheet3'!$D$81</f>
        <v>100</v>
      </c>
      <c r="F68" s="43">
        <f>(B44*'calculation-sheet3'!D23+'calculation-sheet'!B43*'calculation-sheet3'!D15+'calculation-sheet'!B45*IF('calculation-sheet'!B6="Erdgas",'calculation-sheet3'!D17,'calculation-sheet3'!D19))*(100-0.4*(G68-1))/100</f>
        <v>891.82856447999995</v>
      </c>
      <c r="G68">
        <v>19</v>
      </c>
    </row>
    <row r="69" spans="1:7" x14ac:dyDescent="0.2">
      <c r="A69" t="s">
        <v>100</v>
      </c>
      <c r="B69" s="45">
        <f t="shared" si="1"/>
        <v>-2487.0590965620308</v>
      </c>
      <c r="C69" s="44">
        <f t="shared" si="0"/>
        <v>60.302317259680095</v>
      </c>
      <c r="D69" s="42">
        <f>1/((1+0.05)^'calculation-sheet'!G69)</f>
        <v>0.37688948287300061</v>
      </c>
      <c r="E69" s="44">
        <f>'calculation-sheet3'!$D$81+'calculation-sheet3'!D82*'calculation-sheet3'!D90</f>
        <v>160</v>
      </c>
      <c r="F69" s="43">
        <f>(B44*'calculation-sheet3'!D23+'calculation-sheet'!B43*'calculation-sheet3'!D15+'calculation-sheet'!B45*IF('calculation-sheet'!B6="Erdgas",'calculation-sheet3'!D17,'calculation-sheet3'!D19))*(100-0.4*(G69-1))/100</f>
        <v>887.98447584000007</v>
      </c>
      <c r="G69">
        <v>20</v>
      </c>
    </row>
    <row r="70" spans="1:7" x14ac:dyDescent="0.2">
      <c r="A70" t="s">
        <v>101</v>
      </c>
      <c r="B70" s="45">
        <f t="shared" si="1"/>
        <v>-2379.3763871697452</v>
      </c>
      <c r="C70" s="44">
        <f t="shared" si="0"/>
        <v>107.68270939228589</v>
      </c>
      <c r="D70" s="42">
        <f>1/((1+0.05)^'calculation-sheet'!G70)</f>
        <v>0.35894236464095297</v>
      </c>
      <c r="E70" s="44">
        <f>'calculation-sheet3'!$D$81+'calculation-sheet3'!D83</f>
        <v>300</v>
      </c>
      <c r="F70" s="43">
        <f>(B44*'calculation-sheet3'!D29+'calculation-sheet'!B43*'calculation-sheet3'!D15+'calculation-sheet'!B45*IF('calculation-sheet'!B6="Erdgas",'calculation-sheet3'!D17,'calculation-sheet3'!D19))*(100-0.4*(G70-1))/100</f>
        <v>876.5128512</v>
      </c>
      <c r="G70">
        <v>21</v>
      </c>
    </row>
    <row r="71" spans="1:7" x14ac:dyDescent="0.2">
      <c r="A71" t="s">
        <v>102</v>
      </c>
      <c r="B71" s="45">
        <f t="shared" si="1"/>
        <v>-2324.6804077958855</v>
      </c>
      <c r="C71" s="44">
        <f t="shared" si="0"/>
        <v>54.695979373859501</v>
      </c>
      <c r="D71" s="42">
        <f>1/((1+0.05)^'calculation-sheet'!G71)</f>
        <v>0.3418498710866219</v>
      </c>
      <c r="E71" s="44">
        <f>'calculation-sheet3'!$D$81+'calculation-sheet3'!D82*'calculation-sheet3'!D90</f>
        <v>160</v>
      </c>
      <c r="F71" s="43">
        <f>(B44*'calculation-sheet3'!D29+'calculation-sheet'!B43*'calculation-sheet3'!D15+'calculation-sheet'!B45*IF('calculation-sheet'!B6="Erdgas",'calculation-sheet3'!D17,'calculation-sheet3'!D19))*(100-0.4*(G71-1))/100</f>
        <v>872.70192575999999</v>
      </c>
      <c r="G71">
        <v>22</v>
      </c>
    </row>
    <row r="72" spans="1:7" x14ac:dyDescent="0.2">
      <c r="A72" t="s">
        <v>103</v>
      </c>
      <c r="B72" s="45">
        <f t="shared" si="1"/>
        <v>-2292.123277216207</v>
      </c>
      <c r="C72" s="44">
        <f t="shared" si="0"/>
        <v>32.557130579678265</v>
      </c>
      <c r="D72" s="42">
        <f>1/((1+0.05)^'calculation-sheet'!G72)</f>
        <v>0.32557130579678267</v>
      </c>
      <c r="E72" s="44">
        <f>'calculation-sheet3'!$D$81</f>
        <v>100</v>
      </c>
      <c r="F72" s="43">
        <f>(B44*'calculation-sheet3'!D29+'calculation-sheet'!B43*'calculation-sheet3'!D15+'calculation-sheet'!B45*IF('calculation-sheet'!B6="Erdgas",'calculation-sheet3'!D17,'calculation-sheet3'!D19))*(100-0.4*(G72-1))/100</f>
        <v>868.89100031999999</v>
      </c>
      <c r="G72">
        <v>23</v>
      </c>
    </row>
    <row r="73" spans="1:7" x14ac:dyDescent="0.2">
      <c r="A73" t="s">
        <v>104</v>
      </c>
      <c r="B73" s="45">
        <f t="shared" si="1"/>
        <v>-2180.4988295144531</v>
      </c>
      <c r="C73" s="44">
        <f t="shared" si="0"/>
        <v>111.62444770175409</v>
      </c>
      <c r="D73" s="42">
        <f>1/((1+0.05)^'calculation-sheet'!G73)</f>
        <v>0.31006791028265024</v>
      </c>
      <c r="E73" s="44">
        <f>'calculation-sheet3'!$D$81+'calculation-sheet3'!D82*'calculation-sheet3'!D90+'calculation-sheet3'!D83</f>
        <v>360</v>
      </c>
      <c r="F73" s="43">
        <f>(B44*'calculation-sheet3'!D29+'calculation-sheet'!B43*'calculation-sheet3'!D15+'calculation-sheet'!B45*IF('calculation-sheet'!B6="Erdgas",'calculation-sheet3'!D17,'calculation-sheet3'!D19))*(100-0.4*(G73-1))/100</f>
        <v>865.08007487999998</v>
      </c>
      <c r="G73">
        <v>24</v>
      </c>
    </row>
    <row r="74" spans="1:7" x14ac:dyDescent="0.2">
      <c r="A74" t="s">
        <v>105</v>
      </c>
      <c r="B74" s="45">
        <f t="shared" si="1"/>
        <v>-1968.8651764643903</v>
      </c>
      <c r="C74" s="44">
        <f t="shared" si="0"/>
        <v>211.63365305006283</v>
      </c>
      <c r="D74" s="42">
        <f>1/((1+0.05)^'calculation-sheet'!G74)</f>
        <v>0.29530277169776209</v>
      </c>
      <c r="E74" s="44">
        <f>'calculation-sheet3'!$D$81+'calculation-sheet3'!D84</f>
        <v>716.66666666666663</v>
      </c>
      <c r="F74" s="43">
        <f>(B44*'calculation-sheet3'!D29+'calculation-sheet'!B43*'calculation-sheet3'!D15+'calculation-sheet'!B45*IF('calculation-sheet'!B6="Erdgas",'calculation-sheet3'!D17,'calculation-sheet3'!D19))*(100-0.4*(G74-1))/100</f>
        <v>861.26914944000009</v>
      </c>
      <c r="G74">
        <v>25</v>
      </c>
    </row>
    <row r="75" spans="1:7" x14ac:dyDescent="0.2">
      <c r="A75" t="s">
        <v>106</v>
      </c>
      <c r="B75" s="45">
        <f t="shared" si="1"/>
        <v>-1923.8666588723504</v>
      </c>
      <c r="C75" s="44">
        <f t="shared" si="0"/>
        <v>44.998517592039931</v>
      </c>
      <c r="D75" s="42">
        <f>1/((1+0.05)^'calculation-sheet'!G75)</f>
        <v>0.28124073495024959</v>
      </c>
      <c r="E75" s="44">
        <f>'calculation-sheet3'!$D$81+'calculation-sheet3'!D82*'calculation-sheet3'!D90</f>
        <v>160</v>
      </c>
      <c r="F75" s="43">
        <f>(B44*'calculation-sheet3'!D29+'calculation-sheet'!B43*'calculation-sheet3'!D15+'calculation-sheet'!B45*IF('calculation-sheet'!B6="Erdgas",'calculation-sheet3'!D17,'calculation-sheet3'!D19))*(100-0.4*(G75-1))/100</f>
        <v>857.45822400000009</v>
      </c>
      <c r="G75">
        <v>26</v>
      </c>
    </row>
    <row r="76" spans="1:7" x14ac:dyDescent="0.2">
      <c r="A76" t="s">
        <v>107</v>
      </c>
      <c r="B76" s="45">
        <f t="shared" si="1"/>
        <v>-1843.5121631722791</v>
      </c>
      <c r="C76" s="44">
        <f t="shared" si="0"/>
        <v>80.354495700071311</v>
      </c>
      <c r="D76" s="42">
        <f>1/((1+0.05)^'calculation-sheet'!G76)</f>
        <v>0.2678483190002377</v>
      </c>
      <c r="E76" s="44">
        <f>'calculation-sheet3'!$D$81+'calculation-sheet3'!D83</f>
        <v>300</v>
      </c>
      <c r="F76" s="43">
        <f>(B44*'calculation-sheet3'!D29+'calculation-sheet'!B43*'calculation-sheet3'!D15+'calculation-sheet'!B45*IF('calculation-sheet'!B6="Erdgas",'calculation-sheet3'!D17,'calculation-sheet3'!D19))*(100-0.4*(G76-1))/100</f>
        <v>853.64729855999985</v>
      </c>
      <c r="G76">
        <v>27</v>
      </c>
    </row>
    <row r="77" spans="1:7" x14ac:dyDescent="0.2">
      <c r="A77" t="s">
        <v>108</v>
      </c>
      <c r="B77" s="45">
        <f t="shared" si="1"/>
        <v>-1802.6971812293857</v>
      </c>
      <c r="C77" s="44">
        <f t="shared" si="0"/>
        <v>40.814981942893375</v>
      </c>
      <c r="D77" s="42">
        <f>1/((1+0.05)^'calculation-sheet'!G77)</f>
        <v>0.25509363714308358</v>
      </c>
      <c r="E77" s="44">
        <f>'calculation-sheet3'!$D$81+'calculation-sheet3'!D82*'calculation-sheet3'!D90</f>
        <v>160</v>
      </c>
      <c r="F77" s="43">
        <f>(B44*'calculation-sheet3'!D29+'calculation-sheet'!B43*'calculation-sheet3'!D15+'calculation-sheet'!B45*IF('calculation-sheet'!B6="Erdgas",'calculation-sheet3'!D17,'calculation-sheet3'!D19))*(100-0.4*(G77-1))/100</f>
        <v>849.83637312000008</v>
      </c>
      <c r="G77">
        <v>28</v>
      </c>
    </row>
    <row r="78" spans="1:7" x14ac:dyDescent="0.2">
      <c r="A78" t="s">
        <v>109</v>
      </c>
      <c r="B78" s="45">
        <f t="shared" si="1"/>
        <v>-1778.4025491205207</v>
      </c>
      <c r="C78" s="44">
        <f t="shared" si="0"/>
        <v>24.294632108865098</v>
      </c>
      <c r="D78" s="42">
        <f>1/((1+0.05)^'calculation-sheet'!G78)</f>
        <v>0.24294632108865097</v>
      </c>
      <c r="E78" s="44">
        <f>'calculation-sheet3'!$D$81</f>
        <v>100</v>
      </c>
      <c r="F78" s="43">
        <f>(B44*'calculation-sheet3'!D29+'calculation-sheet'!B43*'calculation-sheet3'!D15+'calculation-sheet'!B45*IF('calculation-sheet'!B6="Erdgas",'calculation-sheet3'!D17,'calculation-sheet3'!D19))*(100-0.4*(G78-1))/100</f>
        <v>846.02544767999996</v>
      </c>
      <c r="G78">
        <v>29</v>
      </c>
    </row>
    <row r="79" spans="1:7" x14ac:dyDescent="0.2">
      <c r="A79" t="s">
        <v>110</v>
      </c>
      <c r="B79" s="45">
        <f t="shared" si="1"/>
        <v>-1695.1066676044118</v>
      </c>
      <c r="C79" s="44">
        <f t="shared" si="0"/>
        <v>83.295881516108921</v>
      </c>
      <c r="D79" s="42">
        <f>1/((1+0.05)^'calculation-sheet'!G79)</f>
        <v>0.23137744865585813</v>
      </c>
      <c r="E79" s="44">
        <f>'calculation-sheet3'!$D$81+'calculation-sheet3'!D82*'calculation-sheet3'!D90+'calculation-sheet3'!D83</f>
        <v>360</v>
      </c>
      <c r="F79" s="43">
        <f>(B44*'calculation-sheet3'!D29+'calculation-sheet'!B43*'calculation-sheet3'!D15+'calculation-sheet'!B45*IF('calculation-sheet'!B6="Erdgas",'calculation-sheet3'!D17,'calculation-sheet3'!D19))*(100-0.4*(G79-1))/100</f>
        <v>842.21452224000006</v>
      </c>
      <c r="G79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040-8FE9-9E4B-BF2D-787971EE4D1B}">
  <dimension ref="A1:D117"/>
  <sheetViews>
    <sheetView topLeftCell="A83" workbookViewId="0">
      <selection activeCell="A118" sqref="A118"/>
    </sheetView>
  </sheetViews>
  <sheetFormatPr baseColWidth="10" defaultRowHeight="16" x14ac:dyDescent="0.2"/>
  <sheetData>
    <row r="1" spans="1:4" x14ac:dyDescent="0.2">
      <c r="A1" s="4" t="s">
        <v>31</v>
      </c>
      <c r="B1" s="4"/>
      <c r="C1" s="5"/>
      <c r="D1" s="5"/>
    </row>
    <row r="2" spans="1:4" x14ac:dyDescent="0.2">
      <c r="A2" s="4"/>
      <c r="B2" s="5"/>
      <c r="C2" s="5"/>
      <c r="D2" s="5"/>
    </row>
    <row r="3" spans="1:4" x14ac:dyDescent="0.2">
      <c r="A3" s="4" t="s">
        <v>32</v>
      </c>
      <c r="B3" s="4" t="s">
        <v>33</v>
      </c>
      <c r="C3" s="6" t="s">
        <v>34</v>
      </c>
      <c r="D3" s="6"/>
    </row>
    <row r="4" spans="1:4" x14ac:dyDescent="0.2">
      <c r="A4" s="5" t="s">
        <v>70</v>
      </c>
      <c r="B4" s="7" t="s">
        <v>35</v>
      </c>
      <c r="C4" s="8">
        <v>82.7</v>
      </c>
      <c r="D4" s="5"/>
    </row>
    <row r="5" spans="1:4" x14ac:dyDescent="0.2">
      <c r="A5" s="5" t="s">
        <v>70</v>
      </c>
      <c r="B5" s="7" t="s">
        <v>35</v>
      </c>
      <c r="C5" s="8">
        <v>82.7</v>
      </c>
      <c r="D5" s="5"/>
    </row>
    <row r="6" spans="1:4" x14ac:dyDescent="0.2">
      <c r="A6" s="5" t="s">
        <v>70</v>
      </c>
      <c r="B6" s="7" t="s">
        <v>36</v>
      </c>
      <c r="C6" s="8">
        <v>64.8</v>
      </c>
      <c r="D6" s="5"/>
    </row>
    <row r="7" spans="1:4" x14ac:dyDescent="0.2">
      <c r="A7" s="5" t="s">
        <v>70</v>
      </c>
      <c r="B7" s="7" t="s">
        <v>36</v>
      </c>
      <c r="C7" s="8">
        <v>64.8</v>
      </c>
      <c r="D7" s="5"/>
    </row>
    <row r="8" spans="1:4" x14ac:dyDescent="0.2">
      <c r="A8" s="5" t="s">
        <v>70</v>
      </c>
      <c r="B8" s="7" t="s">
        <v>37</v>
      </c>
      <c r="C8" s="8">
        <v>56.3</v>
      </c>
      <c r="D8" s="5"/>
    </row>
    <row r="9" spans="1:4" x14ac:dyDescent="0.2">
      <c r="A9" s="5" t="s">
        <v>70</v>
      </c>
      <c r="B9" s="7" t="s">
        <v>37</v>
      </c>
      <c r="C9" s="8">
        <v>56.3</v>
      </c>
      <c r="D9" s="5"/>
    </row>
    <row r="10" spans="1:4" x14ac:dyDescent="0.2">
      <c r="A10" s="5" t="s">
        <v>70</v>
      </c>
      <c r="B10" s="7" t="s">
        <v>38</v>
      </c>
      <c r="C10" s="8">
        <v>48.1</v>
      </c>
      <c r="D10" s="5"/>
    </row>
    <row r="11" spans="1:4" x14ac:dyDescent="0.2">
      <c r="A11" s="5" t="s">
        <v>70</v>
      </c>
      <c r="B11" s="7" t="s">
        <v>38</v>
      </c>
      <c r="C11" s="8">
        <v>48.1</v>
      </c>
      <c r="D11" s="5"/>
    </row>
    <row r="12" spans="1:4" x14ac:dyDescent="0.2">
      <c r="A12" s="5" t="s">
        <v>70</v>
      </c>
      <c r="B12" s="7" t="s">
        <v>39</v>
      </c>
      <c r="C12" s="8">
        <v>41</v>
      </c>
      <c r="D12" s="5"/>
    </row>
    <row r="13" spans="1:4" x14ac:dyDescent="0.2">
      <c r="A13" s="5" t="s">
        <v>70</v>
      </c>
      <c r="B13" s="7" t="s">
        <v>39</v>
      </c>
      <c r="C13" s="8">
        <v>41</v>
      </c>
      <c r="D13" s="5"/>
    </row>
    <row r="14" spans="1:4" x14ac:dyDescent="0.2">
      <c r="A14" s="5" t="s">
        <v>70</v>
      </c>
      <c r="B14" s="7" t="s">
        <v>40</v>
      </c>
      <c r="C14" s="8">
        <v>33.700000000000003</v>
      </c>
      <c r="D14" s="5"/>
    </row>
    <row r="15" spans="1:4" x14ac:dyDescent="0.2">
      <c r="A15" s="5" t="s">
        <v>70</v>
      </c>
      <c r="B15" s="7" t="s">
        <v>40</v>
      </c>
      <c r="C15" s="8">
        <v>33.700000000000003</v>
      </c>
      <c r="D15" s="5"/>
    </row>
    <row r="16" spans="1:4" x14ac:dyDescent="0.2">
      <c r="A16" s="5" t="s">
        <v>70</v>
      </c>
      <c r="B16" s="7" t="s">
        <v>41</v>
      </c>
      <c r="C16" s="8">
        <v>28.7</v>
      </c>
      <c r="D16" s="5"/>
    </row>
    <row r="17" spans="1:4" x14ac:dyDescent="0.2">
      <c r="A17" s="5" t="s">
        <v>70</v>
      </c>
      <c r="B17" s="7" t="s">
        <v>41</v>
      </c>
      <c r="C17" s="8">
        <v>28.7</v>
      </c>
      <c r="D17" s="5"/>
    </row>
    <row r="18" spans="1:4" x14ac:dyDescent="0.2">
      <c r="A18" s="5" t="s">
        <v>71</v>
      </c>
      <c r="B18" s="7" t="s">
        <v>35</v>
      </c>
      <c r="C18" s="8">
        <v>83.9</v>
      </c>
      <c r="D18" s="5"/>
    </row>
    <row r="19" spans="1:4" x14ac:dyDescent="0.2">
      <c r="A19" s="5" t="s">
        <v>71</v>
      </c>
      <c r="B19" s="7" t="s">
        <v>35</v>
      </c>
      <c r="C19" s="8">
        <v>83.9</v>
      </c>
      <c r="D19" s="5"/>
    </row>
    <row r="20" spans="1:4" x14ac:dyDescent="0.2">
      <c r="A20" s="5" t="s">
        <v>71</v>
      </c>
      <c r="B20" s="7" t="s">
        <v>36</v>
      </c>
      <c r="C20" s="8">
        <v>70.400000000000006</v>
      </c>
      <c r="D20" s="5"/>
    </row>
    <row r="21" spans="1:4" x14ac:dyDescent="0.2">
      <c r="A21" s="5" t="s">
        <v>71</v>
      </c>
      <c r="B21" s="7" t="s">
        <v>36</v>
      </c>
      <c r="C21" s="8">
        <v>70.400000000000006</v>
      </c>
      <c r="D21" s="5"/>
    </row>
    <row r="22" spans="1:4" x14ac:dyDescent="0.2">
      <c r="A22" s="5" t="s">
        <v>71</v>
      </c>
      <c r="B22" s="7" t="s">
        <v>37</v>
      </c>
      <c r="C22" s="8">
        <v>63.5</v>
      </c>
      <c r="D22" s="5"/>
    </row>
    <row r="23" spans="1:4" x14ac:dyDescent="0.2">
      <c r="A23" s="5" t="s">
        <v>71</v>
      </c>
      <c r="B23" s="7" t="s">
        <v>37</v>
      </c>
      <c r="C23" s="8">
        <v>63.5</v>
      </c>
      <c r="D23" s="5"/>
    </row>
    <row r="24" spans="1:4" x14ac:dyDescent="0.2">
      <c r="A24" s="5" t="s">
        <v>71</v>
      </c>
      <c r="B24" s="7" t="s">
        <v>38</v>
      </c>
      <c r="C24" s="8">
        <v>57.3</v>
      </c>
      <c r="D24" s="5"/>
    </row>
    <row r="25" spans="1:4" x14ac:dyDescent="0.2">
      <c r="A25" s="5" t="s">
        <v>71</v>
      </c>
      <c r="B25" s="7" t="s">
        <v>38</v>
      </c>
      <c r="C25" s="8">
        <v>57.3</v>
      </c>
      <c r="D25" s="5"/>
    </row>
    <row r="26" spans="1:4" x14ac:dyDescent="0.2">
      <c r="A26" s="5" t="s">
        <v>71</v>
      </c>
      <c r="B26" s="7" t="s">
        <v>39</v>
      </c>
      <c r="C26" s="8">
        <v>52.1</v>
      </c>
      <c r="D26" s="5"/>
    </row>
    <row r="27" spans="1:4" x14ac:dyDescent="0.2">
      <c r="A27" s="5" t="s">
        <v>71</v>
      </c>
      <c r="B27" s="7" t="s">
        <v>39</v>
      </c>
      <c r="C27" s="8">
        <v>52.1</v>
      </c>
      <c r="D27" s="5"/>
    </row>
    <row r="28" spans="1:4" x14ac:dyDescent="0.2">
      <c r="A28" s="5" t="s">
        <v>71</v>
      </c>
      <c r="B28" s="7" t="s">
        <v>40</v>
      </c>
      <c r="C28" s="8">
        <v>45.5</v>
      </c>
      <c r="D28" s="5"/>
    </row>
    <row r="29" spans="1:4" x14ac:dyDescent="0.2">
      <c r="A29" s="5" t="s">
        <v>71</v>
      </c>
      <c r="B29" s="7" t="s">
        <v>40</v>
      </c>
      <c r="C29" s="8">
        <v>45.5</v>
      </c>
      <c r="D29" s="5"/>
    </row>
    <row r="30" spans="1:4" x14ac:dyDescent="0.2">
      <c r="A30" s="5" t="s">
        <v>71</v>
      </c>
      <c r="B30" s="7" t="s">
        <v>41</v>
      </c>
      <c r="C30" s="8">
        <v>37.6</v>
      </c>
      <c r="D30" s="5"/>
    </row>
    <row r="31" spans="1:4" x14ac:dyDescent="0.2">
      <c r="A31" s="5" t="s">
        <v>71</v>
      </c>
      <c r="B31" s="7" t="s">
        <v>41</v>
      </c>
      <c r="C31" s="8">
        <v>37.6</v>
      </c>
      <c r="D31" s="5"/>
    </row>
    <row r="32" spans="1:4" x14ac:dyDescent="0.2">
      <c r="A32" s="5" t="s">
        <v>72</v>
      </c>
      <c r="B32" s="7" t="s">
        <v>35</v>
      </c>
      <c r="C32" s="8">
        <v>86.4</v>
      </c>
      <c r="D32" s="5"/>
    </row>
    <row r="33" spans="1:4" x14ac:dyDescent="0.2">
      <c r="A33" s="5" t="s">
        <v>72</v>
      </c>
      <c r="B33" s="7" t="s">
        <v>35</v>
      </c>
      <c r="C33" s="8">
        <v>86.4</v>
      </c>
      <c r="D33" s="5"/>
    </row>
    <row r="34" spans="1:4" x14ac:dyDescent="0.2">
      <c r="A34" s="5" t="s">
        <v>72</v>
      </c>
      <c r="B34" s="7" t="s">
        <v>36</v>
      </c>
      <c r="C34" s="8">
        <v>83.3</v>
      </c>
      <c r="D34" s="5"/>
    </row>
    <row r="35" spans="1:4" x14ac:dyDescent="0.2">
      <c r="A35" s="5" t="s">
        <v>72</v>
      </c>
      <c r="B35" s="7" t="s">
        <v>36</v>
      </c>
      <c r="C35" s="8">
        <v>83.3</v>
      </c>
      <c r="D35" s="5"/>
    </row>
    <row r="36" spans="1:4" x14ac:dyDescent="0.2">
      <c r="A36" s="5" t="s">
        <v>72</v>
      </c>
      <c r="B36" s="7" t="s">
        <v>37</v>
      </c>
      <c r="C36" s="8">
        <v>80.7</v>
      </c>
      <c r="D36" s="5"/>
    </row>
    <row r="37" spans="1:4" x14ac:dyDescent="0.2">
      <c r="A37" s="5" t="s">
        <v>72</v>
      </c>
      <c r="B37" s="7" t="s">
        <v>37</v>
      </c>
      <c r="C37" s="8">
        <v>80.7</v>
      </c>
      <c r="D37" s="5"/>
    </row>
    <row r="38" spans="1:4" x14ac:dyDescent="0.2">
      <c r="A38" s="5" t="s">
        <v>72</v>
      </c>
      <c r="B38" s="7" t="s">
        <v>38</v>
      </c>
      <c r="C38" s="8">
        <v>77.5</v>
      </c>
      <c r="D38" s="5"/>
    </row>
    <row r="39" spans="1:4" x14ac:dyDescent="0.2">
      <c r="A39" s="5" t="s">
        <v>72</v>
      </c>
      <c r="B39" s="7" t="s">
        <v>38</v>
      </c>
      <c r="C39" s="8">
        <v>77.5</v>
      </c>
      <c r="D39" s="5"/>
    </row>
    <row r="40" spans="1:4" x14ac:dyDescent="0.2">
      <c r="A40" s="5" t="s">
        <v>72</v>
      </c>
      <c r="B40" s="7" t="s">
        <v>39</v>
      </c>
      <c r="C40" s="8">
        <v>73.599999999999994</v>
      </c>
      <c r="D40" s="5"/>
    </row>
    <row r="41" spans="1:4" x14ac:dyDescent="0.2">
      <c r="A41" s="5" t="s">
        <v>72</v>
      </c>
      <c r="B41" s="7" t="s">
        <v>39</v>
      </c>
      <c r="C41" s="8">
        <v>73.599999999999994</v>
      </c>
      <c r="D41" s="5"/>
    </row>
    <row r="42" spans="1:4" x14ac:dyDescent="0.2">
      <c r="A42" s="5" t="s">
        <v>72</v>
      </c>
      <c r="B42" s="7" t="s">
        <v>40</v>
      </c>
      <c r="C42" s="8">
        <v>66.599999999999994</v>
      </c>
      <c r="D42" s="5"/>
    </row>
    <row r="43" spans="1:4" x14ac:dyDescent="0.2">
      <c r="A43" s="5" t="s">
        <v>72</v>
      </c>
      <c r="B43" s="7" t="s">
        <v>40</v>
      </c>
      <c r="C43" s="8">
        <v>66.599999999999994</v>
      </c>
      <c r="D43" s="5"/>
    </row>
    <row r="44" spans="1:4" x14ac:dyDescent="0.2">
      <c r="A44" s="5" t="s">
        <v>72</v>
      </c>
      <c r="B44" s="7" t="s">
        <v>41</v>
      </c>
      <c r="C44" s="8">
        <v>55.3</v>
      </c>
      <c r="D44" s="5"/>
    </row>
    <row r="45" spans="1:4" x14ac:dyDescent="0.2">
      <c r="A45" s="5" t="s">
        <v>72</v>
      </c>
      <c r="B45" s="7" t="s">
        <v>41</v>
      </c>
      <c r="C45" s="8">
        <v>55.3</v>
      </c>
      <c r="D45" s="5"/>
    </row>
    <row r="46" spans="1:4" x14ac:dyDescent="0.2">
      <c r="A46" s="5" t="s">
        <v>73</v>
      </c>
      <c r="B46" s="7" t="s">
        <v>35</v>
      </c>
      <c r="C46" s="8">
        <v>89</v>
      </c>
      <c r="D46" s="5"/>
    </row>
    <row r="47" spans="1:4" x14ac:dyDescent="0.2">
      <c r="A47" s="5" t="s">
        <v>73</v>
      </c>
      <c r="B47" s="7" t="s">
        <v>35</v>
      </c>
      <c r="C47" s="8">
        <v>89</v>
      </c>
      <c r="D47" s="5"/>
    </row>
    <row r="48" spans="1:4" x14ac:dyDescent="0.2">
      <c r="A48" s="5" t="s">
        <v>73</v>
      </c>
      <c r="B48" s="7" t="s">
        <v>36</v>
      </c>
      <c r="C48" s="8">
        <v>94.6</v>
      </c>
      <c r="D48" s="5"/>
    </row>
    <row r="49" spans="1:4" x14ac:dyDescent="0.2">
      <c r="A49" s="5" t="s">
        <v>73</v>
      </c>
      <c r="B49" s="7" t="s">
        <v>36</v>
      </c>
      <c r="C49" s="8">
        <v>94.6</v>
      </c>
      <c r="D49" s="5"/>
    </row>
    <row r="50" spans="1:4" x14ac:dyDescent="0.2">
      <c r="A50" s="5" t="s">
        <v>73</v>
      </c>
      <c r="B50" s="7" t="s">
        <v>37</v>
      </c>
      <c r="C50" s="8">
        <v>94.9</v>
      </c>
      <c r="D50" s="5"/>
    </row>
    <row r="51" spans="1:4" x14ac:dyDescent="0.2">
      <c r="A51" s="5" t="s">
        <v>73</v>
      </c>
      <c r="B51" s="7" t="s">
        <v>37</v>
      </c>
      <c r="C51" s="8">
        <v>94.9</v>
      </c>
      <c r="D51" s="5"/>
    </row>
    <row r="52" spans="1:4" x14ac:dyDescent="0.2">
      <c r="A52" s="5" t="s">
        <v>73</v>
      </c>
      <c r="B52" s="7" t="s">
        <v>38</v>
      </c>
      <c r="C52" s="8">
        <v>93.6</v>
      </c>
      <c r="D52" s="5"/>
    </row>
    <row r="53" spans="1:4" x14ac:dyDescent="0.2">
      <c r="A53" s="5" t="s">
        <v>73</v>
      </c>
      <c r="B53" s="7" t="s">
        <v>38</v>
      </c>
      <c r="C53" s="8">
        <v>93.6</v>
      </c>
      <c r="D53" s="5"/>
    </row>
    <row r="54" spans="1:4" x14ac:dyDescent="0.2">
      <c r="A54" s="5" t="s">
        <v>73</v>
      </c>
      <c r="B54" s="7" t="s">
        <v>39</v>
      </c>
      <c r="C54" s="8">
        <v>90.4</v>
      </c>
      <c r="D54" s="5"/>
    </row>
    <row r="55" spans="1:4" x14ac:dyDescent="0.2">
      <c r="A55" s="5" t="s">
        <v>73</v>
      </c>
      <c r="B55" s="7" t="s">
        <v>39</v>
      </c>
      <c r="C55" s="8">
        <v>90.4</v>
      </c>
      <c r="D55" s="5"/>
    </row>
    <row r="56" spans="1:4" x14ac:dyDescent="0.2">
      <c r="A56" s="5" t="s">
        <v>73</v>
      </c>
      <c r="B56" s="7" t="s">
        <v>40</v>
      </c>
      <c r="C56" s="8">
        <v>82.8</v>
      </c>
      <c r="D56" s="5"/>
    </row>
    <row r="57" spans="1:4" x14ac:dyDescent="0.2">
      <c r="A57" s="5" t="s">
        <v>73</v>
      </c>
      <c r="B57" s="7" t="s">
        <v>40</v>
      </c>
      <c r="C57" s="8">
        <v>82.8</v>
      </c>
      <c r="D57" s="5"/>
    </row>
    <row r="58" spans="1:4" x14ac:dyDescent="0.2">
      <c r="A58" s="5" t="s">
        <v>73</v>
      </c>
      <c r="B58" s="7" t="s">
        <v>41</v>
      </c>
      <c r="C58" s="8">
        <v>68.099999999999994</v>
      </c>
      <c r="D58" s="5"/>
    </row>
    <row r="59" spans="1:4" x14ac:dyDescent="0.2">
      <c r="A59" s="5" t="s">
        <v>73</v>
      </c>
      <c r="B59" s="7" t="s">
        <v>41</v>
      </c>
      <c r="C59" s="8">
        <v>68.099999999999994</v>
      </c>
      <c r="D59" s="5"/>
    </row>
    <row r="60" spans="1:4" x14ac:dyDescent="0.2">
      <c r="A60" s="5" t="s">
        <v>74</v>
      </c>
      <c r="B60" s="7" t="s">
        <v>35</v>
      </c>
      <c r="C60" s="8">
        <v>90</v>
      </c>
      <c r="D60" s="5"/>
    </row>
    <row r="61" spans="1:4" x14ac:dyDescent="0.2">
      <c r="A61" s="5" t="s">
        <v>74</v>
      </c>
      <c r="B61" s="7" t="s">
        <v>35</v>
      </c>
      <c r="C61" s="8">
        <v>90</v>
      </c>
      <c r="D61" s="5"/>
    </row>
    <row r="62" spans="1:4" x14ac:dyDescent="0.2">
      <c r="A62" s="5" t="s">
        <v>74</v>
      </c>
      <c r="B62" s="7" t="s">
        <v>36</v>
      </c>
      <c r="C62" s="8">
        <v>98.7</v>
      </c>
      <c r="D62" s="5"/>
    </row>
    <row r="63" spans="1:4" x14ac:dyDescent="0.2">
      <c r="A63" s="5" t="s">
        <v>74</v>
      </c>
      <c r="B63" s="7" t="s">
        <v>36</v>
      </c>
      <c r="C63" s="8">
        <v>98.7</v>
      </c>
      <c r="D63" s="5"/>
    </row>
    <row r="64" spans="1:4" x14ac:dyDescent="0.2">
      <c r="A64" s="5" t="s">
        <v>74</v>
      </c>
      <c r="B64" s="7" t="s">
        <v>37</v>
      </c>
      <c r="C64" s="8">
        <v>100</v>
      </c>
      <c r="D64" s="5"/>
    </row>
    <row r="65" spans="1:4" x14ac:dyDescent="0.2">
      <c r="A65" s="5" t="s">
        <v>74</v>
      </c>
      <c r="B65" s="7" t="s">
        <v>37</v>
      </c>
      <c r="C65" s="8">
        <v>100</v>
      </c>
      <c r="D65" s="5"/>
    </row>
    <row r="66" spans="1:4" x14ac:dyDescent="0.2">
      <c r="A66" s="5" t="s">
        <v>74</v>
      </c>
      <c r="B66" s="7" t="s">
        <v>38</v>
      </c>
      <c r="C66" s="8">
        <v>99</v>
      </c>
      <c r="D66" s="5"/>
    </row>
    <row r="67" spans="1:4" x14ac:dyDescent="0.2">
      <c r="A67" s="5" t="s">
        <v>74</v>
      </c>
      <c r="B67" s="7" t="s">
        <v>38</v>
      </c>
      <c r="C67" s="8">
        <v>99</v>
      </c>
      <c r="D67" s="5"/>
    </row>
    <row r="68" spans="1:4" x14ac:dyDescent="0.2">
      <c r="A68" s="5" t="s">
        <v>74</v>
      </c>
      <c r="B68" s="7" t="s">
        <v>39</v>
      </c>
      <c r="C68" s="8">
        <v>96</v>
      </c>
      <c r="D68" s="5"/>
    </row>
    <row r="69" spans="1:4" x14ac:dyDescent="0.2">
      <c r="A69" s="5" t="s">
        <v>74</v>
      </c>
      <c r="B69" s="7" t="s">
        <v>39</v>
      </c>
      <c r="C69" s="8">
        <v>96</v>
      </c>
      <c r="D69" s="5"/>
    </row>
    <row r="70" spans="1:4" x14ac:dyDescent="0.2">
      <c r="A70" s="5" t="s">
        <v>74</v>
      </c>
      <c r="B70" s="7" t="s">
        <v>40</v>
      </c>
      <c r="C70" s="8">
        <v>87.6</v>
      </c>
      <c r="D70" s="5"/>
    </row>
    <row r="71" spans="1:4" x14ac:dyDescent="0.2">
      <c r="A71" s="5" t="s">
        <v>74</v>
      </c>
      <c r="B71" s="7" t="s">
        <v>40</v>
      </c>
      <c r="C71" s="8">
        <v>87.6</v>
      </c>
      <c r="D71" s="5"/>
    </row>
    <row r="72" spans="1:4" x14ac:dyDescent="0.2">
      <c r="A72" s="5" t="s">
        <v>74</v>
      </c>
      <c r="B72" s="7" t="s">
        <v>41</v>
      </c>
      <c r="C72" s="8">
        <v>70.599999999999994</v>
      </c>
      <c r="D72" s="5"/>
    </row>
    <row r="73" spans="1:4" x14ac:dyDescent="0.2">
      <c r="A73" s="5" t="s">
        <v>74</v>
      </c>
      <c r="B73" s="7" t="s">
        <v>41</v>
      </c>
      <c r="C73" s="8">
        <v>70.599999999999994</v>
      </c>
      <c r="D73" s="5"/>
    </row>
    <row r="74" spans="1:4" x14ac:dyDescent="0.2">
      <c r="A74" s="5" t="s">
        <v>75</v>
      </c>
      <c r="B74" s="7" t="s">
        <v>35</v>
      </c>
      <c r="C74" s="8">
        <v>89</v>
      </c>
      <c r="D74" s="5"/>
    </row>
    <row r="75" spans="1:4" x14ac:dyDescent="0.2">
      <c r="A75" s="5" t="s">
        <v>75</v>
      </c>
      <c r="B75" s="7" t="s">
        <v>35</v>
      </c>
      <c r="C75" s="8">
        <v>89</v>
      </c>
      <c r="D75" s="5"/>
    </row>
    <row r="76" spans="1:4" x14ac:dyDescent="0.2">
      <c r="A76" s="5" t="s">
        <v>75</v>
      </c>
      <c r="B76" s="7" t="s">
        <v>36</v>
      </c>
      <c r="C76" s="8">
        <v>94.6</v>
      </c>
      <c r="D76" s="5"/>
    </row>
    <row r="77" spans="1:4" x14ac:dyDescent="0.2">
      <c r="A77" s="5" t="s">
        <v>75</v>
      </c>
      <c r="B77" s="7" t="s">
        <v>36</v>
      </c>
      <c r="C77" s="8">
        <v>94.6</v>
      </c>
      <c r="D77" s="5"/>
    </row>
    <row r="78" spans="1:4" x14ac:dyDescent="0.2">
      <c r="A78" s="5" t="s">
        <v>75</v>
      </c>
      <c r="B78" s="7" t="s">
        <v>37</v>
      </c>
      <c r="C78" s="8">
        <v>94.9</v>
      </c>
      <c r="D78" s="5"/>
    </row>
    <row r="79" spans="1:4" x14ac:dyDescent="0.2">
      <c r="A79" s="5" t="s">
        <v>75</v>
      </c>
      <c r="B79" s="7" t="s">
        <v>37</v>
      </c>
      <c r="C79" s="8">
        <v>94.9</v>
      </c>
      <c r="D79" s="5"/>
    </row>
    <row r="80" spans="1:4" x14ac:dyDescent="0.2">
      <c r="A80" s="5" t="s">
        <v>75</v>
      </c>
      <c r="B80" s="7" t="s">
        <v>38</v>
      </c>
      <c r="C80" s="8">
        <v>93.6</v>
      </c>
      <c r="D80" s="5"/>
    </row>
    <row r="81" spans="1:4" x14ac:dyDescent="0.2">
      <c r="A81" s="5" t="s">
        <v>75</v>
      </c>
      <c r="B81" s="7" t="s">
        <v>38</v>
      </c>
      <c r="C81" s="8">
        <v>93.6</v>
      </c>
      <c r="D81" s="5"/>
    </row>
    <row r="82" spans="1:4" x14ac:dyDescent="0.2">
      <c r="A82" s="5" t="s">
        <v>75</v>
      </c>
      <c r="B82" s="7" t="s">
        <v>39</v>
      </c>
      <c r="C82" s="8">
        <v>90.4</v>
      </c>
      <c r="D82" s="5"/>
    </row>
    <row r="83" spans="1:4" x14ac:dyDescent="0.2">
      <c r="A83" s="5" t="s">
        <v>75</v>
      </c>
      <c r="B83" s="7" t="s">
        <v>39</v>
      </c>
      <c r="C83" s="8">
        <v>90.4</v>
      </c>
      <c r="D83" s="5"/>
    </row>
    <row r="84" spans="1:4" x14ac:dyDescent="0.2">
      <c r="A84" s="5" t="s">
        <v>75</v>
      </c>
      <c r="B84" s="7" t="s">
        <v>40</v>
      </c>
      <c r="C84" s="8">
        <v>82.8</v>
      </c>
      <c r="D84" s="5"/>
    </row>
    <row r="85" spans="1:4" x14ac:dyDescent="0.2">
      <c r="A85" s="5" t="s">
        <v>75</v>
      </c>
      <c r="B85" s="7" t="s">
        <v>40</v>
      </c>
      <c r="C85" s="8">
        <v>82.8</v>
      </c>
      <c r="D85" s="5"/>
    </row>
    <row r="86" spans="1:4" x14ac:dyDescent="0.2">
      <c r="A86" s="5" t="s">
        <v>75</v>
      </c>
      <c r="B86" s="7" t="s">
        <v>41</v>
      </c>
      <c r="C86" s="8">
        <v>68.099999999999994</v>
      </c>
      <c r="D86" s="5"/>
    </row>
    <row r="87" spans="1:4" x14ac:dyDescent="0.2">
      <c r="A87" s="5" t="s">
        <v>75</v>
      </c>
      <c r="B87" s="7" t="s">
        <v>41</v>
      </c>
      <c r="C87" s="8">
        <v>68.099999999999994</v>
      </c>
      <c r="D87" s="5"/>
    </row>
    <row r="88" spans="1:4" x14ac:dyDescent="0.2">
      <c r="A88" s="5" t="s">
        <v>76</v>
      </c>
      <c r="B88" s="7" t="s">
        <v>35</v>
      </c>
      <c r="C88" s="8">
        <v>86.4</v>
      </c>
      <c r="D88" s="5"/>
    </row>
    <row r="89" spans="1:4" x14ac:dyDescent="0.2">
      <c r="A89" s="5" t="s">
        <v>76</v>
      </c>
      <c r="B89" s="7" t="s">
        <v>35</v>
      </c>
      <c r="C89" s="8">
        <v>86.4</v>
      </c>
      <c r="D89" s="5"/>
    </row>
    <row r="90" spans="1:4" x14ac:dyDescent="0.2">
      <c r="A90" s="5" t="s">
        <v>76</v>
      </c>
      <c r="B90" s="7" t="s">
        <v>36</v>
      </c>
      <c r="C90" s="8">
        <v>83.3</v>
      </c>
      <c r="D90" s="5"/>
    </row>
    <row r="91" spans="1:4" x14ac:dyDescent="0.2">
      <c r="A91" s="5" t="s">
        <v>76</v>
      </c>
      <c r="B91" s="7" t="s">
        <v>36</v>
      </c>
      <c r="C91" s="8">
        <v>83.3</v>
      </c>
      <c r="D91" s="5"/>
    </row>
    <row r="92" spans="1:4" x14ac:dyDescent="0.2">
      <c r="A92" s="5" t="s">
        <v>76</v>
      </c>
      <c r="B92" s="7" t="s">
        <v>37</v>
      </c>
      <c r="C92" s="8">
        <v>80.7</v>
      </c>
      <c r="D92" s="5"/>
    </row>
    <row r="93" spans="1:4" x14ac:dyDescent="0.2">
      <c r="A93" s="5" t="s">
        <v>76</v>
      </c>
      <c r="B93" s="7" t="s">
        <v>37</v>
      </c>
      <c r="C93" s="8">
        <v>80.7</v>
      </c>
      <c r="D93" s="5"/>
    </row>
    <row r="94" spans="1:4" x14ac:dyDescent="0.2">
      <c r="A94" s="5" t="s">
        <v>76</v>
      </c>
      <c r="B94" s="7" t="s">
        <v>38</v>
      </c>
      <c r="C94" s="8">
        <v>77.5</v>
      </c>
      <c r="D94" s="5"/>
    </row>
    <row r="95" spans="1:4" x14ac:dyDescent="0.2">
      <c r="A95" s="5" t="s">
        <v>76</v>
      </c>
      <c r="B95" s="7" t="s">
        <v>38</v>
      </c>
      <c r="C95" s="8">
        <v>77.5</v>
      </c>
      <c r="D95" s="5"/>
    </row>
    <row r="96" spans="1:4" x14ac:dyDescent="0.2">
      <c r="A96" s="5" t="s">
        <v>76</v>
      </c>
      <c r="B96" s="7" t="s">
        <v>39</v>
      </c>
      <c r="C96" s="8">
        <v>73.599999999999994</v>
      </c>
      <c r="D96" s="5"/>
    </row>
    <row r="97" spans="1:4" x14ac:dyDescent="0.2">
      <c r="A97" s="5" t="s">
        <v>76</v>
      </c>
      <c r="B97" s="7" t="s">
        <v>39</v>
      </c>
      <c r="C97" s="8">
        <v>73.599999999999994</v>
      </c>
      <c r="D97" s="5"/>
    </row>
    <row r="98" spans="1:4" x14ac:dyDescent="0.2">
      <c r="A98" s="5" t="s">
        <v>76</v>
      </c>
      <c r="B98" s="7" t="s">
        <v>40</v>
      </c>
      <c r="C98" s="8">
        <v>66.599999999999994</v>
      </c>
      <c r="D98" s="5"/>
    </row>
    <row r="99" spans="1:4" x14ac:dyDescent="0.2">
      <c r="A99" s="5" t="s">
        <v>76</v>
      </c>
      <c r="B99" s="7" t="s">
        <v>40</v>
      </c>
      <c r="C99" s="8">
        <v>66.599999999999994</v>
      </c>
      <c r="D99" s="5"/>
    </row>
    <row r="100" spans="1:4" x14ac:dyDescent="0.2">
      <c r="A100" s="5" t="s">
        <v>76</v>
      </c>
      <c r="B100" s="7" t="s">
        <v>41</v>
      </c>
      <c r="C100" s="8">
        <v>55.3</v>
      </c>
      <c r="D100" s="5"/>
    </row>
    <row r="101" spans="1:4" x14ac:dyDescent="0.2">
      <c r="A101" s="5" t="s">
        <v>76</v>
      </c>
      <c r="B101" s="7" t="s">
        <v>41</v>
      </c>
      <c r="C101" s="8">
        <v>55.3</v>
      </c>
      <c r="D101" s="5"/>
    </row>
    <row r="102" spans="1:4" x14ac:dyDescent="0.2">
      <c r="A102" s="5" t="s">
        <v>77</v>
      </c>
      <c r="B102" s="7" t="s">
        <v>35</v>
      </c>
      <c r="C102" s="8">
        <v>83.9</v>
      </c>
      <c r="D102" s="5"/>
    </row>
    <row r="103" spans="1:4" x14ac:dyDescent="0.2">
      <c r="A103" s="5" t="s">
        <v>77</v>
      </c>
      <c r="B103" s="7" t="s">
        <v>35</v>
      </c>
      <c r="C103" s="8">
        <v>83.9</v>
      </c>
      <c r="D103" s="5"/>
    </row>
    <row r="104" spans="1:4" x14ac:dyDescent="0.2">
      <c r="A104" s="5" t="s">
        <v>77</v>
      </c>
      <c r="B104" s="7" t="s">
        <v>36</v>
      </c>
      <c r="C104" s="8">
        <v>70.400000000000006</v>
      </c>
      <c r="D104" s="5"/>
    </row>
    <row r="105" spans="1:4" x14ac:dyDescent="0.2">
      <c r="A105" s="5" t="s">
        <v>77</v>
      </c>
      <c r="B105" s="7" t="s">
        <v>36</v>
      </c>
      <c r="C105" s="8">
        <v>70.400000000000006</v>
      </c>
      <c r="D105" s="5"/>
    </row>
    <row r="106" spans="1:4" x14ac:dyDescent="0.2">
      <c r="A106" s="5" t="s">
        <v>77</v>
      </c>
      <c r="B106" s="7" t="s">
        <v>37</v>
      </c>
      <c r="C106" s="8">
        <v>63.5</v>
      </c>
      <c r="D106" s="5"/>
    </row>
    <row r="107" spans="1:4" x14ac:dyDescent="0.2">
      <c r="A107" s="5" t="s">
        <v>77</v>
      </c>
      <c r="B107" s="7" t="s">
        <v>37</v>
      </c>
      <c r="C107" s="8">
        <v>63.5</v>
      </c>
      <c r="D107" s="5"/>
    </row>
    <row r="108" spans="1:4" x14ac:dyDescent="0.2">
      <c r="A108" s="5" t="s">
        <v>77</v>
      </c>
      <c r="B108" s="7" t="s">
        <v>38</v>
      </c>
      <c r="C108" s="8">
        <v>57.3</v>
      </c>
      <c r="D108" s="5"/>
    </row>
    <row r="109" spans="1:4" x14ac:dyDescent="0.2">
      <c r="A109" s="5" t="s">
        <v>77</v>
      </c>
      <c r="B109" s="7" t="s">
        <v>38</v>
      </c>
      <c r="C109" s="8">
        <v>57.3</v>
      </c>
      <c r="D109" s="5"/>
    </row>
    <row r="110" spans="1:4" x14ac:dyDescent="0.2">
      <c r="A110" s="5" t="s">
        <v>77</v>
      </c>
      <c r="B110" s="7" t="s">
        <v>39</v>
      </c>
      <c r="C110" s="8">
        <v>52.1</v>
      </c>
      <c r="D110" s="5"/>
    </row>
    <row r="111" spans="1:4" x14ac:dyDescent="0.2">
      <c r="A111" s="5" t="s">
        <v>77</v>
      </c>
      <c r="B111" s="7" t="s">
        <v>39</v>
      </c>
      <c r="C111" s="8">
        <v>52.1</v>
      </c>
      <c r="D111" s="5"/>
    </row>
    <row r="112" spans="1:4" x14ac:dyDescent="0.2">
      <c r="A112" s="5" t="s">
        <v>77</v>
      </c>
      <c r="B112" s="7" t="s">
        <v>40</v>
      </c>
      <c r="C112" s="8">
        <v>45.5</v>
      </c>
      <c r="D112" s="5"/>
    </row>
    <row r="113" spans="1:4" x14ac:dyDescent="0.2">
      <c r="A113" s="5" t="s">
        <v>77</v>
      </c>
      <c r="B113" s="7" t="s">
        <v>40</v>
      </c>
      <c r="C113" s="8">
        <v>45.5</v>
      </c>
      <c r="D113" s="5"/>
    </row>
    <row r="114" spans="1:4" x14ac:dyDescent="0.2">
      <c r="A114" s="5" t="s">
        <v>77</v>
      </c>
      <c r="B114" s="7" t="s">
        <v>41</v>
      </c>
      <c r="C114" s="8">
        <v>37.6</v>
      </c>
      <c r="D114" s="5"/>
    </row>
    <row r="115" spans="1:4" x14ac:dyDescent="0.2">
      <c r="A115" s="5" t="s">
        <v>77</v>
      </c>
      <c r="B115" s="7" t="s">
        <v>41</v>
      </c>
      <c r="C115" s="8">
        <v>37.6</v>
      </c>
      <c r="D115" s="5"/>
    </row>
    <row r="116" spans="1:4" x14ac:dyDescent="0.2">
      <c r="A116">
        <v>0</v>
      </c>
      <c r="B116">
        <v>0</v>
      </c>
      <c r="C116" s="8">
        <v>0</v>
      </c>
    </row>
    <row r="117" spans="1:4" x14ac:dyDescent="0.2">
      <c r="C117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0DFF-E606-A54A-9E25-2C95E70CD538}">
  <dimension ref="A2:I129"/>
  <sheetViews>
    <sheetView workbookViewId="0">
      <selection activeCell="D83" sqref="D83"/>
    </sheetView>
  </sheetViews>
  <sheetFormatPr baseColWidth="10" defaultRowHeight="16" x14ac:dyDescent="0.2"/>
  <cols>
    <col min="8" max="8" width="16.6640625" customWidth="1"/>
  </cols>
  <sheetData>
    <row r="2" spans="1:8" x14ac:dyDescent="0.2">
      <c r="G2" s="9"/>
    </row>
    <row r="3" spans="1:8" x14ac:dyDescent="0.2">
      <c r="A3" s="10"/>
      <c r="B3" s="1"/>
      <c r="G3" s="9"/>
    </row>
    <row r="4" spans="1:8" x14ac:dyDescent="0.2">
      <c r="G4" s="9"/>
    </row>
    <row r="5" spans="1:8" x14ac:dyDescent="0.2">
      <c r="A5" s="35"/>
      <c r="B5" s="36"/>
      <c r="C5" s="34"/>
      <c r="D5" s="34"/>
      <c r="E5" s="34"/>
      <c r="F5" s="34"/>
      <c r="G5" s="37"/>
      <c r="H5" s="34"/>
    </row>
    <row r="6" spans="1:8" x14ac:dyDescent="0.2">
      <c r="A6" s="35"/>
      <c r="B6" s="36"/>
      <c r="C6" s="34"/>
      <c r="D6" s="34"/>
      <c r="E6" s="34"/>
      <c r="F6" s="34"/>
      <c r="G6" s="37"/>
      <c r="H6" s="34"/>
    </row>
    <row r="7" spans="1:8" x14ac:dyDescent="0.2">
      <c r="A7" s="34"/>
      <c r="B7" s="34"/>
      <c r="C7" s="34"/>
      <c r="D7" s="34"/>
      <c r="E7" s="34"/>
      <c r="F7" s="34"/>
      <c r="G7" s="37"/>
      <c r="H7" s="34"/>
    </row>
    <row r="8" spans="1:8" x14ac:dyDescent="0.2">
      <c r="A8" s="34"/>
      <c r="B8" s="34"/>
      <c r="C8" s="34"/>
      <c r="D8" s="34"/>
      <c r="E8" s="34"/>
      <c r="F8" s="34"/>
      <c r="G8" s="37"/>
      <c r="H8" s="34"/>
    </row>
    <row r="9" spans="1:8" x14ac:dyDescent="0.2">
      <c r="A9" s="34"/>
      <c r="B9" s="34"/>
      <c r="C9" s="34"/>
      <c r="D9" s="34"/>
      <c r="E9" s="34"/>
      <c r="F9" s="34"/>
      <c r="G9" s="37"/>
      <c r="H9" s="34"/>
    </row>
    <row r="10" spans="1:8" x14ac:dyDescent="0.2">
      <c r="A10" s="35"/>
      <c r="B10" s="36"/>
      <c r="C10" s="34"/>
      <c r="D10" s="34"/>
      <c r="E10" s="34"/>
      <c r="F10" s="34"/>
      <c r="G10" s="37"/>
      <c r="H10" s="34"/>
    </row>
    <row r="11" spans="1:8" x14ac:dyDescent="0.2">
      <c r="A11" s="34"/>
      <c r="B11" s="34"/>
      <c r="C11" s="34"/>
      <c r="D11" s="34"/>
      <c r="E11" s="34"/>
      <c r="F11" s="34"/>
      <c r="G11" s="37"/>
      <c r="H11" s="34"/>
    </row>
    <row r="12" spans="1:8" x14ac:dyDescent="0.2">
      <c r="A12" s="34"/>
      <c r="B12" s="34"/>
      <c r="C12" s="34"/>
      <c r="D12" s="34"/>
      <c r="E12" s="34"/>
      <c r="F12" s="34"/>
      <c r="G12" s="37"/>
      <c r="H12" s="34"/>
    </row>
    <row r="13" spans="1:8" x14ac:dyDescent="0.2">
      <c r="A13" s="34"/>
      <c r="B13" s="34"/>
      <c r="C13" s="34"/>
      <c r="D13" s="34"/>
      <c r="E13" s="34"/>
      <c r="F13" s="34"/>
      <c r="G13" s="37"/>
      <c r="H13" s="34"/>
    </row>
    <row r="14" spans="1:8" x14ac:dyDescent="0.2">
      <c r="A14" s="10" t="s">
        <v>111</v>
      </c>
      <c r="B14" s="1" t="s">
        <v>112</v>
      </c>
      <c r="G14" s="9"/>
    </row>
    <row r="15" spans="1:8" x14ac:dyDescent="0.2">
      <c r="B15" t="s">
        <v>113</v>
      </c>
      <c r="D15" s="11">
        <v>0.34960000000000002</v>
      </c>
      <c r="E15" t="s">
        <v>114</v>
      </c>
      <c r="G15" s="9"/>
    </row>
    <row r="16" spans="1:8" x14ac:dyDescent="0.2">
      <c r="B16" t="s">
        <v>115</v>
      </c>
      <c r="D16" s="11">
        <v>0.2074</v>
      </c>
      <c r="E16" t="s">
        <v>114</v>
      </c>
      <c r="G16" s="9"/>
    </row>
    <row r="17" spans="1:9" x14ac:dyDescent="0.2">
      <c r="B17" t="s">
        <v>116</v>
      </c>
      <c r="D17" s="11">
        <v>9.3399999999999997E-2</v>
      </c>
      <c r="E17" t="s">
        <v>114</v>
      </c>
      <c r="G17" s="9"/>
    </row>
    <row r="18" spans="1:9" x14ac:dyDescent="0.2">
      <c r="B18" t="s">
        <v>117</v>
      </c>
      <c r="D18" s="11">
        <v>9.1200000000000003E-2</v>
      </c>
      <c r="E18" t="s">
        <v>114</v>
      </c>
      <c r="G18" s="9"/>
    </row>
    <row r="19" spans="1:9" x14ac:dyDescent="0.2">
      <c r="B19" t="s">
        <v>118</v>
      </c>
      <c r="D19" s="11">
        <v>9.8330000000000001E-2</v>
      </c>
      <c r="E19" t="s">
        <v>114</v>
      </c>
      <c r="G19" s="9"/>
    </row>
    <row r="20" spans="1:9" x14ac:dyDescent="0.2">
      <c r="B20" t="s">
        <v>119</v>
      </c>
      <c r="D20" s="11">
        <v>7.893E-2</v>
      </c>
      <c r="E20" t="s">
        <v>114</v>
      </c>
      <c r="G20" s="9"/>
    </row>
    <row r="21" spans="1:9" x14ac:dyDescent="0.2">
      <c r="A21" s="10" t="s">
        <v>120</v>
      </c>
      <c r="B21" s="1" t="s">
        <v>121</v>
      </c>
      <c r="F21" t="s">
        <v>122</v>
      </c>
      <c r="G21" s="9"/>
      <c r="H21" s="38" t="str">
        <f>'calculation-sheet'!B18</f>
        <v>bis 31.01.2024</v>
      </c>
    </row>
    <row r="22" spans="1:9" x14ac:dyDescent="0.2">
      <c r="A22" s="10"/>
      <c r="B22" t="s">
        <v>123</v>
      </c>
      <c r="D22" s="11">
        <v>0.2</v>
      </c>
      <c r="E22" t="s">
        <v>124</v>
      </c>
      <c r="G22" s="9"/>
    </row>
    <row r="23" spans="1:9" x14ac:dyDescent="0.2">
      <c r="A23" s="10"/>
      <c r="B23" t="s">
        <v>125</v>
      </c>
      <c r="D23" s="13">
        <f>(IF(D91&lt;10,HLOOKUP(H21,D24:I28,3,0),0)+IF(AND(D91&lt;40,D91&gt;=10),HLOOKUP(H21,D24:I28,4,0),0)+IF(AND(D91&lt;=100,D91&gt;=40),HLOOKUP(H21,D24:I28,5,0),0))/100</f>
        <v>8.199999999999999E-2</v>
      </c>
      <c r="E23" t="s">
        <v>114</v>
      </c>
      <c r="G23" s="9"/>
    </row>
    <row r="24" spans="1:9" ht="34" x14ac:dyDescent="0.2">
      <c r="A24" s="10"/>
      <c r="D24" s="14" t="s">
        <v>205</v>
      </c>
      <c r="E24" s="14" t="s">
        <v>206</v>
      </c>
      <c r="F24" s="14" t="s">
        <v>207</v>
      </c>
      <c r="G24" s="14" t="s">
        <v>208</v>
      </c>
      <c r="H24" s="14" t="s">
        <v>209</v>
      </c>
      <c r="I24" s="14" t="s">
        <v>210</v>
      </c>
    </row>
    <row r="25" spans="1:9" x14ac:dyDescent="0.2">
      <c r="A25" s="10"/>
      <c r="B25" t="s">
        <v>126</v>
      </c>
      <c r="C25" t="s">
        <v>127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</row>
    <row r="26" spans="1:9" x14ac:dyDescent="0.2">
      <c r="A26" s="10"/>
      <c r="B26" t="s">
        <v>129</v>
      </c>
      <c r="C26" s="11">
        <v>8.6</v>
      </c>
      <c r="D26" s="11">
        <v>8.1999999999999993</v>
      </c>
      <c r="E26" s="15">
        <f>C26*0.99-0.4</f>
        <v>8.113999999999999</v>
      </c>
      <c r="F26" s="15">
        <f>C26*0.99^2-0.4</f>
        <v>8.0288599999999999</v>
      </c>
      <c r="G26" s="15">
        <f>C26*0.99^3-0.4</f>
        <v>7.9445713999999992</v>
      </c>
      <c r="H26" s="15">
        <f>C26*0.99^4-0.4</f>
        <v>7.8611256859999994</v>
      </c>
      <c r="I26" s="15">
        <f>C26*0.99^5-0.4</f>
        <v>7.7785144291399977</v>
      </c>
    </row>
    <row r="27" spans="1:9" x14ac:dyDescent="0.2">
      <c r="A27" s="10"/>
      <c r="B27" t="s">
        <v>130</v>
      </c>
      <c r="C27" s="11">
        <v>7.5</v>
      </c>
      <c r="D27" s="11">
        <v>7.1</v>
      </c>
      <c r="E27" s="15">
        <f t="shared" ref="E27:E28" si="0">C27*0.99-0.4</f>
        <v>7.0249999999999995</v>
      </c>
      <c r="F27" s="15">
        <f t="shared" ref="F27:F28" si="1">C27*0.99^2-0.4</f>
        <v>6.9507499999999993</v>
      </c>
      <c r="G27" s="15">
        <f t="shared" ref="G27:G28" si="2">C27*0.99^3-0.4</f>
        <v>6.8772424999999986</v>
      </c>
      <c r="H27" s="15">
        <f t="shared" ref="H27:H28" si="3">C27*0.99^4-0.4</f>
        <v>6.8044700749999993</v>
      </c>
      <c r="I27" s="15">
        <f t="shared" ref="I27:I28" si="4">C27*0.99^5-0.4</f>
        <v>6.7324253742499991</v>
      </c>
    </row>
    <row r="28" spans="1:9" x14ac:dyDescent="0.2">
      <c r="A28" s="10"/>
      <c r="B28" t="s">
        <v>131</v>
      </c>
      <c r="C28" s="11">
        <v>6.2</v>
      </c>
      <c r="D28" s="11">
        <v>5.8</v>
      </c>
      <c r="E28" s="15">
        <f t="shared" si="0"/>
        <v>5.7379999999999995</v>
      </c>
      <c r="F28" s="15">
        <f t="shared" si="1"/>
        <v>5.6766199999999998</v>
      </c>
      <c r="G28" s="15">
        <f t="shared" si="2"/>
        <v>5.6158537999999991</v>
      </c>
      <c r="H28" s="15">
        <f t="shared" si="3"/>
        <v>5.5556952619999995</v>
      </c>
      <c r="I28" s="15">
        <f t="shared" si="4"/>
        <v>5.4961383093799991</v>
      </c>
    </row>
    <row r="29" spans="1:9" x14ac:dyDescent="0.2">
      <c r="A29" s="10"/>
      <c r="B29" t="s">
        <v>132</v>
      </c>
      <c r="D29" s="11">
        <v>0.08</v>
      </c>
      <c r="E29" t="s">
        <v>114</v>
      </c>
      <c r="G29" s="9"/>
    </row>
    <row r="30" spans="1:9" x14ac:dyDescent="0.2">
      <c r="G30" s="9"/>
    </row>
    <row r="31" spans="1:9" x14ac:dyDescent="0.2">
      <c r="A31" s="10" t="s">
        <v>133</v>
      </c>
      <c r="B31" s="1" t="s">
        <v>134</v>
      </c>
      <c r="D31" s="16">
        <v>0.05</v>
      </c>
      <c r="G31" s="9"/>
    </row>
    <row r="32" spans="1:9" x14ac:dyDescent="0.2">
      <c r="G32" s="9"/>
    </row>
    <row r="33" spans="1:9" x14ac:dyDescent="0.2">
      <c r="G33" s="9"/>
    </row>
    <row r="34" spans="1:9" x14ac:dyDescent="0.2">
      <c r="G34" s="9"/>
    </row>
    <row r="35" spans="1:9" x14ac:dyDescent="0.2">
      <c r="G35" s="9"/>
    </row>
    <row r="36" spans="1:9" x14ac:dyDescent="0.2">
      <c r="G36" s="9"/>
    </row>
    <row r="37" spans="1:9" x14ac:dyDescent="0.2">
      <c r="A37" s="10" t="s">
        <v>135</v>
      </c>
      <c r="B37" s="1" t="s">
        <v>136</v>
      </c>
      <c r="D37" s="17"/>
      <c r="G37" s="9"/>
    </row>
    <row r="38" spans="1:9" x14ac:dyDescent="0.2">
      <c r="A38" s="9"/>
      <c r="D38" s="17"/>
      <c r="G38" s="9"/>
    </row>
    <row r="39" spans="1:9" x14ac:dyDescent="0.2">
      <c r="A39" s="10" t="s">
        <v>137</v>
      </c>
      <c r="B39" s="1" t="s">
        <v>138</v>
      </c>
      <c r="D39" s="18">
        <f>D40+D49+D59+D68</f>
        <v>5166.6666666666679</v>
      </c>
      <c r="E39" t="s">
        <v>79</v>
      </c>
      <c r="F39" s="1" t="s">
        <v>139</v>
      </c>
      <c r="G39" s="9"/>
      <c r="I39" s="3"/>
    </row>
    <row r="40" spans="1:9" x14ac:dyDescent="0.2">
      <c r="A40" s="10" t="s">
        <v>140</v>
      </c>
      <c r="B40" s="1" t="s">
        <v>141</v>
      </c>
      <c r="C40" t="s">
        <v>142</v>
      </c>
      <c r="D40" s="18">
        <f>IF(G40=0,0,D41+D45*G40+D46+D47+D48)</f>
        <v>5166.6666666666679</v>
      </c>
      <c r="E40" t="s">
        <v>79</v>
      </c>
      <c r="F40" t="s">
        <v>143</v>
      </c>
      <c r="G40" s="19">
        <f>'calculation-sheet'!B7</f>
        <v>30</v>
      </c>
      <c r="H40" t="s">
        <v>144</v>
      </c>
      <c r="I40" s="3" t="s">
        <v>145</v>
      </c>
    </row>
    <row r="41" spans="1:9" x14ac:dyDescent="0.2">
      <c r="A41" s="9"/>
      <c r="B41" t="s">
        <v>146</v>
      </c>
      <c r="C41" s="9"/>
      <c r="D41" s="18">
        <f>IF(G40&gt;20,(D42+D43)*G40+D44,D42*G40+1600+D44)</f>
        <v>6766.666666666667</v>
      </c>
      <c r="E41" t="s">
        <v>79</v>
      </c>
      <c r="F41" t="s">
        <v>32</v>
      </c>
      <c r="G41" s="19" t="str">
        <f>'calculation-sheet'!B8</f>
        <v>Süd</v>
      </c>
      <c r="I41" s="3" t="s">
        <v>147</v>
      </c>
    </row>
    <row r="42" spans="1:9" x14ac:dyDescent="0.2">
      <c r="A42" s="9"/>
      <c r="C42" s="20" t="s">
        <v>148</v>
      </c>
      <c r="D42" s="21">
        <v>125</v>
      </c>
      <c r="E42" t="s">
        <v>149</v>
      </c>
      <c r="F42" t="s">
        <v>33</v>
      </c>
      <c r="G42" s="19" t="str">
        <f>'calculation-sheet'!B9</f>
        <v>25°</v>
      </c>
      <c r="H42" t="s">
        <v>150</v>
      </c>
    </row>
    <row r="43" spans="1:9" x14ac:dyDescent="0.2">
      <c r="A43" s="9"/>
      <c r="C43" s="20" t="s">
        <v>151</v>
      </c>
      <c r="D43" s="21">
        <v>80</v>
      </c>
      <c r="E43" t="s">
        <v>149</v>
      </c>
      <c r="G43" s="9"/>
    </row>
    <row r="44" spans="1:9" x14ac:dyDescent="0.2">
      <c r="A44" s="9"/>
      <c r="C44" s="20" t="s">
        <v>152</v>
      </c>
      <c r="D44" s="21">
        <f>IF($D$91&lt;=3,450, IF($D$91&lt;=6,[1]Hilfstabelle!$C$30,IF($D$91&lt;=9,[1]Hilfstabelle!$C$31, IF($D$91&lt;=15,[1]Hilfstabelle!$C$32,2000))))</f>
        <v>616.66666666666663</v>
      </c>
      <c r="E44" t="s">
        <v>79</v>
      </c>
      <c r="G44" s="9"/>
    </row>
    <row r="45" spans="1:9" x14ac:dyDescent="0.2">
      <c r="A45" s="9"/>
      <c r="B45" t="s">
        <v>153</v>
      </c>
      <c r="D45" s="21">
        <v>40</v>
      </c>
      <c r="E45" t="s">
        <v>149</v>
      </c>
      <c r="G45" s="9"/>
    </row>
    <row r="46" spans="1:9" x14ac:dyDescent="0.2">
      <c r="A46" s="9"/>
      <c r="B46" t="s">
        <v>154</v>
      </c>
      <c r="D46" s="21">
        <v>2000</v>
      </c>
      <c r="E46" t="s">
        <v>79</v>
      </c>
      <c r="G46" s="9"/>
    </row>
    <row r="47" spans="1:9" x14ac:dyDescent="0.2">
      <c r="A47" s="9"/>
      <c r="B47" t="s">
        <v>155</v>
      </c>
      <c r="D47" s="21">
        <v>0</v>
      </c>
      <c r="E47" t="s">
        <v>79</v>
      </c>
      <c r="G47" s="9"/>
    </row>
    <row r="48" spans="1:9" x14ac:dyDescent="0.2">
      <c r="A48" s="9"/>
      <c r="B48" t="s">
        <v>156</v>
      </c>
      <c r="D48" s="22">
        <f>-IF('calculation-sheet'!B2="Bestand",0,160*G40)</f>
        <v>-4800</v>
      </c>
      <c r="E48" t="s">
        <v>79</v>
      </c>
      <c r="G48" s="9"/>
    </row>
    <row r="49" spans="1:8" x14ac:dyDescent="0.2">
      <c r="A49" s="10" t="s">
        <v>157</v>
      </c>
      <c r="B49" s="1" t="s">
        <v>158</v>
      </c>
      <c r="C49" t="s">
        <v>142</v>
      </c>
      <c r="D49" s="18">
        <f>IF(G49=0,0,D50+D55*G49+D56+D57+D58)</f>
        <v>0</v>
      </c>
      <c r="E49" t="s">
        <v>79</v>
      </c>
      <c r="F49" t="s">
        <v>143</v>
      </c>
      <c r="G49" s="19">
        <f>'calculation-sheet'!B10</f>
        <v>0</v>
      </c>
      <c r="H49" t="s">
        <v>144</v>
      </c>
    </row>
    <row r="50" spans="1:8" x14ac:dyDescent="0.2">
      <c r="A50" s="9"/>
      <c r="B50" t="s">
        <v>146</v>
      </c>
      <c r="C50" s="9"/>
      <c r="D50" s="18">
        <f>(D51+D52)*G49+D53+D54</f>
        <v>616.66666666666663</v>
      </c>
      <c r="E50" t="s">
        <v>79</v>
      </c>
      <c r="F50" t="s">
        <v>32</v>
      </c>
      <c r="G50" s="19" t="str">
        <f>'calculation-sheet'!B11</f>
        <v>Süd</v>
      </c>
    </row>
    <row r="51" spans="1:8" x14ac:dyDescent="0.2">
      <c r="A51" s="9"/>
      <c r="C51" s="20" t="s">
        <v>148</v>
      </c>
      <c r="D51" s="21">
        <v>480</v>
      </c>
      <c r="E51" t="s">
        <v>149</v>
      </c>
      <c r="F51" t="s">
        <v>33</v>
      </c>
      <c r="G51" s="19" t="str">
        <f>'calculation-sheet'!B12</f>
        <v>35°</v>
      </c>
      <c r="H51" t="s">
        <v>150</v>
      </c>
    </row>
    <row r="52" spans="1:8" x14ac:dyDescent="0.2">
      <c r="A52" s="9"/>
      <c r="C52" s="20" t="s">
        <v>151</v>
      </c>
      <c r="D52" s="21">
        <v>0</v>
      </c>
      <c r="E52" t="s">
        <v>149</v>
      </c>
      <c r="G52" s="9"/>
    </row>
    <row r="53" spans="1:8" x14ac:dyDescent="0.2">
      <c r="A53" s="10"/>
      <c r="C53" s="20" t="s">
        <v>152</v>
      </c>
      <c r="D53" s="21">
        <f>IF($D$91&lt;=3,450, IF($D$91&lt;=6,[1]Hilfstabelle!$C$30,IF($D$91&lt;=9,[1]Hilfstabelle!$C$31, IF($D$91&lt;=15,[1]Hilfstabelle!$C$32,2000))))</f>
        <v>616.66666666666663</v>
      </c>
      <c r="E53" t="s">
        <v>79</v>
      </c>
      <c r="G53" s="9"/>
    </row>
    <row r="54" spans="1:8" x14ac:dyDescent="0.2">
      <c r="A54" s="10"/>
      <c r="C54" s="20" t="s">
        <v>159</v>
      </c>
      <c r="D54" s="21">
        <f>IF('calculation-sheet'!B2="Bestand",11000, 0)</f>
        <v>0</v>
      </c>
      <c r="E54" t="s">
        <v>79</v>
      </c>
      <c r="G54" s="9"/>
    </row>
    <row r="55" spans="1:8" x14ac:dyDescent="0.2">
      <c r="A55" s="9"/>
      <c r="B55" t="s">
        <v>153</v>
      </c>
      <c r="D55" s="21">
        <v>65</v>
      </c>
      <c r="E55" t="s">
        <v>149</v>
      </c>
      <c r="G55" s="9"/>
    </row>
    <row r="56" spans="1:8" x14ac:dyDescent="0.2">
      <c r="A56" s="9"/>
      <c r="B56" t="s">
        <v>154</v>
      </c>
      <c r="D56" s="21">
        <f>2000+IF('calculation-sheet'!B2="Bestand",3000,0)</f>
        <v>2000</v>
      </c>
      <c r="E56" t="s">
        <v>79</v>
      </c>
      <c r="G56" s="9"/>
    </row>
    <row r="57" spans="1:8" x14ac:dyDescent="0.2">
      <c r="A57" s="9"/>
      <c r="B57" t="s">
        <v>155</v>
      </c>
      <c r="D57" s="21">
        <f>(D50+D56+D55*G49)*10/90</f>
        <v>290.7407407407407</v>
      </c>
      <c r="E57" t="s">
        <v>79</v>
      </c>
      <c r="G57" s="9"/>
    </row>
    <row r="58" spans="1:8" x14ac:dyDescent="0.2">
      <c r="A58" s="9"/>
      <c r="B58" t="s">
        <v>156</v>
      </c>
      <c r="D58" s="22">
        <f>-IF('calculation-sheet'!B2="Bestand",0,160*G49)</f>
        <v>0</v>
      </c>
      <c r="E58" t="s">
        <v>79</v>
      </c>
      <c r="G58" s="9"/>
    </row>
    <row r="59" spans="1:8" x14ac:dyDescent="0.2">
      <c r="A59" s="10" t="s">
        <v>160</v>
      </c>
      <c r="B59" s="1" t="s">
        <v>141</v>
      </c>
      <c r="C59" t="s">
        <v>161</v>
      </c>
      <c r="D59" s="18">
        <f>IF(G59=0,0,D60+D64*G59+D65+D66+D67)</f>
        <v>0</v>
      </c>
      <c r="E59" t="s">
        <v>79</v>
      </c>
      <c r="F59" t="s">
        <v>143</v>
      </c>
      <c r="G59" s="19">
        <f>'calculation-sheet'!B13</f>
        <v>0</v>
      </c>
      <c r="H59" t="s">
        <v>144</v>
      </c>
    </row>
    <row r="60" spans="1:8" x14ac:dyDescent="0.2">
      <c r="A60" s="9"/>
      <c r="B60" t="s">
        <v>146</v>
      </c>
      <c r="C60" s="9"/>
      <c r="D60" s="18">
        <f>IF(G59&gt;20,(D61+D62)*G59+D63,D61*G59 + 3200 + D63)</f>
        <v>3816.6666666666665</v>
      </c>
      <c r="E60" t="s">
        <v>79</v>
      </c>
      <c r="F60" t="s">
        <v>32</v>
      </c>
      <c r="G60" s="19" t="str">
        <f>'calculation-sheet'!B14</f>
        <v>Süd</v>
      </c>
    </row>
    <row r="61" spans="1:8" x14ac:dyDescent="0.2">
      <c r="A61" s="9"/>
      <c r="C61" s="20" t="s">
        <v>148</v>
      </c>
      <c r="D61" s="21">
        <v>250</v>
      </c>
      <c r="E61" t="s">
        <v>149</v>
      </c>
      <c r="F61" t="s">
        <v>33</v>
      </c>
      <c r="G61" s="23" t="s">
        <v>41</v>
      </c>
      <c r="H61" t="s">
        <v>150</v>
      </c>
    </row>
    <row r="62" spans="1:8" x14ac:dyDescent="0.2">
      <c r="A62" s="9"/>
      <c r="C62" s="20" t="s">
        <v>151</v>
      </c>
      <c r="D62" s="21">
        <v>160</v>
      </c>
      <c r="E62" t="s">
        <v>149</v>
      </c>
      <c r="G62" s="9"/>
    </row>
    <row r="63" spans="1:8" x14ac:dyDescent="0.2">
      <c r="A63" s="9"/>
      <c r="C63" s="20" t="s">
        <v>152</v>
      </c>
      <c r="D63" s="21">
        <f>IF($D$91&lt;=3,450, IF($D$91&lt;=6,[1]Hilfstabelle!$C$30,IF($D$91&lt;=9,[1]Hilfstabelle!$C$31, IF($D$91&lt;=15,[1]Hilfstabelle!$C$32,2000))))</f>
        <v>616.66666666666663</v>
      </c>
      <c r="E63" t="s">
        <v>79</v>
      </c>
      <c r="G63" s="9"/>
    </row>
    <row r="64" spans="1:8" x14ac:dyDescent="0.2">
      <c r="A64" s="9"/>
      <c r="B64" t="s">
        <v>153</v>
      </c>
      <c r="D64" s="21">
        <v>80</v>
      </c>
      <c r="E64" t="s">
        <v>149</v>
      </c>
      <c r="G64" s="9"/>
    </row>
    <row r="65" spans="1:8" x14ac:dyDescent="0.2">
      <c r="A65" s="9"/>
      <c r="B65" t="s">
        <v>154</v>
      </c>
      <c r="D65" s="21">
        <v>2000</v>
      </c>
      <c r="E65" t="s">
        <v>79</v>
      </c>
      <c r="G65" s="9"/>
    </row>
    <row r="66" spans="1:8" x14ac:dyDescent="0.2">
      <c r="A66" s="9"/>
      <c r="B66" t="s">
        <v>155</v>
      </c>
      <c r="D66" s="21">
        <v>0</v>
      </c>
      <c r="E66" t="s">
        <v>79</v>
      </c>
      <c r="G66" s="9"/>
    </row>
    <row r="67" spans="1:8" x14ac:dyDescent="0.2">
      <c r="A67" s="9"/>
      <c r="B67" t="s">
        <v>156</v>
      </c>
      <c r="D67" s="22">
        <f>-IF('calculation-sheet'!B2="Bestand",0,190*G59)</f>
        <v>0</v>
      </c>
      <c r="E67" t="s">
        <v>79</v>
      </c>
      <c r="G67" s="9"/>
    </row>
    <row r="68" spans="1:8" x14ac:dyDescent="0.2">
      <c r="A68" s="10" t="s">
        <v>162</v>
      </c>
      <c r="B68" s="1" t="s">
        <v>158</v>
      </c>
      <c r="C68" t="s">
        <v>161</v>
      </c>
      <c r="D68" s="18">
        <f>IF(G68=0,0,D69+D74*G68+D75+D76+D77)</f>
        <v>0</v>
      </c>
      <c r="E68" t="s">
        <v>79</v>
      </c>
      <c r="F68" s="5" t="s">
        <v>143</v>
      </c>
      <c r="G68" s="24">
        <f>'calculation-sheet'!B15</f>
        <v>0</v>
      </c>
      <c r="H68" s="5" t="s">
        <v>144</v>
      </c>
    </row>
    <row r="69" spans="1:8" x14ac:dyDescent="0.2">
      <c r="A69" s="9"/>
      <c r="B69" t="s">
        <v>146</v>
      </c>
      <c r="C69" s="9"/>
      <c r="D69" s="18">
        <f>(D70+D71)*G68+D72+D73</f>
        <v>616.66666666666663</v>
      </c>
      <c r="E69" t="s">
        <v>79</v>
      </c>
      <c r="F69" s="5" t="s">
        <v>32</v>
      </c>
      <c r="G69" s="24" t="str">
        <f>'calculation-sheet'!B16</f>
        <v>Süd</v>
      </c>
      <c r="H69" s="5"/>
    </row>
    <row r="70" spans="1:8" x14ac:dyDescent="0.2">
      <c r="A70" s="9"/>
      <c r="C70" s="20" t="s">
        <v>148</v>
      </c>
      <c r="D70" s="21">
        <v>750</v>
      </c>
      <c r="E70" t="s">
        <v>149</v>
      </c>
      <c r="F70" s="5" t="s">
        <v>33</v>
      </c>
      <c r="G70" s="23" t="s">
        <v>41</v>
      </c>
      <c r="H70" s="5" t="s">
        <v>150</v>
      </c>
    </row>
    <row r="71" spans="1:8" x14ac:dyDescent="0.2">
      <c r="A71" s="9"/>
      <c r="C71" s="20" t="s">
        <v>151</v>
      </c>
      <c r="D71" s="21">
        <v>0</v>
      </c>
      <c r="E71" t="s">
        <v>149</v>
      </c>
      <c r="G71" s="9"/>
    </row>
    <row r="72" spans="1:8" x14ac:dyDescent="0.2">
      <c r="A72" s="10"/>
      <c r="C72" s="20" t="s">
        <v>152</v>
      </c>
      <c r="D72" s="21">
        <f>IF($D$91&lt;=3,450, IF($D$91&lt;=6,[1]Hilfstabelle!$C$30,IF($D$91&lt;=9,[1]Hilfstabelle!$C$31, IF($D$91&lt;=15,[1]Hilfstabelle!$C$32,2000))))</f>
        <v>616.66666666666663</v>
      </c>
      <c r="E72" t="s">
        <v>79</v>
      </c>
      <c r="G72" s="9"/>
    </row>
    <row r="73" spans="1:8" x14ac:dyDescent="0.2">
      <c r="A73" s="10"/>
      <c r="C73" s="20" t="s">
        <v>159</v>
      </c>
      <c r="D73" s="21">
        <f>IF('calculation-sheet'!B2="Bestand",11000, 0)</f>
        <v>0</v>
      </c>
      <c r="E73" t="s">
        <v>79</v>
      </c>
      <c r="G73" s="9"/>
    </row>
    <row r="74" spans="1:8" x14ac:dyDescent="0.2">
      <c r="A74" s="9"/>
      <c r="B74" t="s">
        <v>153</v>
      </c>
      <c r="D74" s="21">
        <v>130</v>
      </c>
      <c r="E74" t="s">
        <v>149</v>
      </c>
      <c r="G74" s="9"/>
    </row>
    <row r="75" spans="1:8" x14ac:dyDescent="0.2">
      <c r="A75" s="9"/>
      <c r="B75" t="s">
        <v>154</v>
      </c>
      <c r="D75" s="21">
        <f>2000+IF('calculation-sheet'!B2="Bestand",3000,0)</f>
        <v>2000</v>
      </c>
      <c r="E75" t="s">
        <v>79</v>
      </c>
      <c r="G75" s="9"/>
    </row>
    <row r="76" spans="1:8" x14ac:dyDescent="0.2">
      <c r="A76" s="9"/>
      <c r="B76" t="s">
        <v>155</v>
      </c>
      <c r="D76" s="21">
        <f>(D69+D75+D74*G68)*10/90</f>
        <v>290.7407407407407</v>
      </c>
      <c r="E76" t="s">
        <v>79</v>
      </c>
      <c r="G76" s="9"/>
    </row>
    <row r="77" spans="1:8" x14ac:dyDescent="0.2">
      <c r="A77" s="9"/>
      <c r="B77" t="s">
        <v>156</v>
      </c>
      <c r="D77" s="22">
        <f>-IF('calculation-sheet'!B2="Bestand",0,190*G68)</f>
        <v>0</v>
      </c>
      <c r="E77" t="s">
        <v>79</v>
      </c>
      <c r="G77" s="9"/>
    </row>
    <row r="78" spans="1:8" x14ac:dyDescent="0.2">
      <c r="A78" s="9"/>
      <c r="D78" s="25"/>
      <c r="G78" s="9"/>
    </row>
    <row r="79" spans="1:8" x14ac:dyDescent="0.2">
      <c r="A79" s="9"/>
      <c r="D79" s="17"/>
      <c r="G79" s="9"/>
    </row>
    <row r="80" spans="1:8" x14ac:dyDescent="0.2">
      <c r="A80" s="10" t="s">
        <v>163</v>
      </c>
      <c r="B80" s="1" t="s">
        <v>164</v>
      </c>
      <c r="D80" s="26"/>
      <c r="F80" s="27"/>
      <c r="G80" s="3"/>
    </row>
    <row r="81" spans="1:8" x14ac:dyDescent="0.2">
      <c r="A81" s="9" t="s">
        <v>165</v>
      </c>
      <c r="B81" t="s">
        <v>166</v>
      </c>
      <c r="D81" s="21">
        <v>100</v>
      </c>
      <c r="E81" t="s">
        <v>167</v>
      </c>
      <c r="G81" s="9"/>
    </row>
    <row r="82" spans="1:8" x14ac:dyDescent="0.2">
      <c r="A82" s="9" t="s">
        <v>168</v>
      </c>
      <c r="B82" s="28" t="s">
        <v>169</v>
      </c>
      <c r="C82" s="28"/>
      <c r="D82" s="11">
        <v>2</v>
      </c>
      <c r="E82" s="29" t="s">
        <v>170</v>
      </c>
      <c r="F82" t="s">
        <v>171</v>
      </c>
      <c r="G82" s="9"/>
    </row>
    <row r="83" spans="1:8" x14ac:dyDescent="0.2">
      <c r="A83" s="9" t="s">
        <v>172</v>
      </c>
      <c r="B83" s="28" t="s">
        <v>173</v>
      </c>
      <c r="C83" s="28"/>
      <c r="D83" s="21">
        <f>IF(D91&gt;11,D91*18,200)</f>
        <v>200</v>
      </c>
      <c r="E83" t="s">
        <v>174</v>
      </c>
      <c r="F83" t="s">
        <v>175</v>
      </c>
      <c r="G83" s="30"/>
    </row>
    <row r="84" spans="1:8" x14ac:dyDescent="0.2">
      <c r="A84" s="9" t="s">
        <v>176</v>
      </c>
      <c r="B84" t="s">
        <v>177</v>
      </c>
      <c r="D84" s="21">
        <f>D44</f>
        <v>616.66666666666663</v>
      </c>
      <c r="E84" t="s">
        <v>178</v>
      </c>
      <c r="F84" t="s">
        <v>179</v>
      </c>
      <c r="G84" s="9"/>
    </row>
    <row r="85" spans="1:8" x14ac:dyDescent="0.2">
      <c r="A85" s="9"/>
      <c r="D85" s="25"/>
      <c r="G85" s="9"/>
    </row>
    <row r="86" spans="1:8" x14ac:dyDescent="0.2">
      <c r="A86" s="9"/>
      <c r="D86" s="25"/>
      <c r="G86" s="9"/>
    </row>
    <row r="87" spans="1:8" x14ac:dyDescent="0.2">
      <c r="A87" s="9"/>
      <c r="D87" s="17"/>
      <c r="G87" s="9"/>
    </row>
    <row r="88" spans="1:8" x14ac:dyDescent="0.2">
      <c r="A88" s="10"/>
      <c r="B88" s="1"/>
      <c r="D88" s="17"/>
      <c r="G88" s="9"/>
    </row>
    <row r="89" spans="1:8" x14ac:dyDescent="0.2">
      <c r="A89" s="10"/>
      <c r="B89" s="1" t="s">
        <v>180</v>
      </c>
      <c r="D89" s="17"/>
      <c r="G89" s="9"/>
    </row>
    <row r="90" spans="1:8" x14ac:dyDescent="0.2">
      <c r="A90" s="9"/>
      <c r="B90" t="s">
        <v>181</v>
      </c>
      <c r="C90" t="s">
        <v>182</v>
      </c>
      <c r="D90" s="31">
        <f>G40+G49+G59+G68</f>
        <v>30</v>
      </c>
      <c r="E90" t="s">
        <v>144</v>
      </c>
      <c r="G90" s="9"/>
    </row>
    <row r="91" spans="1:8" x14ac:dyDescent="0.2">
      <c r="A91" s="9"/>
      <c r="D91" s="31">
        <f>D90*D22</f>
        <v>6</v>
      </c>
      <c r="E91" t="s">
        <v>183</v>
      </c>
      <c r="G91" s="9"/>
    </row>
    <row r="92" spans="1:8" x14ac:dyDescent="0.2">
      <c r="A92" s="10"/>
      <c r="B92" s="1"/>
      <c r="D92" s="17"/>
      <c r="G92" s="9"/>
    </row>
    <row r="93" spans="1:8" x14ac:dyDescent="0.2">
      <c r="A93" s="29"/>
    </row>
    <row r="94" spans="1:8" x14ac:dyDescent="0.2">
      <c r="A94" s="29" t="s">
        <v>184</v>
      </c>
      <c r="B94" t="s">
        <v>185</v>
      </c>
    </row>
    <row r="95" spans="1:8" x14ac:dyDescent="0.2">
      <c r="A95" s="39"/>
      <c r="B95" s="34"/>
      <c r="C95" s="34"/>
      <c r="D95" s="40"/>
      <c r="E95" s="34"/>
      <c r="F95" t="s">
        <v>186</v>
      </c>
      <c r="H95" s="12">
        <f>'calculation-sheet'!B17</f>
        <v>0</v>
      </c>
    </row>
    <row r="96" spans="1:8" x14ac:dyDescent="0.2">
      <c r="A96" s="34"/>
      <c r="B96" s="34"/>
      <c r="C96" s="34"/>
      <c r="D96" s="34"/>
      <c r="E96" s="34"/>
    </row>
    <row r="97" spans="1:9" x14ac:dyDescent="0.2">
      <c r="A97" s="34"/>
      <c r="B97" s="34"/>
      <c r="C97" s="34"/>
      <c r="D97" s="40"/>
      <c r="E97" s="34"/>
    </row>
    <row r="99" spans="1:9" x14ac:dyDescent="0.2">
      <c r="B99" t="s">
        <v>187</v>
      </c>
      <c r="D99" s="32">
        <f>IF(D91&lt;15,5000,13000)</f>
        <v>5000</v>
      </c>
    </row>
    <row r="100" spans="1:9" x14ac:dyDescent="0.2">
      <c r="G100" s="9"/>
    </row>
    <row r="101" spans="1:9" x14ac:dyDescent="0.2">
      <c r="G101" s="9"/>
    </row>
    <row r="102" spans="1:9" x14ac:dyDescent="0.2">
      <c r="A102" s="9" t="s">
        <v>188</v>
      </c>
      <c r="B102" t="s">
        <v>189</v>
      </c>
      <c r="F102" t="s">
        <v>190</v>
      </c>
      <c r="G102" s="9"/>
      <c r="H102" s="12">
        <f>'calculation-sheet'!B19</f>
        <v>0</v>
      </c>
    </row>
    <row r="103" spans="1:9" x14ac:dyDescent="0.2">
      <c r="B103" t="s">
        <v>191</v>
      </c>
      <c r="D103" s="11" t="str">
        <f>IF(AND(H95="ja",H102="ja",H103="ja"),"erfüllt","keine Förderung")</f>
        <v>keine Förderung</v>
      </c>
      <c r="F103" t="s">
        <v>192</v>
      </c>
      <c r="G103" s="9"/>
      <c r="H103" s="12">
        <f>'calculation-sheet'!B20</f>
        <v>0</v>
      </c>
    </row>
    <row r="104" spans="1:9" x14ac:dyDescent="0.2">
      <c r="G104" s="9"/>
    </row>
    <row r="105" spans="1:9" x14ac:dyDescent="0.2">
      <c r="B105" t="s">
        <v>193</v>
      </c>
      <c r="D105" s="33">
        <f>-(600+IF(D91&gt;10,6000,600*D91)+IF(D91&gt;15,3000,250*8))</f>
        <v>-6200</v>
      </c>
      <c r="G105" s="9"/>
    </row>
    <row r="106" spans="1:9" x14ac:dyDescent="0.2">
      <c r="G106" s="9"/>
    </row>
    <row r="107" spans="1:9" x14ac:dyDescent="0.2">
      <c r="B107" t="s">
        <v>194</v>
      </c>
      <c r="D107" s="11"/>
      <c r="G107" s="9"/>
    </row>
    <row r="108" spans="1:9" x14ac:dyDescent="0.2">
      <c r="G108" s="9"/>
    </row>
    <row r="111" spans="1:9" x14ac:dyDescent="0.2">
      <c r="A111" s="34"/>
      <c r="B111" s="34"/>
      <c r="C111" s="34"/>
      <c r="D111" s="34"/>
      <c r="E111" s="34"/>
      <c r="F111" s="34"/>
      <c r="G111" s="37"/>
      <c r="H111" s="34"/>
      <c r="I111" s="34"/>
    </row>
    <row r="112" spans="1:9" x14ac:dyDescent="0.2">
      <c r="A112" s="34"/>
      <c r="B112" s="34"/>
      <c r="C112" s="34"/>
      <c r="D112" s="34"/>
      <c r="E112" s="34"/>
      <c r="F112" s="34"/>
      <c r="G112" s="34"/>
      <c r="H112" s="34"/>
      <c r="I112" s="34"/>
    </row>
    <row r="113" spans="1:9" x14ac:dyDescent="0.2">
      <c r="A113" s="34"/>
      <c r="B113" s="34"/>
      <c r="C113" s="34"/>
      <c r="D113" s="34"/>
      <c r="E113" s="34"/>
      <c r="F113" s="34"/>
      <c r="G113" s="34"/>
      <c r="H113" s="34"/>
      <c r="I113" s="34"/>
    </row>
    <row r="114" spans="1:9" x14ac:dyDescent="0.2">
      <c r="A114" s="34"/>
      <c r="B114" s="34"/>
      <c r="C114" s="34"/>
      <c r="D114" s="34"/>
      <c r="E114" s="34"/>
      <c r="F114" s="34"/>
      <c r="G114" s="34"/>
      <c r="H114" s="34"/>
      <c r="I114" s="34"/>
    </row>
    <row r="115" spans="1:9" x14ac:dyDescent="0.2">
      <c r="A115" s="34"/>
      <c r="B115" s="34"/>
      <c r="C115" s="34"/>
      <c r="D115" s="34"/>
      <c r="E115" s="34"/>
      <c r="F115" s="34"/>
      <c r="G115" s="34"/>
      <c r="H115" s="34"/>
      <c r="I115" s="34"/>
    </row>
    <row r="116" spans="1:9" x14ac:dyDescent="0.2">
      <c r="A116" s="34"/>
      <c r="B116" s="34"/>
      <c r="C116" s="34"/>
      <c r="D116" s="34"/>
      <c r="E116" s="34"/>
      <c r="F116" s="34"/>
      <c r="G116" s="34"/>
      <c r="H116" s="34"/>
      <c r="I116" s="34"/>
    </row>
    <row r="117" spans="1:9" x14ac:dyDescent="0.2">
      <c r="A117" s="34"/>
      <c r="B117" s="34"/>
      <c r="C117" s="34"/>
      <c r="D117" s="34"/>
      <c r="E117" s="34"/>
      <c r="F117" s="34"/>
      <c r="G117" s="34"/>
      <c r="H117" s="34"/>
      <c r="I117" s="34"/>
    </row>
    <row r="118" spans="1:9" x14ac:dyDescent="0.2">
      <c r="A118" s="34"/>
      <c r="B118" s="34"/>
      <c r="C118" s="34"/>
      <c r="D118" s="34"/>
      <c r="E118" s="34"/>
      <c r="F118" s="34"/>
      <c r="G118" s="34"/>
      <c r="H118" s="34"/>
      <c r="I118" s="34"/>
    </row>
    <row r="119" spans="1:9" x14ac:dyDescent="0.2">
      <c r="A119" s="34"/>
      <c r="B119" s="34"/>
      <c r="C119" s="34"/>
      <c r="D119" s="34"/>
      <c r="E119" s="34"/>
      <c r="F119" s="34"/>
      <c r="G119" s="34"/>
      <c r="H119" s="34"/>
      <c r="I119" s="34"/>
    </row>
    <row r="120" spans="1:9" x14ac:dyDescent="0.2">
      <c r="A120" s="34"/>
      <c r="B120" s="34"/>
      <c r="C120" s="34"/>
      <c r="D120" s="34"/>
      <c r="E120" s="34"/>
      <c r="F120" s="34"/>
      <c r="G120" s="34"/>
      <c r="H120" s="34"/>
      <c r="I120" s="34"/>
    </row>
    <row r="121" spans="1:9" x14ac:dyDescent="0.2">
      <c r="A121" s="34"/>
      <c r="B121" s="34"/>
      <c r="C121" s="34"/>
      <c r="D121" s="34"/>
      <c r="E121" s="34"/>
      <c r="F121" s="34"/>
      <c r="G121" s="34"/>
      <c r="H121" s="34"/>
      <c r="I121" s="34"/>
    </row>
    <row r="122" spans="1:9" x14ac:dyDescent="0.2">
      <c r="A122" s="34"/>
      <c r="B122" s="34"/>
      <c r="C122" s="34"/>
      <c r="D122" s="34"/>
      <c r="E122" s="34"/>
      <c r="F122" s="34"/>
      <c r="G122" s="34"/>
      <c r="H122" s="34"/>
      <c r="I122" s="34"/>
    </row>
    <row r="123" spans="1:9" x14ac:dyDescent="0.2">
      <c r="A123" s="34"/>
      <c r="B123" s="34"/>
      <c r="C123" s="34"/>
      <c r="D123" s="34"/>
      <c r="E123" s="34"/>
      <c r="F123" s="34"/>
      <c r="G123" s="34"/>
      <c r="H123" s="34"/>
      <c r="I123" s="34"/>
    </row>
    <row r="124" spans="1:9" x14ac:dyDescent="0.2">
      <c r="A124" s="34"/>
      <c r="B124" s="34"/>
      <c r="C124" s="34"/>
      <c r="D124" s="34"/>
      <c r="E124" s="34"/>
      <c r="F124" s="34"/>
      <c r="G124" s="34"/>
      <c r="H124" s="34"/>
      <c r="I124" s="34"/>
    </row>
    <row r="125" spans="1:9" x14ac:dyDescent="0.2">
      <c r="A125" s="34"/>
      <c r="B125" s="34"/>
      <c r="C125" s="34"/>
      <c r="D125" s="34"/>
      <c r="E125" s="34"/>
      <c r="F125" s="34"/>
      <c r="G125" s="34"/>
      <c r="H125" s="34"/>
      <c r="I125" s="34"/>
    </row>
    <row r="126" spans="1:9" x14ac:dyDescent="0.2">
      <c r="A126" s="34"/>
      <c r="B126" s="34"/>
      <c r="C126" s="34"/>
      <c r="D126" s="34"/>
      <c r="E126" s="34"/>
      <c r="F126" s="34"/>
      <c r="G126" s="34"/>
      <c r="H126" s="34"/>
      <c r="I126" s="34"/>
    </row>
    <row r="127" spans="1:9" x14ac:dyDescent="0.2">
      <c r="A127" s="34"/>
      <c r="B127" s="34"/>
      <c r="C127" s="34"/>
      <c r="D127" s="34"/>
      <c r="E127" s="34"/>
      <c r="F127" s="34"/>
      <c r="G127" s="34"/>
      <c r="H127" s="34"/>
      <c r="I127" s="34"/>
    </row>
    <row r="128" spans="1:9" x14ac:dyDescent="0.2">
      <c r="A128" s="34"/>
      <c r="B128" s="34"/>
      <c r="C128" s="34"/>
      <c r="D128" s="34"/>
      <c r="E128" s="34"/>
      <c r="F128" s="34"/>
      <c r="G128" s="34"/>
      <c r="H128" s="34"/>
      <c r="I128" s="34"/>
    </row>
    <row r="129" spans="1:1" x14ac:dyDescent="0.2">
      <c r="A129" s="29"/>
    </row>
  </sheetData>
  <mergeCells count="2">
    <mergeCell ref="B82:C82"/>
    <mergeCell ref="B83:C8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33"/>
  <sheetViews>
    <sheetView tabSelected="1" workbookViewId="0">
      <selection activeCell="I23" sqref="I23"/>
    </sheetView>
  </sheetViews>
  <sheetFormatPr baseColWidth="10" defaultRowHeight="16" x14ac:dyDescent="0.2"/>
  <cols>
    <col min="1" max="1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78</v>
      </c>
      <c r="B2" t="s">
        <v>79</v>
      </c>
      <c r="D2" s="46">
        <f>'calculation-sheet'!B48</f>
        <v>5166.6666666666679</v>
      </c>
    </row>
    <row r="3" spans="1:4" x14ac:dyDescent="0.2">
      <c r="A3" t="s">
        <v>82</v>
      </c>
      <c r="B3" t="s">
        <v>79</v>
      </c>
      <c r="D3" s="46">
        <f>'calculation-sheet'!B49</f>
        <v>-5166.6666666666679</v>
      </c>
    </row>
    <row r="4" spans="1:4" x14ac:dyDescent="0.2">
      <c r="A4" t="s">
        <v>80</v>
      </c>
      <c r="B4" t="s">
        <v>79</v>
      </c>
      <c r="D4" s="46">
        <f>'calculation-sheet'!B50</f>
        <v>-5071.4285714285725</v>
      </c>
    </row>
    <row r="5" spans="1:4" x14ac:dyDescent="0.2">
      <c r="A5" t="s">
        <v>81</v>
      </c>
      <c r="B5" t="s">
        <v>79</v>
      </c>
      <c r="D5" s="46">
        <f>'calculation-sheet'!B51</f>
        <v>-4926.3038548752847</v>
      </c>
    </row>
    <row r="6" spans="1:4" x14ac:dyDescent="0.2">
      <c r="A6" t="s">
        <v>83</v>
      </c>
      <c r="B6" t="s">
        <v>79</v>
      </c>
      <c r="D6" s="46">
        <f>'calculation-sheet'!B52</f>
        <v>-4667.1525753158421</v>
      </c>
    </row>
    <row r="7" spans="1:4" x14ac:dyDescent="0.2">
      <c r="A7" t="s">
        <v>84</v>
      </c>
      <c r="B7" t="s">
        <v>79</v>
      </c>
      <c r="D7" s="46">
        <f>'calculation-sheet'!B53</f>
        <v>-4535.5201793491406</v>
      </c>
    </row>
    <row r="8" spans="1:4" x14ac:dyDescent="0.2">
      <c r="A8" t="s">
        <v>85</v>
      </c>
      <c r="B8" t="s">
        <v>79</v>
      </c>
      <c r="D8" s="46">
        <f>'calculation-sheet'!B54</f>
        <v>-4457.1675627022951</v>
      </c>
    </row>
    <row r="9" spans="1:4" x14ac:dyDescent="0.2">
      <c r="A9" t="s">
        <v>86</v>
      </c>
      <c r="B9" t="s">
        <v>79</v>
      </c>
      <c r="D9" s="46">
        <f>'calculation-sheet'!B55</f>
        <v>-4188.5300199131088</v>
      </c>
    </row>
    <row r="10" spans="1:4" x14ac:dyDescent="0.2">
      <c r="A10" t="s">
        <v>87</v>
      </c>
      <c r="B10" t="s">
        <v>79</v>
      </c>
      <c r="D10" s="46">
        <f>'calculation-sheet'!B56</f>
        <v>-4117.4618869000969</v>
      </c>
    </row>
    <row r="11" spans="1:4" x14ac:dyDescent="0.2">
      <c r="A11" t="s">
        <v>88</v>
      </c>
      <c r="B11" t="s">
        <v>79</v>
      </c>
      <c r="D11" s="46">
        <f>'calculation-sheet'!B57</f>
        <v>-4009.167588975507</v>
      </c>
    </row>
    <row r="12" spans="1:4" x14ac:dyDescent="0.2">
      <c r="A12" t="s">
        <v>89</v>
      </c>
      <c r="B12" t="s">
        <v>79</v>
      </c>
      <c r="D12" s="46">
        <f>'calculation-sheet'!B58</f>
        <v>-3815.7849141101678</v>
      </c>
    </row>
    <row r="13" spans="1:4" x14ac:dyDescent="0.2">
      <c r="A13" t="s">
        <v>90</v>
      </c>
      <c r="B13" t="s">
        <v>79</v>
      </c>
      <c r="D13" s="46">
        <f>'calculation-sheet'!B59</f>
        <v>-3717.5587935436465</v>
      </c>
    </row>
    <row r="14" spans="1:4" x14ac:dyDescent="0.2">
      <c r="A14" t="s">
        <v>91</v>
      </c>
      <c r="B14" t="s">
        <v>79</v>
      </c>
      <c r="D14" s="46">
        <f>'calculation-sheet'!B60</f>
        <v>-3659.0908646350026</v>
      </c>
    </row>
    <row r="15" spans="1:4" x14ac:dyDescent="0.2">
      <c r="A15" t="s">
        <v>92</v>
      </c>
      <c r="B15" t="s">
        <v>79</v>
      </c>
      <c r="D15" s="46">
        <f>'calculation-sheet'!B61</f>
        <v>-3458.6293940910814</v>
      </c>
    </row>
    <row r="16" spans="1:4" x14ac:dyDescent="0.2">
      <c r="A16" t="s">
        <v>93</v>
      </c>
      <c r="B16" t="s">
        <v>79</v>
      </c>
      <c r="D16" s="46">
        <f>'calculation-sheet'!B62</f>
        <v>-3078.5657594619533</v>
      </c>
    </row>
    <row r="17" spans="1:4" x14ac:dyDescent="0.2">
      <c r="A17" t="s">
        <v>94</v>
      </c>
      <c r="B17" t="s">
        <v>79</v>
      </c>
      <c r="D17" s="46">
        <f>'calculation-sheet'!B63</f>
        <v>-2997.7548869826705</v>
      </c>
    </row>
    <row r="18" spans="1:4" x14ac:dyDescent="0.2">
      <c r="A18" t="s">
        <v>95</v>
      </c>
      <c r="B18" t="s">
        <v>79</v>
      </c>
      <c r="D18" s="46">
        <f>'calculation-sheet'!B64</f>
        <v>-2853.4497575553796</v>
      </c>
    </row>
    <row r="19" spans="1:4" x14ac:dyDescent="0.2">
      <c r="A19" t="s">
        <v>96</v>
      </c>
      <c r="B19" t="s">
        <v>79</v>
      </c>
      <c r="D19" s="46">
        <f>'calculation-sheet'!B65</f>
        <v>-2780.1519140367554</v>
      </c>
    </row>
    <row r="20" spans="1:4" x14ac:dyDescent="0.2">
      <c r="A20" t="s">
        <v>97</v>
      </c>
      <c r="B20" t="s">
        <v>79</v>
      </c>
      <c r="D20" s="46">
        <f>'calculation-sheet'!B66</f>
        <v>-2736.5222452756698</v>
      </c>
    </row>
    <row r="21" spans="1:4" x14ac:dyDescent="0.2">
      <c r="A21" t="s">
        <v>98</v>
      </c>
      <c r="B21" t="s">
        <v>79</v>
      </c>
      <c r="D21" s="46">
        <f>'calculation-sheet'!B67</f>
        <v>-2586.9348095233759</v>
      </c>
    </row>
    <row r="22" spans="1:4" x14ac:dyDescent="0.2">
      <c r="A22" t="s">
        <v>99</v>
      </c>
      <c r="B22" t="s">
        <v>79</v>
      </c>
      <c r="D22" s="46">
        <f>'calculation-sheet'!B68</f>
        <v>-2547.3614138217108</v>
      </c>
    </row>
    <row r="23" spans="1:4" x14ac:dyDescent="0.2">
      <c r="A23" t="s">
        <v>100</v>
      </c>
      <c r="B23" t="s">
        <v>79</v>
      </c>
      <c r="D23" s="46">
        <f>'calculation-sheet'!B69</f>
        <v>-2487.0590965620308</v>
      </c>
    </row>
    <row r="24" spans="1:4" x14ac:dyDescent="0.2">
      <c r="A24" t="s">
        <v>101</v>
      </c>
      <c r="B24" t="s">
        <v>79</v>
      </c>
      <c r="D24" s="46">
        <f>'calculation-sheet'!B70</f>
        <v>-2379.3763871697452</v>
      </c>
    </row>
    <row r="25" spans="1:4" x14ac:dyDescent="0.2">
      <c r="A25" t="s">
        <v>102</v>
      </c>
      <c r="B25" t="s">
        <v>79</v>
      </c>
      <c r="D25" s="46">
        <f>'calculation-sheet'!B71</f>
        <v>-2324.6804077958855</v>
      </c>
    </row>
    <row r="26" spans="1:4" x14ac:dyDescent="0.2">
      <c r="A26" t="s">
        <v>103</v>
      </c>
      <c r="B26" t="s">
        <v>79</v>
      </c>
      <c r="D26" s="46">
        <f>'calculation-sheet'!B72</f>
        <v>-2292.123277216207</v>
      </c>
    </row>
    <row r="27" spans="1:4" x14ac:dyDescent="0.2">
      <c r="A27" t="s">
        <v>104</v>
      </c>
      <c r="B27" t="s">
        <v>79</v>
      </c>
      <c r="D27" s="46">
        <f>'calculation-sheet'!B73</f>
        <v>-2180.4988295144531</v>
      </c>
    </row>
    <row r="28" spans="1:4" x14ac:dyDescent="0.2">
      <c r="A28" t="s">
        <v>105</v>
      </c>
      <c r="B28" t="s">
        <v>79</v>
      </c>
      <c r="D28" s="46">
        <f>'calculation-sheet'!B74</f>
        <v>-1968.8651764643903</v>
      </c>
    </row>
    <row r="29" spans="1:4" x14ac:dyDescent="0.2">
      <c r="A29" t="s">
        <v>106</v>
      </c>
      <c r="B29" t="s">
        <v>79</v>
      </c>
      <c r="D29" s="46">
        <f>'calculation-sheet'!B75</f>
        <v>-1923.8666588723504</v>
      </c>
    </row>
    <row r="30" spans="1:4" x14ac:dyDescent="0.2">
      <c r="A30" t="s">
        <v>107</v>
      </c>
      <c r="B30" t="s">
        <v>79</v>
      </c>
      <c r="D30" s="46">
        <f>'calculation-sheet'!B76</f>
        <v>-1843.5121631722791</v>
      </c>
    </row>
    <row r="31" spans="1:4" x14ac:dyDescent="0.2">
      <c r="A31" t="s">
        <v>108</v>
      </c>
      <c r="B31" t="s">
        <v>79</v>
      </c>
      <c r="D31" s="46">
        <f>'calculation-sheet'!B77</f>
        <v>-1802.6971812293857</v>
      </c>
    </row>
    <row r="32" spans="1:4" x14ac:dyDescent="0.2">
      <c r="A32" t="s">
        <v>109</v>
      </c>
      <c r="B32" t="s">
        <v>79</v>
      </c>
      <c r="D32" s="46">
        <f>'calculation-sheet'!B78</f>
        <v>-1778.4025491205207</v>
      </c>
    </row>
    <row r="33" spans="1:4" x14ac:dyDescent="0.2">
      <c r="A33" t="s">
        <v>110</v>
      </c>
      <c r="B33" t="s">
        <v>79</v>
      </c>
      <c r="D33" s="46">
        <f>'calculation-sheet'!B79</f>
        <v>-1695.1066676044118</v>
      </c>
    </row>
  </sheetData>
  <phoneticPr fontId="6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viktor-input-sheet</vt:lpstr>
      <vt:lpstr>calculation-sheet</vt:lpstr>
      <vt:lpstr>calculation-sheet2</vt:lpstr>
      <vt:lpstr>calculation-sheet3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2023-09-29T08:17:27Z</dcterms:modified>
</cp:coreProperties>
</file>