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8_{CF98C39C-59F0-834B-9E03-EBA4D519D335}" xr6:coauthVersionLast="47" xr6:coauthVersionMax="47" xr10:uidLastSave="{00000000-0000-0000-0000-000000000000}"/>
  <bookViews>
    <workbookView xWindow="25600" yWindow="0" windowWidth="38400" windowHeight="21600" activeTab="2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5" i="6" l="1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11" i="6"/>
  <c r="D111" i="6"/>
  <c r="L66" i="6" s="1"/>
  <c r="E195" i="6"/>
  <c r="D2" i="6"/>
  <c r="D3" i="6"/>
  <c r="D4" i="6"/>
  <c r="D5" i="6"/>
  <c r="D6" i="6"/>
  <c r="D7" i="6"/>
  <c r="D10" i="6"/>
  <c r="G69" i="6" s="1"/>
  <c r="G60" i="6"/>
  <c r="E204" i="6" l="1"/>
  <c r="C228" i="6" s="1"/>
  <c r="G119" i="6"/>
  <c r="G120" i="6"/>
  <c r="G122" i="6"/>
  <c r="D8" i="6"/>
  <c r="G61" i="6" s="1"/>
  <c r="E176" i="6" s="1" a="1"/>
  <c r="E176" i="6" s="1"/>
  <c r="D9" i="6"/>
  <c r="G62" i="6" s="1"/>
  <c r="D11" i="6"/>
  <c r="G70" i="6" s="1"/>
  <c r="D12" i="6"/>
  <c r="G71" i="6" s="1"/>
  <c r="D13" i="6"/>
  <c r="G79" i="6" s="1"/>
  <c r="D14" i="6"/>
  <c r="G80" i="6" s="1"/>
  <c r="D15" i="6"/>
  <c r="G88" i="6" s="1"/>
  <c r="D16" i="6"/>
  <c r="G89" i="6" s="1"/>
  <c r="D17" i="6"/>
  <c r="H153" i="6" s="1"/>
  <c r="D153" i="6" s="1"/>
  <c r="E192" i="6" s="1"/>
  <c r="D18" i="6"/>
  <c r="D19" i="6"/>
  <c r="H160" i="6" s="1"/>
  <c r="D20" i="6"/>
  <c r="H161" i="6" s="1"/>
  <c r="G121" i="6"/>
  <c r="D122" i="6" s="1"/>
  <c r="C230" i="6" l="1"/>
  <c r="C222" i="6"/>
  <c r="C240" i="6"/>
  <c r="C218" i="6"/>
  <c r="C234" i="6"/>
  <c r="C216" i="6"/>
  <c r="C212" i="6"/>
  <c r="E179" i="6" a="1"/>
  <c r="E179" i="6" s="1"/>
  <c r="E178" i="6" a="1"/>
  <c r="E178" i="6" s="1"/>
  <c r="D161" i="6" l="1"/>
  <c r="D97" i="6"/>
  <c r="D87" i="6"/>
  <c r="D78" i="6"/>
  <c r="D68" i="6"/>
  <c r="D95" i="6"/>
  <c r="D76" i="6"/>
  <c r="E177" i="6" l="1"/>
  <c r="D93" i="6"/>
  <c r="D74" i="6"/>
  <c r="H32" i="6" l="1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D124" i="6" l="1"/>
  <c r="E189" i="6" l="1"/>
  <c r="D110" i="6"/>
  <c r="E205" i="6" s="1"/>
  <c r="C213" i="6" l="1"/>
  <c r="C219" i="6"/>
  <c r="C227" i="6"/>
  <c r="C233" i="6"/>
  <c r="C215" i="6"/>
  <c r="C221" i="6"/>
  <c r="C237" i="6"/>
  <c r="C225" i="6"/>
  <c r="C231" i="6"/>
  <c r="C239" i="6"/>
  <c r="E203" i="6"/>
  <c r="C27" i="6"/>
  <c r="C137" i="6"/>
  <c r="C136" i="6"/>
  <c r="C135" i="6"/>
  <c r="C134" i="6"/>
  <c r="L68" i="6" l="1"/>
  <c r="L67" i="6"/>
  <c r="D103" i="6"/>
  <c r="E206" i="6" s="1"/>
  <c r="D157" i="6"/>
  <c r="D163" i="6"/>
  <c r="D130" i="6"/>
  <c r="E188" i="6" s="1"/>
  <c r="E193" i="6" s="1"/>
  <c r="E194" i="6" l="1"/>
  <c r="E200" i="6" s="1"/>
  <c r="E202" i="6"/>
  <c r="C238" i="6"/>
  <c r="C226" i="6"/>
  <c r="C220" i="6"/>
  <c r="C232" i="6"/>
  <c r="C214" i="6"/>
  <c r="C235" i="6"/>
  <c r="C217" i="6"/>
  <c r="C229" i="6"/>
  <c r="C241" i="6"/>
  <c r="C223" i="6"/>
  <c r="E187" i="6"/>
  <c r="D92" i="6"/>
  <c r="D89" i="6" s="1"/>
  <c r="D73" i="6"/>
  <c r="D70" i="6" s="1"/>
  <c r="D77" i="6" s="1"/>
  <c r="D69" i="6" s="1"/>
  <c r="D64" i="6"/>
  <c r="D61" i="6" s="1"/>
  <c r="D60" i="6" s="1"/>
  <c r="D83" i="6"/>
  <c r="D96" i="6" l="1"/>
  <c r="D88" i="6" s="1"/>
  <c r="D80" i="6"/>
  <c r="D79" i="6" s="1"/>
  <c r="D104" i="6"/>
  <c r="E207" i="6" s="1"/>
  <c r="E201" i="6" l="1"/>
  <c r="D59" i="6"/>
  <c r="C211" i="6" s="1"/>
  <c r="C236" i="6"/>
  <c r="C224" i="6"/>
  <c r="D275" i="6" l="1"/>
  <c r="D33" i="11" s="1"/>
  <c r="D211" i="6"/>
  <c r="F211" i="6" s="1"/>
  <c r="G211" i="6" s="1"/>
  <c r="B237" i="6"/>
  <c r="D237" i="6" s="1"/>
  <c r="F237" i="6" s="1"/>
  <c r="B239" i="6"/>
  <c r="D239" i="6" s="1"/>
  <c r="F239" i="6" s="1"/>
  <c r="B241" i="6"/>
  <c r="D241" i="6" s="1"/>
  <c r="F241" i="6" s="1"/>
  <c r="B238" i="6"/>
  <c r="D238" i="6" s="1"/>
  <c r="F238" i="6" s="1"/>
  <c r="B236" i="6"/>
  <c r="D236" i="6" s="1"/>
  <c r="F236" i="6" s="1"/>
  <c r="B233" i="6"/>
  <c r="D233" i="6" s="1"/>
  <c r="F233" i="6" s="1"/>
  <c r="B235" i="6"/>
  <c r="D235" i="6" s="1"/>
  <c r="F235" i="6" s="1"/>
  <c r="B232" i="6"/>
  <c r="D232" i="6" s="1"/>
  <c r="F232" i="6" s="1"/>
  <c r="B240" i="6"/>
  <c r="D240" i="6" s="1"/>
  <c r="F240" i="6" s="1"/>
  <c r="B234" i="6"/>
  <c r="D234" i="6" s="1"/>
  <c r="F234" i="6" s="1"/>
  <c r="B222" i="6"/>
  <c r="D222" i="6" s="1"/>
  <c r="F222" i="6" s="1"/>
  <c r="B224" i="6"/>
  <c r="D224" i="6" s="1"/>
  <c r="F224" i="6" s="1"/>
  <c r="B223" i="6"/>
  <c r="D223" i="6" s="1"/>
  <c r="F223" i="6" s="1"/>
  <c r="B229" i="6"/>
  <c r="D229" i="6" s="1"/>
  <c r="F229" i="6" s="1"/>
  <c r="B227" i="6"/>
  <c r="D227" i="6" s="1"/>
  <c r="F227" i="6" s="1"/>
  <c r="B226" i="6"/>
  <c r="D226" i="6" s="1"/>
  <c r="F226" i="6" s="1"/>
  <c r="B231" i="6"/>
  <c r="D231" i="6" s="1"/>
  <c r="F231" i="6" s="1"/>
  <c r="B228" i="6"/>
  <c r="D228" i="6" s="1"/>
  <c r="F228" i="6" s="1"/>
  <c r="B212" i="6"/>
  <c r="D212" i="6" s="1"/>
  <c r="F212" i="6" s="1"/>
  <c r="B214" i="6"/>
  <c r="D214" i="6" s="1"/>
  <c r="F214" i="6" s="1"/>
  <c r="B216" i="6"/>
  <c r="D216" i="6" s="1"/>
  <c r="F216" i="6" s="1"/>
  <c r="B215" i="6"/>
  <c r="D215" i="6" s="1"/>
  <c r="F215" i="6" s="1"/>
  <c r="B218" i="6"/>
  <c r="D218" i="6" s="1"/>
  <c r="F218" i="6" s="1"/>
  <c r="B220" i="6"/>
  <c r="D220" i="6" s="1"/>
  <c r="F220" i="6" s="1"/>
  <c r="B225" i="6"/>
  <c r="D225" i="6" s="1"/>
  <c r="F225" i="6" s="1"/>
  <c r="B219" i="6"/>
  <c r="D219" i="6" s="1"/>
  <c r="F219" i="6" s="1"/>
  <c r="B230" i="6"/>
  <c r="D230" i="6" s="1"/>
  <c r="F230" i="6" s="1"/>
  <c r="B217" i="6"/>
  <c r="D217" i="6" s="1"/>
  <c r="F217" i="6" s="1"/>
  <c r="B213" i="6"/>
  <c r="D213" i="6" s="1"/>
  <c r="F213" i="6" s="1"/>
  <c r="B221" i="6"/>
  <c r="D221" i="6" s="1"/>
  <c r="F221" i="6" s="1"/>
  <c r="G212" i="6" l="1"/>
  <c r="D244" i="6"/>
  <c r="D2" i="11" s="1"/>
  <c r="D245" i="6" l="1"/>
  <c r="D3" i="11"/>
  <c r="G213" i="6"/>
  <c r="D246" i="6" l="1"/>
  <c r="D4" i="11" s="1"/>
  <c r="G214" i="6"/>
  <c r="D247" i="6" l="1"/>
  <c r="D5" i="11" s="1"/>
  <c r="G215" i="6"/>
  <c r="D248" i="6" l="1"/>
  <c r="D6" i="11" s="1"/>
  <c r="G216" i="6"/>
  <c r="D249" i="6" s="1"/>
  <c r="D7" i="11" s="1"/>
  <c r="G217" i="6" l="1"/>
  <c r="D250" i="6" s="1"/>
  <c r="D8" i="11" s="1"/>
  <c r="G218" i="6" l="1"/>
  <c r="D251" i="6" s="1"/>
  <c r="D9" i="11" s="1"/>
  <c r="G219" i="6" l="1"/>
  <c r="D252" i="6" s="1"/>
  <c r="D10" i="11" s="1"/>
  <c r="G220" i="6" l="1"/>
  <c r="D253" i="6" s="1"/>
  <c r="D11" i="11" s="1"/>
  <c r="G221" i="6" l="1"/>
  <c r="D254" i="6" s="1"/>
  <c r="D12" i="11" s="1"/>
  <c r="G222" i="6" l="1"/>
  <c r="D255" i="6" s="1"/>
  <c r="D13" i="11" s="1"/>
  <c r="G223" i="6" l="1"/>
  <c r="D256" i="6" s="1"/>
  <c r="D14" i="11" s="1"/>
  <c r="G224" i="6" l="1"/>
  <c r="D257" i="6" s="1"/>
  <c r="D15" i="11" s="1"/>
  <c r="G225" i="6" l="1"/>
  <c r="D258" i="6" s="1"/>
  <c r="D16" i="11" s="1"/>
  <c r="G226" i="6" l="1"/>
  <c r="D259" i="6" s="1"/>
  <c r="D17" i="11" s="1"/>
  <c r="G227" i="6" l="1"/>
  <c r="D260" i="6" s="1"/>
  <c r="D18" i="11" s="1"/>
  <c r="G228" i="6" l="1"/>
  <c r="D261" i="6" s="1"/>
  <c r="D19" i="11" s="1"/>
  <c r="G229" i="6" l="1"/>
  <c r="D262" i="6" s="1"/>
  <c r="D20" i="11" s="1"/>
  <c r="G230" i="6" l="1"/>
  <c r="D263" i="6" s="1"/>
  <c r="D21" i="11" s="1"/>
  <c r="G231" i="6" l="1"/>
  <c r="D264" i="6" s="1"/>
  <c r="D22" i="11" s="1"/>
  <c r="G232" i="6" l="1"/>
  <c r="D265" i="6" s="1"/>
  <c r="D23" i="11" s="1"/>
  <c r="G233" i="6" l="1"/>
  <c r="D266" i="6" s="1"/>
  <c r="D24" i="11" s="1"/>
  <c r="G234" i="6" l="1"/>
  <c r="D267" i="6" s="1"/>
  <c r="D25" i="11" s="1"/>
  <c r="G235" i="6" l="1"/>
  <c r="D268" i="6" s="1"/>
  <c r="D26" i="11" s="1"/>
  <c r="G236" i="6" l="1"/>
  <c r="D269" i="6" s="1"/>
  <c r="D27" i="11" s="1"/>
  <c r="G237" i="6" l="1"/>
  <c r="D270" i="6" s="1"/>
  <c r="D28" i="11" s="1"/>
  <c r="G238" i="6" l="1"/>
  <c r="D271" i="6" s="1"/>
  <c r="D29" i="11" s="1"/>
  <c r="G239" i="6" l="1"/>
  <c r="D272" i="6" s="1"/>
  <c r="D30" i="11" s="1"/>
  <c r="G240" i="6" l="1"/>
  <c r="D273" i="6" s="1"/>
  <c r="D31" i="11" s="1"/>
  <c r="G241" i="6" l="1"/>
  <c r="D274" i="6" s="1"/>
  <c r="D32" i="11" s="1"/>
  <c r="K238" i="6" l="1"/>
  <c r="D34" i="11" s="1"/>
  <c r="D276" i="6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<sst xmlns="http://schemas.openxmlformats.org/spreadsheetml/2006/main" count="627" uniqueCount="287">
  <si>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</si>
  <si>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</si>
  <si>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</si>
  <si>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</si>
  <si>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</si>
  <si>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</si>
  <si>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</si>
  <si>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</si>
  <si>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</si>
  <si>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</si>
  <si>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</si>
  <si>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</si>
  <si>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</si>
  <si>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</si>
  <si>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</si>
  <si>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</si>
  <si>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</si>
  <si>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</si>
  <si>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</si>
  <si>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>180°</t>
  </si>
  <si>
    <t>225°</t>
  </si>
  <si>
    <t>270°</t>
  </si>
  <si>
    <t>315°</t>
  </si>
  <si>
    <t>0°</t>
  </si>
  <si>
    <t>90°</t>
  </si>
  <si>
    <t>135°</t>
  </si>
  <si>
    <t>Jahre</t>
  </si>
  <si>
    <t>€/kWh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</si>
  <si>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</si>
  <si>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</si>
  <si>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</si>
  <si>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</si>
  <si>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</si>
  <si>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</si>
  <si>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</si>
  <si>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</si>
  <si>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</si>
  <si>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</si>
  <si>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</si>
  <si>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</si>
  <si>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</si>
  <si>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</si>
  <si>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</si>
  <si>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 xml:space="preserve">laufende Kosten </t>
  </si>
  <si>
    <t>€/a</t>
  </si>
  <si>
    <t>Wartungskosten Module und Unterkonstruktion</t>
  </si>
  <si>
    <t>Wartungskosten Verkabelung und Wechselrichter</t>
  </si>
  <si>
    <t>Instandsetzung</t>
  </si>
  <si>
    <t>Energieertrag</t>
  </si>
  <si>
    <t>Anlagenfläche</t>
  </si>
  <si>
    <t>s.o.</t>
  </si>
  <si>
    <t>Gesamt</t>
  </si>
  <si>
    <t>Solare Einstrahlung</t>
  </si>
  <si>
    <t>Anzahl WE</t>
  </si>
  <si>
    <t>Anzahl Personen</t>
  </si>
  <si>
    <t>nur für WE&lt;=2 erforderlich</t>
  </si>
  <si>
    <t>kWh</t>
  </si>
  <si>
    <t>Einfamilienhaus (bis zu 2 WE)</t>
  </si>
  <si>
    <t>kWh/ Person</t>
  </si>
  <si>
    <t>Mehrfamilienhaus (&gt; 2 WE)</t>
  </si>
  <si>
    <t>kWh/WE</t>
  </si>
  <si>
    <t>Einfamilienhaus Personen (bis zu 2 WE)</t>
  </si>
  <si>
    <t>Mehrfamilienhaus Wohneinheiten</t>
  </si>
  <si>
    <t>1 WE</t>
  </si>
  <si>
    <t>2 WE</t>
  </si>
  <si>
    <t>3 WE</t>
  </si>
  <si>
    <t>4 WE</t>
  </si>
  <si>
    <t>5 WE</t>
  </si>
  <si>
    <t>6 WE</t>
  </si>
  <si>
    <t>7 WE</t>
  </si>
  <si>
    <t>8 WE</t>
  </si>
  <si>
    <t>9 WE</t>
  </si>
  <si>
    <t>10 WE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</si>
  <si>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</si>
  <si>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</si>
  <si>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</si>
  <si>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</si>
  <si>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</si>
  <si>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</si>
  <si>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</si>
  <si>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</si>
  <si>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</si>
  <si>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</si>
  <si>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</si>
  <si>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</si>
  <si>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</si>
  <si>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Jahresenergiebedarf Trinkwassererwärmung</t>
  </si>
  <si>
    <t>Anteil Stromproduktion vom Optimum</t>
  </si>
  <si>
    <t>kWh/kWpeak</t>
  </si>
  <si>
    <t>kWpeak/m2</t>
  </si>
  <si>
    <t>Leistung je m2 Modulfläche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</si>
  <si>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</si>
  <si>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</si>
  <si>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</si>
  <si>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</si>
  <si>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kWh/m2</t>
  </si>
  <si>
    <t>spezifischer Heizwärmebedarf Neubaugebäude</t>
  </si>
  <si>
    <t>spezifischer Heizwärmebedarf Bestandsgebäude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</si>
  <si>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</si>
  <si>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</si>
  <si>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</si>
  <si>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</si>
  <si>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</si>
  <si>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</si>
  <si>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</si>
  <si>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durch Elektriker</t>
  </si>
  <si>
    <t>€/m2/2a</t>
  </si>
  <si>
    <t xml:space="preserve">Reinigung und Sichtprüfung der Module </t>
  </si>
  <si>
    <t>Wechselrichter nach 12 Jahren (5.1.1)</t>
  </si>
  <si>
    <t>kWpeak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</si>
  <si>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</si>
  <si>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</si>
  <si>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</si>
  <si>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</si>
  <si>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</si>
  <si>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</si>
  <si>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</si>
  <si>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Kosten für Stromzähler</t>
  </si>
  <si>
    <t>Jahresenergiebedarf</t>
  </si>
  <si>
    <t>Lastmanagementpotentiale</t>
  </si>
  <si>
    <t>nutzbarer Eigenanteil am jährlichen Stromertrag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</si>
  <si>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</si>
  <si>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</si>
  <si>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</si>
  <si>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</si>
  <si>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</si>
  <si>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</si>
  <si>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</si>
  <si>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</si>
  <si>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</si>
  <si>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</si>
  <si>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spezifischer jährlicher Ertrag Deutschland PV</t>
  </si>
  <si>
    <t>solathermischer jährlicher Ertrag Deutschland</t>
  </si>
  <si>
    <t>jährliche Einsparung durch nicht erforderliche Wärme</t>
  </si>
  <si>
    <t>der Wirkungsgrad der Module lässt über die Zeit nach, daher nach 30 Jahren 87%, linear aufteilen. Jedes Jahr 0,4% (0,4333333) weniger Erträge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</si>
  <si>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</si>
  <si>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</si>
  <si>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</si>
  <si>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</si>
  <si>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</si>
  <si>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</si>
  <si>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</si>
  <si>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jährlich nutzbare Energie thermisch</t>
  </si>
  <si>
    <t>Jahresenergieverbrauch Gesamt</t>
  </si>
  <si>
    <t xml:space="preserve">laufende Kosten jährlich </t>
  </si>
  <si>
    <t>€/ 12a</t>
  </si>
  <si>
    <t>Soll ein Speicher verbaut werden?</t>
  </si>
  <si>
    <t>erhöht den nutzbaren Anteil um</t>
  </si>
  <si>
    <t>€/3a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</si>
  <si>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</si>
  <si>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</si>
  <si>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</si>
  <si>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</si>
  <si>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</si>
  <si>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Ist eine im Haushalt lebende Person in Besitz eines Elektroautos?</t>
  </si>
  <si>
    <t>Soll eine Ladesäule verbaut werden?</t>
  </si>
  <si>
    <t>KfW Förderprogramm 442</t>
  </si>
  <si>
    <t>Förderhöhe</t>
  </si>
  <si>
    <t>Kosten für die Ladestation</t>
  </si>
  <si>
    <t>für Strom</t>
  </si>
  <si>
    <t>für Wärme + TWW</t>
  </si>
  <si>
    <t>6.1.5</t>
  </si>
  <si>
    <t>6.2</t>
  </si>
  <si>
    <t>6.2.1</t>
  </si>
  <si>
    <t>6.2.2</t>
  </si>
  <si>
    <t>6.2.2.1</t>
  </si>
  <si>
    <t>6.2.2.2</t>
  </si>
  <si>
    <t>6.2.2.3</t>
  </si>
  <si>
    <t>6.2.3</t>
  </si>
  <si>
    <t>6.2.3.1</t>
  </si>
  <si>
    <t>6.2.3.2</t>
  </si>
  <si>
    <t>siehe auch Tabellenblatt Solarerträge</t>
  </si>
  <si>
    <t>6.2.4</t>
  </si>
  <si>
    <t>6.2.4.1</t>
  </si>
  <si>
    <t>Jahresenergiebedarf Wärme</t>
  </si>
  <si>
    <t>6.2.4.2</t>
  </si>
  <si>
    <t>6.2.4.3</t>
  </si>
  <si>
    <t>Jahresenergiebedarf Strom</t>
  </si>
  <si>
    <t>6.2.4.4</t>
  </si>
  <si>
    <t>6.3</t>
  </si>
  <si>
    <t>6.3.1</t>
  </si>
  <si>
    <t>6.3.2</t>
  </si>
  <si>
    <t>6.3.4</t>
  </si>
  <si>
    <t>6.4.1</t>
  </si>
  <si>
    <t>6.3.4.3</t>
  </si>
  <si>
    <t>INFO</t>
  </si>
  <si>
    <t>Parameters</t>
  </si>
  <si>
    <t>Unit</t>
  </si>
  <si>
    <t>Comment</t>
  </si>
  <si>
    <t>Values</t>
  </si>
  <si>
    <t>aktuelle Wärmeerzeugung</t>
  </si>
  <si>
    <t>Stromspeicher</t>
  </si>
  <si>
    <t>Elektroauto</t>
  </si>
  <si>
    <t>Ladesäule</t>
  </si>
  <si>
    <t>m^2</t>
  </si>
  <si>
    <t>kumulierter Barwert_1</t>
  </si>
  <si>
    <t>kumulierter Barwert_2</t>
  </si>
  <si>
    <t>kumulierter Barwert_3</t>
  </si>
  <si>
    <t>kumulierter Barwert_4</t>
  </si>
  <si>
    <t>kumulierter Barwert_5</t>
  </si>
  <si>
    <t>kumulierter Barwert_6</t>
  </si>
  <si>
    <t>kumulierter Barwert_7</t>
  </si>
  <si>
    <t>kumulierter Barwert_8</t>
  </si>
  <si>
    <t>kumulierter Barwert_9</t>
  </si>
  <si>
    <t>kumulierter Barwert_10</t>
  </si>
  <si>
    <t>kumulierter Barwert_11</t>
  </si>
  <si>
    <t>kumulierter Barwert_12</t>
  </si>
  <si>
    <t>kumulierter Barwert_13</t>
  </si>
  <si>
    <t>kumulierter Barwert_14</t>
  </si>
  <si>
    <t>kumulierter Barwert_15</t>
  </si>
  <si>
    <t>kumulierter Barwert_16</t>
  </si>
  <si>
    <t>kumulierter Barwert_17</t>
  </si>
  <si>
    <t>kumulierter Barwert_18</t>
  </si>
  <si>
    <t>kumulierter Barwert_19</t>
  </si>
  <si>
    <t>kumulierter Barwert_20</t>
  </si>
  <si>
    <t>kumulierter Barwert_21</t>
  </si>
  <si>
    <t>kumulierter Barwert_22</t>
  </si>
  <si>
    <t>kumulierter Barwert_23</t>
  </si>
  <si>
    <t>kumulierter Barwert_24</t>
  </si>
  <si>
    <t>kumulierter Barwert_25</t>
  </si>
  <si>
    <t>kumulierter Barwert_26</t>
  </si>
  <si>
    <t>kumulierter Barwert_27</t>
  </si>
  <si>
    <t>kumulierter Barwert_28</t>
  </si>
  <si>
    <t>kumulierter Barwert_29</t>
  </si>
  <si>
    <t>kumulierter Barwert_30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</si>
  <si>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</si>
  <si>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</si>
  <si>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</si>
  <si>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</si>
  <si>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</si>
  <si>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</si>
  <si>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</si>
  <si>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</si>
  <si>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</si>
  <si>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</si>
  <si>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</si>
  <si>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</si>
  <si>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</si>
  <si>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</si>
  <si>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</si>
  <si>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</si>
  <si>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</si>
  <si>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</si>
  <si>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</si>
  <si>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</si>
  <si>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</si>
  <si>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</si>
  <si>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</si>
  <si>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</si>
  <si>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</si>
  <si>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</si>
  <si>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</si>
  <si>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</si>
  <si>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</si>
  <si>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</si>
  <si>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</si>
  <si>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</si>
  <si>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</si>
  <si>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</si>
  <si>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</si>
  <si>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</si>
  <si>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</si>
  <si>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</si>
  <si>
    <t>Feste Werte</t>
  </si>
  <si>
    <t>Preis Strom</t>
  </si>
  <si>
    <t>Preis Erdgas</t>
  </si>
  <si>
    <t>Preis Heizöl</t>
  </si>
  <si>
    <t>Einspeisevergütung 20-30</t>
  </si>
  <si>
    <t xml:space="preserve">Kalkulationszins </t>
  </si>
  <si>
    <t>GA</t>
  </si>
  <si>
    <t>WE</t>
  </si>
  <si>
    <t>Personen</t>
  </si>
  <si>
    <t>Fläche1</t>
  </si>
  <si>
    <t>Ausrichtung1</t>
  </si>
  <si>
    <t>Neigung1</t>
  </si>
  <si>
    <t>Fläche2</t>
  </si>
  <si>
    <t>Ausrichtung2</t>
  </si>
  <si>
    <t>Neigung2</t>
  </si>
  <si>
    <t>Fläche3</t>
  </si>
  <si>
    <t>Ausrichtung3</t>
  </si>
  <si>
    <t>Fläche4</t>
  </si>
  <si>
    <t>Ausrichtung4</t>
  </si>
  <si>
    <t>Inbetrieb</t>
  </si>
  <si>
    <t>Neubau</t>
  </si>
  <si>
    <t>Erdgas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</si>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</sst>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1" applyNumberFormat="1" applyFont="1"/>
    <xf numFmtId="0" fontId="0" fillId="0" borderId="0" xfId="1" applyNumberFormat="1" applyFont="1" applyFill="1"/>
    <xf numFmtId="0" fontId="0" fillId="0" borderId="0" xfId="2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G10" sqref="G10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1" t="s">
        <v>186</v>
      </c>
      <c r="B1" s="1" t="s">
        <v>187</v>
      </c>
      <c r="C1" s="1" t="s">
        <v>188</v>
      </c>
      <c r="D1" s="1" t="s">
        <v>189</v>
      </c>
    </row>
    <row r="2" spans="1:4" x14ac:dyDescent="0.2">
      <c r="A2" t="s">
        <v>269</v>
      </c>
      <c r="D2" t="s">
        <v>283</v>
      </c>
    </row>
    <row r="3" spans="1:4" x14ac:dyDescent="0.2">
      <c r="A3" t="s">
        <v>270</v>
      </c>
      <c r="D3">
        <v>2</v>
      </c>
    </row>
    <row r="4" spans="1:4" x14ac:dyDescent="0.2">
      <c r="A4" t="s">
        <v>271</v>
      </c>
      <c r="D4">
        <v>6</v>
      </c>
    </row>
    <row r="5" spans="1:4" x14ac:dyDescent="0.2">
      <c r="A5" t="s">
        <v>93</v>
      </c>
      <c r="B5" t="s">
        <v>194</v>
      </c>
      <c r="D5">
        <v>400</v>
      </c>
    </row>
    <row r="6" spans="1:4" x14ac:dyDescent="0.2">
      <c r="A6" t="s">
        <v>190</v>
      </c>
      <c r="D6" t="s">
        <v>284</v>
      </c>
    </row>
    <row r="7" spans="1:4" x14ac:dyDescent="0.2">
      <c r="A7" t="s">
        <v>272</v>
      </c>
      <c r="B7" t="s">
        <v>194</v>
      </c>
      <c r="D7">
        <v>0</v>
      </c>
    </row>
    <row r="8" spans="1:4" x14ac:dyDescent="0.2">
      <c r="A8" t="s">
        <v>273</v>
      </c>
      <c r="D8" t="s">
        <v>4</v>
      </c>
    </row>
    <row r="9" spans="1:4" x14ac:dyDescent="0.2">
      <c r="A9" t="s">
        <v>274</v>
      </c>
      <c r="D9" t="s">
        <v>10</v>
      </c>
    </row>
    <row r="10" spans="1:4" x14ac:dyDescent="0.2">
      <c r="A10" t="s">
        <v>275</v>
      </c>
      <c r="B10" t="s">
        <v>194</v>
      </c>
      <c r="D10">
        <v>20</v>
      </c>
    </row>
    <row r="11" spans="1:4" x14ac:dyDescent="0.2">
      <c r="A11" t="s">
        <v>276</v>
      </c>
      <c r="D11" t="s">
        <v>5</v>
      </c>
    </row>
    <row r="12" spans="1:4" x14ac:dyDescent="0.2">
      <c r="A12" t="s">
        <v>277</v>
      </c>
      <c r="D12" t="s">
        <v>10</v>
      </c>
    </row>
    <row r="13" spans="1:4" x14ac:dyDescent="0.2">
      <c r="A13" s="2" t="s">
        <v>278</v>
      </c>
      <c r="B13" t="s">
        <v>194</v>
      </c>
      <c r="D13">
        <v>20</v>
      </c>
    </row>
    <row r="14" spans="1:4" x14ac:dyDescent="0.2">
      <c r="A14" s="2" t="s">
        <v>279</v>
      </c>
      <c r="D14" t="s">
        <v>5</v>
      </c>
    </row>
    <row r="15" spans="1:4" x14ac:dyDescent="0.2">
      <c r="A15" s="2" t="s">
        <v>280</v>
      </c>
      <c r="B15" t="s">
        <v>194</v>
      </c>
      <c r="D15">
        <v>0</v>
      </c>
    </row>
    <row r="16" spans="1:4" x14ac:dyDescent="0.2">
      <c r="A16" s="2" t="s">
        <v>281</v>
      </c>
      <c r="D16" t="s">
        <v>0</v>
      </c>
    </row>
    <row r="17" spans="1:4" x14ac:dyDescent="0.2">
      <c r="A17" s="2" t="s">
        <v>191</v>
      </c>
      <c r="D17" t="s">
        <v>286</v>
      </c>
    </row>
    <row r="18" spans="1:4" x14ac:dyDescent="0.2">
      <c r="A18" s="2" t="s">
        <v>282</v>
      </c>
      <c r="D18" t="s">
        <v>226</v>
      </c>
    </row>
    <row r="19" spans="1:4" x14ac:dyDescent="0.2">
      <c r="A19" s="2" t="s">
        <v>192</v>
      </c>
      <c r="D19" t="s">
        <v>285</v>
      </c>
    </row>
    <row r="20" spans="1:4" x14ac:dyDescent="0.2">
      <c r="A20" s="2" t="s">
        <v>193</v>
      </c>
      <c r="D20" t="s">
        <v>285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Q276"/>
  <sheetViews>
    <sheetView topLeftCell="A90" zoomScale="97" zoomScaleNormal="97" workbookViewId="0">
      <selection activeCell="I218" sqref="I218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6" customWidth="1"/>
    <col min="8" max="8" width="15" customWidth="1"/>
    <col min="9" max="9" width="14.83203125" customWidth="1"/>
    <col min="10" max="10" width="12.33203125" style="3" customWidth="1"/>
    <col min="13" max="13" width="10.83203125" style="7"/>
    <col min="16" max="16" width="18.6640625" customWidth="1"/>
    <col min="18" max="21" width="10.83203125" customWidth="1"/>
  </cols>
  <sheetData>
    <row r="1" spans="1:4" x14ac:dyDescent="0.2">
      <c r="A1" s="1" t="s">
        <v>186</v>
      </c>
      <c r="B1" s="1" t="s">
        <v>187</v>
      </c>
      <c r="C1" s="1" t="s">
        <v>188</v>
      </c>
      <c r="D1" s="1" t="s">
        <v>189</v>
      </c>
    </row>
    <row r="2" spans="1:4" x14ac:dyDescent="0.2">
      <c r="A2" t="s">
        <v>94</v>
      </c>
      <c r="D2" t="str">
        <f>'viktor-input-sheet'!D2</f>
        <v>Neubau</v>
      </c>
    </row>
    <row r="3" spans="1:4" x14ac:dyDescent="0.2">
      <c r="A3" t="s">
        <v>270</v>
      </c>
      <c r="D3">
        <f>'viktor-input-sheet'!D3</f>
        <v>2</v>
      </c>
    </row>
    <row r="4" spans="1:4" x14ac:dyDescent="0.2">
      <c r="A4" t="s">
        <v>271</v>
      </c>
      <c r="D4">
        <f>'viktor-input-sheet'!D4</f>
        <v>6</v>
      </c>
    </row>
    <row r="5" spans="1:4" x14ac:dyDescent="0.2">
      <c r="A5" t="s">
        <v>93</v>
      </c>
      <c r="D5">
        <f>'viktor-input-sheet'!D5</f>
        <v>400</v>
      </c>
    </row>
    <row r="6" spans="1:4" x14ac:dyDescent="0.2">
      <c r="A6" t="s">
        <v>190</v>
      </c>
      <c r="D6" t="str">
        <f>'viktor-input-sheet'!D6</f>
        <v>Erdgas</v>
      </c>
    </row>
    <row r="7" spans="1:4" x14ac:dyDescent="0.2">
      <c r="A7" t="s">
        <v>272</v>
      </c>
      <c r="D7">
        <f>'viktor-input-sheet'!D7</f>
        <v>0</v>
      </c>
    </row>
    <row r="8" spans="1:4" x14ac:dyDescent="0.2">
      <c r="A8" t="s">
        <v>273</v>
      </c>
      <c r="D8" t="str">
        <f>'viktor-input-sheet'!D8</f>
        <v>Süd</v>
      </c>
    </row>
    <row r="9" spans="1:4" x14ac:dyDescent="0.2">
      <c r="A9" t="s">
        <v>274</v>
      </c>
      <c r="D9" t="str">
        <f>'viktor-input-sheet'!D9</f>
        <v>35°</v>
      </c>
    </row>
    <row r="10" spans="1:4" x14ac:dyDescent="0.2">
      <c r="A10" t="s">
        <v>275</v>
      </c>
      <c r="D10">
        <f>'viktor-input-sheet'!D10</f>
        <v>20</v>
      </c>
    </row>
    <row r="11" spans="1:4" x14ac:dyDescent="0.2">
      <c r="A11" t="s">
        <v>276</v>
      </c>
      <c r="D11" t="str">
        <f>'viktor-input-sheet'!D11</f>
        <v>Süd-West</v>
      </c>
    </row>
    <row r="12" spans="1:4" x14ac:dyDescent="0.2">
      <c r="A12" t="s">
        <v>277</v>
      </c>
      <c r="D12" t="str">
        <f>'viktor-input-sheet'!D12</f>
        <v>35°</v>
      </c>
    </row>
    <row r="13" spans="1:4" x14ac:dyDescent="0.2">
      <c r="A13" s="2" t="s">
        <v>278</v>
      </c>
      <c r="D13">
        <f>'viktor-input-sheet'!D13</f>
        <v>20</v>
      </c>
    </row>
    <row r="14" spans="1:4" x14ac:dyDescent="0.2">
      <c r="A14" s="2" t="s">
        <v>279</v>
      </c>
      <c r="D14" t="str">
        <f>'viktor-input-sheet'!D14</f>
        <v>Süd-West</v>
      </c>
    </row>
    <row r="15" spans="1:4" x14ac:dyDescent="0.2">
      <c r="A15" s="2" t="s">
        <v>280</v>
      </c>
      <c r="D15">
        <f>'viktor-input-sheet'!D15</f>
        <v>0</v>
      </c>
    </row>
    <row r="16" spans="1:4" x14ac:dyDescent="0.2">
      <c r="A16" s="2" t="s">
        <v>281</v>
      </c>
      <c r="D16" t="str">
        <f>'viktor-input-sheet'!D16</f>
        <v>Nord</v>
      </c>
    </row>
    <row r="17" spans="1:17" x14ac:dyDescent="0.2">
      <c r="A17" s="2" t="s">
        <v>191</v>
      </c>
      <c r="D17" t="str">
        <f>'viktor-input-sheet'!D17</f>
        <v>ja</v>
      </c>
    </row>
    <row r="18" spans="1:17" x14ac:dyDescent="0.2">
      <c r="A18" s="2" t="s">
        <v>282</v>
      </c>
      <c r="D18" t="str">
        <f>'viktor-input-sheet'!D18</f>
        <v>bis 31.01.2024</v>
      </c>
    </row>
    <row r="19" spans="1:17" x14ac:dyDescent="0.2">
      <c r="A19" s="2" t="s">
        <v>192</v>
      </c>
      <c r="D19" t="str">
        <f>'viktor-input-sheet'!D19</f>
        <v>nein</v>
      </c>
    </row>
    <row r="20" spans="1:17" x14ac:dyDescent="0.2">
      <c r="A20" s="2" t="s">
        <v>193</v>
      </c>
      <c r="D20" t="str">
        <f>'viktor-input-sheet'!D20</f>
        <v>nein</v>
      </c>
    </row>
    <row r="22" spans="1:17" x14ac:dyDescent="0.2">
      <c r="A22" s="2" t="s">
        <v>263</v>
      </c>
    </row>
    <row r="23" spans="1:17" x14ac:dyDescent="0.2">
      <c r="A23" s="2" t="s">
        <v>264</v>
      </c>
      <c r="B23">
        <v>0.34960000000000002</v>
      </c>
      <c r="J23" s="4"/>
    </row>
    <row r="24" spans="1:17" x14ac:dyDescent="0.2">
      <c r="A24" s="2" t="s">
        <v>265</v>
      </c>
      <c r="B24">
        <v>9.3399999999999997E-2</v>
      </c>
      <c r="J24" s="4"/>
    </row>
    <row r="25" spans="1:17" x14ac:dyDescent="0.2">
      <c r="A25" s="2" t="s">
        <v>266</v>
      </c>
      <c r="B25">
        <v>9.8330000000000001E-2</v>
      </c>
      <c r="J25" s="4"/>
    </row>
    <row r="26" spans="1:17" x14ac:dyDescent="0.2">
      <c r="A26" s="7"/>
      <c r="B26" s="1"/>
      <c r="J26" s="4"/>
    </row>
    <row r="27" spans="1:17" x14ac:dyDescent="0.2">
      <c r="A27" t="s">
        <v>116</v>
      </c>
      <c r="C27">
        <f>(IF(D111&lt;10,HLOOKUP(D18,C28:H32,3,0),0)+IF(AND(D111&lt;40,D111&gt;=10),HLOOKUP(D18,C28:H32,4,0),0)+IF(AND(D111&lt;=100,D111&gt;=40),HLOOKUP(D18,C28:H32,5,0),0))/100</f>
        <v>8.199999999999999E-2</v>
      </c>
      <c r="D27" t="s">
        <v>27</v>
      </c>
      <c r="F27" s="6"/>
      <c r="G27"/>
      <c r="J27" s="4"/>
    </row>
    <row r="28" spans="1:17" x14ac:dyDescent="0.2">
      <c r="C28" s="17" t="s">
        <v>226</v>
      </c>
      <c r="D28" s="17" t="s">
        <v>227</v>
      </c>
      <c r="E28" s="17" t="s">
        <v>228</v>
      </c>
      <c r="F28" s="17" t="s">
        <v>229</v>
      </c>
      <c r="G28" s="17" t="s">
        <v>230</v>
      </c>
      <c r="H28" s="17" t="s">
        <v>231</v>
      </c>
      <c r="J28" s="4"/>
      <c r="N28" s="1" t="s">
        <v>16</v>
      </c>
      <c r="O28" s="1" t="s">
        <v>17</v>
      </c>
      <c r="P28" s="1" t="s">
        <v>18</v>
      </c>
      <c r="Q28" s="8" t="s">
        <v>87</v>
      </c>
    </row>
    <row r="29" spans="1:17" x14ac:dyDescent="0.2">
      <c r="A29" t="s">
        <v>111</v>
      </c>
      <c r="B29" t="s">
        <v>115</v>
      </c>
      <c r="C29" t="s">
        <v>112</v>
      </c>
      <c r="D29" t="s">
        <v>112</v>
      </c>
      <c r="E29" t="s">
        <v>112</v>
      </c>
      <c r="F29" t="s">
        <v>112</v>
      </c>
      <c r="G29" t="s">
        <v>112</v>
      </c>
      <c r="H29" t="s">
        <v>112</v>
      </c>
      <c r="J29" s="4"/>
      <c r="N29" t="s">
        <v>0</v>
      </c>
      <c r="O29" t="s">
        <v>19</v>
      </c>
      <c r="P29" t="s">
        <v>8</v>
      </c>
      <c r="Q29" s="9">
        <v>82.7</v>
      </c>
    </row>
    <row r="30" spans="1:17" x14ac:dyDescent="0.2">
      <c r="A30" t="s">
        <v>110</v>
      </c>
      <c r="B30">
        <v>8.6</v>
      </c>
      <c r="C30">
        <v>8.1999999999999993</v>
      </c>
      <c r="D30">
        <f>B30*0.99-0.4</f>
        <v>8.113999999999999</v>
      </c>
      <c r="E30">
        <f>B30*0.99^2-0.4</f>
        <v>8.0288599999999999</v>
      </c>
      <c r="F30">
        <f>B30*0.99^3-0.4</f>
        <v>7.9445713999999992</v>
      </c>
      <c r="G30">
        <f>B30*0.99^4-0.4</f>
        <v>7.8611256859999994</v>
      </c>
      <c r="H30">
        <f>B30*0.99^5-0.4</f>
        <v>7.7785144291399977</v>
      </c>
      <c r="J30" s="4"/>
      <c r="N30" t="s">
        <v>0</v>
      </c>
      <c r="O30" t="s">
        <v>19</v>
      </c>
      <c r="P30" t="s">
        <v>9</v>
      </c>
      <c r="Q30" s="9">
        <v>64.8</v>
      </c>
    </row>
    <row r="31" spans="1:17" x14ac:dyDescent="0.2">
      <c r="A31" t="s">
        <v>113</v>
      </c>
      <c r="B31">
        <v>7.5</v>
      </c>
      <c r="C31">
        <v>7.1</v>
      </c>
      <c r="D31">
        <f t="shared" ref="D31:D32" si="0">B31*0.99-0.4</f>
        <v>7.0249999999999995</v>
      </c>
      <c r="E31">
        <f t="shared" ref="E31:E32" si="1">B31*0.99^2-0.4</f>
        <v>6.9507499999999993</v>
      </c>
      <c r="F31">
        <f t="shared" ref="F31:F32" si="2">B31*0.99^3-0.4</f>
        <v>6.8772424999999986</v>
      </c>
      <c r="G31">
        <f t="shared" ref="G31:G32" si="3">B31*0.99^4-0.4</f>
        <v>6.8044700749999993</v>
      </c>
      <c r="H31">
        <f t="shared" ref="H31:H32" si="4">B31*0.99^5-0.4</f>
        <v>6.7324253742499991</v>
      </c>
      <c r="J31" s="4"/>
      <c r="N31" t="s">
        <v>0</v>
      </c>
      <c r="O31" t="s">
        <v>19</v>
      </c>
      <c r="P31" t="s">
        <v>10</v>
      </c>
      <c r="Q31" s="9">
        <v>56.3</v>
      </c>
    </row>
    <row r="32" spans="1:17" x14ac:dyDescent="0.2">
      <c r="A32" t="s">
        <v>114</v>
      </c>
      <c r="B32">
        <v>6.2</v>
      </c>
      <c r="C32">
        <v>5.8</v>
      </c>
      <c r="D32">
        <f t="shared" si="0"/>
        <v>5.7379999999999995</v>
      </c>
      <c r="E32">
        <f t="shared" si="1"/>
        <v>5.6766199999999998</v>
      </c>
      <c r="F32">
        <f t="shared" si="2"/>
        <v>5.6158537999999991</v>
      </c>
      <c r="G32">
        <f t="shared" si="3"/>
        <v>5.5556952619999995</v>
      </c>
      <c r="H32">
        <f t="shared" si="4"/>
        <v>5.4961383093799991</v>
      </c>
      <c r="J32" s="4"/>
      <c r="N32" t="s">
        <v>0</v>
      </c>
      <c r="O32" t="s">
        <v>19</v>
      </c>
      <c r="P32" t="s">
        <v>11</v>
      </c>
      <c r="Q32" s="9">
        <v>48.1</v>
      </c>
    </row>
    <row r="33" spans="1:17" x14ac:dyDescent="0.2">
      <c r="A33" s="7"/>
      <c r="B33" s="1"/>
      <c r="J33" s="4"/>
      <c r="N33" t="s">
        <v>0</v>
      </c>
      <c r="O33" t="s">
        <v>19</v>
      </c>
      <c r="P33" t="s">
        <v>12</v>
      </c>
      <c r="Q33" s="9">
        <v>41</v>
      </c>
    </row>
    <row r="34" spans="1:17" x14ac:dyDescent="0.2">
      <c r="A34" t="s">
        <v>267</v>
      </c>
      <c r="B34">
        <v>0.08</v>
      </c>
      <c r="J34" s="4"/>
      <c r="N34" t="s">
        <v>0</v>
      </c>
      <c r="O34" t="s">
        <v>19</v>
      </c>
      <c r="P34" t="s">
        <v>13</v>
      </c>
      <c r="Q34" s="9">
        <v>33.700000000000003</v>
      </c>
    </row>
    <row r="35" spans="1:17" x14ac:dyDescent="0.2">
      <c r="A35" t="s">
        <v>268</v>
      </c>
      <c r="B35">
        <v>5</v>
      </c>
      <c r="J35" s="4"/>
      <c r="N35" t="s">
        <v>0</v>
      </c>
      <c r="O35" t="s">
        <v>19</v>
      </c>
      <c r="P35" t="s">
        <v>24</v>
      </c>
      <c r="Q35" s="9">
        <v>28.7</v>
      </c>
    </row>
    <row r="36" spans="1:17" x14ac:dyDescent="0.2">
      <c r="J36" s="4"/>
      <c r="N36" t="s">
        <v>1</v>
      </c>
      <c r="O36" t="s">
        <v>20</v>
      </c>
      <c r="P36" t="s">
        <v>8</v>
      </c>
      <c r="Q36" s="9">
        <v>83.9</v>
      </c>
    </row>
    <row r="37" spans="1:17" x14ac:dyDescent="0.2">
      <c r="A37" s="7"/>
      <c r="B37" s="1"/>
      <c r="J37" s="4"/>
      <c r="N37" t="s">
        <v>1</v>
      </c>
      <c r="O37" t="s">
        <v>20</v>
      </c>
      <c r="P37" t="s">
        <v>9</v>
      </c>
      <c r="Q37" s="9">
        <v>70.400000000000006</v>
      </c>
    </row>
    <row r="38" spans="1:17" x14ac:dyDescent="0.2">
      <c r="J38" s="4"/>
      <c r="N38" t="s">
        <v>1</v>
      </c>
      <c r="O38" t="s">
        <v>20</v>
      </c>
      <c r="P38" t="s">
        <v>10</v>
      </c>
      <c r="Q38" s="9">
        <v>63.5</v>
      </c>
    </row>
    <row r="39" spans="1:17" x14ac:dyDescent="0.2">
      <c r="J39" s="4"/>
      <c r="N39" t="s">
        <v>1</v>
      </c>
      <c r="O39" t="s">
        <v>20</v>
      </c>
      <c r="P39" t="s">
        <v>12</v>
      </c>
      <c r="Q39" s="9">
        <v>52.1</v>
      </c>
    </row>
    <row r="40" spans="1:17" x14ac:dyDescent="0.2">
      <c r="J40" s="4"/>
      <c r="N40" t="s">
        <v>1</v>
      </c>
      <c r="O40" t="s">
        <v>20</v>
      </c>
      <c r="P40" t="s">
        <v>24</v>
      </c>
      <c r="Q40" s="9">
        <v>37.6</v>
      </c>
    </row>
    <row r="41" spans="1:17" x14ac:dyDescent="0.2">
      <c r="A41" s="7"/>
      <c r="B41" s="1"/>
      <c r="H41" s="10"/>
      <c r="J41" s="4"/>
      <c r="N41" t="s">
        <v>2</v>
      </c>
      <c r="O41" t="s">
        <v>21</v>
      </c>
      <c r="P41" t="s">
        <v>9</v>
      </c>
      <c r="Q41" s="9">
        <v>83.3</v>
      </c>
    </row>
    <row r="42" spans="1:17" x14ac:dyDescent="0.2">
      <c r="A42" s="7"/>
      <c r="J42" s="4"/>
      <c r="N42" t="s">
        <v>2</v>
      </c>
      <c r="O42" t="s">
        <v>21</v>
      </c>
      <c r="P42" t="s">
        <v>10</v>
      </c>
      <c r="Q42" s="9">
        <v>80.7</v>
      </c>
    </row>
    <row r="43" spans="1:17" x14ac:dyDescent="0.2">
      <c r="A43" s="7"/>
      <c r="J43" s="4"/>
      <c r="N43" t="s">
        <v>2</v>
      </c>
      <c r="O43" t="s">
        <v>21</v>
      </c>
      <c r="P43" t="s">
        <v>11</v>
      </c>
      <c r="Q43" s="9">
        <v>77.5</v>
      </c>
    </row>
    <row r="44" spans="1:17" x14ac:dyDescent="0.2">
      <c r="A44" s="7"/>
      <c r="J44" s="4"/>
      <c r="N44" t="s">
        <v>2</v>
      </c>
      <c r="O44" t="s">
        <v>21</v>
      </c>
      <c r="P44" t="s">
        <v>12</v>
      </c>
      <c r="Q44" s="9">
        <v>73.599999999999994</v>
      </c>
    </row>
    <row r="45" spans="1:17" x14ac:dyDescent="0.2">
      <c r="A45" s="7"/>
      <c r="J45" s="4"/>
      <c r="N45" t="s">
        <v>2</v>
      </c>
      <c r="O45" t="s">
        <v>21</v>
      </c>
      <c r="P45" t="s">
        <v>13</v>
      </c>
      <c r="Q45" s="9">
        <v>66.599999999999994</v>
      </c>
    </row>
    <row r="46" spans="1:17" x14ac:dyDescent="0.2">
      <c r="A46" s="7"/>
      <c r="J46" s="4"/>
      <c r="N46" t="s">
        <v>2</v>
      </c>
      <c r="O46" t="s">
        <v>21</v>
      </c>
      <c r="P46" t="s">
        <v>24</v>
      </c>
      <c r="Q46" s="9">
        <v>55.3</v>
      </c>
    </row>
    <row r="47" spans="1:17" x14ac:dyDescent="0.2">
      <c r="A47" s="7"/>
      <c r="J47" s="4"/>
      <c r="N47" t="s">
        <v>3</v>
      </c>
      <c r="O47" t="s">
        <v>22</v>
      </c>
      <c r="P47" t="s">
        <v>8</v>
      </c>
      <c r="Q47" s="9">
        <v>89</v>
      </c>
    </row>
    <row r="48" spans="1:17" x14ac:dyDescent="0.2">
      <c r="A48" s="7"/>
      <c r="J48" s="4"/>
      <c r="N48" t="s">
        <v>3</v>
      </c>
      <c r="O48" t="s">
        <v>22</v>
      </c>
      <c r="P48" t="s">
        <v>9</v>
      </c>
      <c r="Q48" s="9">
        <v>94.6</v>
      </c>
    </row>
    <row r="49" spans="1:17" x14ac:dyDescent="0.2">
      <c r="A49" s="7"/>
      <c r="J49" s="4"/>
      <c r="N49" t="s">
        <v>3</v>
      </c>
      <c r="O49" t="s">
        <v>22</v>
      </c>
      <c r="P49" t="s">
        <v>10</v>
      </c>
      <c r="Q49" s="9">
        <v>94.9</v>
      </c>
    </row>
    <row r="50" spans="1:17" x14ac:dyDescent="0.2">
      <c r="J50" s="4"/>
      <c r="N50" t="s">
        <v>3</v>
      </c>
      <c r="O50" t="s">
        <v>22</v>
      </c>
      <c r="P50" t="s">
        <v>11</v>
      </c>
      <c r="Q50" s="9">
        <v>93.6</v>
      </c>
    </row>
    <row r="51" spans="1:17" x14ac:dyDescent="0.2">
      <c r="A51" s="7"/>
      <c r="B51" s="1"/>
      <c r="J51" s="4"/>
      <c r="N51" t="s">
        <v>3</v>
      </c>
      <c r="O51" t="s">
        <v>22</v>
      </c>
      <c r="P51" t="s">
        <v>12</v>
      </c>
      <c r="Q51" s="9">
        <v>90.4</v>
      </c>
    </row>
    <row r="52" spans="1:17" x14ac:dyDescent="0.2">
      <c r="J52" s="4"/>
      <c r="N52" t="s">
        <v>3</v>
      </c>
      <c r="O52" t="s">
        <v>22</v>
      </c>
      <c r="P52" t="s">
        <v>13</v>
      </c>
      <c r="Q52" s="9">
        <v>82.8</v>
      </c>
    </row>
    <row r="53" spans="1:17" x14ac:dyDescent="0.2">
      <c r="J53" s="4"/>
      <c r="N53" t="s">
        <v>3</v>
      </c>
      <c r="O53" t="s">
        <v>22</v>
      </c>
      <c r="P53" t="s">
        <v>24</v>
      </c>
      <c r="Q53" s="9">
        <v>68.099999999999994</v>
      </c>
    </row>
    <row r="54" spans="1:17" x14ac:dyDescent="0.2">
      <c r="J54" s="4"/>
      <c r="N54" t="s">
        <v>4</v>
      </c>
      <c r="O54" t="s">
        <v>23</v>
      </c>
      <c r="P54" t="s">
        <v>8</v>
      </c>
      <c r="Q54" s="9">
        <v>90</v>
      </c>
    </row>
    <row r="55" spans="1:17" x14ac:dyDescent="0.2">
      <c r="J55" s="4"/>
      <c r="N55" t="s">
        <v>4</v>
      </c>
      <c r="O55" t="s">
        <v>23</v>
      </c>
      <c r="P55" t="s">
        <v>9</v>
      </c>
      <c r="Q55" s="9">
        <v>98.7</v>
      </c>
    </row>
    <row r="56" spans="1:17" x14ac:dyDescent="0.2">
      <c r="J56" s="4"/>
      <c r="N56" t="s">
        <v>4</v>
      </c>
      <c r="O56" t="s">
        <v>23</v>
      </c>
      <c r="P56" t="s">
        <v>10</v>
      </c>
      <c r="Q56" s="9">
        <v>100</v>
      </c>
    </row>
    <row r="57" spans="1:17" x14ac:dyDescent="0.2">
      <c r="A57" s="7" t="s">
        <v>162</v>
      </c>
      <c r="B57" s="1" t="s">
        <v>28</v>
      </c>
      <c r="D57" s="4"/>
      <c r="J57" s="4"/>
      <c r="N57" t="s">
        <v>4</v>
      </c>
      <c r="O57" t="s">
        <v>23</v>
      </c>
      <c r="P57" t="s">
        <v>11</v>
      </c>
      <c r="Q57" s="9">
        <v>99</v>
      </c>
    </row>
    <row r="58" spans="1:17" x14ac:dyDescent="0.2">
      <c r="A58" s="6"/>
      <c r="D58" s="4"/>
      <c r="J58" s="4"/>
      <c r="N58" t="s">
        <v>4</v>
      </c>
      <c r="O58" t="s">
        <v>23</v>
      </c>
      <c r="P58" t="s">
        <v>12</v>
      </c>
      <c r="Q58" s="9">
        <v>96</v>
      </c>
    </row>
    <row r="59" spans="1:17" x14ac:dyDescent="0.2">
      <c r="A59" s="7" t="s">
        <v>163</v>
      </c>
      <c r="B59" s="1" t="s">
        <v>29</v>
      </c>
      <c r="D59" s="4">
        <f>D60+D69+D79+D88</f>
        <v>21209.259259259263</v>
      </c>
      <c r="E59" t="s">
        <v>30</v>
      </c>
      <c r="F59" s="1" t="s">
        <v>31</v>
      </c>
      <c r="J59" s="4"/>
      <c r="N59" t="s">
        <v>4</v>
      </c>
      <c r="O59" t="s">
        <v>23</v>
      </c>
      <c r="P59" t="s">
        <v>13</v>
      </c>
      <c r="Q59" s="9">
        <v>87.6</v>
      </c>
    </row>
    <row r="60" spans="1:17" x14ac:dyDescent="0.2">
      <c r="A60" s="7" t="s">
        <v>124</v>
      </c>
      <c r="B60" s="1" t="s">
        <v>14</v>
      </c>
      <c r="C60" t="s">
        <v>32</v>
      </c>
      <c r="D60" s="4">
        <f>IF(G60=0,0,D61+D65*G60+D66+D67+D68)</f>
        <v>0</v>
      </c>
      <c r="E60" t="s">
        <v>30</v>
      </c>
      <c r="F60" t="s">
        <v>33</v>
      </c>
      <c r="G60" s="6">
        <f>D7</f>
        <v>0</v>
      </c>
      <c r="H60" t="s">
        <v>34</v>
      </c>
      <c r="J60" s="4"/>
      <c r="N60" t="s">
        <v>4</v>
      </c>
      <c r="O60" t="s">
        <v>23</v>
      </c>
      <c r="P60" t="s">
        <v>24</v>
      </c>
      <c r="Q60" s="9">
        <v>70.599999999999994</v>
      </c>
    </row>
    <row r="61" spans="1:17" x14ac:dyDescent="0.2">
      <c r="A61" s="6"/>
      <c r="B61" t="s">
        <v>35</v>
      </c>
      <c r="C61" s="6"/>
      <c r="D61" s="4">
        <f>IF(G60&gt;20,(D62+D63)*G60+D64,D62*G60+1600+D64)</f>
        <v>2583.3333333333335</v>
      </c>
      <c r="E61" t="s">
        <v>30</v>
      </c>
      <c r="F61" t="s">
        <v>16</v>
      </c>
      <c r="G61" s="6" t="str">
        <f>D8</f>
        <v>Süd</v>
      </c>
      <c r="J61" s="4"/>
      <c r="N61" t="s">
        <v>5</v>
      </c>
      <c r="O61" t="s">
        <v>11</v>
      </c>
      <c r="P61" t="s">
        <v>8</v>
      </c>
      <c r="Q61" s="9">
        <v>89</v>
      </c>
    </row>
    <row r="62" spans="1:17" x14ac:dyDescent="0.2">
      <c r="A62" s="6"/>
      <c r="C62" s="9" t="s">
        <v>36</v>
      </c>
      <c r="D62" s="4">
        <v>125</v>
      </c>
      <c r="E62" t="s">
        <v>37</v>
      </c>
      <c r="F62" t="s">
        <v>18</v>
      </c>
      <c r="G62" s="6" t="str">
        <f>D9</f>
        <v>35°</v>
      </c>
      <c r="H62" t="s">
        <v>38</v>
      </c>
      <c r="J62" s="4"/>
      <c r="N62" t="s">
        <v>5</v>
      </c>
      <c r="O62" t="s">
        <v>11</v>
      </c>
      <c r="P62" t="s">
        <v>9</v>
      </c>
      <c r="Q62" s="9">
        <v>94.6</v>
      </c>
    </row>
    <row r="63" spans="1:17" x14ac:dyDescent="0.2">
      <c r="A63" s="6"/>
      <c r="C63" s="9" t="s">
        <v>104</v>
      </c>
      <c r="D63" s="4">
        <v>80</v>
      </c>
      <c r="E63" t="s">
        <v>37</v>
      </c>
      <c r="J63" s="4"/>
      <c r="N63" t="s">
        <v>5</v>
      </c>
      <c r="O63" t="s">
        <v>11</v>
      </c>
      <c r="P63" t="s">
        <v>10</v>
      </c>
      <c r="Q63" s="9">
        <v>94.9</v>
      </c>
    </row>
    <row r="64" spans="1:17" x14ac:dyDescent="0.2">
      <c r="A64" s="6"/>
      <c r="C64" s="9" t="s">
        <v>39</v>
      </c>
      <c r="D64" s="4">
        <f>IF($D$111&lt;=3,450, IF($D$111&lt;=6,'calculation-sheet'!$L$66,IF($D$111&lt;=9,'calculation-sheet'!$L$67, IF($D$111&lt;=15,'calculation-sheet'!$L$68,2000))))</f>
        <v>983.33333333333337</v>
      </c>
      <c r="E64" t="s">
        <v>30</v>
      </c>
      <c r="J64" t="s">
        <v>39</v>
      </c>
      <c r="N64" t="s">
        <v>5</v>
      </c>
      <c r="O64" t="s">
        <v>11</v>
      </c>
      <c r="P64" t="s">
        <v>11</v>
      </c>
      <c r="Q64" s="9">
        <v>93.6</v>
      </c>
    </row>
    <row r="65" spans="1:17" x14ac:dyDescent="0.2">
      <c r="A65" s="6"/>
      <c r="B65" t="s">
        <v>130</v>
      </c>
      <c r="D65" s="4">
        <v>40</v>
      </c>
      <c r="E65" t="s">
        <v>37</v>
      </c>
      <c r="J65" t="s">
        <v>135</v>
      </c>
      <c r="L65">
        <v>450</v>
      </c>
      <c r="N65" t="s">
        <v>5</v>
      </c>
      <c r="O65" t="s">
        <v>11</v>
      </c>
      <c r="P65" t="s">
        <v>12</v>
      </c>
      <c r="Q65" s="9">
        <v>90.4</v>
      </c>
    </row>
    <row r="66" spans="1:17" x14ac:dyDescent="0.2">
      <c r="A66" s="6"/>
      <c r="B66" t="s">
        <v>129</v>
      </c>
      <c r="D66" s="4">
        <v>2000</v>
      </c>
      <c r="E66" t="s">
        <v>30</v>
      </c>
      <c r="J66" t="s">
        <v>136</v>
      </c>
      <c r="L66">
        <f>500/3*'calculation-sheet'!D111-50</f>
        <v>1283.3333333333333</v>
      </c>
      <c r="N66" t="s">
        <v>5</v>
      </c>
      <c r="O66" t="s">
        <v>11</v>
      </c>
      <c r="P66" t="s">
        <v>13</v>
      </c>
      <c r="Q66" s="9">
        <v>82.8</v>
      </c>
    </row>
    <row r="67" spans="1:17" x14ac:dyDescent="0.2">
      <c r="A67" s="6"/>
      <c r="B67" t="s">
        <v>40</v>
      </c>
      <c r="D67" s="4">
        <v>0</v>
      </c>
      <c r="E67" t="s">
        <v>30</v>
      </c>
      <c r="J67" t="s">
        <v>137</v>
      </c>
      <c r="L67">
        <f>50/3*'calculation-sheet'!D111+850</f>
        <v>983.33333333333337</v>
      </c>
      <c r="N67" t="s">
        <v>5</v>
      </c>
      <c r="O67" t="s">
        <v>11</v>
      </c>
      <c r="P67" t="s">
        <v>24</v>
      </c>
      <c r="Q67" s="9">
        <v>68.099999999999994</v>
      </c>
    </row>
    <row r="68" spans="1:17" x14ac:dyDescent="0.2">
      <c r="A68" s="6"/>
      <c r="B68" t="s">
        <v>41</v>
      </c>
      <c r="D68" s="4">
        <f>-IF(G121="Bestand",0,160*G60)</f>
        <v>0</v>
      </c>
      <c r="E68" t="s">
        <v>30</v>
      </c>
      <c r="J68" t="s">
        <v>138</v>
      </c>
      <c r="L68">
        <f>500/6*'calculation-sheet'!D111+250</f>
        <v>916.66666666666663</v>
      </c>
      <c r="N68" t="s">
        <v>6</v>
      </c>
      <c r="O68" t="s">
        <v>24</v>
      </c>
      <c r="P68" t="s">
        <v>8</v>
      </c>
      <c r="Q68" s="9">
        <v>86.4</v>
      </c>
    </row>
    <row r="69" spans="1:17" x14ac:dyDescent="0.2">
      <c r="A69" s="7" t="s">
        <v>125</v>
      </c>
      <c r="B69" s="1" t="s">
        <v>15</v>
      </c>
      <c r="C69" t="s">
        <v>32</v>
      </c>
      <c r="D69" s="4">
        <f>IF(G69=0,0,D70+D75*G69+D76+D77+D78)</f>
        <v>12225.925925925927</v>
      </c>
      <c r="E69" t="s">
        <v>30</v>
      </c>
      <c r="F69" t="s">
        <v>33</v>
      </c>
      <c r="G69" s="6">
        <f>D10</f>
        <v>20</v>
      </c>
      <c r="H69" t="s">
        <v>34</v>
      </c>
      <c r="J69" t="s">
        <v>139</v>
      </c>
      <c r="L69">
        <v>2000</v>
      </c>
      <c r="N69" t="s">
        <v>6</v>
      </c>
      <c r="O69" t="s">
        <v>24</v>
      </c>
      <c r="P69" t="s">
        <v>9</v>
      </c>
      <c r="Q69" s="9">
        <v>83.3</v>
      </c>
    </row>
    <row r="70" spans="1:17" x14ac:dyDescent="0.2">
      <c r="A70" s="6"/>
      <c r="B70" t="s">
        <v>35</v>
      </c>
      <c r="C70" s="6"/>
      <c r="D70" s="4">
        <f>(D71+D72)*G69+D73+D74</f>
        <v>10583.333333333334</v>
      </c>
      <c r="E70" t="s">
        <v>30</v>
      </c>
      <c r="F70" t="s">
        <v>16</v>
      </c>
      <c r="G70" s="6" t="str">
        <f>D11</f>
        <v>Süd-West</v>
      </c>
      <c r="J70" s="4"/>
      <c r="N70" t="s">
        <v>6</v>
      </c>
      <c r="O70" t="s">
        <v>24</v>
      </c>
      <c r="P70" t="s">
        <v>10</v>
      </c>
      <c r="Q70" s="9">
        <v>80.7</v>
      </c>
    </row>
    <row r="71" spans="1:17" x14ac:dyDescent="0.2">
      <c r="A71" s="6"/>
      <c r="C71" s="9" t="s">
        <v>36</v>
      </c>
      <c r="D71" s="4">
        <v>480</v>
      </c>
      <c r="E71" t="s">
        <v>37</v>
      </c>
      <c r="F71" t="s">
        <v>18</v>
      </c>
      <c r="G71" s="6" t="str">
        <f>D12</f>
        <v>35°</v>
      </c>
      <c r="H71" t="s">
        <v>38</v>
      </c>
      <c r="J71" s="4"/>
      <c r="N71" t="s">
        <v>6</v>
      </c>
      <c r="O71" t="s">
        <v>24</v>
      </c>
      <c r="P71" t="s">
        <v>11</v>
      </c>
      <c r="Q71" s="9">
        <v>77.5</v>
      </c>
    </row>
    <row r="72" spans="1:17" x14ac:dyDescent="0.2">
      <c r="A72" s="6"/>
      <c r="C72" s="9" t="s">
        <v>104</v>
      </c>
      <c r="D72" s="4">
        <v>0</v>
      </c>
      <c r="E72" t="s">
        <v>37</v>
      </c>
      <c r="J72" s="4"/>
      <c r="N72" t="s">
        <v>6</v>
      </c>
      <c r="O72" t="s">
        <v>24</v>
      </c>
      <c r="P72" t="s">
        <v>12</v>
      </c>
      <c r="Q72" s="9">
        <v>73.599999999999994</v>
      </c>
    </row>
    <row r="73" spans="1:17" x14ac:dyDescent="0.2">
      <c r="A73" s="7"/>
      <c r="C73" s="9" t="s">
        <v>39</v>
      </c>
      <c r="D73" s="4">
        <f>IF($D$111&lt;=3,450, IF($D$111&lt;=6,'calculation-sheet'!$L$66,IF($D$111&lt;=9,'calculation-sheet'!$L$67, IF($D$111&lt;=15,'calculation-sheet'!$L$68,2000))))</f>
        <v>983.33333333333337</v>
      </c>
      <c r="E73" t="s">
        <v>30</v>
      </c>
      <c r="J73" s="4"/>
      <c r="N73" t="s">
        <v>6</v>
      </c>
      <c r="O73" t="s">
        <v>24</v>
      </c>
      <c r="P73" t="s">
        <v>13</v>
      </c>
      <c r="Q73" s="9">
        <v>66.599999999999994</v>
      </c>
    </row>
    <row r="74" spans="1:17" x14ac:dyDescent="0.2">
      <c r="A74" s="7"/>
      <c r="C74" s="9" t="s">
        <v>128</v>
      </c>
      <c r="D74" s="4">
        <f>IF(G121="Bestand",11000, 0)</f>
        <v>0</v>
      </c>
      <c r="E74" t="s">
        <v>30</v>
      </c>
      <c r="J74" s="4"/>
      <c r="N74" t="s">
        <v>6</v>
      </c>
      <c r="O74" t="s">
        <v>24</v>
      </c>
      <c r="P74" t="s">
        <v>24</v>
      </c>
      <c r="Q74" s="9">
        <v>55.3</v>
      </c>
    </row>
    <row r="75" spans="1:17" x14ac:dyDescent="0.2">
      <c r="A75" s="6"/>
      <c r="B75" t="s">
        <v>130</v>
      </c>
      <c r="D75" s="4">
        <v>65</v>
      </c>
      <c r="E75" t="s">
        <v>37</v>
      </c>
      <c r="J75" s="4"/>
      <c r="N75" t="s">
        <v>7</v>
      </c>
      <c r="O75" t="s">
        <v>25</v>
      </c>
      <c r="P75" t="s">
        <v>8</v>
      </c>
      <c r="Q75" s="9">
        <v>83.9</v>
      </c>
    </row>
    <row r="76" spans="1:17" x14ac:dyDescent="0.2">
      <c r="A76" s="6"/>
      <c r="B76" t="s">
        <v>129</v>
      </c>
      <c r="D76" s="4">
        <f>2000+IF(G121="Bestand",3000,0)</f>
        <v>2000</v>
      </c>
      <c r="E76" t="s">
        <v>30</v>
      </c>
      <c r="J76" s="4"/>
      <c r="N76" t="s">
        <v>7</v>
      </c>
      <c r="O76" t="s">
        <v>25</v>
      </c>
      <c r="P76" t="s">
        <v>9</v>
      </c>
      <c r="Q76" s="9">
        <v>70.400000000000006</v>
      </c>
    </row>
    <row r="77" spans="1:17" x14ac:dyDescent="0.2">
      <c r="A77" s="6"/>
      <c r="B77" t="s">
        <v>40</v>
      </c>
      <c r="D77" s="4">
        <f>(D70+D76+D75*G69)*10/90</f>
        <v>1542.5925925925926</v>
      </c>
      <c r="E77" t="s">
        <v>30</v>
      </c>
      <c r="J77" s="4"/>
      <c r="N77" t="s">
        <v>7</v>
      </c>
      <c r="O77" t="s">
        <v>25</v>
      </c>
      <c r="P77" t="s">
        <v>10</v>
      </c>
      <c r="Q77" s="9">
        <v>63.5</v>
      </c>
    </row>
    <row r="78" spans="1:17" x14ac:dyDescent="0.2">
      <c r="A78" s="6"/>
      <c r="B78" t="s">
        <v>41</v>
      </c>
      <c r="D78" s="4">
        <f>-IF(G121="Bestand",0,160*G69)</f>
        <v>-3200</v>
      </c>
      <c r="E78" t="s">
        <v>30</v>
      </c>
      <c r="J78" s="4"/>
      <c r="N78" t="s">
        <v>7</v>
      </c>
      <c r="O78" t="s">
        <v>25</v>
      </c>
      <c r="P78" t="s">
        <v>11</v>
      </c>
      <c r="Q78" s="9">
        <v>57.3</v>
      </c>
    </row>
    <row r="79" spans="1:17" x14ac:dyDescent="0.2">
      <c r="A79" s="7" t="s">
        <v>126</v>
      </c>
      <c r="B79" s="1" t="s">
        <v>14</v>
      </c>
      <c r="C79" t="s">
        <v>42</v>
      </c>
      <c r="D79" s="4">
        <f>IF(G79=0,0,D80+D84*G79+D85+D86+D87)</f>
        <v>8983.3333333333339</v>
      </c>
      <c r="E79" t="s">
        <v>30</v>
      </c>
      <c r="F79" t="s">
        <v>33</v>
      </c>
      <c r="G79" s="6">
        <f>D13</f>
        <v>20</v>
      </c>
      <c r="H79" t="s">
        <v>34</v>
      </c>
      <c r="J79" s="4"/>
      <c r="N79" t="s">
        <v>7</v>
      </c>
      <c r="O79" t="s">
        <v>25</v>
      </c>
      <c r="P79" t="s">
        <v>12</v>
      </c>
      <c r="Q79" s="9">
        <v>52.1</v>
      </c>
    </row>
    <row r="80" spans="1:17" x14ac:dyDescent="0.2">
      <c r="A80" s="6"/>
      <c r="B80" t="s">
        <v>35</v>
      </c>
      <c r="C80" s="6"/>
      <c r="D80" s="4">
        <f>IF(G79&gt;20,(D81+D82)*G79+D83,D81*G79 + 3200 + D83)</f>
        <v>9183.3333333333339</v>
      </c>
      <c r="E80" t="s">
        <v>30</v>
      </c>
      <c r="F80" t="s">
        <v>16</v>
      </c>
      <c r="G80" s="6" t="str">
        <f>D14</f>
        <v>Süd-West</v>
      </c>
      <c r="J80" s="4"/>
      <c r="N80" t="s">
        <v>7</v>
      </c>
      <c r="O80" t="s">
        <v>25</v>
      </c>
      <c r="P80" t="s">
        <v>13</v>
      </c>
      <c r="Q80" s="9">
        <v>45.5</v>
      </c>
    </row>
    <row r="81" spans="1:17" x14ac:dyDescent="0.2">
      <c r="A81" s="6"/>
      <c r="C81" s="9" t="s">
        <v>36</v>
      </c>
      <c r="D81" s="4">
        <v>250</v>
      </c>
      <c r="E81" t="s">
        <v>37</v>
      </c>
      <c r="F81" t="s">
        <v>18</v>
      </c>
      <c r="G81" s="6" t="s">
        <v>24</v>
      </c>
      <c r="H81" t="s">
        <v>38</v>
      </c>
      <c r="J81" s="4"/>
      <c r="N81" t="s">
        <v>7</v>
      </c>
      <c r="O81" t="s">
        <v>25</v>
      </c>
      <c r="P81" t="s">
        <v>24</v>
      </c>
      <c r="Q81" s="9">
        <v>37.6</v>
      </c>
    </row>
    <row r="82" spans="1:17" x14ac:dyDescent="0.2">
      <c r="A82" s="6"/>
      <c r="C82" s="9" t="s">
        <v>104</v>
      </c>
      <c r="D82" s="4">
        <v>160</v>
      </c>
      <c r="E82" t="s">
        <v>37</v>
      </c>
      <c r="J82" s="4"/>
    </row>
    <row r="83" spans="1:17" x14ac:dyDescent="0.2">
      <c r="A83" s="6"/>
      <c r="C83" s="9" t="s">
        <v>39</v>
      </c>
      <c r="D83" s="4">
        <f>IF($D$111&lt;=3,450, IF($D$111&lt;=6,'calculation-sheet'!$L$66,IF($D$111&lt;=9,'calculation-sheet'!$L$67, IF($D$111&lt;=15,'calculation-sheet'!$L$68,2000))))</f>
        <v>983.33333333333337</v>
      </c>
      <c r="E83" t="s">
        <v>30</v>
      </c>
      <c r="J83" s="4"/>
    </row>
    <row r="84" spans="1:17" x14ac:dyDescent="0.2">
      <c r="A84" s="6"/>
      <c r="B84" t="s">
        <v>130</v>
      </c>
      <c r="D84" s="4">
        <v>80</v>
      </c>
      <c r="E84" t="s">
        <v>37</v>
      </c>
      <c r="J84" s="4"/>
    </row>
    <row r="85" spans="1:17" x14ac:dyDescent="0.2">
      <c r="A85" s="6"/>
      <c r="B85" t="s">
        <v>129</v>
      </c>
      <c r="D85" s="4">
        <v>2000</v>
      </c>
      <c r="E85" t="s">
        <v>30</v>
      </c>
      <c r="J85" s="4"/>
    </row>
    <row r="86" spans="1:17" x14ac:dyDescent="0.2">
      <c r="A86" s="6"/>
      <c r="B86" t="s">
        <v>40</v>
      </c>
      <c r="D86" s="4">
        <v>0</v>
      </c>
      <c r="E86" t="s">
        <v>30</v>
      </c>
      <c r="J86" s="4"/>
    </row>
    <row r="87" spans="1:17" x14ac:dyDescent="0.2">
      <c r="A87" s="6"/>
      <c r="B87" t="s">
        <v>41</v>
      </c>
      <c r="D87" s="4">
        <f>-IF(G121="Bestand",0,190*G79)</f>
        <v>-3800</v>
      </c>
      <c r="E87" t="s">
        <v>30</v>
      </c>
      <c r="J87" s="4"/>
    </row>
    <row r="88" spans="1:17" x14ac:dyDescent="0.2">
      <c r="A88" s="7" t="s">
        <v>127</v>
      </c>
      <c r="B88" s="1" t="s">
        <v>15</v>
      </c>
      <c r="C88" t="s">
        <v>42</v>
      </c>
      <c r="D88" s="4">
        <f>IF(G88=0,0,D89+D94*G88+D95+D96+D97)</f>
        <v>0</v>
      </c>
      <c r="E88" t="s">
        <v>30</v>
      </c>
      <c r="F88" t="s">
        <v>33</v>
      </c>
      <c r="G88" s="6">
        <f>D15</f>
        <v>0</v>
      </c>
      <c r="H88" t="s">
        <v>34</v>
      </c>
      <c r="J88" s="4"/>
    </row>
    <row r="89" spans="1:17" x14ac:dyDescent="0.2">
      <c r="A89" s="6"/>
      <c r="B89" t="s">
        <v>35</v>
      </c>
      <c r="C89" s="6"/>
      <c r="D89" s="4">
        <f>(D90+D91)*G88+D92+D93</f>
        <v>983.33333333333337</v>
      </c>
      <c r="E89" t="s">
        <v>30</v>
      </c>
      <c r="F89" t="s">
        <v>16</v>
      </c>
      <c r="G89" s="6" t="str">
        <f>D16</f>
        <v>Nord</v>
      </c>
      <c r="J89" s="4"/>
    </row>
    <row r="90" spans="1:17" x14ac:dyDescent="0.2">
      <c r="A90" s="6"/>
      <c r="C90" s="9" t="s">
        <v>36</v>
      </c>
      <c r="D90" s="4">
        <v>750</v>
      </c>
      <c r="E90" t="s">
        <v>37</v>
      </c>
      <c r="F90" t="s">
        <v>18</v>
      </c>
      <c r="G90" s="6" t="s">
        <v>24</v>
      </c>
      <c r="H90" t="s">
        <v>38</v>
      </c>
      <c r="J90" s="4"/>
    </row>
    <row r="91" spans="1:17" x14ac:dyDescent="0.2">
      <c r="A91" s="6"/>
      <c r="C91" s="9" t="s">
        <v>104</v>
      </c>
      <c r="D91" s="4">
        <v>0</v>
      </c>
      <c r="E91" t="s">
        <v>37</v>
      </c>
      <c r="J91" s="4"/>
    </row>
    <row r="92" spans="1:17" x14ac:dyDescent="0.2">
      <c r="A92" s="7"/>
      <c r="C92" s="9" t="s">
        <v>39</v>
      </c>
      <c r="D92" s="4">
        <f>IF($D$111&lt;=3,450, IF($D$111&lt;=6,'calculation-sheet'!$L$66,IF($D$111&lt;=9,'calculation-sheet'!$L$67, IF($D$111&lt;=15,'calculation-sheet'!$L$68,2000))))</f>
        <v>983.33333333333337</v>
      </c>
      <c r="E92" t="s">
        <v>30</v>
      </c>
      <c r="J92" s="4"/>
    </row>
    <row r="93" spans="1:17" x14ac:dyDescent="0.2">
      <c r="A93" s="7"/>
      <c r="C93" s="9" t="s">
        <v>128</v>
      </c>
      <c r="D93" s="4">
        <f>IF(G121="Bestand",11000, 0)</f>
        <v>0</v>
      </c>
      <c r="E93" t="s">
        <v>30</v>
      </c>
      <c r="J93" s="4"/>
    </row>
    <row r="94" spans="1:17" x14ac:dyDescent="0.2">
      <c r="A94" s="6"/>
      <c r="B94" t="s">
        <v>130</v>
      </c>
      <c r="D94" s="4">
        <v>130</v>
      </c>
      <c r="E94" t="s">
        <v>37</v>
      </c>
      <c r="J94" s="4"/>
    </row>
    <row r="95" spans="1:17" x14ac:dyDescent="0.2">
      <c r="A95" s="6"/>
      <c r="B95" t="s">
        <v>129</v>
      </c>
      <c r="D95" s="4">
        <f>2000+IF(G121="Bestand",3000,0)</f>
        <v>2000</v>
      </c>
      <c r="E95" t="s">
        <v>30</v>
      </c>
      <c r="J95" s="4"/>
    </row>
    <row r="96" spans="1:17" x14ac:dyDescent="0.2">
      <c r="A96" s="6"/>
      <c r="B96" t="s">
        <v>40</v>
      </c>
      <c r="D96" s="4">
        <f>(D89+D95+D94*G88)*10/90</f>
        <v>331.48148148148152</v>
      </c>
      <c r="E96" t="s">
        <v>30</v>
      </c>
      <c r="J96" s="4"/>
    </row>
    <row r="97" spans="1:10" x14ac:dyDescent="0.2">
      <c r="A97" s="6"/>
      <c r="B97" t="s">
        <v>41</v>
      </c>
      <c r="D97" s="4">
        <f>-IF(G121="Bestand",0,190*G88)</f>
        <v>0</v>
      </c>
      <c r="E97" t="s">
        <v>30</v>
      </c>
      <c r="J97" s="4"/>
    </row>
    <row r="98" spans="1:10" x14ac:dyDescent="0.2">
      <c r="A98" s="6"/>
      <c r="D98" s="4"/>
      <c r="J98" s="4"/>
    </row>
    <row r="99" spans="1:10" x14ac:dyDescent="0.2">
      <c r="A99" s="6"/>
      <c r="D99" s="4"/>
      <c r="J99" s="4"/>
    </row>
    <row r="100" spans="1:10" x14ac:dyDescent="0.2">
      <c r="A100" s="7" t="s">
        <v>164</v>
      </c>
      <c r="B100" s="1" t="s">
        <v>43</v>
      </c>
      <c r="D100" s="4"/>
      <c r="G100"/>
      <c r="J100" s="4"/>
    </row>
    <row r="101" spans="1:10" x14ac:dyDescent="0.2">
      <c r="A101" s="6" t="s">
        <v>161</v>
      </c>
      <c r="B101" t="s">
        <v>117</v>
      </c>
      <c r="D101" s="4">
        <v>100</v>
      </c>
      <c r="E101" t="s">
        <v>44</v>
      </c>
      <c r="J101" s="4"/>
    </row>
    <row r="102" spans="1:10" ht="37" customHeight="1" x14ac:dyDescent="0.2">
      <c r="A102" s="6" t="s">
        <v>165</v>
      </c>
      <c r="B102" s="16" t="s">
        <v>45</v>
      </c>
      <c r="C102" s="15"/>
      <c r="D102">
        <v>2</v>
      </c>
      <c r="E102" s="6" t="s">
        <v>106</v>
      </c>
      <c r="F102" t="s">
        <v>107</v>
      </c>
      <c r="J102" s="4"/>
    </row>
    <row r="103" spans="1:10" ht="37" customHeight="1" x14ac:dyDescent="0.2">
      <c r="A103" s="6" t="s">
        <v>166</v>
      </c>
      <c r="B103" s="16" t="s">
        <v>46</v>
      </c>
      <c r="C103" s="16"/>
      <c r="D103" s="4">
        <f>IF(D111&gt;11,D111*18,200)</f>
        <v>200</v>
      </c>
      <c r="E103" t="s">
        <v>148</v>
      </c>
      <c r="F103" t="s">
        <v>105</v>
      </c>
      <c r="G103" s="11"/>
      <c r="J103" s="4"/>
    </row>
    <row r="104" spans="1:10" x14ac:dyDescent="0.2">
      <c r="A104" s="6" t="s">
        <v>167</v>
      </c>
      <c r="B104" t="s">
        <v>47</v>
      </c>
      <c r="D104" s="4">
        <f>D64</f>
        <v>983.33333333333337</v>
      </c>
      <c r="E104" t="s">
        <v>145</v>
      </c>
      <c r="F104" t="s">
        <v>108</v>
      </c>
      <c r="J104" s="4"/>
    </row>
    <row r="105" spans="1:10" x14ac:dyDescent="0.2">
      <c r="A105" s="6"/>
      <c r="D105" s="4"/>
      <c r="J105" s="4"/>
    </row>
    <row r="106" spans="1:10" x14ac:dyDescent="0.2">
      <c r="A106" s="6"/>
      <c r="D106" s="4"/>
      <c r="J106" s="4"/>
    </row>
    <row r="107" spans="1:10" x14ac:dyDescent="0.2">
      <c r="A107" s="6"/>
      <c r="D107" s="4"/>
      <c r="J107" s="4"/>
    </row>
    <row r="108" spans="1:10" x14ac:dyDescent="0.2">
      <c r="A108" s="7" t="s">
        <v>168</v>
      </c>
      <c r="B108" s="1" t="s">
        <v>48</v>
      </c>
      <c r="D108" s="4"/>
      <c r="J108" s="4"/>
    </row>
    <row r="109" spans="1:10" x14ac:dyDescent="0.2">
      <c r="A109" s="7" t="s">
        <v>169</v>
      </c>
      <c r="B109" s="1" t="s">
        <v>49</v>
      </c>
      <c r="D109" s="4"/>
      <c r="J109" s="4"/>
    </row>
    <row r="110" spans="1:10" x14ac:dyDescent="0.2">
      <c r="A110" s="6"/>
      <c r="B110" t="s">
        <v>50</v>
      </c>
      <c r="C110" t="s">
        <v>51</v>
      </c>
      <c r="D110" s="4">
        <f>G60+G69+G79+G88</f>
        <v>40</v>
      </c>
      <c r="E110" t="s">
        <v>34</v>
      </c>
      <c r="J110" s="4"/>
    </row>
    <row r="111" spans="1:10" x14ac:dyDescent="0.2">
      <c r="A111" s="6"/>
      <c r="D111" s="4">
        <f>D110*0.2</f>
        <v>8</v>
      </c>
      <c r="E111" t="s">
        <v>109</v>
      </c>
      <c r="J111" s="4"/>
    </row>
    <row r="112" spans="1:10" x14ac:dyDescent="0.2">
      <c r="A112" s="7" t="s">
        <v>170</v>
      </c>
      <c r="B112" s="1" t="s">
        <v>52</v>
      </c>
      <c r="D112" s="4"/>
      <c r="J112" s="4"/>
    </row>
    <row r="113" spans="1:10" x14ac:dyDescent="0.2">
      <c r="A113" s="7"/>
      <c r="B113" t="s">
        <v>171</v>
      </c>
      <c r="D113" s="4"/>
      <c r="J113" s="4"/>
    </row>
    <row r="114" spans="1:10" x14ac:dyDescent="0.2">
      <c r="B114" t="s">
        <v>131</v>
      </c>
      <c r="D114" s="4">
        <v>1000</v>
      </c>
      <c r="E114" t="s">
        <v>88</v>
      </c>
      <c r="J114" s="4"/>
    </row>
    <row r="115" spans="1:10" x14ac:dyDescent="0.2">
      <c r="A115" s="6"/>
      <c r="B115" t="s">
        <v>90</v>
      </c>
      <c r="D115">
        <v>0.2</v>
      </c>
      <c r="E115" t="s">
        <v>89</v>
      </c>
      <c r="J115" s="4"/>
    </row>
    <row r="116" spans="1:10" x14ac:dyDescent="0.2">
      <c r="A116" s="6"/>
      <c r="B116" t="s">
        <v>132</v>
      </c>
      <c r="D116">
        <v>710</v>
      </c>
      <c r="E116" t="s">
        <v>95</v>
      </c>
      <c r="J116" s="4"/>
    </row>
    <row r="117" spans="1:10" x14ac:dyDescent="0.2">
      <c r="A117" s="6"/>
      <c r="D117" s="4"/>
      <c r="J117" s="4"/>
    </row>
    <row r="118" spans="1:10" x14ac:dyDescent="0.2">
      <c r="A118" s="7" t="s">
        <v>172</v>
      </c>
      <c r="B118" s="1" t="s">
        <v>118</v>
      </c>
      <c r="D118" s="4"/>
      <c r="J118" s="4"/>
    </row>
    <row r="119" spans="1:10" x14ac:dyDescent="0.2">
      <c r="A119" s="6" t="s">
        <v>173</v>
      </c>
      <c r="B119" t="s">
        <v>174</v>
      </c>
      <c r="F119" t="s">
        <v>53</v>
      </c>
      <c r="G119">
        <f>D3</f>
        <v>2</v>
      </c>
      <c r="J119" s="4"/>
    </row>
    <row r="120" spans="1:10" x14ac:dyDescent="0.2">
      <c r="A120" s="6"/>
      <c r="B120" t="s">
        <v>96</v>
      </c>
      <c r="D120">
        <v>45</v>
      </c>
      <c r="E120" t="s">
        <v>95</v>
      </c>
      <c r="F120" t="s">
        <v>54</v>
      </c>
      <c r="G120">
        <f>D4</f>
        <v>6</v>
      </c>
      <c r="H120" t="s">
        <v>55</v>
      </c>
      <c r="J120" s="4"/>
    </row>
    <row r="121" spans="1:10" x14ac:dyDescent="0.2">
      <c r="A121" s="6"/>
      <c r="B121" t="s">
        <v>97</v>
      </c>
      <c r="D121">
        <v>100</v>
      </c>
      <c r="E121" t="s">
        <v>95</v>
      </c>
      <c r="F121" t="s">
        <v>94</v>
      </c>
      <c r="G121" t="str">
        <f>D2</f>
        <v>Neubau</v>
      </c>
      <c r="H121" t="s">
        <v>121</v>
      </c>
      <c r="J121" s="4"/>
    </row>
    <row r="122" spans="1:10" x14ac:dyDescent="0.2">
      <c r="A122" s="6"/>
      <c r="D122">
        <f>IF(G121="Neubau",G122*D120,0)+IF(G121="Bestand",G122*D121,0)+IF(G121="Sanierung",G122*D120,0)</f>
        <v>18000</v>
      </c>
      <c r="E122" t="s">
        <v>56</v>
      </c>
      <c r="F122" t="s">
        <v>93</v>
      </c>
      <c r="G122">
        <f>D5</f>
        <v>400</v>
      </c>
      <c r="H122" t="s">
        <v>34</v>
      </c>
      <c r="J122" s="4"/>
    </row>
    <row r="123" spans="1:10" x14ac:dyDescent="0.2">
      <c r="A123" s="6"/>
      <c r="J123" s="4"/>
    </row>
    <row r="124" spans="1:10" x14ac:dyDescent="0.2">
      <c r="A124" s="6" t="s">
        <v>175</v>
      </c>
      <c r="B124" t="s">
        <v>86</v>
      </c>
      <c r="D124">
        <f>IF(G119&gt;2,G119*C128,G120*C126)</f>
        <v>3000</v>
      </c>
      <c r="E124" t="s">
        <v>56</v>
      </c>
      <c r="G124"/>
      <c r="J124" s="4"/>
    </row>
    <row r="125" spans="1:10" x14ac:dyDescent="0.2">
      <c r="A125" s="6"/>
      <c r="B125" t="s">
        <v>57</v>
      </c>
      <c r="J125" s="4"/>
    </row>
    <row r="126" spans="1:10" x14ac:dyDescent="0.2">
      <c r="A126" s="6"/>
      <c r="C126">
        <v>500</v>
      </c>
      <c r="D126" t="s">
        <v>58</v>
      </c>
      <c r="J126" s="4"/>
    </row>
    <row r="127" spans="1:10" x14ac:dyDescent="0.2">
      <c r="A127" s="6"/>
      <c r="B127" t="s">
        <v>59</v>
      </c>
      <c r="J127" s="4"/>
    </row>
    <row r="128" spans="1:10" x14ac:dyDescent="0.2">
      <c r="A128" s="6"/>
      <c r="C128">
        <v>1000</v>
      </c>
      <c r="D128" t="s">
        <v>60</v>
      </c>
      <c r="G128"/>
      <c r="J128" s="4"/>
    </row>
    <row r="129" spans="1:10" x14ac:dyDescent="0.2">
      <c r="A129" s="6"/>
      <c r="G129"/>
      <c r="J129" s="4"/>
    </row>
    <row r="130" spans="1:10" x14ac:dyDescent="0.2">
      <c r="A130" s="6" t="s">
        <v>176</v>
      </c>
      <c r="B130" t="s">
        <v>177</v>
      </c>
      <c r="D130">
        <f>IF(G119&gt;2,G119*C139,IF(G120=B132,C132,0)+IF(G120=B133,C133,0)+IF(G120=B134,C134,0)+IF(G120=B135,C135,0)+IF(G120=B136,C136,0)+IF(G120=B137,C137,0))</f>
        <v>8100</v>
      </c>
      <c r="E130" t="s">
        <v>56</v>
      </c>
      <c r="J130" s="4"/>
    </row>
    <row r="131" spans="1:10" x14ac:dyDescent="0.2">
      <c r="B131" t="s">
        <v>61</v>
      </c>
      <c r="J131" s="4"/>
    </row>
    <row r="132" spans="1:10" x14ac:dyDescent="0.2">
      <c r="B132">
        <v>1</v>
      </c>
      <c r="C132">
        <v>2350</v>
      </c>
      <c r="D132" t="s">
        <v>56</v>
      </c>
      <c r="J132" s="4"/>
    </row>
    <row r="133" spans="1:10" x14ac:dyDescent="0.2">
      <c r="B133">
        <v>2</v>
      </c>
      <c r="C133">
        <v>4040</v>
      </c>
      <c r="D133" t="s">
        <v>56</v>
      </c>
      <c r="G133"/>
      <c r="J133" s="4"/>
    </row>
    <row r="134" spans="1:10" x14ac:dyDescent="0.2">
      <c r="B134">
        <v>3</v>
      </c>
      <c r="C134">
        <f>1650*3</f>
        <v>4950</v>
      </c>
      <c r="D134" t="s">
        <v>56</v>
      </c>
      <c r="G134"/>
      <c r="J134" s="4"/>
    </row>
    <row r="135" spans="1:10" x14ac:dyDescent="0.2">
      <c r="B135">
        <v>4</v>
      </c>
      <c r="C135">
        <f>1500*4</f>
        <v>6000</v>
      </c>
      <c r="D135" t="s">
        <v>56</v>
      </c>
      <c r="G135"/>
      <c r="J135" s="4"/>
    </row>
    <row r="136" spans="1:10" x14ac:dyDescent="0.2">
      <c r="B136">
        <v>5</v>
      </c>
      <c r="C136">
        <f>1400*5</f>
        <v>7000</v>
      </c>
      <c r="D136" t="s">
        <v>56</v>
      </c>
      <c r="G136"/>
      <c r="J136" s="4"/>
    </row>
    <row r="137" spans="1:10" x14ac:dyDescent="0.2">
      <c r="B137">
        <v>6</v>
      </c>
      <c r="C137">
        <f>1350*6</f>
        <v>8100</v>
      </c>
      <c r="D137" t="s">
        <v>56</v>
      </c>
      <c r="G137"/>
      <c r="J137" s="4"/>
    </row>
    <row r="138" spans="1:10" ht="31" customHeight="1" x14ac:dyDescent="0.2">
      <c r="B138" t="s">
        <v>62</v>
      </c>
      <c r="G138"/>
      <c r="J138" s="4"/>
    </row>
    <row r="139" spans="1:10" ht="30" customHeight="1" x14ac:dyDescent="0.2">
      <c r="B139" t="s">
        <v>63</v>
      </c>
      <c r="C139">
        <v>3000</v>
      </c>
      <c r="D139" t="s">
        <v>56</v>
      </c>
      <c r="G139"/>
      <c r="J139" s="4"/>
    </row>
    <row r="140" spans="1:10" x14ac:dyDescent="0.2">
      <c r="B140" t="s">
        <v>64</v>
      </c>
      <c r="C140">
        <v>6000</v>
      </c>
      <c r="D140" t="s">
        <v>56</v>
      </c>
      <c r="G140"/>
      <c r="J140" s="4"/>
    </row>
    <row r="141" spans="1:10" x14ac:dyDescent="0.2">
      <c r="B141" t="s">
        <v>65</v>
      </c>
      <c r="C141">
        <v>9000</v>
      </c>
      <c r="D141" t="s">
        <v>56</v>
      </c>
      <c r="G141"/>
      <c r="J141" s="4"/>
    </row>
    <row r="142" spans="1:10" x14ac:dyDescent="0.2">
      <c r="B142" t="s">
        <v>66</v>
      </c>
      <c r="C142">
        <v>12000</v>
      </c>
      <c r="D142" t="s">
        <v>56</v>
      </c>
      <c r="G142"/>
      <c r="J142" s="4"/>
    </row>
    <row r="143" spans="1:10" x14ac:dyDescent="0.2">
      <c r="B143" t="s">
        <v>67</v>
      </c>
      <c r="C143">
        <v>15000</v>
      </c>
      <c r="D143" t="s">
        <v>56</v>
      </c>
      <c r="G143"/>
      <c r="J143" s="4"/>
    </row>
    <row r="144" spans="1:10" x14ac:dyDescent="0.2">
      <c r="B144" t="s">
        <v>68</v>
      </c>
      <c r="C144">
        <v>18000</v>
      </c>
      <c r="D144" t="s">
        <v>56</v>
      </c>
      <c r="G144"/>
      <c r="J144" s="4"/>
    </row>
    <row r="145" spans="1:10" x14ac:dyDescent="0.2">
      <c r="B145" t="s">
        <v>69</v>
      </c>
      <c r="C145">
        <v>21000</v>
      </c>
      <c r="D145" t="s">
        <v>56</v>
      </c>
      <c r="G145"/>
      <c r="J145" s="4"/>
    </row>
    <row r="146" spans="1:10" x14ac:dyDescent="0.2">
      <c r="B146" t="s">
        <v>70</v>
      </c>
      <c r="C146">
        <v>24000</v>
      </c>
      <c r="D146" t="s">
        <v>56</v>
      </c>
      <c r="G146"/>
      <c r="J146" s="4"/>
    </row>
    <row r="147" spans="1:10" x14ac:dyDescent="0.2">
      <c r="B147" t="s">
        <v>71</v>
      </c>
      <c r="C147">
        <v>27000</v>
      </c>
      <c r="D147" t="s">
        <v>56</v>
      </c>
      <c r="G147"/>
      <c r="J147" s="4"/>
    </row>
    <row r="148" spans="1:10" x14ac:dyDescent="0.2">
      <c r="B148" t="s">
        <v>72</v>
      </c>
      <c r="C148">
        <v>30000</v>
      </c>
      <c r="D148" t="s">
        <v>56</v>
      </c>
      <c r="G148"/>
      <c r="J148" s="4"/>
    </row>
    <row r="149" spans="1:10" x14ac:dyDescent="0.2">
      <c r="G149"/>
      <c r="J149" s="4"/>
    </row>
    <row r="150" spans="1:10" x14ac:dyDescent="0.2">
      <c r="A150" s="6"/>
      <c r="G150"/>
      <c r="J150" s="4"/>
    </row>
    <row r="151" spans="1:10" x14ac:dyDescent="0.2">
      <c r="A151" s="6"/>
      <c r="G151"/>
      <c r="J151" s="4"/>
    </row>
    <row r="152" spans="1:10" x14ac:dyDescent="0.2">
      <c r="A152" s="6" t="s">
        <v>178</v>
      </c>
      <c r="B152" t="s">
        <v>119</v>
      </c>
      <c r="G152"/>
      <c r="J152" s="4"/>
    </row>
    <row r="153" spans="1:10" x14ac:dyDescent="0.2">
      <c r="A153" s="6"/>
      <c r="B153" t="s">
        <v>120</v>
      </c>
      <c r="D153">
        <f>IF(H153="ja", 0.6,0.3)</f>
        <v>0.6</v>
      </c>
      <c r="F153" t="s">
        <v>146</v>
      </c>
      <c r="G153"/>
      <c r="H153" t="str">
        <f>D17</f>
        <v>ja</v>
      </c>
      <c r="J153" s="4"/>
    </row>
    <row r="154" spans="1:10" x14ac:dyDescent="0.2">
      <c r="G154"/>
      <c r="J154" s="4"/>
    </row>
    <row r="155" spans="1:10" x14ac:dyDescent="0.2">
      <c r="B155" t="s">
        <v>147</v>
      </c>
      <c r="D155">
        <v>0.3</v>
      </c>
      <c r="G155"/>
      <c r="J155" s="4"/>
    </row>
    <row r="156" spans="1:10" x14ac:dyDescent="0.2">
      <c r="G156"/>
      <c r="J156" s="4"/>
    </row>
    <row r="157" spans="1:10" x14ac:dyDescent="0.2">
      <c r="B157" t="s">
        <v>149</v>
      </c>
      <c r="D157" s="5">
        <f>IF(D111&lt;15,5000,13000)</f>
        <v>5000</v>
      </c>
      <c r="G157"/>
      <c r="J157" s="4"/>
    </row>
    <row r="158" spans="1:10" x14ac:dyDescent="0.2">
      <c r="J158" s="4"/>
    </row>
    <row r="159" spans="1:10" x14ac:dyDescent="0.2">
      <c r="J159" s="4"/>
    </row>
    <row r="160" spans="1:10" x14ac:dyDescent="0.2">
      <c r="A160" s="6" t="s">
        <v>183</v>
      </c>
      <c r="B160" t="s">
        <v>153</v>
      </c>
      <c r="F160" t="s">
        <v>154</v>
      </c>
      <c r="H160" t="str">
        <f>D19</f>
        <v>nein</v>
      </c>
      <c r="J160" s="4"/>
    </row>
    <row r="161" spans="1:13" x14ac:dyDescent="0.2">
      <c r="B161" t="s">
        <v>156</v>
      </c>
      <c r="D161" t="str">
        <f>IF(AND(H153="ja",H160="ja",H161="ja"),"erfüllt","keine Förderung")</f>
        <v>keine Förderung</v>
      </c>
      <c r="F161" t="s">
        <v>155</v>
      </c>
      <c r="H161" t="str">
        <f>D20</f>
        <v>nein</v>
      </c>
      <c r="J161" s="4"/>
    </row>
    <row r="162" spans="1:13" x14ac:dyDescent="0.2">
      <c r="J162" s="4"/>
    </row>
    <row r="163" spans="1:13" x14ac:dyDescent="0.2">
      <c r="B163" t="s">
        <v>157</v>
      </c>
      <c r="D163" s="5">
        <f>-(600+IF(D111&gt;10,6000,600*D111)+IF(D111&gt;15,3000,250*8))</f>
        <v>-7400</v>
      </c>
      <c r="J163" s="4"/>
    </row>
    <row r="164" spans="1:13" x14ac:dyDescent="0.2">
      <c r="J164" s="4"/>
    </row>
    <row r="165" spans="1:13" x14ac:dyDescent="0.2">
      <c r="B165" t="s">
        <v>158</v>
      </c>
      <c r="D165" s="5">
        <v>2000</v>
      </c>
      <c r="J165" s="4"/>
    </row>
    <row r="166" spans="1:13" x14ac:dyDescent="0.2">
      <c r="J166" s="4"/>
    </row>
    <row r="167" spans="1:13" x14ac:dyDescent="0.2">
      <c r="J167" s="4"/>
    </row>
    <row r="168" spans="1:13" x14ac:dyDescent="0.2">
      <c r="A168" s="7" t="s">
        <v>179</v>
      </c>
      <c r="B168" s="1" t="s">
        <v>73</v>
      </c>
      <c r="G168"/>
      <c r="J168"/>
      <c r="M168"/>
    </row>
    <row r="169" spans="1:13" x14ac:dyDescent="0.2">
      <c r="A169" s="7"/>
      <c r="G169"/>
      <c r="J169"/>
      <c r="M169"/>
    </row>
    <row r="170" spans="1:13" x14ac:dyDescent="0.2">
      <c r="A170" s="7" t="s">
        <v>180</v>
      </c>
      <c r="B170" s="1" t="s">
        <v>74</v>
      </c>
      <c r="G170"/>
      <c r="J170"/>
      <c r="M170"/>
    </row>
    <row r="171" spans="1:13" x14ac:dyDescent="0.2">
      <c r="A171" s="7"/>
      <c r="B171" t="s">
        <v>91</v>
      </c>
      <c r="G171"/>
      <c r="J171"/>
      <c r="M171"/>
    </row>
    <row r="172" spans="1:13" x14ac:dyDescent="0.2">
      <c r="A172" s="7"/>
      <c r="B172" t="s">
        <v>92</v>
      </c>
      <c r="G172"/>
      <c r="J172"/>
      <c r="M172"/>
    </row>
    <row r="173" spans="1:13" x14ac:dyDescent="0.2">
      <c r="A173" s="7"/>
      <c r="B173" s="1"/>
      <c r="G173"/>
      <c r="J173"/>
      <c r="M173"/>
    </row>
    <row r="174" spans="1:13" x14ac:dyDescent="0.2">
      <c r="A174" s="7"/>
      <c r="B174" t="s">
        <v>75</v>
      </c>
      <c r="G174"/>
      <c r="J174"/>
      <c r="M174"/>
    </row>
    <row r="175" spans="1:13" x14ac:dyDescent="0.2">
      <c r="A175" s="7"/>
      <c r="G175"/>
      <c r="J175"/>
      <c r="M175"/>
    </row>
    <row r="176" spans="1:13" x14ac:dyDescent="0.2">
      <c r="A176" s="7"/>
      <c r="B176" t="s">
        <v>140</v>
      </c>
      <c r="E176" cm="1">
        <f t="array" ref="E176">VLOOKUP('calculation-sheet'!G61&amp;'calculation-sheet'!G62,CHOOSE({1,2},N28:N81&amp;P28:P81,Q28:Q81),2,0)/100*$D$114*$D$115*G60+VLOOKUP(G80&amp;G81,CHOOSE({1,2},N28:N81&amp;P28:P81,Q28:Q81),2,0)/100*'calculation-sheet'!$D$114*'calculation-sheet'!$D$115*'calculation-sheet'!G79</f>
        <v>2724</v>
      </c>
      <c r="F176" t="s">
        <v>76</v>
      </c>
      <c r="G176"/>
      <c r="J176"/>
      <c r="M176"/>
    </row>
    <row r="177" spans="1:13" x14ac:dyDescent="0.2">
      <c r="A177" s="7"/>
      <c r="B177" t="s">
        <v>141</v>
      </c>
      <c r="E177">
        <f>E178+E179</f>
        <v>17271.800000000003</v>
      </c>
      <c r="F177" t="s">
        <v>76</v>
      </c>
      <c r="G177"/>
      <c r="J177"/>
      <c r="M177"/>
    </row>
    <row r="178" spans="1:13" x14ac:dyDescent="0.2">
      <c r="A178" s="7"/>
      <c r="C178" t="s">
        <v>77</v>
      </c>
      <c r="E178" cm="1">
        <f t="array" ref="E178">VLOOKUP(G70&amp;G71,CHOOSE({1,2},N28:N81&amp;P28:P81,Q28:Q81),2,0)/100*'calculation-sheet'!G69*'calculation-sheet'!D116+VLOOKUP(G89&amp;G90,CHOOSE({1,2},N28:N81&amp;P28:P81,Q28:Q81),2,0)/100*G88*D116</f>
        <v>13475.800000000001</v>
      </c>
      <c r="F178" t="s">
        <v>76</v>
      </c>
      <c r="G178"/>
      <c r="J178"/>
      <c r="M178"/>
    </row>
    <row r="179" spans="1:13" x14ac:dyDescent="0.2">
      <c r="A179" s="7"/>
      <c r="C179" t="s">
        <v>78</v>
      </c>
      <c r="E179" cm="1">
        <f t="array" ref="E179">VLOOKUP(G70&amp;G71,CHOOSE({1,2},N28:N81&amp;P28:P81,Q28:Q81),2,0)/100*D114*D115*G69+VLOOKUP(G89&amp;G90,CHOOSE({1,2},N28:N81&amp;P28:P81,Q28:Q81),2,0)/100*D114*D115*G88</f>
        <v>3796.0000000000009</v>
      </c>
      <c r="F179" t="s">
        <v>76</v>
      </c>
      <c r="G179"/>
      <c r="J179"/>
      <c r="M179"/>
    </row>
    <row r="180" spans="1:13" x14ac:dyDescent="0.2">
      <c r="A180" s="7"/>
      <c r="G180"/>
      <c r="J180"/>
      <c r="M180"/>
    </row>
    <row r="181" spans="1:13" x14ac:dyDescent="0.2">
      <c r="A181" s="7"/>
      <c r="G181"/>
      <c r="J181"/>
      <c r="M181"/>
    </row>
    <row r="182" spans="1:13" x14ac:dyDescent="0.2">
      <c r="A182" s="7"/>
      <c r="G182"/>
      <c r="J182"/>
      <c r="M182"/>
    </row>
    <row r="183" spans="1:13" x14ac:dyDescent="0.2">
      <c r="A183" s="7"/>
      <c r="G183"/>
      <c r="J183"/>
      <c r="M183"/>
    </row>
    <row r="184" spans="1:13" x14ac:dyDescent="0.2">
      <c r="A184" s="7"/>
      <c r="G184"/>
      <c r="J184"/>
      <c r="M184"/>
    </row>
    <row r="185" spans="1:13" x14ac:dyDescent="0.2">
      <c r="A185" s="7" t="s">
        <v>181</v>
      </c>
      <c r="B185" s="1" t="s">
        <v>79</v>
      </c>
      <c r="G185"/>
      <c r="J185"/>
      <c r="M185"/>
    </row>
    <row r="186" spans="1:13" x14ac:dyDescent="0.2">
      <c r="A186" s="7"/>
      <c r="G186"/>
      <c r="J186"/>
      <c r="M186"/>
    </row>
    <row r="187" spans="1:13" x14ac:dyDescent="0.2">
      <c r="A187" s="7"/>
      <c r="B187" t="s">
        <v>143</v>
      </c>
      <c r="E187">
        <f>E188+E189</f>
        <v>29100</v>
      </c>
      <c r="F187" t="s">
        <v>76</v>
      </c>
      <c r="G187"/>
      <c r="J187"/>
      <c r="M187"/>
    </row>
    <row r="188" spans="1:13" x14ac:dyDescent="0.2">
      <c r="A188" s="7"/>
      <c r="B188" s="12" t="s">
        <v>159</v>
      </c>
      <c r="E188">
        <f>D130</f>
        <v>8100</v>
      </c>
      <c r="F188" t="s">
        <v>76</v>
      </c>
      <c r="G188"/>
      <c r="J188"/>
      <c r="M188"/>
    </row>
    <row r="189" spans="1:13" x14ac:dyDescent="0.2">
      <c r="A189" s="7"/>
      <c r="B189" s="12" t="s">
        <v>160</v>
      </c>
      <c r="E189">
        <f>D124+D122</f>
        <v>21000</v>
      </c>
      <c r="F189" t="s">
        <v>76</v>
      </c>
      <c r="G189"/>
      <c r="J189"/>
      <c r="M189"/>
    </row>
    <row r="190" spans="1:13" x14ac:dyDescent="0.2">
      <c r="A190" s="7"/>
      <c r="G190"/>
      <c r="J190"/>
      <c r="M190"/>
    </row>
    <row r="191" spans="1:13" x14ac:dyDescent="0.2">
      <c r="A191" s="7"/>
      <c r="G191"/>
      <c r="J191"/>
      <c r="M191"/>
    </row>
    <row r="192" spans="1:13" x14ac:dyDescent="0.2">
      <c r="A192" s="7"/>
      <c r="B192" t="s">
        <v>98</v>
      </c>
      <c r="E192">
        <f>D153</f>
        <v>0.6</v>
      </c>
      <c r="G192"/>
      <c r="J192"/>
      <c r="M192"/>
    </row>
    <row r="193" spans="1:13" x14ac:dyDescent="0.2">
      <c r="A193" s="7"/>
      <c r="B193" t="s">
        <v>99</v>
      </c>
      <c r="E193">
        <f>IF((E176*E192+E179*E192)&gt;E188,E188,E176*E192+E179*E192)</f>
        <v>3912</v>
      </c>
      <c r="F193" t="s">
        <v>76</v>
      </c>
      <c r="G193"/>
      <c r="J193"/>
      <c r="M193"/>
    </row>
    <row r="194" spans="1:13" x14ac:dyDescent="0.2">
      <c r="A194" s="7"/>
      <c r="B194" t="s">
        <v>100</v>
      </c>
      <c r="E194">
        <f>E176+E179-E193</f>
        <v>2608.0000000000009</v>
      </c>
      <c r="F194" t="s">
        <v>76</v>
      </c>
      <c r="G194"/>
      <c r="J194"/>
      <c r="M194"/>
    </row>
    <row r="195" spans="1:13" x14ac:dyDescent="0.2">
      <c r="A195" s="7"/>
      <c r="B195" t="s">
        <v>142</v>
      </c>
      <c r="E195">
        <f>IF(E178&lt;E189*0.6,E178,E189*0.6)</f>
        <v>12600</v>
      </c>
      <c r="F195" t="s">
        <v>76</v>
      </c>
      <c r="G195"/>
      <c r="J195"/>
      <c r="M195"/>
    </row>
    <row r="196" spans="1:13" x14ac:dyDescent="0.2">
      <c r="A196" s="7"/>
      <c r="G196"/>
      <c r="J196"/>
      <c r="M196"/>
    </row>
    <row r="197" spans="1:13" x14ac:dyDescent="0.2">
      <c r="A197" s="7"/>
      <c r="G197"/>
      <c r="J197"/>
      <c r="M197"/>
    </row>
    <row r="198" spans="1:13" x14ac:dyDescent="0.2">
      <c r="A198" s="13" t="s">
        <v>182</v>
      </c>
      <c r="B198" s="1" t="s">
        <v>80</v>
      </c>
      <c r="G198"/>
      <c r="J198"/>
      <c r="M198"/>
    </row>
    <row r="199" spans="1:13" x14ac:dyDescent="0.2">
      <c r="A199" s="7"/>
      <c r="G199"/>
      <c r="H199" t="s">
        <v>185</v>
      </c>
      <c r="J199"/>
      <c r="M199"/>
    </row>
    <row r="200" spans="1:13" x14ac:dyDescent="0.2">
      <c r="B200" t="s">
        <v>122</v>
      </c>
      <c r="E200">
        <f>E194*C27</f>
        <v>213.85600000000005</v>
      </c>
      <c r="G200"/>
      <c r="H200" s="6" t="s">
        <v>184</v>
      </c>
      <c r="I200" t="s">
        <v>134</v>
      </c>
      <c r="J200"/>
      <c r="M200"/>
    </row>
    <row r="201" spans="1:13" x14ac:dyDescent="0.2">
      <c r="B201" t="s">
        <v>123</v>
      </c>
      <c r="E201">
        <f>E194*B34</f>
        <v>208.64000000000007</v>
      </c>
      <c r="G201"/>
      <c r="J201"/>
      <c r="M201"/>
    </row>
    <row r="202" spans="1:13" x14ac:dyDescent="0.2">
      <c r="B202" t="s">
        <v>103</v>
      </c>
      <c r="E202">
        <f>E193*B23</f>
        <v>1367.6352000000002</v>
      </c>
      <c r="G202"/>
      <c r="J202"/>
      <c r="M202"/>
    </row>
    <row r="203" spans="1:13" x14ac:dyDescent="0.2">
      <c r="B203" t="s">
        <v>133</v>
      </c>
      <c r="E203">
        <f>IF(D6="Heizöl",E195*B25,E195*B24)</f>
        <v>1176.8399999999999</v>
      </c>
      <c r="G203"/>
      <c r="J203"/>
      <c r="M203"/>
    </row>
    <row r="204" spans="1:13" x14ac:dyDescent="0.2">
      <c r="B204" t="s">
        <v>144</v>
      </c>
      <c r="E204" s="5">
        <f>D101</f>
        <v>100</v>
      </c>
      <c r="G204"/>
      <c r="J204"/>
      <c r="M204"/>
    </row>
    <row r="205" spans="1:13" x14ac:dyDescent="0.2">
      <c r="B205" t="s">
        <v>150</v>
      </c>
      <c r="E205" s="5">
        <f>D102*D110</f>
        <v>80</v>
      </c>
      <c r="G205"/>
      <c r="J205"/>
      <c r="M205"/>
    </row>
    <row r="206" spans="1:13" x14ac:dyDescent="0.2">
      <c r="B206" t="s">
        <v>151</v>
      </c>
      <c r="E206" s="5">
        <f>D103</f>
        <v>200</v>
      </c>
      <c r="G206"/>
      <c r="J206"/>
      <c r="M206"/>
    </row>
    <row r="207" spans="1:13" x14ac:dyDescent="0.2">
      <c r="B207" t="s">
        <v>152</v>
      </c>
      <c r="E207" s="5">
        <f>D104</f>
        <v>983.33333333333337</v>
      </c>
      <c r="G207"/>
      <c r="J207"/>
      <c r="M207"/>
    </row>
    <row r="208" spans="1:13" x14ac:dyDescent="0.2">
      <c r="G208"/>
      <c r="J208"/>
      <c r="M208"/>
    </row>
    <row r="209" spans="1:13" x14ac:dyDescent="0.2">
      <c r="G209"/>
      <c r="J209"/>
      <c r="M209"/>
    </row>
    <row r="210" spans="1:13" ht="34" x14ac:dyDescent="0.2">
      <c r="A210" s="1" t="s">
        <v>81</v>
      </c>
      <c r="B210" s="14" t="s">
        <v>101</v>
      </c>
      <c r="C210" s="14" t="s">
        <v>102</v>
      </c>
      <c r="D210" s="1" t="s">
        <v>82</v>
      </c>
      <c r="E210" s="1" t="s">
        <v>83</v>
      </c>
      <c r="F210" s="14" t="s">
        <v>84</v>
      </c>
      <c r="G210" s="14" t="s">
        <v>85</v>
      </c>
      <c r="J210"/>
      <c r="M210"/>
    </row>
    <row r="211" spans="1:13" x14ac:dyDescent="0.2">
      <c r="A211">
        <v>0</v>
      </c>
      <c r="B211">
        <v>0</v>
      </c>
      <c r="C211">
        <f>D59+IF(H153="ja",D157,0)+IF(D161="ja",D163+D165,0)</f>
        <v>26209.259259259263</v>
      </c>
      <c r="D211">
        <f t="shared" ref="D211:D241" si="5">B211-C211</f>
        <v>-26209.259259259263</v>
      </c>
      <c r="E211">
        <f>1/((1+0.05)^A211)</f>
        <v>1</v>
      </c>
      <c r="F211">
        <f>D211*E211</f>
        <v>-26209.259259259263</v>
      </c>
      <c r="G211">
        <f>F211</f>
        <v>-26209.259259259263</v>
      </c>
      <c r="J211"/>
      <c r="M211"/>
    </row>
    <row r="212" spans="1:13" x14ac:dyDescent="0.2">
      <c r="A212">
        <v>1</v>
      </c>
      <c r="B212">
        <f>$E$200+$E$202+$E$203</f>
        <v>2758.3312000000001</v>
      </c>
      <c r="C212">
        <f>$E$204+IF(ISEVEN(A212),$E$205,0)</f>
        <v>100</v>
      </c>
      <c r="D212">
        <f t="shared" si="5"/>
        <v>2658.3312000000001</v>
      </c>
      <c r="E212">
        <f t="shared" ref="E212:E241" si="6">1/((1+0.05)^A212)</f>
        <v>0.95238095238095233</v>
      </c>
      <c r="F212">
        <f>D212*E212</f>
        <v>2531.7440000000001</v>
      </c>
      <c r="G212">
        <f>G211+F212</f>
        <v>-23677.515259259264</v>
      </c>
      <c r="J212"/>
      <c r="M212"/>
    </row>
    <row r="213" spans="1:13" x14ac:dyDescent="0.2">
      <c r="A213">
        <v>2</v>
      </c>
      <c r="B213">
        <f>($E$200+$E$202+$E$203)*(100-0.4*(A213-1))/100</f>
        <v>2747.2978751999999</v>
      </c>
      <c r="C213">
        <f t="shared" ref="C213:C240" si="7">$E$204+IF(ISEVEN(A213),$E$205,0)</f>
        <v>180</v>
      </c>
      <c r="D213">
        <f t="shared" si="5"/>
        <v>2567.2978751999999</v>
      </c>
      <c r="E213">
        <f t="shared" si="6"/>
        <v>0.90702947845804982</v>
      </c>
      <c r="F213">
        <f t="shared" ref="F213:F241" si="8">D213*E213</f>
        <v>2328.6148527891155</v>
      </c>
      <c r="G213">
        <f>G212+F213</f>
        <v>-21348.900406470148</v>
      </c>
      <c r="J213"/>
      <c r="M213"/>
    </row>
    <row r="214" spans="1:13" x14ac:dyDescent="0.2">
      <c r="A214">
        <v>3</v>
      </c>
      <c r="B214">
        <f t="shared" ref="B214:B229" si="9">($E$200+$E$202+$E$203)*(100-0.4*(A214-1))/100</f>
        <v>2736.2645504000002</v>
      </c>
      <c r="C214">
        <f>$E$204+IF(ISEVEN(A214),$E$205,0)+E206</f>
        <v>300</v>
      </c>
      <c r="D214">
        <f t="shared" si="5"/>
        <v>2436.2645504000002</v>
      </c>
      <c r="E214">
        <f t="shared" si="6"/>
        <v>0.86383759853147601</v>
      </c>
      <c r="F214">
        <f t="shared" si="8"/>
        <v>2104.5369186049024</v>
      </c>
      <c r="G214">
        <f>G213+F214</f>
        <v>-19244.363487865245</v>
      </c>
      <c r="J214"/>
      <c r="M214"/>
    </row>
    <row r="215" spans="1:13" x14ac:dyDescent="0.2">
      <c r="A215">
        <v>4</v>
      </c>
      <c r="B215">
        <f t="shared" si="9"/>
        <v>2725.2312256</v>
      </c>
      <c r="C215">
        <f t="shared" si="7"/>
        <v>180</v>
      </c>
      <c r="D215">
        <f t="shared" si="5"/>
        <v>2545.2312256</v>
      </c>
      <c r="E215">
        <f t="shared" si="6"/>
        <v>0.82270247479188197</v>
      </c>
      <c r="F215">
        <f t="shared" si="8"/>
        <v>2093.9680282186951</v>
      </c>
      <c r="G215">
        <f t="shared" ref="G215:G241" si="10">G214+F215</f>
        <v>-17150.395459646548</v>
      </c>
      <c r="J215"/>
      <c r="M215"/>
    </row>
    <row r="216" spans="1:13" x14ac:dyDescent="0.2">
      <c r="A216">
        <v>5</v>
      </c>
      <c r="B216">
        <f t="shared" si="9"/>
        <v>2714.1979007999998</v>
      </c>
      <c r="C216">
        <f t="shared" si="7"/>
        <v>100</v>
      </c>
      <c r="D216">
        <f t="shared" si="5"/>
        <v>2614.1979007999998</v>
      </c>
      <c r="E216">
        <f t="shared" si="6"/>
        <v>0.78352616646845896</v>
      </c>
      <c r="F216">
        <f t="shared" si="8"/>
        <v>2048.2924596037165</v>
      </c>
      <c r="G216">
        <f t="shared" si="10"/>
        <v>-15102.103000042833</v>
      </c>
      <c r="J216"/>
      <c r="M216"/>
    </row>
    <row r="217" spans="1:13" x14ac:dyDescent="0.2">
      <c r="A217">
        <v>6</v>
      </c>
      <c r="B217">
        <f t="shared" si="9"/>
        <v>2703.1645760000001</v>
      </c>
      <c r="C217">
        <f>$E$204+IF(ISEVEN(A217),$E$205,0)+E206</f>
        <v>380</v>
      </c>
      <c r="D217">
        <f t="shared" si="5"/>
        <v>2323.1645760000001</v>
      </c>
      <c r="E217">
        <f t="shared" si="6"/>
        <v>0.74621539663662761</v>
      </c>
      <c r="F217">
        <f t="shared" si="8"/>
        <v>1733.5811755320028</v>
      </c>
      <c r="G217">
        <f t="shared" si="10"/>
        <v>-13368.52182451083</v>
      </c>
      <c r="J217"/>
      <c r="M217"/>
    </row>
    <row r="218" spans="1:13" x14ac:dyDescent="0.2">
      <c r="A218">
        <v>7</v>
      </c>
      <c r="B218">
        <f t="shared" si="9"/>
        <v>2692.1312512</v>
      </c>
      <c r="C218">
        <f t="shared" si="7"/>
        <v>100</v>
      </c>
      <c r="D218">
        <f t="shared" si="5"/>
        <v>2592.1312512</v>
      </c>
      <c r="E218">
        <f t="shared" si="6"/>
        <v>0.71068133013012147</v>
      </c>
      <c r="F218">
        <f t="shared" si="8"/>
        <v>1842.179285474672</v>
      </c>
      <c r="G218">
        <f t="shared" si="10"/>
        <v>-11526.342539036157</v>
      </c>
      <c r="J218"/>
      <c r="M218"/>
    </row>
    <row r="219" spans="1:13" x14ac:dyDescent="0.2">
      <c r="A219">
        <v>8</v>
      </c>
      <c r="B219">
        <f t="shared" si="9"/>
        <v>2681.0979263999998</v>
      </c>
      <c r="C219">
        <f t="shared" si="7"/>
        <v>180</v>
      </c>
      <c r="D219">
        <f t="shared" si="5"/>
        <v>2501.0979263999998</v>
      </c>
      <c r="E219">
        <f t="shared" si="6"/>
        <v>0.67683936202868722</v>
      </c>
      <c r="F219">
        <f t="shared" si="8"/>
        <v>1692.8415248758483</v>
      </c>
      <c r="G219">
        <f t="shared" si="10"/>
        <v>-9833.5010141603088</v>
      </c>
      <c r="J219"/>
      <c r="M219"/>
    </row>
    <row r="220" spans="1:13" x14ac:dyDescent="0.2">
      <c r="A220">
        <v>9</v>
      </c>
      <c r="B220">
        <f t="shared" si="9"/>
        <v>2670.0646016000001</v>
      </c>
      <c r="C220">
        <f>$E$204+IF(ISEVEN(A220),$E$205,0)+E206</f>
        <v>300</v>
      </c>
      <c r="D220">
        <f t="shared" si="5"/>
        <v>2370.0646016000001</v>
      </c>
      <c r="E220">
        <f t="shared" si="6"/>
        <v>0.64460891621779726</v>
      </c>
      <c r="F220">
        <f t="shared" si="8"/>
        <v>1527.7647742035415</v>
      </c>
      <c r="G220">
        <f t="shared" si="10"/>
        <v>-8305.7362399567683</v>
      </c>
      <c r="J220"/>
      <c r="M220"/>
    </row>
    <row r="221" spans="1:13" x14ac:dyDescent="0.2">
      <c r="A221">
        <v>10</v>
      </c>
      <c r="B221">
        <f t="shared" si="9"/>
        <v>2659.0312768000003</v>
      </c>
      <c r="C221">
        <f t="shared" si="7"/>
        <v>180</v>
      </c>
      <c r="D221">
        <f t="shared" si="5"/>
        <v>2479.0312768000003</v>
      </c>
      <c r="E221">
        <f t="shared" si="6"/>
        <v>0.61391325354075932</v>
      </c>
      <c r="F221">
        <f t="shared" si="8"/>
        <v>1521.9101567695909</v>
      </c>
      <c r="G221">
        <f t="shared" si="10"/>
        <v>-6783.8260831871776</v>
      </c>
      <c r="J221"/>
      <c r="M221"/>
    </row>
    <row r="222" spans="1:13" x14ac:dyDescent="0.2">
      <c r="A222">
        <v>11</v>
      </c>
      <c r="B222">
        <f t="shared" si="9"/>
        <v>2647.9979519999997</v>
      </c>
      <c r="C222">
        <f t="shared" si="7"/>
        <v>100</v>
      </c>
      <c r="D222">
        <f t="shared" si="5"/>
        <v>2547.9979519999997</v>
      </c>
      <c r="E222">
        <f t="shared" si="6"/>
        <v>0.5846792890864374</v>
      </c>
      <c r="F222">
        <f t="shared" si="8"/>
        <v>1489.7616311690583</v>
      </c>
      <c r="G222">
        <f t="shared" si="10"/>
        <v>-5294.0644520181195</v>
      </c>
      <c r="J222"/>
      <c r="M222"/>
    </row>
    <row r="223" spans="1:13" x14ac:dyDescent="0.2">
      <c r="A223">
        <v>12</v>
      </c>
      <c r="B223">
        <f t="shared" si="9"/>
        <v>2636.9646272</v>
      </c>
      <c r="C223">
        <f>$E$204+IF(ISEVEN(A223),$E$205,0)+E206</f>
        <v>380</v>
      </c>
      <c r="D223">
        <f t="shared" si="5"/>
        <v>2256.9646272</v>
      </c>
      <c r="E223">
        <f t="shared" si="6"/>
        <v>0.5568374181775595</v>
      </c>
      <c r="F223">
        <f t="shared" si="8"/>
        <v>1256.762355928126</v>
      </c>
      <c r="G223">
        <f t="shared" si="10"/>
        <v>-4037.3020960899935</v>
      </c>
      <c r="J223"/>
      <c r="M223"/>
    </row>
    <row r="224" spans="1:13" x14ac:dyDescent="0.2">
      <c r="A224">
        <v>13</v>
      </c>
      <c r="B224">
        <f t="shared" si="9"/>
        <v>2625.9313024000003</v>
      </c>
      <c r="C224">
        <f>$E$204+IF(ISEVEN(A224),$E$205,0)+E207</f>
        <v>1083.3333333333335</v>
      </c>
      <c r="D224">
        <f t="shared" si="5"/>
        <v>1542.5979690666668</v>
      </c>
      <c r="E224">
        <f t="shared" si="6"/>
        <v>0.53032135064529462</v>
      </c>
      <c r="F224">
        <f t="shared" si="8"/>
        <v>818.07263845812315</v>
      </c>
      <c r="G224">
        <f t="shared" si="10"/>
        <v>-3219.2294576318704</v>
      </c>
      <c r="J224"/>
      <c r="M224"/>
    </row>
    <row r="225" spans="1:13" x14ac:dyDescent="0.2">
      <c r="A225">
        <v>14</v>
      </c>
      <c r="B225">
        <f t="shared" si="9"/>
        <v>2614.8979775999996</v>
      </c>
      <c r="C225">
        <f t="shared" si="7"/>
        <v>180</v>
      </c>
      <c r="D225">
        <f t="shared" si="5"/>
        <v>2434.8979775999996</v>
      </c>
      <c r="E225">
        <f t="shared" si="6"/>
        <v>0.50506795299551888</v>
      </c>
      <c r="F225">
        <f t="shared" si="8"/>
        <v>1229.7889372993607</v>
      </c>
      <c r="G225">
        <f t="shared" si="10"/>
        <v>-1989.4405203325098</v>
      </c>
      <c r="J225"/>
      <c r="M225"/>
    </row>
    <row r="226" spans="1:13" x14ac:dyDescent="0.2">
      <c r="A226">
        <v>15</v>
      </c>
      <c r="B226">
        <f t="shared" si="9"/>
        <v>2603.8646528000004</v>
      </c>
      <c r="C226">
        <f>$E$204+IF(ISEVEN(A226),$E$205,0)+E206</f>
        <v>300</v>
      </c>
      <c r="D226">
        <f t="shared" si="5"/>
        <v>2303.8646528000004</v>
      </c>
      <c r="E226">
        <f t="shared" si="6"/>
        <v>0.48101709809097021</v>
      </c>
      <c r="F226">
        <f t="shared" si="8"/>
        <v>1108.1982896842169</v>
      </c>
      <c r="G226">
        <f t="shared" si="10"/>
        <v>-881.24223064829289</v>
      </c>
      <c r="J226"/>
      <c r="M226"/>
    </row>
    <row r="227" spans="1:13" x14ac:dyDescent="0.2">
      <c r="A227">
        <v>16</v>
      </c>
      <c r="B227">
        <f t="shared" si="9"/>
        <v>2592.8313280000002</v>
      </c>
      <c r="C227">
        <f t="shared" si="7"/>
        <v>180</v>
      </c>
      <c r="D227">
        <f t="shared" si="5"/>
        <v>2412.8313280000002</v>
      </c>
      <c r="E227">
        <f t="shared" si="6"/>
        <v>0.45811152199140021</v>
      </c>
      <c r="F227">
        <f t="shared" si="8"/>
        <v>1105.3458319786114</v>
      </c>
      <c r="G227">
        <f t="shared" si="10"/>
        <v>224.1036013303185</v>
      </c>
      <c r="J227"/>
      <c r="M227"/>
    </row>
    <row r="228" spans="1:13" x14ac:dyDescent="0.2">
      <c r="A228">
        <v>17</v>
      </c>
      <c r="B228">
        <f t="shared" si="9"/>
        <v>2581.7980031999996</v>
      </c>
      <c r="C228">
        <f t="shared" si="7"/>
        <v>100</v>
      </c>
      <c r="D228">
        <f t="shared" si="5"/>
        <v>2481.7980031999996</v>
      </c>
      <c r="E228">
        <f t="shared" si="6"/>
        <v>0.43629668761085727</v>
      </c>
      <c r="F228">
        <f t="shared" si="8"/>
        <v>1082.8002481153997</v>
      </c>
      <c r="G228">
        <f t="shared" si="10"/>
        <v>1306.9038494457182</v>
      </c>
      <c r="J228"/>
      <c r="M228"/>
    </row>
    <row r="229" spans="1:13" x14ac:dyDescent="0.2">
      <c r="A229">
        <v>18</v>
      </c>
      <c r="B229">
        <f t="shared" si="9"/>
        <v>2570.7646784000003</v>
      </c>
      <c r="C229">
        <f>$E$204+IF(ISEVEN(A229),$E$205,0)+E206</f>
        <v>380</v>
      </c>
      <c r="D229">
        <f t="shared" si="5"/>
        <v>2190.7646784000003</v>
      </c>
      <c r="E229">
        <f t="shared" si="6"/>
        <v>0.41552065486748313</v>
      </c>
      <c r="F229">
        <f t="shared" si="8"/>
        <v>910.30797382931917</v>
      </c>
      <c r="G229">
        <f t="shared" si="10"/>
        <v>2217.2118232750372</v>
      </c>
      <c r="J229"/>
      <c r="M229"/>
    </row>
    <row r="230" spans="1:13" x14ac:dyDescent="0.2">
      <c r="A230">
        <v>19</v>
      </c>
      <c r="B230">
        <f>($E$200+$E$202+$E$203)*(100-0.4*(A230-1))/100</f>
        <v>2559.7313535999997</v>
      </c>
      <c r="C230">
        <f t="shared" si="7"/>
        <v>100</v>
      </c>
      <c r="D230">
        <f t="shared" si="5"/>
        <v>2459.7313535999997</v>
      </c>
      <c r="E230">
        <f t="shared" si="6"/>
        <v>0.39573395701665059</v>
      </c>
      <c r="F230">
        <f t="shared" si="8"/>
        <v>973.39922175805009</v>
      </c>
      <c r="G230">
        <f>G229+F230</f>
        <v>3190.6110450330871</v>
      </c>
      <c r="J230"/>
      <c r="M230"/>
    </row>
    <row r="231" spans="1:13" x14ac:dyDescent="0.2">
      <c r="A231">
        <v>20</v>
      </c>
      <c r="B231">
        <f>($E$200+$E$202+$E$203)*(100-0.4*(A231-1))/100</f>
        <v>2548.6980288000004</v>
      </c>
      <c r="C231">
        <f t="shared" si="7"/>
        <v>180</v>
      </c>
      <c r="D231">
        <f t="shared" si="5"/>
        <v>2368.6980288000004</v>
      </c>
      <c r="E231">
        <f t="shared" si="6"/>
        <v>0.37688948287300061</v>
      </c>
      <c r="F231">
        <f>D231*E231</f>
        <v>892.73737515672804</v>
      </c>
      <c r="G231">
        <f t="shared" si="10"/>
        <v>4083.348420189815</v>
      </c>
      <c r="J231"/>
      <c r="M231"/>
    </row>
    <row r="232" spans="1:13" x14ac:dyDescent="0.2">
      <c r="A232">
        <v>21</v>
      </c>
      <c r="B232">
        <f>($E$201+$E$202+$E$203)*(100-0.4*(A232-1))/100</f>
        <v>2532.865984</v>
      </c>
      <c r="C232">
        <f>$E$204+IF(ISEVEN(A232),$E$205,0)+E206</f>
        <v>300</v>
      </c>
      <c r="D232">
        <f t="shared" si="5"/>
        <v>2232.865984</v>
      </c>
      <c r="E232">
        <f t="shared" si="6"/>
        <v>0.35894236464095297</v>
      </c>
      <c r="F232">
        <f t="shared" si="8"/>
        <v>801.47019622330822</v>
      </c>
      <c r="G232">
        <f t="shared" si="10"/>
        <v>4884.818616413123</v>
      </c>
      <c r="J232"/>
      <c r="M232"/>
    </row>
    <row r="233" spans="1:13" x14ac:dyDescent="0.2">
      <c r="A233">
        <v>22</v>
      </c>
      <c r="B233">
        <f t="shared" ref="B233:B241" si="11">($E$201+$E$202+$E$203)*(100-0.4*(A233-1))/100</f>
        <v>2521.8535231999999</v>
      </c>
      <c r="C233">
        <f t="shared" si="7"/>
        <v>180</v>
      </c>
      <c r="D233">
        <f t="shared" si="5"/>
        <v>2341.8535231999999</v>
      </c>
      <c r="E233">
        <f t="shared" si="6"/>
        <v>0.3418498710866219</v>
      </c>
      <c r="F233">
        <f t="shared" si="8"/>
        <v>800.56232500967133</v>
      </c>
      <c r="G233">
        <f t="shared" si="10"/>
        <v>5685.3809414227944</v>
      </c>
      <c r="J233"/>
      <c r="M233"/>
    </row>
    <row r="234" spans="1:13" x14ac:dyDescent="0.2">
      <c r="A234">
        <v>23</v>
      </c>
      <c r="B234">
        <f t="shared" si="11"/>
        <v>2510.8410624000003</v>
      </c>
      <c r="C234">
        <f t="shared" si="7"/>
        <v>100</v>
      </c>
      <c r="D234">
        <f t="shared" si="5"/>
        <v>2410.8410624000003</v>
      </c>
      <c r="E234">
        <f t="shared" si="6"/>
        <v>0.32557130579678267</v>
      </c>
      <c r="F234">
        <f t="shared" si="8"/>
        <v>784.90067275407091</v>
      </c>
      <c r="G234">
        <f t="shared" si="10"/>
        <v>6470.2816141768653</v>
      </c>
      <c r="J234"/>
      <c r="M234"/>
    </row>
    <row r="235" spans="1:13" x14ac:dyDescent="0.2">
      <c r="A235">
        <v>24</v>
      </c>
      <c r="B235">
        <f t="shared" si="11"/>
        <v>2499.8286016000002</v>
      </c>
      <c r="C235">
        <f>$E$204+IF(ISEVEN(A235),$E$205,0)+E206</f>
        <v>380</v>
      </c>
      <c r="D235">
        <f t="shared" si="5"/>
        <v>2119.8286016000002</v>
      </c>
      <c r="E235">
        <f t="shared" si="6"/>
        <v>0.31006791028265024</v>
      </c>
      <c r="F235">
        <f t="shared" si="8"/>
        <v>657.29082465550482</v>
      </c>
      <c r="G235">
        <f t="shared" si="10"/>
        <v>7127.5724388323706</v>
      </c>
      <c r="J235"/>
      <c r="M235"/>
    </row>
    <row r="236" spans="1:13" x14ac:dyDescent="0.2">
      <c r="A236">
        <v>25</v>
      </c>
      <c r="B236">
        <f t="shared" si="11"/>
        <v>2488.8161408000001</v>
      </c>
      <c r="C236">
        <f>$E$204+IF(ISEVEN(A236),$E$205,0)+E207</f>
        <v>1083.3333333333335</v>
      </c>
      <c r="D236">
        <f t="shared" si="5"/>
        <v>1405.4828074666666</v>
      </c>
      <c r="E236">
        <f t="shared" si="6"/>
        <v>0.29530277169776209</v>
      </c>
      <c r="F236">
        <f t="shared" si="8"/>
        <v>415.04296861845876</v>
      </c>
      <c r="G236">
        <f t="shared" si="10"/>
        <v>7542.6154074508295</v>
      </c>
      <c r="J236"/>
      <c r="M236"/>
    </row>
    <row r="237" spans="1:13" x14ac:dyDescent="0.2">
      <c r="A237">
        <v>26</v>
      </c>
      <c r="B237">
        <f t="shared" si="11"/>
        <v>2477.80368</v>
      </c>
      <c r="C237">
        <f t="shared" si="7"/>
        <v>180</v>
      </c>
      <c r="D237">
        <f t="shared" si="5"/>
        <v>2297.80368</v>
      </c>
      <c r="E237">
        <f t="shared" si="6"/>
        <v>0.28124073495024959</v>
      </c>
      <c r="F237">
        <f t="shared" si="8"/>
        <v>646.23599573458807</v>
      </c>
      <c r="G237">
        <f t="shared" si="10"/>
        <v>8188.8514031854174</v>
      </c>
      <c r="J237"/>
      <c r="M237"/>
    </row>
    <row r="238" spans="1:13" x14ac:dyDescent="0.2">
      <c r="A238">
        <v>27</v>
      </c>
      <c r="B238">
        <f t="shared" si="11"/>
        <v>2466.7912191999999</v>
      </c>
      <c r="C238">
        <f>$E$204+IF(ISEVEN(A238),$E$205,0)+E206</f>
        <v>300</v>
      </c>
      <c r="D238">
        <f t="shared" si="5"/>
        <v>2166.7912191999999</v>
      </c>
      <c r="E238">
        <f t="shared" si="6"/>
        <v>0.2678483190002377</v>
      </c>
      <c r="F238">
        <f t="shared" si="8"/>
        <v>580.37138568719558</v>
      </c>
      <c r="G238">
        <f t="shared" si="10"/>
        <v>8769.2227888726138</v>
      </c>
      <c r="I238" s="1" t="s">
        <v>225</v>
      </c>
      <c r="J238" s="1"/>
      <c r="K238" s="1">
        <f>IF(G211&gt;0,A211,IF(G212&gt;0,A212,IF(G213&gt;0,A213,IF(G214&gt;0,A214,IF(G215&gt;0,A215,IF(G216&gt;0,A216,IF(G217&gt;0,A217,IF(G218&gt;0,A218,IF(G219&gt;0,A219, IF(G220&gt;0,A220, IF(G221&gt;0,A221,IF(G222&gt;0,A222,IF(G223&gt;0,763,IF(G224&gt;0,A224,IF(G225&gt;0,A225,IF(G226&gt;0,A226,IF(G227&gt;0,A227,IF(G228&gt;0,A228,IF(G229&gt;0,A229, IF(G230&gt;0,A230, IF(G231&gt;0,A231,IF(G232&gt;0,A232,IF(G233&gt;0,A233,IF(G234&gt;0,A234,IF(G235&gt;0,A235,IF(G236&gt;0,A236,IF(G237&gt;0,A237,IF(G238&gt;0,A238,IF(G239&gt;0,A239, IF(G240&gt;0,A240, IF(G241&gt;0,A241, 0)))))))))))))))))))))))))))))))</f>
        <v>16</v>
      </c>
      <c r="M238"/>
    </row>
    <row r="239" spans="1:13" x14ac:dyDescent="0.2">
      <c r="A239">
        <v>28</v>
      </c>
      <c r="B239">
        <f t="shared" si="11"/>
        <v>2455.7787584000002</v>
      </c>
      <c r="C239">
        <f t="shared" si="7"/>
        <v>180</v>
      </c>
      <c r="D239">
        <f t="shared" si="5"/>
        <v>2275.7787584000002</v>
      </c>
      <c r="E239">
        <f t="shared" si="6"/>
        <v>0.25509363714308358</v>
      </c>
      <c r="F239">
        <f t="shared" si="8"/>
        <v>580.53668081322689</v>
      </c>
      <c r="G239">
        <f t="shared" si="10"/>
        <v>9349.7594696858414</v>
      </c>
      <c r="I239" s="1"/>
      <c r="J239" s="1"/>
      <c r="K239" s="1"/>
      <c r="M239"/>
    </row>
    <row r="240" spans="1:13" x14ac:dyDescent="0.2">
      <c r="A240">
        <v>29</v>
      </c>
      <c r="B240">
        <f t="shared" si="11"/>
        <v>2444.7662976000001</v>
      </c>
      <c r="C240">
        <f t="shared" si="7"/>
        <v>100</v>
      </c>
      <c r="D240">
        <f t="shared" si="5"/>
        <v>2344.7662976000001</v>
      </c>
      <c r="E240">
        <f t="shared" si="6"/>
        <v>0.24294632108865097</v>
      </c>
      <c r="F240">
        <f t="shared" si="8"/>
        <v>569.65234581457696</v>
      </c>
      <c r="G240">
        <f t="shared" si="10"/>
        <v>9919.411815500418</v>
      </c>
      <c r="J240"/>
      <c r="M240"/>
    </row>
    <row r="241" spans="1:13" x14ac:dyDescent="0.2">
      <c r="A241">
        <v>30</v>
      </c>
      <c r="B241">
        <f t="shared" si="11"/>
        <v>2433.7538368000005</v>
      </c>
      <c r="C241">
        <f>$E$204+IF(ISEVEN(A241),$E$205,0)+E206</f>
        <v>380</v>
      </c>
      <c r="D241">
        <f t="shared" si="5"/>
        <v>2053.7538368000005</v>
      </c>
      <c r="E241">
        <f t="shared" si="6"/>
        <v>0.23137744865585813</v>
      </c>
      <c r="F241">
        <f t="shared" si="8"/>
        <v>475.19232292596377</v>
      </c>
      <c r="G241">
        <f t="shared" si="10"/>
        <v>10394.604138426383</v>
      </c>
      <c r="J241"/>
      <c r="M241"/>
    </row>
    <row r="242" spans="1:13" x14ac:dyDescent="0.2">
      <c r="G242"/>
      <c r="J242"/>
      <c r="M242"/>
    </row>
    <row r="243" spans="1:13" x14ac:dyDescent="0.2">
      <c r="A243" s="1" t="s">
        <v>186</v>
      </c>
      <c r="B243" s="1"/>
      <c r="C243" s="1" t="s">
        <v>188</v>
      </c>
      <c r="D243" s="1" t="s">
        <v>189</v>
      </c>
      <c r="J243" s="4"/>
    </row>
    <row r="244" spans="1:13" x14ac:dyDescent="0.2">
      <c r="A244" t="s">
        <v>232</v>
      </c>
      <c r="D244">
        <f>G211</f>
        <v>-26209.259259259263</v>
      </c>
      <c r="J244" s="4"/>
    </row>
    <row r="245" spans="1:13" x14ac:dyDescent="0.2">
      <c r="A245" t="s">
        <v>195</v>
      </c>
      <c r="D245">
        <f>G212</f>
        <v>-23677.515259259264</v>
      </c>
      <c r="J245" s="4"/>
    </row>
    <row r="246" spans="1:13" x14ac:dyDescent="0.2">
      <c r="A246" t="s">
        <v>196</v>
      </c>
      <c r="D246">
        <f t="shared" ref="D246:D273" si="12">G213</f>
        <v>-21348.900406470148</v>
      </c>
      <c r="J246" s="4"/>
    </row>
    <row r="247" spans="1:13" x14ac:dyDescent="0.2">
      <c r="A247" t="s">
        <v>197</v>
      </c>
      <c r="D247">
        <f t="shared" si="12"/>
        <v>-19244.363487865245</v>
      </c>
      <c r="J247" s="4"/>
    </row>
    <row r="248" spans="1:13" x14ac:dyDescent="0.2">
      <c r="A248" t="s">
        <v>198</v>
      </c>
      <c r="D248">
        <f t="shared" si="12"/>
        <v>-17150.395459646548</v>
      </c>
      <c r="J248" s="4"/>
    </row>
    <row r="249" spans="1:13" x14ac:dyDescent="0.2">
      <c r="A249" t="s">
        <v>199</v>
      </c>
      <c r="D249">
        <f t="shared" si="12"/>
        <v>-15102.103000042833</v>
      </c>
    </row>
    <row r="250" spans="1:13" x14ac:dyDescent="0.2">
      <c r="A250" t="s">
        <v>200</v>
      </c>
      <c r="D250">
        <f t="shared" si="12"/>
        <v>-13368.52182451083</v>
      </c>
    </row>
    <row r="251" spans="1:13" x14ac:dyDescent="0.2">
      <c r="A251" t="s">
        <v>201</v>
      </c>
      <c r="D251">
        <f t="shared" si="12"/>
        <v>-11526.342539036157</v>
      </c>
    </row>
    <row r="252" spans="1:13" x14ac:dyDescent="0.2">
      <c r="A252" t="s">
        <v>202</v>
      </c>
      <c r="D252">
        <f t="shared" si="12"/>
        <v>-9833.5010141603088</v>
      </c>
    </row>
    <row r="253" spans="1:13" x14ac:dyDescent="0.2">
      <c r="A253" t="s">
        <v>203</v>
      </c>
      <c r="D253">
        <f t="shared" si="12"/>
        <v>-8305.7362399567683</v>
      </c>
    </row>
    <row r="254" spans="1:13" x14ac:dyDescent="0.2">
      <c r="A254" t="s">
        <v>204</v>
      </c>
      <c r="D254">
        <f t="shared" si="12"/>
        <v>-6783.8260831871776</v>
      </c>
    </row>
    <row r="255" spans="1:13" x14ac:dyDescent="0.2">
      <c r="A255" t="s">
        <v>205</v>
      </c>
      <c r="D255">
        <f t="shared" si="12"/>
        <v>-5294.0644520181195</v>
      </c>
    </row>
    <row r="256" spans="1:13" x14ac:dyDescent="0.2">
      <c r="A256" t="s">
        <v>206</v>
      </c>
      <c r="D256">
        <f t="shared" si="12"/>
        <v>-4037.3020960899935</v>
      </c>
    </row>
    <row r="257" spans="1:4" x14ac:dyDescent="0.2">
      <c r="A257" t="s">
        <v>207</v>
      </c>
      <c r="D257">
        <f t="shared" si="12"/>
        <v>-3219.2294576318704</v>
      </c>
    </row>
    <row r="258" spans="1:4" x14ac:dyDescent="0.2">
      <c r="A258" t="s">
        <v>208</v>
      </c>
      <c r="D258">
        <f t="shared" si="12"/>
        <v>-1989.4405203325098</v>
      </c>
    </row>
    <row r="259" spans="1:4" x14ac:dyDescent="0.2">
      <c r="A259" t="s">
        <v>209</v>
      </c>
      <c r="D259">
        <f t="shared" si="12"/>
        <v>-881.24223064829289</v>
      </c>
    </row>
    <row r="260" spans="1:4" x14ac:dyDescent="0.2">
      <c r="A260" t="s">
        <v>210</v>
      </c>
      <c r="D260">
        <f>G227</f>
        <v>224.1036013303185</v>
      </c>
    </row>
    <row r="261" spans="1:4" x14ac:dyDescent="0.2">
      <c r="A261" t="s">
        <v>211</v>
      </c>
      <c r="D261">
        <f t="shared" si="12"/>
        <v>1306.9038494457182</v>
      </c>
    </row>
    <row r="262" spans="1:4" x14ac:dyDescent="0.2">
      <c r="A262" t="s">
        <v>212</v>
      </c>
      <c r="D262">
        <f t="shared" si="12"/>
        <v>2217.2118232750372</v>
      </c>
    </row>
    <row r="263" spans="1:4" x14ac:dyDescent="0.2">
      <c r="A263" t="s">
        <v>213</v>
      </c>
      <c r="D263">
        <f t="shared" si="12"/>
        <v>3190.6110450330871</v>
      </c>
    </row>
    <row r="264" spans="1:4" x14ac:dyDescent="0.2">
      <c r="A264" t="s">
        <v>214</v>
      </c>
      <c r="D264">
        <f t="shared" si="12"/>
        <v>4083.348420189815</v>
      </c>
    </row>
    <row r="265" spans="1:4" x14ac:dyDescent="0.2">
      <c r="A265" t="s">
        <v>215</v>
      </c>
      <c r="D265">
        <f t="shared" si="12"/>
        <v>4884.818616413123</v>
      </c>
    </row>
    <row r="266" spans="1:4" x14ac:dyDescent="0.2">
      <c r="A266" t="s">
        <v>216</v>
      </c>
      <c r="D266">
        <f t="shared" si="12"/>
        <v>5685.3809414227944</v>
      </c>
    </row>
    <row r="267" spans="1:4" x14ac:dyDescent="0.2">
      <c r="A267" t="s">
        <v>217</v>
      </c>
      <c r="D267">
        <f t="shared" si="12"/>
        <v>6470.2816141768653</v>
      </c>
    </row>
    <row r="268" spans="1:4" x14ac:dyDescent="0.2">
      <c r="A268" t="s">
        <v>218</v>
      </c>
      <c r="D268">
        <f t="shared" si="12"/>
        <v>7127.5724388323706</v>
      </c>
    </row>
    <row r="269" spans="1:4" x14ac:dyDescent="0.2">
      <c r="A269" t="s">
        <v>219</v>
      </c>
      <c r="D269">
        <f t="shared" si="12"/>
        <v>7542.6154074508295</v>
      </c>
    </row>
    <row r="270" spans="1:4" x14ac:dyDescent="0.2">
      <c r="A270" t="s">
        <v>220</v>
      </c>
      <c r="D270">
        <f t="shared" si="12"/>
        <v>8188.8514031854174</v>
      </c>
    </row>
    <row r="271" spans="1:4" x14ac:dyDescent="0.2">
      <c r="A271" t="s">
        <v>221</v>
      </c>
      <c r="D271">
        <f t="shared" si="12"/>
        <v>8769.2227888726138</v>
      </c>
    </row>
    <row r="272" spans="1:4" x14ac:dyDescent="0.2">
      <c r="A272" t="s">
        <v>222</v>
      </c>
      <c r="D272">
        <f t="shared" si="12"/>
        <v>9349.7594696858414</v>
      </c>
    </row>
    <row r="273" spans="1:4" x14ac:dyDescent="0.2">
      <c r="A273" t="s">
        <v>223</v>
      </c>
      <c r="D273">
        <f t="shared" si="12"/>
        <v>9919.411815500418</v>
      </c>
    </row>
    <row r="274" spans="1:4" x14ac:dyDescent="0.2">
      <c r="A274" t="s">
        <v>224</v>
      </c>
      <c r="D274">
        <f>G241</f>
        <v>10394.604138426383</v>
      </c>
    </row>
    <row r="275" spans="1:4" x14ac:dyDescent="0.2">
      <c r="A275" t="s">
        <v>29</v>
      </c>
      <c r="D275">
        <f>ROUND(C211,2)</f>
        <v>26209.26</v>
      </c>
    </row>
    <row r="276" spans="1:4" x14ac:dyDescent="0.2">
      <c r="A276" t="s">
        <v>225</v>
      </c>
      <c r="D276">
        <f>K238</f>
        <v>16</v>
      </c>
    </row>
  </sheetData>
  <phoneticPr fontId="4" type="noConversion"/>
  <conditionalFormatting sqref="G211:G241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1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D34"/>
  <sheetViews>
    <sheetView tabSelected="1" workbookViewId="0">
      <selection activeCell="I18" sqref="I18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4" x14ac:dyDescent="0.2">
      <c r="A1" s="1" t="s">
        <v>186</v>
      </c>
      <c r="B1" s="1" t="s">
        <v>187</v>
      </c>
      <c r="C1" s="1" t="s">
        <v>188</v>
      </c>
      <c r="D1" s="1" t="s">
        <v>189</v>
      </c>
    </row>
    <row r="2" spans="1:4" x14ac:dyDescent="0.2">
      <c r="A2" t="s">
        <v>232</v>
      </c>
      <c r="B2" t="s">
        <v>30</v>
      </c>
      <c r="D2">
        <f>'calculation-sheet'!$D244</f>
        <v>-26209.259259259263</v>
      </c>
    </row>
    <row r="3" spans="1:4" x14ac:dyDescent="0.2">
      <c r="A3" t="s">
        <v>233</v>
      </c>
      <c r="B3" t="s">
        <v>30</v>
      </c>
      <c r="D3">
        <f>'calculation-sheet'!G212</f>
        <v>-23677.515259259264</v>
      </c>
    </row>
    <row r="4" spans="1:4" x14ac:dyDescent="0.2">
      <c r="A4" t="s">
        <v>234</v>
      </c>
      <c r="B4" t="s">
        <v>30</v>
      </c>
      <c r="D4">
        <f>'calculation-sheet'!D246</f>
        <v>-21348.900406470148</v>
      </c>
    </row>
    <row r="5" spans="1:4" x14ac:dyDescent="0.2">
      <c r="A5" t="s">
        <v>235</v>
      </c>
      <c r="B5" t="s">
        <v>30</v>
      </c>
      <c r="D5">
        <f>'calculation-sheet'!D247</f>
        <v>-19244.363487865245</v>
      </c>
    </row>
    <row r="6" spans="1:4" x14ac:dyDescent="0.2">
      <c r="A6" t="s">
        <v>236</v>
      </c>
      <c r="B6" t="s">
        <v>30</v>
      </c>
      <c r="D6">
        <f>'calculation-sheet'!D248</f>
        <v>-17150.395459646548</v>
      </c>
    </row>
    <row r="7" spans="1:4" x14ac:dyDescent="0.2">
      <c r="A7" t="s">
        <v>237</v>
      </c>
      <c r="B7" t="s">
        <v>30</v>
      </c>
      <c r="D7">
        <f>'calculation-sheet'!D249</f>
        <v>-15102.103000042833</v>
      </c>
    </row>
    <row r="8" spans="1:4" x14ac:dyDescent="0.2">
      <c r="A8" t="s">
        <v>238</v>
      </c>
      <c r="B8" t="s">
        <v>30</v>
      </c>
      <c r="D8">
        <f>'calculation-sheet'!D250</f>
        <v>-13368.52182451083</v>
      </c>
    </row>
    <row r="9" spans="1:4" x14ac:dyDescent="0.2">
      <c r="A9" t="s">
        <v>239</v>
      </c>
      <c r="B9" t="s">
        <v>30</v>
      </c>
      <c r="D9">
        <f>'calculation-sheet'!D251</f>
        <v>-11526.342539036157</v>
      </c>
    </row>
    <row r="10" spans="1:4" x14ac:dyDescent="0.2">
      <c r="A10" t="s">
        <v>240</v>
      </c>
      <c r="B10" t="s">
        <v>30</v>
      </c>
      <c r="D10">
        <f>'calculation-sheet'!D252</f>
        <v>-9833.5010141603088</v>
      </c>
    </row>
    <row r="11" spans="1:4" x14ac:dyDescent="0.2">
      <c r="A11" t="s">
        <v>241</v>
      </c>
      <c r="B11" t="s">
        <v>30</v>
      </c>
      <c r="D11">
        <f>'calculation-sheet'!D253</f>
        <v>-8305.7362399567683</v>
      </c>
    </row>
    <row r="12" spans="1:4" x14ac:dyDescent="0.2">
      <c r="A12" t="s">
        <v>242</v>
      </c>
      <c r="B12" t="s">
        <v>30</v>
      </c>
      <c r="D12">
        <f>'calculation-sheet'!D254</f>
        <v>-6783.8260831871776</v>
      </c>
    </row>
    <row r="13" spans="1:4" x14ac:dyDescent="0.2">
      <c r="A13" t="s">
        <v>243</v>
      </c>
      <c r="B13" t="s">
        <v>30</v>
      </c>
      <c r="D13">
        <f>'calculation-sheet'!D255</f>
        <v>-5294.0644520181195</v>
      </c>
    </row>
    <row r="14" spans="1:4" x14ac:dyDescent="0.2">
      <c r="A14" t="s">
        <v>244</v>
      </c>
      <c r="B14" t="s">
        <v>30</v>
      </c>
      <c r="D14">
        <f>'calculation-sheet'!D256</f>
        <v>-4037.3020960899935</v>
      </c>
    </row>
    <row r="15" spans="1:4" x14ac:dyDescent="0.2">
      <c r="A15" t="s">
        <v>245</v>
      </c>
      <c r="B15" t="s">
        <v>30</v>
      </c>
      <c r="D15">
        <f>'calculation-sheet'!D257</f>
        <v>-3219.2294576318704</v>
      </c>
    </row>
    <row r="16" spans="1:4" x14ac:dyDescent="0.2">
      <c r="A16" t="s">
        <v>246</v>
      </c>
      <c r="B16" t="s">
        <v>30</v>
      </c>
      <c r="D16">
        <f>'calculation-sheet'!D258</f>
        <v>-1989.4405203325098</v>
      </c>
    </row>
    <row r="17" spans="1:4" x14ac:dyDescent="0.2">
      <c r="A17" t="s">
        <v>247</v>
      </c>
      <c r="B17" t="s">
        <v>30</v>
      </c>
      <c r="D17">
        <f>'calculation-sheet'!D259</f>
        <v>-881.24223064829289</v>
      </c>
    </row>
    <row r="18" spans="1:4" x14ac:dyDescent="0.2">
      <c r="A18" t="s">
        <v>248</v>
      </c>
      <c r="B18" t="s">
        <v>30</v>
      </c>
      <c r="D18">
        <f>'calculation-sheet'!D260</f>
        <v>224.1036013303185</v>
      </c>
    </row>
    <row r="19" spans="1:4" x14ac:dyDescent="0.2">
      <c r="A19" t="s">
        <v>249</v>
      </c>
      <c r="B19" t="s">
        <v>30</v>
      </c>
      <c r="D19">
        <f>'calculation-sheet'!D261</f>
        <v>1306.9038494457182</v>
      </c>
    </row>
    <row r="20" spans="1:4" x14ac:dyDescent="0.2">
      <c r="A20" t="s">
        <v>250</v>
      </c>
      <c r="B20" t="s">
        <v>30</v>
      </c>
      <c r="D20">
        <f>'calculation-sheet'!D262</f>
        <v>2217.2118232750372</v>
      </c>
    </row>
    <row r="21" spans="1:4" x14ac:dyDescent="0.2">
      <c r="A21" t="s">
        <v>251</v>
      </c>
      <c r="B21" t="s">
        <v>30</v>
      </c>
      <c r="D21">
        <f>'calculation-sheet'!D263</f>
        <v>3190.6110450330871</v>
      </c>
    </row>
    <row r="22" spans="1:4" x14ac:dyDescent="0.2">
      <c r="A22" t="s">
        <v>252</v>
      </c>
      <c r="B22" t="s">
        <v>30</v>
      </c>
      <c r="D22">
        <f>'calculation-sheet'!D264</f>
        <v>4083.348420189815</v>
      </c>
    </row>
    <row r="23" spans="1:4" x14ac:dyDescent="0.2">
      <c r="A23" t="s">
        <v>253</v>
      </c>
      <c r="B23" t="s">
        <v>30</v>
      </c>
      <c r="D23">
        <f>'calculation-sheet'!D265</f>
        <v>4884.818616413123</v>
      </c>
    </row>
    <row r="24" spans="1:4" x14ac:dyDescent="0.2">
      <c r="A24" t="s">
        <v>254</v>
      </c>
      <c r="B24" t="s">
        <v>30</v>
      </c>
      <c r="D24">
        <f>'calculation-sheet'!D266</f>
        <v>5685.3809414227944</v>
      </c>
    </row>
    <row r="25" spans="1:4" x14ac:dyDescent="0.2">
      <c r="A25" t="s">
        <v>255</v>
      </c>
      <c r="B25" t="s">
        <v>30</v>
      </c>
      <c r="D25">
        <f>'calculation-sheet'!D267</f>
        <v>6470.2816141768653</v>
      </c>
    </row>
    <row r="26" spans="1:4" x14ac:dyDescent="0.2">
      <c r="A26" t="s">
        <v>256</v>
      </c>
      <c r="B26" t="s">
        <v>30</v>
      </c>
      <c r="D26">
        <f>'calculation-sheet'!D268</f>
        <v>7127.5724388323706</v>
      </c>
    </row>
    <row r="27" spans="1:4" x14ac:dyDescent="0.2">
      <c r="A27" t="s">
        <v>257</v>
      </c>
      <c r="B27" t="s">
        <v>30</v>
      </c>
      <c r="D27">
        <f>'calculation-sheet'!D269</f>
        <v>7542.6154074508295</v>
      </c>
    </row>
    <row r="28" spans="1:4" x14ac:dyDescent="0.2">
      <c r="A28" t="s">
        <v>258</v>
      </c>
      <c r="B28" t="s">
        <v>30</v>
      </c>
      <c r="D28">
        <f>'calculation-sheet'!D270</f>
        <v>8188.8514031854174</v>
      </c>
    </row>
    <row r="29" spans="1:4" x14ac:dyDescent="0.2">
      <c r="A29" t="s">
        <v>259</v>
      </c>
      <c r="B29" t="s">
        <v>30</v>
      </c>
      <c r="D29">
        <f>'calculation-sheet'!D271</f>
        <v>8769.2227888726138</v>
      </c>
    </row>
    <row r="30" spans="1:4" x14ac:dyDescent="0.2">
      <c r="A30" t="s">
        <v>260</v>
      </c>
      <c r="B30" t="s">
        <v>30</v>
      </c>
      <c r="D30">
        <f>'calculation-sheet'!D272</f>
        <v>9349.7594696858414</v>
      </c>
    </row>
    <row r="31" spans="1:4" x14ac:dyDescent="0.2">
      <c r="A31" t="s">
        <v>261</v>
      </c>
      <c r="B31" t="s">
        <v>30</v>
      </c>
      <c r="D31">
        <f>'calculation-sheet'!D273</f>
        <v>9919.411815500418</v>
      </c>
    </row>
    <row r="32" spans="1:4" x14ac:dyDescent="0.2">
      <c r="A32" t="s">
        <v>262</v>
      </c>
      <c r="B32" t="s">
        <v>30</v>
      </c>
      <c r="D32">
        <f>'calculation-sheet'!D274</f>
        <v>10394.604138426383</v>
      </c>
    </row>
    <row r="33" spans="1:4" x14ac:dyDescent="0.2">
      <c r="A33" t="s">
        <v>29</v>
      </c>
      <c r="B33" t="s">
        <v>30</v>
      </c>
      <c r="D33">
        <f>'calculation-sheet'!D275</f>
        <v>26209.26</v>
      </c>
    </row>
    <row r="34" spans="1:4" x14ac:dyDescent="0.2">
      <c r="A34" t="s">
        <v>225</v>
      </c>
      <c r="B34" t="s">
        <v>26</v>
      </c>
      <c r="D34">
        <f>'calculation-sheet'!K238</f>
        <v>16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2023-10-06T08:07:20Z</dcterms:modified>
  <cp:category/>
  <cp:contentStatus/>
</cp:coreProperties>
</file>