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ebecher/Desktop/"/>
    </mc:Choice>
  </mc:AlternateContent>
  <xr:revisionPtr revIDLastSave="0" documentId="13_ncr:1_{DC8B1795-3F83-1049-B7C9-E11F164084D9}" xr6:coauthVersionLast="47" xr6:coauthVersionMax="47" xr10:uidLastSave="{00000000-0000-0000-0000-000000000000}"/>
  <bookViews>
    <workbookView xWindow="25600" yWindow="500" windowWidth="38400" windowHeight="21100" activeTab="1" xr2:uid="{10AE25AE-CBB9-6C48-A0BD-F3B6274A0E75}"/>
  </bookViews>
  <sheets>
    <sheet name="viktor-input-sheet" sheetId="10" r:id="rId1"/>
    <sheet name="calculation-sheet" sheetId="6" r:id="rId2"/>
    <sheet name="viktor-output-sheet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6" i="6" l="1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177" i="6"/>
  <c r="E178" i="6"/>
  <c r="E179" i="6"/>
  <c r="E180" i="6"/>
  <c r="E181" i="6"/>
  <c r="E182" i="6"/>
  <c r="E183" i="6"/>
  <c r="E184" i="6"/>
  <c r="E185" i="6"/>
  <c r="E176" i="6"/>
  <c r="C193" i="6"/>
  <c r="D3" i="6"/>
  <c r="G110" i="6" s="1"/>
  <c r="D4" i="6"/>
  <c r="G111" i="6" s="1"/>
  <c r="D5" i="6"/>
  <c r="G113" i="6" s="1"/>
  <c r="D6" i="6"/>
  <c r="H30" i="6" s="1"/>
  <c r="D7" i="6"/>
  <c r="G63" i="6" s="1"/>
  <c r="D8" i="6"/>
  <c r="G64" i="6" s="1"/>
  <c r="D9" i="6"/>
  <c r="G65" i="6" s="1"/>
  <c r="D10" i="6"/>
  <c r="G72" i="6" s="1"/>
  <c r="D11" i="6"/>
  <c r="G73" i="6" s="1"/>
  <c r="D12" i="6"/>
  <c r="G74" i="6" s="1"/>
  <c r="D13" i="6"/>
  <c r="G82" i="6" s="1"/>
  <c r="D14" i="6"/>
  <c r="G83" i="6" s="1"/>
  <c r="D15" i="6"/>
  <c r="G91" i="6" s="1"/>
  <c r="D16" i="6"/>
  <c r="G92" i="6" s="1"/>
  <c r="D17" i="6"/>
  <c r="H118" i="6" s="1"/>
  <c r="D18" i="6"/>
  <c r="H44" i="6" s="1"/>
  <c r="D19" i="6"/>
  <c r="H125" i="6" s="1"/>
  <c r="D20" i="6"/>
  <c r="H126" i="6" s="1"/>
  <c r="D2" i="6"/>
  <c r="G112" i="6" s="1"/>
  <c r="E141" i="6" l="1" a="1"/>
  <c r="E141" i="6" s="1"/>
  <c r="E144" i="6" a="1"/>
  <c r="E144" i="6" s="1"/>
  <c r="E143" i="6" a="1"/>
  <c r="E143" i="6" s="1"/>
  <c r="E154" i="6"/>
  <c r="E153" i="6"/>
  <c r="E157" i="6"/>
  <c r="C195" i="6"/>
  <c r="C187" i="6"/>
  <c r="C205" i="6"/>
  <c r="C183" i="6"/>
  <c r="C199" i="6"/>
  <c r="C181" i="6"/>
  <c r="C177" i="6"/>
  <c r="D126" i="6" l="1"/>
  <c r="D100" i="6"/>
  <c r="D90" i="6"/>
  <c r="D81" i="6"/>
  <c r="D71" i="6"/>
  <c r="D98" i="6"/>
  <c r="D79" i="6"/>
  <c r="E142" i="6" l="1"/>
  <c r="D96" i="6"/>
  <c r="D77" i="6"/>
  <c r="I51" i="6" l="1"/>
  <c r="H51" i="6"/>
  <c r="G51" i="6"/>
  <c r="F51" i="6"/>
  <c r="E51" i="6"/>
  <c r="I50" i="6"/>
  <c r="H50" i="6"/>
  <c r="G50" i="6"/>
  <c r="F50" i="6"/>
  <c r="E50" i="6"/>
  <c r="I49" i="6"/>
  <c r="H49" i="6"/>
  <c r="G49" i="6"/>
  <c r="F49" i="6"/>
  <c r="E49" i="6"/>
  <c r="E160" i="6" l="1"/>
  <c r="D106" i="6"/>
  <c r="E170" i="6" s="1"/>
  <c r="C178" i="6" l="1"/>
  <c r="C184" i="6"/>
  <c r="C192" i="6"/>
  <c r="C198" i="6"/>
  <c r="C180" i="6"/>
  <c r="C186" i="6"/>
  <c r="C202" i="6"/>
  <c r="C190" i="6"/>
  <c r="C196" i="6"/>
  <c r="C204" i="6"/>
  <c r="D107" i="6"/>
  <c r="D46" i="6" s="1"/>
  <c r="E168" i="6" l="1"/>
  <c r="L69" i="6"/>
  <c r="L71" i="6"/>
  <c r="L70" i="6"/>
  <c r="D122" i="6"/>
  <c r="D128" i="6"/>
  <c r="E158" i="6"/>
  <c r="C203" i="6" l="1"/>
  <c r="C191" i="6"/>
  <c r="C185" i="6"/>
  <c r="C197" i="6"/>
  <c r="C179" i="6"/>
  <c r="C200" i="6"/>
  <c r="C182" i="6"/>
  <c r="C194" i="6"/>
  <c r="C206" i="6"/>
  <c r="C188" i="6"/>
  <c r="E152" i="6"/>
  <c r="D95" i="6"/>
  <c r="D92" i="6" s="1"/>
  <c r="E172" i="6" s="1"/>
  <c r="D76" i="6"/>
  <c r="D73" i="6" s="1"/>
  <c r="D80" i="6" s="1"/>
  <c r="D72" i="6" s="1"/>
  <c r="D67" i="6"/>
  <c r="D64" i="6" s="1"/>
  <c r="D63" i="6" s="1"/>
  <c r="D86" i="6"/>
  <c r="D99" i="6" l="1"/>
  <c r="D91" i="6" s="1"/>
  <c r="E167" i="6"/>
  <c r="E159" i="6"/>
  <c r="D83" i="6"/>
  <c r="D82" i="6" s="1"/>
  <c r="D62" i="6" l="1"/>
  <c r="C176" i="6" s="1"/>
  <c r="D33" i="11" s="1"/>
  <c r="C201" i="6"/>
  <c r="C189" i="6"/>
  <c r="E165" i="6"/>
  <c r="E166" i="6"/>
  <c r="D176" i="6" l="1"/>
  <c r="F176" i="6" s="1"/>
  <c r="G176" i="6" s="1"/>
  <c r="D2" i="11" s="1"/>
  <c r="B202" i="6"/>
  <c r="D202" i="6" s="1"/>
  <c r="F202" i="6" s="1"/>
  <c r="B204" i="6"/>
  <c r="D204" i="6" s="1"/>
  <c r="F204" i="6" s="1"/>
  <c r="B206" i="6"/>
  <c r="D206" i="6" s="1"/>
  <c r="F206" i="6" s="1"/>
  <c r="B203" i="6"/>
  <c r="D203" i="6" s="1"/>
  <c r="F203" i="6" s="1"/>
  <c r="B201" i="6"/>
  <c r="D201" i="6" s="1"/>
  <c r="F201" i="6" s="1"/>
  <c r="B198" i="6"/>
  <c r="D198" i="6" s="1"/>
  <c r="F198" i="6" s="1"/>
  <c r="B200" i="6"/>
  <c r="D200" i="6" s="1"/>
  <c r="F200" i="6" s="1"/>
  <c r="B197" i="6"/>
  <c r="D197" i="6" s="1"/>
  <c r="F197" i="6" s="1"/>
  <c r="B205" i="6"/>
  <c r="D205" i="6" s="1"/>
  <c r="F205" i="6" s="1"/>
  <c r="B199" i="6"/>
  <c r="D199" i="6" s="1"/>
  <c r="F199" i="6" s="1"/>
  <c r="B187" i="6"/>
  <c r="D187" i="6" s="1"/>
  <c r="F187" i="6" s="1"/>
  <c r="B189" i="6"/>
  <c r="D189" i="6" s="1"/>
  <c r="F189" i="6" s="1"/>
  <c r="B188" i="6"/>
  <c r="D188" i="6" s="1"/>
  <c r="F188" i="6" s="1"/>
  <c r="B194" i="6"/>
  <c r="D194" i="6" s="1"/>
  <c r="F194" i="6" s="1"/>
  <c r="B192" i="6"/>
  <c r="D192" i="6" s="1"/>
  <c r="F192" i="6" s="1"/>
  <c r="B191" i="6"/>
  <c r="D191" i="6" s="1"/>
  <c r="F191" i="6" s="1"/>
  <c r="B196" i="6"/>
  <c r="D196" i="6" s="1"/>
  <c r="F196" i="6" s="1"/>
  <c r="B193" i="6"/>
  <c r="D193" i="6" s="1"/>
  <c r="F193" i="6" s="1"/>
  <c r="B177" i="6"/>
  <c r="D177" i="6" s="1"/>
  <c r="F177" i="6" s="1"/>
  <c r="B179" i="6"/>
  <c r="D179" i="6" s="1"/>
  <c r="F179" i="6" s="1"/>
  <c r="B181" i="6"/>
  <c r="D181" i="6" s="1"/>
  <c r="F181" i="6" s="1"/>
  <c r="B180" i="6"/>
  <c r="D180" i="6" s="1"/>
  <c r="F180" i="6" s="1"/>
  <c r="B183" i="6"/>
  <c r="D183" i="6" s="1"/>
  <c r="F183" i="6" s="1"/>
  <c r="B185" i="6"/>
  <c r="D185" i="6" s="1"/>
  <c r="F185" i="6" s="1"/>
  <c r="B190" i="6"/>
  <c r="D190" i="6" s="1"/>
  <c r="F190" i="6" s="1"/>
  <c r="B184" i="6"/>
  <c r="D184" i="6" s="1"/>
  <c r="F184" i="6" s="1"/>
  <c r="B195" i="6"/>
  <c r="D195" i="6" s="1"/>
  <c r="F195" i="6" s="1"/>
  <c r="B182" i="6"/>
  <c r="D182" i="6" s="1"/>
  <c r="F182" i="6" s="1"/>
  <c r="B178" i="6"/>
  <c r="D178" i="6" s="1"/>
  <c r="F178" i="6" s="1"/>
  <c r="B186" i="6"/>
  <c r="D186" i="6" s="1"/>
  <c r="F186" i="6" s="1"/>
  <c r="G177" i="6" l="1"/>
  <c r="D3" i="11" s="1"/>
  <c r="G178" i="6" l="1"/>
  <c r="D4" i="11" s="1"/>
  <c r="G179" i="6" l="1"/>
  <c r="D5" i="11" s="1"/>
  <c r="G180" i="6" l="1"/>
  <c r="D6" i="11" s="1"/>
  <c r="G181" i="6" l="1"/>
  <c r="D7" i="11" s="1"/>
  <c r="G182" i="6" l="1"/>
  <c r="D8" i="11" s="1"/>
  <c r="G183" i="6" l="1"/>
  <c r="D9" i="11" s="1"/>
  <c r="G184" i="6" l="1"/>
  <c r="D10" i="11" s="1"/>
  <c r="G185" i="6" l="1"/>
  <c r="D11" i="11" s="1"/>
  <c r="G186" i="6" l="1"/>
  <c r="D12" i="11" s="1"/>
  <c r="G187" i="6" l="1"/>
  <c r="D13" i="11" s="1"/>
  <c r="G188" i="6" l="1"/>
  <c r="D14" i="11" s="1"/>
  <c r="G189" i="6" l="1"/>
  <c r="D15" i="11" s="1"/>
  <c r="G190" i="6" l="1"/>
  <c r="D16" i="11" s="1"/>
  <c r="G191" i="6" l="1"/>
  <c r="D17" i="11" s="1"/>
  <c r="G192" i="6" l="1"/>
  <c r="D18" i="11" s="1"/>
  <c r="G193" i="6" l="1"/>
  <c r="D19" i="11" s="1"/>
  <c r="G194" i="6" l="1"/>
  <c r="D20" i="11" s="1"/>
  <c r="G195" i="6" l="1"/>
  <c r="D21" i="11" s="1"/>
  <c r="G196" i="6" l="1"/>
  <c r="D22" i="11" s="1"/>
  <c r="G197" i="6" l="1"/>
  <c r="D23" i="11" s="1"/>
  <c r="G198" i="6" l="1"/>
  <c r="D24" i="11" s="1"/>
  <c r="G199" i="6" l="1"/>
  <c r="D25" i="11" s="1"/>
  <c r="G200" i="6" l="1"/>
  <c r="D26" i="11" s="1"/>
  <c r="G201" i="6" l="1"/>
  <c r="D27" i="11" s="1"/>
  <c r="G202" i="6" l="1"/>
  <c r="D28" i="11" s="1"/>
  <c r="G203" i="6" l="1"/>
  <c r="D29" i="11" s="1"/>
  <c r="G204" i="6" l="1"/>
  <c r="D30" i="11" s="1"/>
  <c r="G205" i="6" l="1"/>
  <c r="D31" i="11" s="1"/>
  <c r="G206" i="6" l="1"/>
  <c r="D32" i="11" s="1"/>
  <c r="K203" i="6"/>
  <c r="D34" i="11" l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<sst xmlns="http://schemas.openxmlformats.org/spreadsheetml/2006/main" count="559" uniqueCount="218">
  <si>
    <t>Nord</t>
  </si>
  <si>
    <t>Nord-Ost</t>
  </si>
  <si>
    <t>Ost</t>
  </si>
  <si>
    <t>Süd-Ost</t>
  </si>
  <si>
    <t>Süd</t>
  </si>
  <si>
    <t>Süd-West</t>
  </si>
  <si>
    <t>West</t>
  </si>
  <si>
    <t>Nord-West</t>
  </si>
  <si>
    <t>5°</t>
  </si>
  <si>
    <t>25°</t>
  </si>
  <si>
    <t>35°</t>
  </si>
  <si>
    <t>45°</t>
  </si>
  <si>
    <t>55°</t>
  </si>
  <si>
    <t>70°</t>
  </si>
  <si>
    <t>BIPV</t>
  </si>
  <si>
    <t>BIPVT</t>
  </si>
  <si>
    <t>Ausrichtung</t>
  </si>
  <si>
    <t>Azimutwinkel</t>
  </si>
  <si>
    <t>Neigung</t>
  </si>
  <si>
    <t xml:space="preserve">Fläche </t>
  </si>
  <si>
    <t>180°</t>
  </si>
  <si>
    <t>225°</t>
  </si>
  <si>
    <t>270°</t>
  </si>
  <si>
    <t>315°</t>
  </si>
  <si>
    <t>0°</t>
  </si>
  <si>
    <t>90°</t>
  </si>
  <si>
    <t>135°</t>
  </si>
  <si>
    <t>Projektübergreifende Eingangsparameter</t>
  </si>
  <si>
    <t>Zeitraum</t>
  </si>
  <si>
    <t>Jahre</t>
  </si>
  <si>
    <t>Primärenergiefaktoren</t>
  </si>
  <si>
    <t>Netzstrom</t>
  </si>
  <si>
    <t>Erdgas</t>
  </si>
  <si>
    <t>Heizöl</t>
  </si>
  <si>
    <t>Emissionsfaktoren</t>
  </si>
  <si>
    <t>g/kWh</t>
  </si>
  <si>
    <t>Vergleichkaufpreise</t>
  </si>
  <si>
    <t>Netzstrom Haushalte</t>
  </si>
  <si>
    <t>€/kWh</t>
  </si>
  <si>
    <t>Netzstrom Nicht-Haushalte</t>
  </si>
  <si>
    <t>Erdgas Haushalte</t>
  </si>
  <si>
    <t>Erdgas Nicht-Haushalte</t>
  </si>
  <si>
    <t>Heizöl Haushalte</t>
  </si>
  <si>
    <t>Heizöl Nicht-Haushalte</t>
  </si>
  <si>
    <t>Staatliche Förderungen</t>
  </si>
  <si>
    <t>Projektspezifische Eingangsparameter</t>
  </si>
  <si>
    <t>Investitionskosten</t>
  </si>
  <si>
    <t>€</t>
  </si>
  <si>
    <t xml:space="preserve">5.2.3.1 Anlagenflächen  </t>
  </si>
  <si>
    <t>Dachintegriert</t>
  </si>
  <si>
    <t>Fläche</t>
  </si>
  <si>
    <t>m2</t>
  </si>
  <si>
    <t>Komponenten</t>
  </si>
  <si>
    <t>Module</t>
  </si>
  <si>
    <t>€/ m2</t>
  </si>
  <si>
    <t>°</t>
  </si>
  <si>
    <t>Wechselrichter</t>
  </si>
  <si>
    <t>Planung und Auslegung</t>
  </si>
  <si>
    <t>Einsparungen</t>
  </si>
  <si>
    <t>Fassadenintegriert</t>
  </si>
  <si>
    <t>Energieertrag</t>
  </si>
  <si>
    <t>Anlagenfläche</t>
  </si>
  <si>
    <t>s.o.</t>
  </si>
  <si>
    <t>Gesamt</t>
  </si>
  <si>
    <t>Anzahl WE</t>
  </si>
  <si>
    <t>Anzahl Personen</t>
  </si>
  <si>
    <t>nur für WE&lt;=2 erforderlich</t>
  </si>
  <si>
    <t>Ausgangskennzahlen</t>
  </si>
  <si>
    <t>Solarertrag</t>
  </si>
  <si>
    <t xml:space="preserve">spezifischer Kollektorjahresertrag </t>
  </si>
  <si>
    <t>kWh/a</t>
  </si>
  <si>
    <t>Anteil thermisch</t>
  </si>
  <si>
    <t>Anteil elektrisch</t>
  </si>
  <si>
    <t>energiebezogene Kennzahlen</t>
  </si>
  <si>
    <t>wirtschaftliche Kennzahlen</t>
  </si>
  <si>
    <t>Zeit [Jahre]</t>
  </si>
  <si>
    <t>R(t)=E(t)-A(t)</t>
  </si>
  <si>
    <t>1/((1+i)^t)</t>
  </si>
  <si>
    <t>Barwert im Jahr t</t>
  </si>
  <si>
    <t>kumulierter Barwert</t>
  </si>
  <si>
    <t>Anteil Stromproduktion vom Optimum</t>
  </si>
  <si>
    <t>kWpeak/m2</t>
  </si>
  <si>
    <t>Der jährliche Ertrag einer Anlage lässt sich auch über die Solarkataster der jeweiligen Bundesländer genauer ermitteln</t>
  </si>
  <si>
    <t xml:space="preserve">In dieser Arbeit wird der Solarertrag durch deutschen Durchschnittswert des spezifischen jährlichen Ertrags berechnet. </t>
  </si>
  <si>
    <t>Wohnfläche</t>
  </si>
  <si>
    <t>Gebäudeart</t>
  </si>
  <si>
    <t>nutzbarer Eigenanteil am jährlichen Ertrag</t>
  </si>
  <si>
    <t>jährlich nutzbare Energie elektrisch</t>
  </si>
  <si>
    <t>jährlich Eingespeiste Energie</t>
  </si>
  <si>
    <t>Ertrag im Jahr t E(t)</t>
  </si>
  <si>
    <t>Ausgabe im Jahr t A(t)</t>
  </si>
  <si>
    <t>jährliche Einsparung durch nicht erforderlichen Strom</t>
  </si>
  <si>
    <t>Unterkonstruktion und Zubehör</t>
  </si>
  <si>
    <t>kWpeak</t>
  </si>
  <si>
    <t>Flächenleistung der Modul</t>
  </si>
  <si>
    <t>Inbetreibnahme der Anlage</t>
  </si>
  <si>
    <t>&lt; 10 kWp</t>
  </si>
  <si>
    <t>Größe</t>
  </si>
  <si>
    <t>Vergütung ct/kWh</t>
  </si>
  <si>
    <t>&lt; 40 kWp</t>
  </si>
  <si>
    <t>&lt; 100 kWp</t>
  </si>
  <si>
    <t>anzulegender Wert</t>
  </si>
  <si>
    <t>Einspeisevergütung ersten 20 Jahre</t>
  </si>
  <si>
    <t>Einspeisevergütung nach 20 Jahre</t>
  </si>
  <si>
    <t>Kalkulationszinssatz</t>
  </si>
  <si>
    <t>Jahresenergiebedarf</t>
  </si>
  <si>
    <t xml:space="preserve">Neubau auch bei Kernsanierungen </t>
  </si>
  <si>
    <t>jährlicher Ertrag durch eingespeisten Strom (Jahr 1-20)</t>
  </si>
  <si>
    <t>jährlicher Ertrag durch eingespeisten Strom (Jahr 20-30)</t>
  </si>
  <si>
    <t>a</t>
  </si>
  <si>
    <t>b</t>
  </si>
  <si>
    <t>c</t>
  </si>
  <si>
    <t>d</t>
  </si>
  <si>
    <t>Wärmepumpe</t>
  </si>
  <si>
    <t>Installation pauschal</t>
  </si>
  <si>
    <t>Installation je m2</t>
  </si>
  <si>
    <t>jährliche Einsparung durch nicht erforderliche Wärme</t>
  </si>
  <si>
    <t>1-3 kWp</t>
  </si>
  <si>
    <t>3-6 kWp</t>
  </si>
  <si>
    <t>6-9 kWp</t>
  </si>
  <si>
    <t>9-15 kWp</t>
  </si>
  <si>
    <t>15-100 kWp</t>
  </si>
  <si>
    <t>jährlicher Energieeintrag BIPV (elektrisch)</t>
  </si>
  <si>
    <t>jährlicher Energieeintrag BIPVT</t>
  </si>
  <si>
    <t>jährlich nutzbare Energie thermisch</t>
  </si>
  <si>
    <t>Vorheriger Wärmeerzeuger oder Vergleichsystem</t>
  </si>
  <si>
    <t>Jahresenergieverbrauch Gesamt</t>
  </si>
  <si>
    <t xml:space="preserve">laufende Kosten jährlich </t>
  </si>
  <si>
    <t>Soll ein Speicher verbaut werden?</t>
  </si>
  <si>
    <t>Investitionskosten für einen Speicher</t>
  </si>
  <si>
    <t>laufende Kosten alle 2 Jahre</t>
  </si>
  <si>
    <t>laufende Kosten alle 3 Jahre</t>
  </si>
  <si>
    <t>Austausch Wechselrichter alle 12 Jahre</t>
  </si>
  <si>
    <t xml:space="preserve">bestehende Förderungsmöglichkeiten </t>
  </si>
  <si>
    <t>Ist eine im Haushalt lebende Person in Besitz eines Elektroautos?</t>
  </si>
  <si>
    <t>Soll eine Ladesäule verbaut werden?</t>
  </si>
  <si>
    <t>KfW Förderprogramm 442</t>
  </si>
  <si>
    <t>Förderhöhe</t>
  </si>
  <si>
    <t>Kosten für die Ladestation</t>
  </si>
  <si>
    <t>für Strom</t>
  </si>
  <si>
    <t>für Wärme + TWW</t>
  </si>
  <si>
    <t>6.1</t>
  </si>
  <si>
    <t>6.1.1</t>
  </si>
  <si>
    <t>6.1.2</t>
  </si>
  <si>
    <t>6.1.3</t>
  </si>
  <si>
    <t>6.1.4</t>
  </si>
  <si>
    <t>6.1.5</t>
  </si>
  <si>
    <t>6.1.6</t>
  </si>
  <si>
    <t>6.2</t>
  </si>
  <si>
    <t>6.2.1</t>
  </si>
  <si>
    <t>6.2.3</t>
  </si>
  <si>
    <t>6.2.3.1</t>
  </si>
  <si>
    <t>6.2.4</t>
  </si>
  <si>
    <t>6.3</t>
  </si>
  <si>
    <t>6.3.1</t>
  </si>
  <si>
    <t>6.3.2</t>
  </si>
  <si>
    <t>6.3.4</t>
  </si>
  <si>
    <t>6.4.1</t>
  </si>
  <si>
    <t>Parameters</t>
  </si>
  <si>
    <t>Unit</t>
  </si>
  <si>
    <t>Comment</t>
  </si>
  <si>
    <t>Values</t>
  </si>
  <si>
    <t>aktuelle Wärmeerzeugung</t>
  </si>
  <si>
    <t>Fläche der PV-Anlage (1)</t>
  </si>
  <si>
    <t>Ausrichtung der Fläche (1)</t>
  </si>
  <si>
    <t>Neigung der Fläche (1)</t>
  </si>
  <si>
    <t>Fläche der PVT-Anlage (2)</t>
  </si>
  <si>
    <t>Ausrichtung der Fläche (2)</t>
  </si>
  <si>
    <t>Neigung der Fläche (2)</t>
  </si>
  <si>
    <t>Fläche der PV-Anlage (3)</t>
  </si>
  <si>
    <t>Ausrichtung der Fläche (3)</t>
  </si>
  <si>
    <t>Fläche der PVT-Anlage (4)</t>
  </si>
  <si>
    <t>Ausrichtung der Fläche (4)</t>
  </si>
  <si>
    <t>Stromspeicher</t>
  </si>
  <si>
    <t>Inbetriebnahme-Zeitpunkt</t>
  </si>
  <si>
    <t>Elektroauto</t>
  </si>
  <si>
    <t>Ladesäule</t>
  </si>
  <si>
    <t>m^2</t>
  </si>
  <si>
    <t>Break-Even-Point</t>
  </si>
  <si>
    <t>bis 31.01.2024</t>
  </si>
  <si>
    <t>ab 01.02.2024</t>
  </si>
  <si>
    <t>ab 01.08.2024</t>
  </si>
  <si>
    <t>ab 01.02.2025</t>
  </si>
  <si>
    <t>ab 01.08.2025</t>
  </si>
  <si>
    <t>ab 01.02.2026</t>
  </si>
  <si>
    <t>Neubau</t>
  </si>
  <si>
    <t>nein</t>
  </si>
  <si>
    <t>Barwert_0</t>
  </si>
  <si>
    <t>Barwert_1</t>
  </si>
  <si>
    <t>Barwert_2</t>
  </si>
  <si>
    <t>Barwert_3</t>
  </si>
  <si>
    <t>Barwert_4</t>
  </si>
  <si>
    <t>Barwert_5</t>
  </si>
  <si>
    <t>Barwert_6</t>
  </si>
  <si>
    <t>Barwert_7</t>
  </si>
  <si>
    <t>Barwert_8</t>
  </si>
  <si>
    <t>Barwert_9</t>
  </si>
  <si>
    <t>Barwert_10</t>
  </si>
  <si>
    <t>Barwert_11</t>
  </si>
  <si>
    <t>Barwert_12</t>
  </si>
  <si>
    <t>Barwert_13</t>
  </si>
  <si>
    <t>Barwert_14</t>
  </si>
  <si>
    <t>Barwert_15</t>
  </si>
  <si>
    <t>Barwert_16</t>
  </si>
  <si>
    <t>Barwert_17</t>
  </si>
  <si>
    <t>Barwert_18</t>
  </si>
  <si>
    <t>Barwert_19</t>
  </si>
  <si>
    <t>Barwert_20</t>
  </si>
  <si>
    <t>Barwert_21</t>
  </si>
  <si>
    <t>Barwert_22</t>
  </si>
  <si>
    <t>Barwert_23</t>
  </si>
  <si>
    <t>Barwert_24</t>
  </si>
  <si>
    <t>Barwert_25</t>
  </si>
  <si>
    <t>Barwert_26</t>
  </si>
  <si>
    <t>Barwert_27</t>
  </si>
  <si>
    <t>Barwert_28</t>
  </si>
  <si>
    <t>Barwert_29</t>
  </si>
  <si>
    <t>Barwert_30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</si>
</sst>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&quot;€&quot;"/>
    <numFmt numFmtId="165" formatCode="0\°"/>
    <numFmt numFmtId="166" formatCode="0.0000"/>
    <numFmt numFmtId="167" formatCode="_-* #,##0.00\ [$€-407]_-;\-* #,##0.00\ [$€-407]_-;_-* &quot;-&quot;??\ [$€-407]_-;_-@_-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28">
    <xf numFmtId="0" fontId="0" fillId="0" borderId="0" xfId="0"/>
    <xf numFmtId="49" fontId="0" fillId="0" borderId="0" xfId="0" applyNumberForma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/>
    <xf numFmtId="43" fontId="0" fillId="0" borderId="0" xfId="1" applyFont="1"/>
    <xf numFmtId="49" fontId="3" fillId="0" borderId="0" xfId="0" applyNumberFormat="1" applyFont="1" applyAlignment="1">
      <alignment horizontal="center"/>
    </xf>
    <xf numFmtId="43" fontId="0" fillId="0" borderId="0" xfId="1" applyFont="1" applyFill="1"/>
    <xf numFmtId="0" fontId="0" fillId="0" borderId="0" xfId="0" applyAlignment="1">
      <alignment horizontal="center"/>
    </xf>
    <xf numFmtId="0" fontId="5" fillId="0" borderId="0" xfId="0" applyFont="1"/>
    <xf numFmtId="165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8" fontId="0" fillId="0" borderId="0" xfId="0" applyNumberFormat="1"/>
    <xf numFmtId="3" fontId="0" fillId="0" borderId="0" xfId="0" applyNumberFormat="1"/>
    <xf numFmtId="2" fontId="0" fillId="0" borderId="0" xfId="0" applyNumberFormat="1"/>
    <xf numFmtId="2" fontId="0" fillId="0" borderId="0" xfId="1" applyNumberFormat="1" applyFont="1" applyFill="1"/>
    <xf numFmtId="44" fontId="0" fillId="0" borderId="0" xfId="2" applyFont="1" applyFill="1"/>
    <xf numFmtId="167" fontId="0" fillId="0" borderId="0" xfId="2" applyNumberFormat="1" applyFon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66" fontId="0" fillId="0" borderId="0" xfId="0" applyNumberFormat="1"/>
    <xf numFmtId="9" fontId="0" fillId="0" borderId="0" xfId="0" applyNumberFormat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" fontId="0" fillId="0" borderId="0" xfId="0" applyNumberFormat="1"/>
    <xf numFmtId="0" fontId="0" fillId="0" borderId="0" xfId="0" applyAlignment="1">
      <alignment horizontal="left" indent="1"/>
    </xf>
    <xf numFmtId="167" fontId="0" fillId="0" borderId="0" xfId="0" applyNumberFormat="1"/>
    <xf numFmtId="164" fontId="0" fillId="0" borderId="0" xfId="0" applyNumberFormat="1"/>
  </cellXfs>
  <cellStyles count="3">
    <cellStyle name="Komma" xfId="1" builtinId="3"/>
    <cellStyle name="Standard" xfId="0" builtinId="0"/>
    <cellStyle name="Währung" xfId="2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19F5-DB14-FD41-B8AE-100B4009EB94}">
  <dimension ref="A1:D20"/>
  <sheetViews>
    <sheetView workbookViewId="0">
      <selection activeCell="D6" sqref="D6"/>
    </sheetView>
  </sheetViews>
  <sheetFormatPr baseColWidth="10" defaultRowHeight="16" x14ac:dyDescent="0.2"/>
  <cols>
    <col min="1" max="1" width="25.33203125" customWidth="1"/>
    <col min="4" max="4" width="13.83203125" customWidth="1"/>
  </cols>
  <sheetData>
    <row r="1" spans="1:4" x14ac:dyDescent="0.2">
      <c r="A1" s="3" t="s">
        <v>158</v>
      </c>
      <c r="B1" s="3" t="s">
        <v>159</v>
      </c>
      <c r="C1" s="3" t="s">
        <v>160</v>
      </c>
      <c r="D1" s="3" t="s">
        <v>161</v>
      </c>
    </row>
    <row r="2" spans="1:4" x14ac:dyDescent="0.2">
      <c r="A2" t="s">
        <v>85</v>
      </c>
      <c r="D2" t="s">
        <v>185</v>
      </c>
    </row>
    <row r="3" spans="1:4" x14ac:dyDescent="0.2">
      <c r="A3" t="s">
        <v>64</v>
      </c>
      <c r="D3">
        <v>1</v>
      </c>
    </row>
    <row r="4" spans="1:4" x14ac:dyDescent="0.2">
      <c r="A4" t="s">
        <v>65</v>
      </c>
      <c r="D4">
        <v>2</v>
      </c>
    </row>
    <row r="5" spans="1:4" x14ac:dyDescent="0.2">
      <c r="A5" t="s">
        <v>84</v>
      </c>
      <c r="B5" t="s">
        <v>177</v>
      </c>
      <c r="D5">
        <v>200</v>
      </c>
    </row>
    <row r="6" spans="1:4" x14ac:dyDescent="0.2">
      <c r="A6" t="s">
        <v>162</v>
      </c>
      <c r="D6" t="s">
        <v>32</v>
      </c>
    </row>
    <row r="7" spans="1:4" x14ac:dyDescent="0.2">
      <c r="A7" t="s">
        <v>163</v>
      </c>
      <c r="B7" t="s">
        <v>177</v>
      </c>
      <c r="D7">
        <v>0</v>
      </c>
    </row>
    <row r="8" spans="1:4" x14ac:dyDescent="0.2">
      <c r="A8" t="s">
        <v>164</v>
      </c>
      <c r="D8" t="s">
        <v>4</v>
      </c>
    </row>
    <row r="9" spans="1:4" x14ac:dyDescent="0.2">
      <c r="A9" t="s">
        <v>165</v>
      </c>
      <c r="D9" t="s">
        <v>10</v>
      </c>
    </row>
    <row r="10" spans="1:4" x14ac:dyDescent="0.2">
      <c r="A10" t="s">
        <v>166</v>
      </c>
      <c r="B10" t="s">
        <v>177</v>
      </c>
      <c r="D10">
        <v>20</v>
      </c>
    </row>
    <row r="11" spans="1:4" x14ac:dyDescent="0.2">
      <c r="A11" t="s">
        <v>167</v>
      </c>
      <c r="D11" t="s">
        <v>4</v>
      </c>
    </row>
    <row r="12" spans="1:4" x14ac:dyDescent="0.2">
      <c r="A12" t="s">
        <v>168</v>
      </c>
      <c r="D12" t="s">
        <v>10</v>
      </c>
    </row>
    <row r="13" spans="1:4" x14ac:dyDescent="0.2">
      <c r="A13" s="8" t="s">
        <v>169</v>
      </c>
      <c r="B13" t="s">
        <v>177</v>
      </c>
      <c r="D13">
        <v>0</v>
      </c>
    </row>
    <row r="14" spans="1:4" x14ac:dyDescent="0.2">
      <c r="A14" s="8" t="s">
        <v>170</v>
      </c>
      <c r="D14" t="s">
        <v>4</v>
      </c>
    </row>
    <row r="15" spans="1:4" x14ac:dyDescent="0.2">
      <c r="A15" s="8" t="s">
        <v>171</v>
      </c>
      <c r="B15" t="s">
        <v>177</v>
      </c>
      <c r="D15">
        <v>0</v>
      </c>
    </row>
    <row r="16" spans="1:4" x14ac:dyDescent="0.2">
      <c r="A16" s="8" t="s">
        <v>172</v>
      </c>
      <c r="D16" t="s">
        <v>4</v>
      </c>
    </row>
    <row r="17" spans="1:4" x14ac:dyDescent="0.2">
      <c r="A17" s="8" t="s">
        <v>173</v>
      </c>
      <c r="D17" t="s">
        <v>186</v>
      </c>
    </row>
    <row r="18" spans="1:4" x14ac:dyDescent="0.2">
      <c r="A18" s="8" t="s">
        <v>174</v>
      </c>
      <c r="D18" t="s">
        <v>179</v>
      </c>
    </row>
    <row r="19" spans="1:4" x14ac:dyDescent="0.2">
      <c r="A19" s="8" t="s">
        <v>175</v>
      </c>
      <c r="D19" t="s">
        <v>186</v>
      </c>
    </row>
    <row r="20" spans="1:4" x14ac:dyDescent="0.2">
      <c r="A20" s="8" t="s">
        <v>176</v>
      </c>
      <c r="D20" t="s">
        <v>186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EEE4-CC8A-8E45-BFEF-C6530A976C96}">
  <sheetPr>
    <pageSetUpPr fitToPage="1"/>
  </sheetPr>
  <dimension ref="A1:R241"/>
  <sheetViews>
    <sheetView tabSelected="1" topLeftCell="A91" zoomScale="97" workbookViewId="0">
      <selection activeCell="I144" sqref="I144"/>
    </sheetView>
  </sheetViews>
  <sheetFormatPr baseColWidth="10" defaultColWidth="11" defaultRowHeight="16" x14ac:dyDescent="0.2"/>
  <cols>
    <col min="1" max="1" width="15.83203125" customWidth="1"/>
    <col min="3" max="3" width="25.83203125" customWidth="1"/>
    <col min="4" max="4" width="15.83203125" customWidth="1"/>
    <col min="5" max="5" width="15.33203125" customWidth="1"/>
    <col min="6" max="6" width="14.5" customWidth="1"/>
    <col min="7" max="7" width="14.6640625" style="1" customWidth="1"/>
    <col min="8" max="8" width="15" customWidth="1"/>
    <col min="9" max="9" width="14.83203125" customWidth="1"/>
    <col min="10" max="10" width="12.33203125" style="4" customWidth="1"/>
    <col min="13" max="13" width="10.83203125" style="2"/>
    <col min="16" max="16" width="18.6640625" customWidth="1"/>
    <col min="17" max="17" width="0" hidden="1" customWidth="1"/>
    <col min="19" max="22" width="10.83203125" customWidth="1"/>
  </cols>
  <sheetData>
    <row r="1" spans="1:4" x14ac:dyDescent="0.2">
      <c r="A1" s="3" t="s">
        <v>158</v>
      </c>
      <c r="B1" s="3" t="s">
        <v>159</v>
      </c>
      <c r="C1" s="3" t="s">
        <v>160</v>
      </c>
      <c r="D1" s="3" t="s">
        <v>161</v>
      </c>
    </row>
    <row r="2" spans="1:4" x14ac:dyDescent="0.2">
      <c r="A2" t="s">
        <v>85</v>
      </c>
      <c r="D2" t="str">
        <f>'viktor-input-sheet'!D2</f>
        <v>Neubau</v>
      </c>
    </row>
    <row r="3" spans="1:4" x14ac:dyDescent="0.2">
      <c r="A3" t="s">
        <v>64</v>
      </c>
      <c r="D3">
        <f>'viktor-input-sheet'!D3</f>
        <v>1</v>
      </c>
    </row>
    <row r="4" spans="1:4" x14ac:dyDescent="0.2">
      <c r="A4" t="s">
        <v>65</v>
      </c>
      <c r="D4">
        <f>'viktor-input-sheet'!D4</f>
        <v>2</v>
      </c>
    </row>
    <row r="5" spans="1:4" x14ac:dyDescent="0.2">
      <c r="A5" t="s">
        <v>84</v>
      </c>
      <c r="D5">
        <f>'viktor-input-sheet'!D5</f>
        <v>200</v>
      </c>
    </row>
    <row r="6" spans="1:4" x14ac:dyDescent="0.2">
      <c r="A6" t="s">
        <v>162</v>
      </c>
      <c r="D6" t="str">
        <f>'viktor-input-sheet'!D6</f>
        <v>Erdgas</v>
      </c>
    </row>
    <row r="7" spans="1:4" x14ac:dyDescent="0.2">
      <c r="A7" t="s">
        <v>163</v>
      </c>
      <c r="D7">
        <f>'viktor-input-sheet'!D7</f>
        <v>0</v>
      </c>
    </row>
    <row r="8" spans="1:4" x14ac:dyDescent="0.2">
      <c r="A8" t="s">
        <v>164</v>
      </c>
      <c r="D8" t="str">
        <f>'viktor-input-sheet'!D8</f>
        <v>Süd</v>
      </c>
    </row>
    <row r="9" spans="1:4" x14ac:dyDescent="0.2">
      <c r="A9" t="s">
        <v>165</v>
      </c>
      <c r="D9" t="str">
        <f>'viktor-input-sheet'!D9</f>
        <v>35°</v>
      </c>
    </row>
    <row r="10" spans="1:4" x14ac:dyDescent="0.2">
      <c r="A10" t="s">
        <v>166</v>
      </c>
      <c r="D10">
        <f>'viktor-input-sheet'!D10</f>
        <v>20</v>
      </c>
    </row>
    <row r="11" spans="1:4" x14ac:dyDescent="0.2">
      <c r="A11" t="s">
        <v>167</v>
      </c>
      <c r="D11" t="str">
        <f>'viktor-input-sheet'!D11</f>
        <v>Süd</v>
      </c>
    </row>
    <row r="12" spans="1:4" x14ac:dyDescent="0.2">
      <c r="A12" t="s">
        <v>168</v>
      </c>
      <c r="D12" t="str">
        <f>'viktor-input-sheet'!D12</f>
        <v>35°</v>
      </c>
    </row>
    <row r="13" spans="1:4" x14ac:dyDescent="0.2">
      <c r="A13" s="8" t="s">
        <v>169</v>
      </c>
      <c r="D13">
        <f>'viktor-input-sheet'!D13</f>
        <v>0</v>
      </c>
    </row>
    <row r="14" spans="1:4" x14ac:dyDescent="0.2">
      <c r="A14" s="8" t="s">
        <v>170</v>
      </c>
      <c r="D14" t="str">
        <f>'viktor-input-sheet'!D14</f>
        <v>Süd</v>
      </c>
    </row>
    <row r="15" spans="1:4" x14ac:dyDescent="0.2">
      <c r="A15" s="8" t="s">
        <v>171</v>
      </c>
      <c r="D15">
        <f>'viktor-input-sheet'!D15</f>
        <v>0</v>
      </c>
    </row>
    <row r="16" spans="1:4" x14ac:dyDescent="0.2">
      <c r="A16" s="8" t="s">
        <v>172</v>
      </c>
      <c r="D16" t="str">
        <f>'viktor-input-sheet'!D16</f>
        <v>Süd</v>
      </c>
    </row>
    <row r="17" spans="1:18" x14ac:dyDescent="0.2">
      <c r="A17" s="8" t="s">
        <v>173</v>
      </c>
      <c r="D17" t="str">
        <f>'viktor-input-sheet'!D17</f>
        <v>nein</v>
      </c>
    </row>
    <row r="18" spans="1:18" x14ac:dyDescent="0.2">
      <c r="A18" s="8" t="s">
        <v>174</v>
      </c>
      <c r="D18" t="str">
        <f>'viktor-input-sheet'!D18</f>
        <v>bis 31.01.2024</v>
      </c>
    </row>
    <row r="19" spans="1:18" x14ac:dyDescent="0.2">
      <c r="A19" s="8" t="s">
        <v>175</v>
      </c>
      <c r="D19" t="str">
        <f>'viktor-input-sheet'!D19</f>
        <v>nein</v>
      </c>
    </row>
    <row r="20" spans="1:18" x14ac:dyDescent="0.2">
      <c r="A20" s="8" t="s">
        <v>176</v>
      </c>
      <c r="D20" t="str">
        <f>'viktor-input-sheet'!D20</f>
        <v>nein</v>
      </c>
    </row>
    <row r="23" spans="1:18" x14ac:dyDescent="0.2">
      <c r="J23" s="6"/>
    </row>
    <row r="24" spans="1:18" x14ac:dyDescent="0.2">
      <c r="J24" s="6"/>
    </row>
    <row r="25" spans="1:18" x14ac:dyDescent="0.2">
      <c r="J25" s="6"/>
    </row>
    <row r="26" spans="1:18" x14ac:dyDescent="0.2">
      <c r="A26" s="2" t="s">
        <v>141</v>
      </c>
      <c r="B26" s="3" t="s">
        <v>27</v>
      </c>
      <c r="J26" s="6"/>
    </row>
    <row r="27" spans="1:18" x14ac:dyDescent="0.2">
      <c r="J27" s="6"/>
    </row>
    <row r="28" spans="1:18" x14ac:dyDescent="0.2">
      <c r="A28" s="2" t="s">
        <v>142</v>
      </c>
      <c r="B28" s="3" t="s">
        <v>28</v>
      </c>
      <c r="D28">
        <v>30</v>
      </c>
      <c r="E28" t="s">
        <v>29</v>
      </c>
      <c r="J28" s="6"/>
      <c r="N28" s="3" t="s">
        <v>16</v>
      </c>
      <c r="O28" s="3" t="s">
        <v>17</v>
      </c>
      <c r="P28" s="3" t="s">
        <v>18</v>
      </c>
      <c r="Q28" s="10" t="s">
        <v>19</v>
      </c>
      <c r="R28" s="10" t="s">
        <v>80</v>
      </c>
    </row>
    <row r="29" spans="1:18" x14ac:dyDescent="0.2">
      <c r="A29" s="2" t="s">
        <v>143</v>
      </c>
      <c r="B29" s="3" t="s">
        <v>30</v>
      </c>
      <c r="J29" s="6"/>
      <c r="N29" t="s">
        <v>0</v>
      </c>
      <c r="O29" s="9" t="s">
        <v>20</v>
      </c>
      <c r="P29" s="14" t="s">
        <v>8</v>
      </c>
      <c r="Q29" s="11">
        <v>20</v>
      </c>
      <c r="R29" s="11">
        <v>82.7</v>
      </c>
    </row>
    <row r="30" spans="1:18" x14ac:dyDescent="0.2">
      <c r="B30" t="s">
        <v>31</v>
      </c>
      <c r="D30">
        <v>1.8</v>
      </c>
      <c r="F30" t="s">
        <v>125</v>
      </c>
      <c r="H30" t="str">
        <f>D6</f>
        <v>Erdgas</v>
      </c>
      <c r="J30" s="6"/>
      <c r="N30" t="s">
        <v>0</v>
      </c>
      <c r="O30" s="9" t="s">
        <v>20</v>
      </c>
      <c r="P30" s="14" t="s">
        <v>9</v>
      </c>
      <c r="Q30" s="11">
        <v>20</v>
      </c>
      <c r="R30" s="11">
        <v>64.8</v>
      </c>
    </row>
    <row r="31" spans="1:18" x14ac:dyDescent="0.2">
      <c r="B31" t="s">
        <v>32</v>
      </c>
      <c r="D31">
        <v>1.1000000000000001</v>
      </c>
      <c r="J31" s="6"/>
      <c r="N31" t="s">
        <v>0</v>
      </c>
      <c r="O31" s="9" t="s">
        <v>20</v>
      </c>
      <c r="P31" s="14" t="s">
        <v>10</v>
      </c>
      <c r="Q31" s="11">
        <v>20</v>
      </c>
      <c r="R31" s="11">
        <v>56.3</v>
      </c>
    </row>
    <row r="32" spans="1:18" x14ac:dyDescent="0.2">
      <c r="B32" t="s">
        <v>33</v>
      </c>
      <c r="D32">
        <v>1.1000000000000001</v>
      </c>
      <c r="J32" s="6"/>
      <c r="N32" t="s">
        <v>0</v>
      </c>
      <c r="O32" s="9" t="s">
        <v>20</v>
      </c>
      <c r="P32" s="14" t="s">
        <v>11</v>
      </c>
      <c r="Q32" s="11">
        <v>20</v>
      </c>
      <c r="R32" s="11">
        <v>48.1</v>
      </c>
    </row>
    <row r="33" spans="1:18" x14ac:dyDescent="0.2">
      <c r="A33" s="2" t="s">
        <v>144</v>
      </c>
      <c r="B33" s="3" t="s">
        <v>34</v>
      </c>
      <c r="J33" s="6"/>
      <c r="N33" t="s">
        <v>0</v>
      </c>
      <c r="O33" s="9" t="s">
        <v>20</v>
      </c>
      <c r="P33" s="14" t="s">
        <v>12</v>
      </c>
      <c r="Q33" s="11">
        <v>20</v>
      </c>
      <c r="R33" s="11">
        <v>41</v>
      </c>
    </row>
    <row r="34" spans="1:18" x14ac:dyDescent="0.2">
      <c r="B34" t="s">
        <v>31</v>
      </c>
      <c r="D34">
        <v>560</v>
      </c>
      <c r="E34" t="s">
        <v>35</v>
      </c>
      <c r="J34" s="6"/>
      <c r="N34" t="s">
        <v>0</v>
      </c>
      <c r="O34" s="9" t="s">
        <v>20</v>
      </c>
      <c r="P34" s="14" t="s">
        <v>13</v>
      </c>
      <c r="Q34" s="11">
        <v>20</v>
      </c>
      <c r="R34" s="11">
        <v>33.700000000000003</v>
      </c>
    </row>
    <row r="35" spans="1:18" x14ac:dyDescent="0.2">
      <c r="B35" t="s">
        <v>32</v>
      </c>
      <c r="D35">
        <v>240</v>
      </c>
      <c r="E35" t="s">
        <v>35</v>
      </c>
      <c r="J35" s="6"/>
      <c r="N35" t="s">
        <v>0</v>
      </c>
      <c r="O35" s="9" t="s">
        <v>20</v>
      </c>
      <c r="P35" s="14" t="s">
        <v>25</v>
      </c>
      <c r="Q35" s="11">
        <v>20</v>
      </c>
      <c r="R35" s="11">
        <v>28.7</v>
      </c>
    </row>
    <row r="36" spans="1:18" x14ac:dyDescent="0.2">
      <c r="B36" t="s">
        <v>33</v>
      </c>
      <c r="D36">
        <v>310</v>
      </c>
      <c r="E36" t="s">
        <v>35</v>
      </c>
      <c r="J36" s="6"/>
      <c r="N36" t="s">
        <v>1</v>
      </c>
      <c r="O36" s="9" t="s">
        <v>21</v>
      </c>
      <c r="P36" s="14" t="s">
        <v>8</v>
      </c>
      <c r="Q36" s="11">
        <v>20</v>
      </c>
      <c r="R36" s="11">
        <v>83.9</v>
      </c>
    </row>
    <row r="37" spans="1:18" x14ac:dyDescent="0.2">
      <c r="A37" s="2" t="s">
        <v>145</v>
      </c>
      <c r="B37" s="3" t="s">
        <v>36</v>
      </c>
      <c r="J37" s="6"/>
      <c r="N37" t="s">
        <v>1</v>
      </c>
      <c r="O37" s="9" t="s">
        <v>21</v>
      </c>
      <c r="P37" s="14" t="s">
        <v>9</v>
      </c>
      <c r="Q37" s="11">
        <v>20</v>
      </c>
      <c r="R37" s="11">
        <v>70.400000000000006</v>
      </c>
    </row>
    <row r="38" spans="1:18" x14ac:dyDescent="0.2">
      <c r="B38" t="s">
        <v>37</v>
      </c>
      <c r="D38">
        <v>0.34960000000000002</v>
      </c>
      <c r="E38" t="s">
        <v>38</v>
      </c>
      <c r="J38" s="6"/>
      <c r="N38" t="s">
        <v>1</v>
      </c>
      <c r="O38" s="9" t="s">
        <v>21</v>
      </c>
      <c r="P38" s="14" t="s">
        <v>10</v>
      </c>
      <c r="Q38" s="11">
        <v>20</v>
      </c>
      <c r="R38" s="11">
        <v>63.5</v>
      </c>
    </row>
    <row r="39" spans="1:18" hidden="1" x14ac:dyDescent="0.2">
      <c r="B39" t="s">
        <v>39</v>
      </c>
      <c r="D39">
        <v>0.2074</v>
      </c>
      <c r="E39" t="s">
        <v>38</v>
      </c>
      <c r="J39" s="6"/>
      <c r="N39" t="s">
        <v>1</v>
      </c>
      <c r="O39" s="9" t="s">
        <v>21</v>
      </c>
      <c r="P39" s="14" t="s">
        <v>11</v>
      </c>
      <c r="Q39" s="11">
        <v>20</v>
      </c>
      <c r="R39" s="11">
        <v>57.3</v>
      </c>
    </row>
    <row r="40" spans="1:18" x14ac:dyDescent="0.2">
      <c r="B40" t="s">
        <v>40</v>
      </c>
      <c r="D40">
        <v>9.3399999999999997E-2</v>
      </c>
      <c r="E40" t="s">
        <v>38</v>
      </c>
      <c r="J40" s="6"/>
      <c r="N40" t="s">
        <v>1</v>
      </c>
      <c r="O40" s="9" t="s">
        <v>21</v>
      </c>
      <c r="P40" s="14" t="s">
        <v>12</v>
      </c>
      <c r="Q40" s="11">
        <v>20</v>
      </c>
      <c r="R40" s="11">
        <v>52.1</v>
      </c>
    </row>
    <row r="41" spans="1:18" hidden="1" x14ac:dyDescent="0.2">
      <c r="B41" t="s">
        <v>41</v>
      </c>
      <c r="D41">
        <v>9.1200000000000003E-2</v>
      </c>
      <c r="E41" t="s">
        <v>38</v>
      </c>
      <c r="J41" s="6"/>
      <c r="N41" t="s">
        <v>1</v>
      </c>
      <c r="O41" s="9" t="s">
        <v>21</v>
      </c>
      <c r="P41" s="14" t="s">
        <v>13</v>
      </c>
      <c r="Q41" s="11">
        <v>20</v>
      </c>
      <c r="R41" s="11">
        <v>45.5</v>
      </c>
    </row>
    <row r="42" spans="1:18" x14ac:dyDescent="0.2">
      <c r="B42" t="s">
        <v>42</v>
      </c>
      <c r="D42">
        <v>9.8330000000000001E-2</v>
      </c>
      <c r="E42" t="s">
        <v>38</v>
      </c>
      <c r="J42" s="6"/>
      <c r="N42" t="s">
        <v>1</v>
      </c>
      <c r="O42" s="9" t="s">
        <v>21</v>
      </c>
      <c r="P42" s="14" t="s">
        <v>25</v>
      </c>
      <c r="Q42" s="11">
        <v>20</v>
      </c>
      <c r="R42" s="11">
        <v>37.6</v>
      </c>
    </row>
    <row r="43" spans="1:18" hidden="1" x14ac:dyDescent="0.2">
      <c r="B43" t="s">
        <v>43</v>
      </c>
      <c r="D43">
        <v>7.893E-2</v>
      </c>
      <c r="E43" t="s">
        <v>38</v>
      </c>
      <c r="J43" s="6"/>
      <c r="N43" t="s">
        <v>2</v>
      </c>
      <c r="O43" s="9" t="s">
        <v>22</v>
      </c>
      <c r="P43" s="14" t="s">
        <v>8</v>
      </c>
      <c r="Q43" s="11">
        <v>20</v>
      </c>
      <c r="R43" s="11">
        <v>86.4</v>
      </c>
    </row>
    <row r="44" spans="1:18" ht="17" x14ac:dyDescent="0.2">
      <c r="A44" s="2" t="s">
        <v>146</v>
      </c>
      <c r="B44" s="3" t="s">
        <v>44</v>
      </c>
      <c r="F44" t="s">
        <v>95</v>
      </c>
      <c r="H44" s="19" t="str">
        <f>D18</f>
        <v>bis 31.01.2024</v>
      </c>
      <c r="J44" s="6"/>
      <c r="N44" t="s">
        <v>2</v>
      </c>
      <c r="O44" s="9" t="s">
        <v>22</v>
      </c>
      <c r="P44" s="14" t="s">
        <v>9</v>
      </c>
      <c r="Q44" s="11">
        <v>20</v>
      </c>
      <c r="R44" s="11">
        <v>83.3</v>
      </c>
    </row>
    <row r="45" spans="1:18" x14ac:dyDescent="0.2">
      <c r="A45" s="2"/>
      <c r="B45" t="s">
        <v>94</v>
      </c>
      <c r="D45">
        <v>0.2</v>
      </c>
      <c r="E45" t="s">
        <v>81</v>
      </c>
      <c r="J45" s="6"/>
      <c r="N45" t="s">
        <v>2</v>
      </c>
      <c r="O45" s="9" t="s">
        <v>22</v>
      </c>
      <c r="P45" s="14" t="s">
        <v>10</v>
      </c>
      <c r="Q45" s="11">
        <v>20</v>
      </c>
      <c r="R45" s="11">
        <v>80.7</v>
      </c>
    </row>
    <row r="46" spans="1:18" x14ac:dyDescent="0.2">
      <c r="A46" s="2"/>
      <c r="B46" t="s">
        <v>102</v>
      </c>
      <c r="D46" s="20">
        <f>(IF(D107&lt;10,HLOOKUP(H44,D47:I51,3,0),0)+IF(AND(D107&lt;40,D107&gt;=10),HLOOKUP(H44,D47:I51,4,0),0)+IF(AND(D107&lt;=100,D107&gt;=40),HLOOKUP(H44,D47:I51,5,0),0))/100</f>
        <v>8.199999999999999E-2</v>
      </c>
      <c r="E46" t="s">
        <v>38</v>
      </c>
      <c r="J46" s="6"/>
      <c r="N46" t="s">
        <v>2</v>
      </c>
      <c r="O46" s="9" t="s">
        <v>22</v>
      </c>
      <c r="P46" s="14" t="s">
        <v>11</v>
      </c>
      <c r="Q46" s="11">
        <v>20</v>
      </c>
      <c r="R46" s="11">
        <v>77.5</v>
      </c>
    </row>
    <row r="47" spans="1:18" ht="17" x14ac:dyDescent="0.2">
      <c r="A47" s="2"/>
      <c r="D47" s="19" t="s">
        <v>179</v>
      </c>
      <c r="E47" s="19" t="s">
        <v>180</v>
      </c>
      <c r="F47" s="19" t="s">
        <v>181</v>
      </c>
      <c r="G47" s="19" t="s">
        <v>182</v>
      </c>
      <c r="H47" s="19" t="s">
        <v>183</v>
      </c>
      <c r="I47" s="19" t="s">
        <v>184</v>
      </c>
      <c r="J47" s="6"/>
      <c r="N47" t="s">
        <v>2</v>
      </c>
      <c r="O47" s="9" t="s">
        <v>22</v>
      </c>
      <c r="P47" s="14" t="s">
        <v>12</v>
      </c>
      <c r="Q47" s="11">
        <v>20</v>
      </c>
      <c r="R47" s="11">
        <v>73.599999999999994</v>
      </c>
    </row>
    <row r="48" spans="1:18" x14ac:dyDescent="0.2">
      <c r="A48" s="2"/>
      <c r="B48" t="s">
        <v>97</v>
      </c>
      <c r="C48" t="s">
        <v>101</v>
      </c>
      <c r="D48" t="s">
        <v>98</v>
      </c>
      <c r="E48" t="s">
        <v>98</v>
      </c>
      <c r="F48" t="s">
        <v>98</v>
      </c>
      <c r="G48" t="s">
        <v>98</v>
      </c>
      <c r="H48" t="s">
        <v>98</v>
      </c>
      <c r="I48" t="s">
        <v>98</v>
      </c>
      <c r="J48" s="6"/>
      <c r="N48" t="s">
        <v>2</v>
      </c>
      <c r="O48" s="9" t="s">
        <v>22</v>
      </c>
      <c r="P48" s="14" t="s">
        <v>13</v>
      </c>
      <c r="Q48" s="11">
        <v>20</v>
      </c>
      <c r="R48" s="11">
        <v>66.599999999999994</v>
      </c>
    </row>
    <row r="49" spans="1:18" x14ac:dyDescent="0.2">
      <c r="A49" s="2"/>
      <c r="B49" t="s">
        <v>96</v>
      </c>
      <c r="C49">
        <v>8.6</v>
      </c>
      <c r="D49">
        <v>8.1999999999999993</v>
      </c>
      <c r="E49" s="14">
        <f>C49*0.99-0.4</f>
        <v>8.113999999999999</v>
      </c>
      <c r="F49" s="14">
        <f>C49*0.99^2-0.4</f>
        <v>8.0288599999999999</v>
      </c>
      <c r="G49" s="14">
        <f>C49*0.99^3-0.4</f>
        <v>7.9445713999999992</v>
      </c>
      <c r="H49" s="14">
        <f>C49*0.99^4-0.4</f>
        <v>7.8611256859999994</v>
      </c>
      <c r="I49" s="14">
        <f>C49*0.99^5-0.4</f>
        <v>7.7785144291399977</v>
      </c>
      <c r="J49" s="6"/>
      <c r="N49" t="s">
        <v>2</v>
      </c>
      <c r="O49" s="9" t="s">
        <v>22</v>
      </c>
      <c r="P49" s="14" t="s">
        <v>25</v>
      </c>
      <c r="Q49" s="11">
        <v>20</v>
      </c>
      <c r="R49" s="11">
        <v>55.3</v>
      </c>
    </row>
    <row r="50" spans="1:18" x14ac:dyDescent="0.2">
      <c r="A50" s="2"/>
      <c r="B50" t="s">
        <v>99</v>
      </c>
      <c r="C50">
        <v>7.5</v>
      </c>
      <c r="D50">
        <v>7.1</v>
      </c>
      <c r="E50" s="14">
        <f t="shared" ref="E50:E51" si="0">C50*0.99-0.4</f>
        <v>7.0249999999999995</v>
      </c>
      <c r="F50" s="14">
        <f t="shared" ref="F50:F51" si="1">C50*0.99^2-0.4</f>
        <v>6.9507499999999993</v>
      </c>
      <c r="G50" s="14">
        <f t="shared" ref="G50:G51" si="2">C50*0.99^3-0.4</f>
        <v>6.8772424999999986</v>
      </c>
      <c r="H50" s="14">
        <f t="shared" ref="H50:H51" si="3">C50*0.99^4-0.4</f>
        <v>6.8044700749999993</v>
      </c>
      <c r="I50" s="14">
        <f t="shared" ref="I50:I51" si="4">C50*0.99^5-0.4</f>
        <v>6.7324253742499991</v>
      </c>
      <c r="J50" s="6"/>
      <c r="N50" t="s">
        <v>3</v>
      </c>
      <c r="O50" s="9" t="s">
        <v>23</v>
      </c>
      <c r="P50" s="14" t="s">
        <v>8</v>
      </c>
      <c r="Q50" s="11">
        <v>20</v>
      </c>
      <c r="R50" s="11">
        <v>89</v>
      </c>
    </row>
    <row r="51" spans="1:18" x14ac:dyDescent="0.2">
      <c r="A51" s="2"/>
      <c r="B51" t="s">
        <v>100</v>
      </c>
      <c r="C51">
        <v>6.2</v>
      </c>
      <c r="D51">
        <v>5.8</v>
      </c>
      <c r="E51" s="14">
        <f t="shared" si="0"/>
        <v>5.7379999999999995</v>
      </c>
      <c r="F51" s="14">
        <f t="shared" si="1"/>
        <v>5.6766199999999998</v>
      </c>
      <c r="G51" s="14">
        <f t="shared" si="2"/>
        <v>5.6158537999999991</v>
      </c>
      <c r="H51" s="14">
        <f t="shared" si="3"/>
        <v>5.5556952619999995</v>
      </c>
      <c r="I51" s="14">
        <f t="shared" si="4"/>
        <v>5.4961383093799991</v>
      </c>
      <c r="J51" s="6"/>
      <c r="N51" t="s">
        <v>3</v>
      </c>
      <c r="O51" s="9" t="s">
        <v>23</v>
      </c>
      <c r="P51" s="14" t="s">
        <v>9</v>
      </c>
      <c r="Q51" s="11">
        <v>20</v>
      </c>
      <c r="R51" s="11">
        <v>94.6</v>
      </c>
    </row>
    <row r="52" spans="1:18" x14ac:dyDescent="0.2">
      <c r="A52" s="2"/>
      <c r="B52" t="s">
        <v>103</v>
      </c>
      <c r="D52">
        <v>0.08</v>
      </c>
      <c r="E52" t="s">
        <v>38</v>
      </c>
      <c r="J52" s="6"/>
      <c r="N52" t="s">
        <v>3</v>
      </c>
      <c r="O52" s="9" t="s">
        <v>23</v>
      </c>
      <c r="P52" s="14" t="s">
        <v>10</v>
      </c>
      <c r="Q52" s="11">
        <v>20</v>
      </c>
      <c r="R52" s="11">
        <v>94.9</v>
      </c>
    </row>
    <row r="53" spans="1:18" x14ac:dyDescent="0.2">
      <c r="J53" s="6"/>
      <c r="N53" t="s">
        <v>3</v>
      </c>
      <c r="O53" s="9" t="s">
        <v>23</v>
      </c>
      <c r="P53" s="14" t="s">
        <v>11</v>
      </c>
      <c r="Q53" s="11">
        <v>20</v>
      </c>
      <c r="R53" s="11">
        <v>93.6</v>
      </c>
    </row>
    <row r="54" spans="1:18" x14ac:dyDescent="0.2">
      <c r="A54" s="2" t="s">
        <v>147</v>
      </c>
      <c r="B54" s="3" t="s">
        <v>104</v>
      </c>
      <c r="D54" s="21">
        <v>0.05</v>
      </c>
      <c r="J54" s="6"/>
      <c r="N54" t="s">
        <v>3</v>
      </c>
      <c r="O54" s="9" t="s">
        <v>23</v>
      </c>
      <c r="P54" s="14" t="s">
        <v>12</v>
      </c>
      <c r="Q54" s="11">
        <v>20</v>
      </c>
      <c r="R54" s="11">
        <v>90.4</v>
      </c>
    </row>
    <row r="55" spans="1:18" x14ac:dyDescent="0.2">
      <c r="J55" s="6"/>
      <c r="N55" t="s">
        <v>3</v>
      </c>
      <c r="O55" s="9" t="s">
        <v>23</v>
      </c>
      <c r="P55" s="14" t="s">
        <v>13</v>
      </c>
      <c r="Q55" s="11">
        <v>20</v>
      </c>
      <c r="R55" s="11">
        <v>82.8</v>
      </c>
    </row>
    <row r="56" spans="1:18" x14ac:dyDescent="0.2">
      <c r="J56" s="6"/>
      <c r="N56" t="s">
        <v>3</v>
      </c>
      <c r="O56" s="9" t="s">
        <v>23</v>
      </c>
      <c r="P56" s="14" t="s">
        <v>25</v>
      </c>
      <c r="Q56" s="11">
        <v>20</v>
      </c>
      <c r="R56" s="11">
        <v>68.099999999999994</v>
      </c>
    </row>
    <row r="57" spans="1:18" x14ac:dyDescent="0.2">
      <c r="J57" s="6"/>
      <c r="N57" t="s">
        <v>4</v>
      </c>
      <c r="O57" s="9" t="s">
        <v>24</v>
      </c>
      <c r="P57" s="14" t="s">
        <v>8</v>
      </c>
      <c r="Q57" s="11">
        <v>20</v>
      </c>
      <c r="R57" s="11">
        <v>90</v>
      </c>
    </row>
    <row r="58" spans="1:18" x14ac:dyDescent="0.2">
      <c r="J58" s="6"/>
      <c r="N58" t="s">
        <v>4</v>
      </c>
      <c r="O58" s="9" t="s">
        <v>24</v>
      </c>
      <c r="P58" s="14" t="s">
        <v>9</v>
      </c>
      <c r="Q58" s="11">
        <v>20</v>
      </c>
      <c r="R58" s="11">
        <v>98.7</v>
      </c>
    </row>
    <row r="59" spans="1:18" x14ac:dyDescent="0.2">
      <c r="J59" s="6"/>
      <c r="N59" t="s">
        <v>4</v>
      </c>
      <c r="O59" s="9" t="s">
        <v>24</v>
      </c>
      <c r="P59" s="14" t="s">
        <v>10</v>
      </c>
      <c r="Q59" s="11">
        <v>20</v>
      </c>
      <c r="R59" s="11">
        <v>100</v>
      </c>
    </row>
    <row r="60" spans="1:18" x14ac:dyDescent="0.2">
      <c r="A60" s="2" t="s">
        <v>148</v>
      </c>
      <c r="B60" s="3" t="s">
        <v>45</v>
      </c>
      <c r="D60" s="6"/>
      <c r="J60" s="6"/>
      <c r="N60" t="s">
        <v>4</v>
      </c>
      <c r="O60" s="9" t="s">
        <v>24</v>
      </c>
      <c r="P60" s="14" t="s">
        <v>11</v>
      </c>
      <c r="Q60" s="11">
        <v>20</v>
      </c>
      <c r="R60" s="11">
        <v>99</v>
      </c>
    </row>
    <row r="61" spans="1:18" x14ac:dyDescent="0.2">
      <c r="A61" s="1"/>
      <c r="D61" s="6"/>
      <c r="J61" s="6"/>
      <c r="N61" t="s">
        <v>4</v>
      </c>
      <c r="O61" s="9" t="s">
        <v>24</v>
      </c>
      <c r="P61" s="14" t="s">
        <v>12</v>
      </c>
      <c r="Q61" s="11">
        <v>20</v>
      </c>
      <c r="R61" s="11">
        <v>96</v>
      </c>
    </row>
    <row r="62" spans="1:18" x14ac:dyDescent="0.2">
      <c r="A62" s="2" t="s">
        <v>149</v>
      </c>
      <c r="B62" s="3" t="s">
        <v>46</v>
      </c>
      <c r="D62" s="6">
        <f>D63+D72+D82+D91</f>
        <v>11818.518518518518</v>
      </c>
      <c r="E62" t="s">
        <v>47</v>
      </c>
      <c r="F62" s="3" t="s">
        <v>48</v>
      </c>
      <c r="J62" s="6"/>
      <c r="N62" t="s">
        <v>4</v>
      </c>
      <c r="O62" s="9" t="s">
        <v>24</v>
      </c>
      <c r="P62" s="14" t="s">
        <v>13</v>
      </c>
      <c r="Q62" s="11">
        <v>20</v>
      </c>
      <c r="R62" s="11">
        <v>87.6</v>
      </c>
    </row>
    <row r="63" spans="1:18" x14ac:dyDescent="0.2">
      <c r="A63" s="2" t="s">
        <v>109</v>
      </c>
      <c r="B63" s="3" t="s">
        <v>14</v>
      </c>
      <c r="C63" t="s">
        <v>49</v>
      </c>
      <c r="D63" s="6">
        <f>IF(G63=0,0,D64+D68*G63+D69+D70+D71)</f>
        <v>0</v>
      </c>
      <c r="E63" t="s">
        <v>47</v>
      </c>
      <c r="F63" t="s">
        <v>50</v>
      </c>
      <c r="G63" s="22">
        <f>D7</f>
        <v>0</v>
      </c>
      <c r="H63" t="s">
        <v>51</v>
      </c>
      <c r="J63" s="6"/>
      <c r="N63" t="s">
        <v>4</v>
      </c>
      <c r="O63" s="9" t="s">
        <v>24</v>
      </c>
      <c r="P63" s="14" t="s">
        <v>25</v>
      </c>
      <c r="Q63" s="11">
        <v>20</v>
      </c>
      <c r="R63" s="11">
        <v>70.599999999999994</v>
      </c>
    </row>
    <row r="64" spans="1:18" x14ac:dyDescent="0.2">
      <c r="A64" s="1"/>
      <c r="B64" t="s">
        <v>52</v>
      </c>
      <c r="C64" s="1"/>
      <c r="D64" s="6">
        <f>IF(G63&gt;20,(D65+D66)*G63+D67,D65*G63+1600+D67)</f>
        <v>2216.6666666666665</v>
      </c>
      <c r="E64" t="s">
        <v>47</v>
      </c>
      <c r="F64" t="s">
        <v>16</v>
      </c>
      <c r="G64" s="22" t="str">
        <f t="shared" ref="G64:G65" si="5">D8</f>
        <v>Süd</v>
      </c>
      <c r="J64" s="6"/>
      <c r="N64" t="s">
        <v>5</v>
      </c>
      <c r="O64" s="9" t="s">
        <v>11</v>
      </c>
      <c r="P64" s="14" t="s">
        <v>8</v>
      </c>
      <c r="Q64" s="11">
        <v>20</v>
      </c>
      <c r="R64" s="11">
        <v>89</v>
      </c>
    </row>
    <row r="65" spans="1:18" x14ac:dyDescent="0.2">
      <c r="A65" s="1"/>
      <c r="C65" s="23" t="s">
        <v>53</v>
      </c>
      <c r="D65" s="6">
        <v>125</v>
      </c>
      <c r="E65" t="s">
        <v>54</v>
      </c>
      <c r="F65" t="s">
        <v>18</v>
      </c>
      <c r="G65" s="22" t="str">
        <f t="shared" si="5"/>
        <v>35°</v>
      </c>
      <c r="H65" t="s">
        <v>55</v>
      </c>
      <c r="J65" s="6"/>
      <c r="N65" t="s">
        <v>5</v>
      </c>
      <c r="O65" s="9" t="s">
        <v>11</v>
      </c>
      <c r="P65" s="14" t="s">
        <v>9</v>
      </c>
      <c r="Q65" s="11">
        <v>20</v>
      </c>
      <c r="R65" s="11">
        <v>94.6</v>
      </c>
    </row>
    <row r="66" spans="1:18" x14ac:dyDescent="0.2">
      <c r="A66" s="1"/>
      <c r="C66" s="23" t="s">
        <v>92</v>
      </c>
      <c r="D66" s="6">
        <v>80</v>
      </c>
      <c r="E66" t="s">
        <v>54</v>
      </c>
      <c r="J66" s="6"/>
      <c r="N66" t="s">
        <v>5</v>
      </c>
      <c r="O66" s="9" t="s">
        <v>11</v>
      </c>
      <c r="P66" s="14" t="s">
        <v>10</v>
      </c>
      <c r="Q66" s="11">
        <v>20</v>
      </c>
      <c r="R66" s="11">
        <v>94.9</v>
      </c>
    </row>
    <row r="67" spans="1:18" x14ac:dyDescent="0.2">
      <c r="A67" s="1"/>
      <c r="C67" s="23" t="s">
        <v>56</v>
      </c>
      <c r="D67" s="6">
        <f>IF($D$107&lt;=3,450, IF($D$107&lt;=6,'calculation-sheet'!$L$69,IF($D$107&lt;=9,'calculation-sheet'!$L$70, IF($D$107&lt;=15,'calculation-sheet'!$L$71,2000))))</f>
        <v>616.66666666666663</v>
      </c>
      <c r="E67" t="s">
        <v>47</v>
      </c>
      <c r="J67" t="s">
        <v>56</v>
      </c>
      <c r="N67" t="s">
        <v>5</v>
      </c>
      <c r="O67" s="9" t="s">
        <v>11</v>
      </c>
      <c r="P67" s="14" t="s">
        <v>11</v>
      </c>
      <c r="Q67" s="11">
        <v>20</v>
      </c>
      <c r="R67" s="11">
        <v>93.6</v>
      </c>
    </row>
    <row r="68" spans="1:18" x14ac:dyDescent="0.2">
      <c r="A68" s="1"/>
      <c r="B68" t="s">
        <v>115</v>
      </c>
      <c r="D68" s="6">
        <v>40</v>
      </c>
      <c r="E68" t="s">
        <v>54</v>
      </c>
      <c r="J68" t="s">
        <v>117</v>
      </c>
      <c r="L68">
        <v>450</v>
      </c>
      <c r="N68" t="s">
        <v>5</v>
      </c>
      <c r="O68" s="9" t="s">
        <v>11</v>
      </c>
      <c r="P68" s="14" t="s">
        <v>12</v>
      </c>
      <c r="Q68" s="11">
        <v>20</v>
      </c>
      <c r="R68" s="11">
        <v>90.4</v>
      </c>
    </row>
    <row r="69" spans="1:18" x14ac:dyDescent="0.2">
      <c r="A69" s="1"/>
      <c r="B69" t="s">
        <v>114</v>
      </c>
      <c r="D69" s="6">
        <v>2000</v>
      </c>
      <c r="E69" t="s">
        <v>47</v>
      </c>
      <c r="J69" t="s">
        <v>118</v>
      </c>
      <c r="L69">
        <f>500/3*'calculation-sheet'!D107-50</f>
        <v>616.66666666666663</v>
      </c>
      <c r="N69" t="s">
        <v>5</v>
      </c>
      <c r="O69" s="9" t="s">
        <v>11</v>
      </c>
      <c r="P69" s="14" t="s">
        <v>13</v>
      </c>
      <c r="Q69" s="11">
        <v>20</v>
      </c>
      <c r="R69" s="11">
        <v>82.8</v>
      </c>
    </row>
    <row r="70" spans="1:18" x14ac:dyDescent="0.2">
      <c r="A70" s="1"/>
      <c r="B70" t="s">
        <v>57</v>
      </c>
      <c r="D70" s="6">
        <v>0</v>
      </c>
      <c r="E70" t="s">
        <v>47</v>
      </c>
      <c r="J70" t="s">
        <v>119</v>
      </c>
      <c r="L70">
        <f>50/3*'calculation-sheet'!D107+850</f>
        <v>916.66666666666663</v>
      </c>
      <c r="N70" t="s">
        <v>5</v>
      </c>
      <c r="O70" s="9" t="s">
        <v>11</v>
      </c>
      <c r="P70" s="14" t="s">
        <v>25</v>
      </c>
      <c r="Q70" s="11">
        <v>20</v>
      </c>
      <c r="R70" s="11">
        <v>68.099999999999994</v>
      </c>
    </row>
    <row r="71" spans="1:18" x14ac:dyDescent="0.2">
      <c r="A71" s="1"/>
      <c r="B71" t="s">
        <v>58</v>
      </c>
      <c r="D71" s="6">
        <f>-IF(G112="Bestand",0,160*G63)</f>
        <v>0</v>
      </c>
      <c r="E71" t="s">
        <v>47</v>
      </c>
      <c r="J71" t="s">
        <v>120</v>
      </c>
      <c r="L71">
        <f>500/6*'calculation-sheet'!D107+250</f>
        <v>583.33333333333326</v>
      </c>
      <c r="N71" t="s">
        <v>6</v>
      </c>
      <c r="O71" s="9" t="s">
        <v>25</v>
      </c>
      <c r="P71" s="14" t="s">
        <v>8</v>
      </c>
      <c r="Q71" s="11">
        <v>20</v>
      </c>
      <c r="R71" s="11">
        <v>86.4</v>
      </c>
    </row>
    <row r="72" spans="1:18" x14ac:dyDescent="0.2">
      <c r="A72" s="2" t="s">
        <v>110</v>
      </c>
      <c r="B72" s="3" t="s">
        <v>15</v>
      </c>
      <c r="C72" t="s">
        <v>49</v>
      </c>
      <c r="D72" s="6">
        <f>IF(G72=0,0,D73+D78*G72+D79+D80+D81)</f>
        <v>11818.518518518518</v>
      </c>
      <c r="E72" t="s">
        <v>47</v>
      </c>
      <c r="F72" t="s">
        <v>50</v>
      </c>
      <c r="G72" s="22">
        <f>D10</f>
        <v>20</v>
      </c>
      <c r="H72" t="s">
        <v>51</v>
      </c>
      <c r="J72" t="s">
        <v>121</v>
      </c>
      <c r="L72">
        <v>2000</v>
      </c>
      <c r="N72" t="s">
        <v>6</v>
      </c>
      <c r="O72" s="9" t="s">
        <v>25</v>
      </c>
      <c r="P72" s="14" t="s">
        <v>9</v>
      </c>
      <c r="Q72" s="11">
        <v>20</v>
      </c>
      <c r="R72" s="11">
        <v>83.3</v>
      </c>
    </row>
    <row r="73" spans="1:18" x14ac:dyDescent="0.2">
      <c r="A73" s="1"/>
      <c r="B73" t="s">
        <v>52</v>
      </c>
      <c r="C73" s="1"/>
      <c r="D73" s="6">
        <f>(D74+D75)*G72+D76+D77</f>
        <v>10216.666666666666</v>
      </c>
      <c r="E73" t="s">
        <v>47</v>
      </c>
      <c r="F73" t="s">
        <v>16</v>
      </c>
      <c r="G73" s="22" t="str">
        <f t="shared" ref="G73:G74" si="6">D11</f>
        <v>Süd</v>
      </c>
      <c r="J73" s="6"/>
      <c r="N73" t="s">
        <v>6</v>
      </c>
      <c r="O73" s="9" t="s">
        <v>25</v>
      </c>
      <c r="P73" s="14" t="s">
        <v>10</v>
      </c>
      <c r="Q73" s="11">
        <v>20</v>
      </c>
      <c r="R73" s="11">
        <v>80.7</v>
      </c>
    </row>
    <row r="74" spans="1:18" x14ac:dyDescent="0.2">
      <c r="A74" s="1"/>
      <c r="C74" s="23" t="s">
        <v>53</v>
      </c>
      <c r="D74" s="6">
        <v>480</v>
      </c>
      <c r="E74" t="s">
        <v>54</v>
      </c>
      <c r="F74" t="s">
        <v>18</v>
      </c>
      <c r="G74" s="22" t="str">
        <f t="shared" si="6"/>
        <v>35°</v>
      </c>
      <c r="H74" t="s">
        <v>55</v>
      </c>
      <c r="J74" s="6"/>
      <c r="N74" t="s">
        <v>6</v>
      </c>
      <c r="O74" s="9" t="s">
        <v>25</v>
      </c>
      <c r="P74" s="14" t="s">
        <v>11</v>
      </c>
      <c r="Q74" s="11">
        <v>20</v>
      </c>
      <c r="R74" s="11">
        <v>77.5</v>
      </c>
    </row>
    <row r="75" spans="1:18" x14ac:dyDescent="0.2">
      <c r="A75" s="1"/>
      <c r="C75" s="23" t="s">
        <v>92</v>
      </c>
      <c r="D75" s="6">
        <v>0</v>
      </c>
      <c r="E75" t="s">
        <v>54</v>
      </c>
      <c r="J75" s="6"/>
      <c r="N75" t="s">
        <v>6</v>
      </c>
      <c r="O75" s="9" t="s">
        <v>25</v>
      </c>
      <c r="P75" s="14" t="s">
        <v>12</v>
      </c>
      <c r="Q75" s="11">
        <v>20</v>
      </c>
      <c r="R75" s="11">
        <v>73.599999999999994</v>
      </c>
    </row>
    <row r="76" spans="1:18" x14ac:dyDescent="0.2">
      <c r="A76" s="2"/>
      <c r="C76" s="23" t="s">
        <v>56</v>
      </c>
      <c r="D76" s="6">
        <f>IF($D$107&lt;=3,450, IF($D$107&lt;=6,'calculation-sheet'!$L$69,IF($D$107&lt;=9,'calculation-sheet'!$L$70, IF($D$107&lt;=15,'calculation-sheet'!$L$71,2000))))</f>
        <v>616.66666666666663</v>
      </c>
      <c r="E76" t="s">
        <v>47</v>
      </c>
      <c r="J76" s="6"/>
      <c r="N76" t="s">
        <v>6</v>
      </c>
      <c r="O76" s="9" t="s">
        <v>25</v>
      </c>
      <c r="P76" s="14" t="s">
        <v>13</v>
      </c>
      <c r="Q76" s="11">
        <v>20</v>
      </c>
      <c r="R76" s="11">
        <v>66.599999999999994</v>
      </c>
    </row>
    <row r="77" spans="1:18" x14ac:dyDescent="0.2">
      <c r="A77" s="2"/>
      <c r="C77" s="23" t="s">
        <v>113</v>
      </c>
      <c r="D77" s="6">
        <f>IF(G112="Bestand",11000, 0)</f>
        <v>0</v>
      </c>
      <c r="E77" t="s">
        <v>47</v>
      </c>
      <c r="J77" s="6"/>
      <c r="N77" t="s">
        <v>6</v>
      </c>
      <c r="O77" s="9" t="s">
        <v>25</v>
      </c>
      <c r="P77" s="14" t="s">
        <v>25</v>
      </c>
      <c r="Q77" s="11">
        <v>20</v>
      </c>
      <c r="R77" s="11">
        <v>55.3</v>
      </c>
    </row>
    <row r="78" spans="1:18" x14ac:dyDescent="0.2">
      <c r="A78" s="1"/>
      <c r="B78" t="s">
        <v>115</v>
      </c>
      <c r="D78" s="6">
        <v>65</v>
      </c>
      <c r="E78" t="s">
        <v>54</v>
      </c>
      <c r="J78" s="6"/>
      <c r="N78" t="s">
        <v>7</v>
      </c>
      <c r="O78" s="9" t="s">
        <v>26</v>
      </c>
      <c r="P78" s="14" t="s">
        <v>8</v>
      </c>
      <c r="Q78" s="11">
        <v>20</v>
      </c>
      <c r="R78" s="11">
        <v>83.9</v>
      </c>
    </row>
    <row r="79" spans="1:18" x14ac:dyDescent="0.2">
      <c r="A79" s="1"/>
      <c r="B79" t="s">
        <v>114</v>
      </c>
      <c r="D79" s="6">
        <f>2000+IF(G112="Bestand",3000,0)</f>
        <v>2000</v>
      </c>
      <c r="E79" t="s">
        <v>47</v>
      </c>
      <c r="J79" s="6"/>
      <c r="N79" t="s">
        <v>7</v>
      </c>
      <c r="O79" s="9" t="s">
        <v>26</v>
      </c>
      <c r="P79" s="14" t="s">
        <v>9</v>
      </c>
      <c r="Q79" s="11">
        <v>20</v>
      </c>
      <c r="R79" s="11">
        <v>70.400000000000006</v>
      </c>
    </row>
    <row r="80" spans="1:18" x14ac:dyDescent="0.2">
      <c r="A80" s="1"/>
      <c r="B80" t="s">
        <v>57</v>
      </c>
      <c r="D80" s="6">
        <f>(D73+D79+D78*G72)*10/90</f>
        <v>1501.8518518518517</v>
      </c>
      <c r="E80" t="s">
        <v>47</v>
      </c>
      <c r="J80" s="6"/>
      <c r="N80" t="s">
        <v>7</v>
      </c>
      <c r="O80" s="9" t="s">
        <v>26</v>
      </c>
      <c r="P80" s="14" t="s">
        <v>10</v>
      </c>
      <c r="Q80" s="11">
        <v>20</v>
      </c>
      <c r="R80" s="11">
        <v>63.5</v>
      </c>
    </row>
    <row r="81" spans="1:18" x14ac:dyDescent="0.2">
      <c r="A81" s="1"/>
      <c r="B81" t="s">
        <v>58</v>
      </c>
      <c r="D81" s="6">
        <f>-IF(G112="Bestand",0,160*G72)</f>
        <v>-3200</v>
      </c>
      <c r="E81" t="s">
        <v>47</v>
      </c>
      <c r="J81" s="6"/>
      <c r="N81" t="s">
        <v>7</v>
      </c>
      <c r="O81" s="9" t="s">
        <v>26</v>
      </c>
      <c r="P81" s="14" t="s">
        <v>11</v>
      </c>
      <c r="Q81" s="11">
        <v>20</v>
      </c>
      <c r="R81" s="11">
        <v>57.3</v>
      </c>
    </row>
    <row r="82" spans="1:18" x14ac:dyDescent="0.2">
      <c r="A82" s="2" t="s">
        <v>111</v>
      </c>
      <c r="B82" s="3" t="s">
        <v>14</v>
      </c>
      <c r="C82" t="s">
        <v>59</v>
      </c>
      <c r="D82" s="6">
        <f>IF(G82=0,0,D83+D87*G82+D88+D89+D90)</f>
        <v>0</v>
      </c>
      <c r="E82" t="s">
        <v>47</v>
      </c>
      <c r="F82" t="s">
        <v>50</v>
      </c>
      <c r="G82" s="22">
        <f>D13</f>
        <v>0</v>
      </c>
      <c r="H82" t="s">
        <v>51</v>
      </c>
      <c r="J82" s="6"/>
      <c r="N82" t="s">
        <v>7</v>
      </c>
      <c r="O82" s="9" t="s">
        <v>26</v>
      </c>
      <c r="P82" s="14" t="s">
        <v>12</v>
      </c>
      <c r="Q82" s="11">
        <v>20</v>
      </c>
      <c r="R82" s="11">
        <v>52.1</v>
      </c>
    </row>
    <row r="83" spans="1:18" x14ac:dyDescent="0.2">
      <c r="A83" s="1"/>
      <c r="B83" t="s">
        <v>52</v>
      </c>
      <c r="C83" s="1"/>
      <c r="D83" s="6">
        <f>IF(G82&gt;20,(D84+D85)*G82+D86,D84*G82 + 3200 + D86)</f>
        <v>3816.6666666666665</v>
      </c>
      <c r="E83" t="s">
        <v>47</v>
      </c>
      <c r="F83" t="s">
        <v>16</v>
      </c>
      <c r="G83" s="22" t="str">
        <f>D14</f>
        <v>Süd</v>
      </c>
      <c r="J83" s="6"/>
      <c r="N83" t="s">
        <v>7</v>
      </c>
      <c r="O83" s="9" t="s">
        <v>26</v>
      </c>
      <c r="P83" s="14" t="s">
        <v>13</v>
      </c>
      <c r="Q83" s="11">
        <v>20</v>
      </c>
      <c r="R83" s="11">
        <v>45.5</v>
      </c>
    </row>
    <row r="84" spans="1:18" x14ac:dyDescent="0.2">
      <c r="A84" s="1"/>
      <c r="C84" s="23" t="s">
        <v>53</v>
      </c>
      <c r="D84" s="6">
        <v>250</v>
      </c>
      <c r="E84" t="s">
        <v>54</v>
      </c>
      <c r="F84" t="s">
        <v>18</v>
      </c>
      <c r="G84" s="22" t="s">
        <v>25</v>
      </c>
      <c r="H84" t="s">
        <v>55</v>
      </c>
      <c r="J84" s="6"/>
      <c r="N84" t="s">
        <v>7</v>
      </c>
      <c r="O84" s="9" t="s">
        <v>26</v>
      </c>
      <c r="P84" s="14" t="s">
        <v>25</v>
      </c>
      <c r="Q84" s="11">
        <v>20</v>
      </c>
      <c r="R84" s="11">
        <v>37.6</v>
      </c>
    </row>
    <row r="85" spans="1:18" x14ac:dyDescent="0.2">
      <c r="A85" s="1"/>
      <c r="C85" s="23" t="s">
        <v>92</v>
      </c>
      <c r="D85" s="6">
        <v>160</v>
      </c>
      <c r="E85" t="s">
        <v>54</v>
      </c>
      <c r="J85" s="6"/>
    </row>
    <row r="86" spans="1:18" x14ac:dyDescent="0.2">
      <c r="A86" s="1"/>
      <c r="C86" s="23" t="s">
        <v>56</v>
      </c>
      <c r="D86" s="6">
        <f>IF($D$107&lt;=3,450, IF($D$107&lt;=6,'calculation-sheet'!$L$69,IF($D$107&lt;=9,'calculation-sheet'!$L$70, IF($D$107&lt;=15,'calculation-sheet'!$L$71,2000))))</f>
        <v>616.66666666666663</v>
      </c>
      <c r="E86" t="s">
        <v>47</v>
      </c>
      <c r="J86" s="6"/>
    </row>
    <row r="87" spans="1:18" x14ac:dyDescent="0.2">
      <c r="A87" s="1"/>
      <c r="B87" t="s">
        <v>115</v>
      </c>
      <c r="D87" s="6">
        <v>80</v>
      </c>
      <c r="E87" t="s">
        <v>54</v>
      </c>
      <c r="J87" s="6"/>
    </row>
    <row r="88" spans="1:18" x14ac:dyDescent="0.2">
      <c r="A88" s="1"/>
      <c r="B88" t="s">
        <v>114</v>
      </c>
      <c r="D88" s="6">
        <v>2000</v>
      </c>
      <c r="E88" t="s">
        <v>47</v>
      </c>
      <c r="J88" s="6"/>
    </row>
    <row r="89" spans="1:18" x14ac:dyDescent="0.2">
      <c r="A89" s="1"/>
      <c r="B89" t="s">
        <v>57</v>
      </c>
      <c r="D89" s="6">
        <v>0</v>
      </c>
      <c r="E89" t="s">
        <v>47</v>
      </c>
      <c r="J89" s="6"/>
    </row>
    <row r="90" spans="1:18" x14ac:dyDescent="0.2">
      <c r="A90" s="1"/>
      <c r="B90" t="s">
        <v>58</v>
      </c>
      <c r="D90" s="6">
        <f>-IF(G112="Bestand",0,190*G82)</f>
        <v>0</v>
      </c>
      <c r="E90" t="s">
        <v>47</v>
      </c>
      <c r="J90" s="6"/>
    </row>
    <row r="91" spans="1:18" x14ac:dyDescent="0.2">
      <c r="A91" s="2" t="s">
        <v>112</v>
      </c>
      <c r="B91" s="3" t="s">
        <v>15</v>
      </c>
      <c r="C91" t="s">
        <v>59</v>
      </c>
      <c r="D91" s="6">
        <f>IF(G91=0,0,D92+D97*G91+D98+D99+D100)</f>
        <v>0</v>
      </c>
      <c r="E91" t="s">
        <v>47</v>
      </c>
      <c r="F91" t="s">
        <v>50</v>
      </c>
      <c r="G91" s="22">
        <f>D15</f>
        <v>0</v>
      </c>
      <c r="H91" t="s">
        <v>51</v>
      </c>
      <c r="J91" s="6"/>
    </row>
    <row r="92" spans="1:18" x14ac:dyDescent="0.2">
      <c r="A92" s="1"/>
      <c r="B92" t="s">
        <v>52</v>
      </c>
      <c r="C92" s="1"/>
      <c r="D92" s="6">
        <f>(D93+D94)*G91+D95+D96</f>
        <v>616.66666666666663</v>
      </c>
      <c r="E92" t="s">
        <v>47</v>
      </c>
      <c r="F92" t="s">
        <v>16</v>
      </c>
      <c r="G92" s="22" t="str">
        <f>D16</f>
        <v>Süd</v>
      </c>
      <c r="J92" s="6"/>
    </row>
    <row r="93" spans="1:18" x14ac:dyDescent="0.2">
      <c r="A93" s="1"/>
      <c r="C93" s="23" t="s">
        <v>53</v>
      </c>
      <c r="D93" s="6">
        <v>750</v>
      </c>
      <c r="E93" t="s">
        <v>54</v>
      </c>
      <c r="F93" t="s">
        <v>18</v>
      </c>
      <c r="G93" s="22" t="s">
        <v>25</v>
      </c>
      <c r="H93" t="s">
        <v>55</v>
      </c>
      <c r="J93" s="6"/>
    </row>
    <row r="94" spans="1:18" x14ac:dyDescent="0.2">
      <c r="A94" s="1"/>
      <c r="C94" s="23" t="s">
        <v>92</v>
      </c>
      <c r="D94" s="6">
        <v>0</v>
      </c>
      <c r="E94" t="s">
        <v>54</v>
      </c>
      <c r="J94" s="6"/>
    </row>
    <row r="95" spans="1:18" x14ac:dyDescent="0.2">
      <c r="A95" s="2"/>
      <c r="C95" s="23" t="s">
        <v>56</v>
      </c>
      <c r="D95" s="6">
        <f>IF($D$107&lt;=3,450, IF($D$107&lt;=6,'calculation-sheet'!$L$69,IF($D$107&lt;=9,'calculation-sheet'!$L$70, IF($D$107&lt;=15,'calculation-sheet'!$L$71,2000))))</f>
        <v>616.66666666666663</v>
      </c>
      <c r="E95" t="s">
        <v>47</v>
      </c>
      <c r="J95" s="6"/>
    </row>
    <row r="96" spans="1:18" x14ac:dyDescent="0.2">
      <c r="A96" s="2"/>
      <c r="C96" s="23" t="s">
        <v>113</v>
      </c>
      <c r="D96" s="6">
        <f>IF(G112="Bestand",11000, 0)</f>
        <v>0</v>
      </c>
      <c r="E96" t="s">
        <v>47</v>
      </c>
      <c r="J96" s="6"/>
    </row>
    <row r="97" spans="1:10" x14ac:dyDescent="0.2">
      <c r="A97" s="1"/>
      <c r="B97" t="s">
        <v>115</v>
      </c>
      <c r="D97" s="6">
        <v>130</v>
      </c>
      <c r="E97" t="s">
        <v>54</v>
      </c>
      <c r="J97" s="6"/>
    </row>
    <row r="98" spans="1:10" x14ac:dyDescent="0.2">
      <c r="A98" s="1"/>
      <c r="B98" t="s">
        <v>114</v>
      </c>
      <c r="D98" s="6">
        <f>2000+IF(G112="Bestand",3000,0)</f>
        <v>2000</v>
      </c>
      <c r="E98" t="s">
        <v>47</v>
      </c>
      <c r="J98" s="6"/>
    </row>
    <row r="99" spans="1:10" x14ac:dyDescent="0.2">
      <c r="A99" s="1"/>
      <c r="B99" t="s">
        <v>57</v>
      </c>
      <c r="D99" s="6">
        <f>(D92+D98+D97*G91)*10/90</f>
        <v>290.7407407407407</v>
      </c>
      <c r="E99" t="s">
        <v>47</v>
      </c>
      <c r="J99" s="6"/>
    </row>
    <row r="100" spans="1:10" x14ac:dyDescent="0.2">
      <c r="A100" s="1"/>
      <c r="B100" t="s">
        <v>58</v>
      </c>
      <c r="D100" s="6">
        <f>-IF(G112="Bestand",0,190*G91)</f>
        <v>0</v>
      </c>
      <c r="E100" t="s">
        <v>47</v>
      </c>
      <c r="J100" s="6"/>
    </row>
    <row r="101" spans="1:10" x14ac:dyDescent="0.2">
      <c r="A101" s="1"/>
      <c r="D101" s="6"/>
      <c r="J101" s="6"/>
    </row>
    <row r="102" spans="1:10" x14ac:dyDescent="0.2">
      <c r="A102" s="1"/>
      <c r="D102" s="6"/>
      <c r="J102" s="6"/>
    </row>
    <row r="103" spans="1:10" x14ac:dyDescent="0.2">
      <c r="A103" s="1"/>
      <c r="D103" s="6"/>
      <c r="J103" s="6"/>
    </row>
    <row r="104" spans="1:10" x14ac:dyDescent="0.2">
      <c r="A104" s="2" t="s">
        <v>150</v>
      </c>
      <c r="B104" s="3" t="s">
        <v>60</v>
      </c>
      <c r="D104" s="6"/>
      <c r="J104" s="6"/>
    </row>
    <row r="105" spans="1:10" x14ac:dyDescent="0.2">
      <c r="A105" s="2" t="s">
        <v>151</v>
      </c>
      <c r="B105" s="3" t="s">
        <v>61</v>
      </c>
      <c r="D105" s="6"/>
      <c r="J105" s="6"/>
    </row>
    <row r="106" spans="1:10" x14ac:dyDescent="0.2">
      <c r="A106" s="1"/>
      <c r="B106" t="s">
        <v>62</v>
      </c>
      <c r="C106" t="s">
        <v>63</v>
      </c>
      <c r="D106" s="15">
        <f>G63+G72+G82+G91</f>
        <v>20</v>
      </c>
      <c r="E106" t="s">
        <v>51</v>
      </c>
      <c r="J106" s="6"/>
    </row>
    <row r="107" spans="1:10" x14ac:dyDescent="0.2">
      <c r="A107" s="1"/>
      <c r="D107" s="15">
        <f>D106*D45</f>
        <v>4</v>
      </c>
      <c r="E107" t="s">
        <v>93</v>
      </c>
      <c r="J107" s="6"/>
    </row>
    <row r="108" spans="1:10" x14ac:dyDescent="0.2">
      <c r="A108" s="1"/>
      <c r="D108" s="6"/>
      <c r="J108" s="6"/>
    </row>
    <row r="109" spans="1:10" x14ac:dyDescent="0.2">
      <c r="A109" s="2" t="s">
        <v>152</v>
      </c>
      <c r="B109" s="3" t="s">
        <v>105</v>
      </c>
      <c r="D109" s="6"/>
      <c r="J109" s="6"/>
    </row>
    <row r="110" spans="1:10" x14ac:dyDescent="0.2">
      <c r="A110" s="7"/>
      <c r="F110" t="s">
        <v>64</v>
      </c>
      <c r="G110">
        <f>D3</f>
        <v>1</v>
      </c>
      <c r="J110" s="6"/>
    </row>
    <row r="111" spans="1:10" x14ac:dyDescent="0.2">
      <c r="A111" s="7"/>
      <c r="F111" t="s">
        <v>65</v>
      </c>
      <c r="G111">
        <f>D4</f>
        <v>2</v>
      </c>
      <c r="H111" t="s">
        <v>66</v>
      </c>
      <c r="J111" s="6"/>
    </row>
    <row r="112" spans="1:10" x14ac:dyDescent="0.2">
      <c r="A112" s="7"/>
      <c r="F112" t="s">
        <v>85</v>
      </c>
      <c r="G112" t="str">
        <f>D2</f>
        <v>Neubau</v>
      </c>
      <c r="H112" t="s">
        <v>106</v>
      </c>
      <c r="J112" s="6"/>
    </row>
    <row r="113" spans="1:10" x14ac:dyDescent="0.2">
      <c r="A113" s="7"/>
      <c r="D113" s="24"/>
      <c r="F113" t="s">
        <v>84</v>
      </c>
      <c r="G113">
        <f>D5</f>
        <v>200</v>
      </c>
      <c r="H113" t="s">
        <v>51</v>
      </c>
      <c r="J113" s="6"/>
    </row>
    <row r="114" spans="1:10" x14ac:dyDescent="0.2">
      <c r="A114" s="7"/>
      <c r="J114" s="6"/>
    </row>
    <row r="115" spans="1:10" x14ac:dyDescent="0.2">
      <c r="A115" s="7"/>
      <c r="G115"/>
      <c r="J115" s="6"/>
    </row>
    <row r="116" spans="1:10" x14ac:dyDescent="0.2">
      <c r="A116" s="7"/>
      <c r="J116" s="6"/>
    </row>
    <row r="117" spans="1:10" x14ac:dyDescent="0.2">
      <c r="A117" s="7"/>
      <c r="G117"/>
      <c r="J117" s="6"/>
    </row>
    <row r="118" spans="1:10" x14ac:dyDescent="0.2">
      <c r="A118" s="7"/>
      <c r="D118" s="21"/>
      <c r="F118" t="s">
        <v>128</v>
      </c>
      <c r="G118"/>
      <c r="H118" t="str">
        <f>D17</f>
        <v>nein</v>
      </c>
      <c r="J118" s="6"/>
    </row>
    <row r="119" spans="1:10" x14ac:dyDescent="0.2">
      <c r="G119"/>
      <c r="J119" s="6"/>
    </row>
    <row r="120" spans="1:10" x14ac:dyDescent="0.2">
      <c r="D120" s="21"/>
      <c r="G120"/>
      <c r="J120" s="6"/>
    </row>
    <row r="121" spans="1:10" x14ac:dyDescent="0.2">
      <c r="G121"/>
      <c r="J121" s="6"/>
    </row>
    <row r="122" spans="1:10" x14ac:dyDescent="0.2">
      <c r="B122" t="s">
        <v>129</v>
      </c>
      <c r="D122" s="16">
        <f>IF(D107&lt;15,5000,13000)</f>
        <v>5000</v>
      </c>
      <c r="G122"/>
      <c r="J122" s="6"/>
    </row>
    <row r="123" spans="1:10" x14ac:dyDescent="0.2">
      <c r="J123" s="6"/>
    </row>
    <row r="124" spans="1:10" x14ac:dyDescent="0.2">
      <c r="J124" s="6"/>
    </row>
    <row r="125" spans="1:10" x14ac:dyDescent="0.2">
      <c r="A125" s="1" t="s">
        <v>157</v>
      </c>
      <c r="B125" t="s">
        <v>133</v>
      </c>
      <c r="F125" t="s">
        <v>134</v>
      </c>
      <c r="H125" t="str">
        <f>D19</f>
        <v>nein</v>
      </c>
      <c r="J125" s="6"/>
    </row>
    <row r="126" spans="1:10" x14ac:dyDescent="0.2">
      <c r="B126" t="s">
        <v>136</v>
      </c>
      <c r="D126" t="str">
        <f>IF(AND(H118="ja",H125="ja",H126="ja"),"erfüllt","keine Förderung")</f>
        <v>keine Förderung</v>
      </c>
      <c r="F126" t="s">
        <v>135</v>
      </c>
      <c r="H126" t="str">
        <f>D20</f>
        <v>nein</v>
      </c>
      <c r="J126" s="6"/>
    </row>
    <row r="127" spans="1:10" x14ac:dyDescent="0.2">
      <c r="J127" s="6"/>
    </row>
    <row r="128" spans="1:10" x14ac:dyDescent="0.2">
      <c r="B128" t="s">
        <v>137</v>
      </c>
      <c r="D128" s="16">
        <f>-(600+IF(D107&gt;10,6000,600*D107)+IF(D107&gt;15,3000,250*8))</f>
        <v>-5000</v>
      </c>
      <c r="J128" s="6"/>
    </row>
    <row r="129" spans="1:13" x14ac:dyDescent="0.2">
      <c r="J129" s="6"/>
    </row>
    <row r="130" spans="1:13" x14ac:dyDescent="0.2">
      <c r="B130" t="s">
        <v>138</v>
      </c>
      <c r="D130" s="16">
        <v>2000</v>
      </c>
      <c r="J130" s="6"/>
    </row>
    <row r="131" spans="1:13" x14ac:dyDescent="0.2">
      <c r="J131" s="6"/>
    </row>
    <row r="132" spans="1:13" x14ac:dyDescent="0.2">
      <c r="J132" s="6"/>
    </row>
    <row r="133" spans="1:13" x14ac:dyDescent="0.2">
      <c r="A133" s="2" t="s">
        <v>153</v>
      </c>
      <c r="B133" s="3" t="s">
        <v>67</v>
      </c>
      <c r="G133"/>
      <c r="J133"/>
      <c r="M133"/>
    </row>
    <row r="134" spans="1:13" x14ac:dyDescent="0.2">
      <c r="A134" s="2"/>
      <c r="G134"/>
      <c r="J134"/>
      <c r="M134"/>
    </row>
    <row r="135" spans="1:13" x14ac:dyDescent="0.2">
      <c r="A135" s="2" t="s">
        <v>154</v>
      </c>
      <c r="B135" s="3" t="s">
        <v>68</v>
      </c>
      <c r="G135"/>
      <c r="J135"/>
      <c r="M135"/>
    </row>
    <row r="136" spans="1:13" x14ac:dyDescent="0.2">
      <c r="A136" s="2"/>
      <c r="B136" t="s">
        <v>82</v>
      </c>
      <c r="G136"/>
      <c r="J136"/>
      <c r="M136"/>
    </row>
    <row r="137" spans="1:13" x14ac:dyDescent="0.2">
      <c r="A137" s="2"/>
      <c r="B137" t="s">
        <v>83</v>
      </c>
      <c r="G137"/>
      <c r="J137"/>
      <c r="M137"/>
    </row>
    <row r="138" spans="1:13" x14ac:dyDescent="0.2">
      <c r="A138" s="2"/>
      <c r="B138" s="3"/>
      <c r="G138"/>
      <c r="J138"/>
      <c r="M138"/>
    </row>
    <row r="139" spans="1:13" x14ac:dyDescent="0.2">
      <c r="A139" s="2"/>
      <c r="B139" t="s">
        <v>69</v>
      </c>
      <c r="G139"/>
      <c r="J139"/>
      <c r="M139"/>
    </row>
    <row r="140" spans="1:13" x14ac:dyDescent="0.2">
      <c r="A140" s="2"/>
      <c r="G140"/>
      <c r="J140"/>
      <c r="M140"/>
    </row>
    <row r="141" spans="1:13" x14ac:dyDescent="0.2">
      <c r="A141" s="2"/>
      <c r="B141" t="s">
        <v>122</v>
      </c>
      <c r="E141" s="24" cm="1">
        <f t="array" ref="E141">VLOOKUP(G64&amp;G65,CHOOSE({1,2},N28:N84&amp;P28:P84,R28:R84),2,0)/100*200*G63+VLOOKUP(G83&amp;G84,CHOOSE({1,2},N28:N84&amp;P28:P84,R28:R84),2,0)/100*200*G82</f>
        <v>0</v>
      </c>
      <c r="F141" t="s">
        <v>70</v>
      </c>
      <c r="G141"/>
      <c r="J141"/>
      <c r="M141"/>
    </row>
    <row r="142" spans="1:13" x14ac:dyDescent="0.2">
      <c r="A142" s="2"/>
      <c r="B142" t="s">
        <v>123</v>
      </c>
      <c r="E142" s="24">
        <f>E143+E144</f>
        <v>18200</v>
      </c>
      <c r="F142" t="s">
        <v>70</v>
      </c>
      <c r="G142"/>
      <c r="J142"/>
      <c r="M142"/>
    </row>
    <row r="143" spans="1:13" x14ac:dyDescent="0.2">
      <c r="A143" s="2"/>
      <c r="C143" t="s">
        <v>71</v>
      </c>
      <c r="E143" s="24" cm="1">
        <f t="array" ref="E143">VLOOKUP(G73&amp;G74,CHOOSE({1,2},N28:N84&amp;P28:P84,R28:R84),2,0)/100*G72*710+VLOOKUP(G92&amp;G93,CHOOSE({1,2},N28:N84&amp;P28:P84,R28:R84),2,0)/100*G91*710</f>
        <v>14200</v>
      </c>
      <c r="F143" t="s">
        <v>70</v>
      </c>
      <c r="G143"/>
      <c r="J143"/>
      <c r="M143"/>
    </row>
    <row r="144" spans="1:13" x14ac:dyDescent="0.2">
      <c r="A144" s="2"/>
      <c r="C144" t="s">
        <v>72</v>
      </c>
      <c r="E144" s="24" cm="1">
        <f t="array" ref="E144">VLOOKUP(G73&amp;G74,CHOOSE({1,2},N28:N84&amp;P28:P84,R28:R84),2,0)/100*200*G72+VLOOKUP(G92&amp;G93,CHOOSE({1,2},N28:N84&amp;P28:P84,R28:R84),2,0)/100*200*G91</f>
        <v>4000</v>
      </c>
      <c r="F144" t="s">
        <v>70</v>
      </c>
      <c r="G144"/>
      <c r="J144"/>
      <c r="M144"/>
    </row>
    <row r="145" spans="1:13" x14ac:dyDescent="0.2">
      <c r="A145" s="2"/>
      <c r="G145"/>
      <c r="J145"/>
      <c r="M145"/>
    </row>
    <row r="146" spans="1:13" x14ac:dyDescent="0.2">
      <c r="A146" s="2"/>
      <c r="G146"/>
      <c r="J146"/>
      <c r="M146"/>
    </row>
    <row r="147" spans="1:13" x14ac:dyDescent="0.2">
      <c r="A147" s="2"/>
      <c r="G147"/>
      <c r="J147"/>
      <c r="M147"/>
    </row>
    <row r="148" spans="1:13" x14ac:dyDescent="0.2">
      <c r="A148" s="2"/>
      <c r="G148"/>
      <c r="J148"/>
      <c r="M148"/>
    </row>
    <row r="149" spans="1:13" x14ac:dyDescent="0.2">
      <c r="A149" s="2"/>
      <c r="G149"/>
      <c r="J149"/>
      <c r="M149"/>
    </row>
    <row r="150" spans="1:13" x14ac:dyDescent="0.2">
      <c r="A150" s="2" t="s">
        <v>155</v>
      </c>
      <c r="B150" s="3" t="s">
        <v>73</v>
      </c>
      <c r="G150"/>
      <c r="J150"/>
      <c r="M150"/>
    </row>
    <row r="151" spans="1:13" x14ac:dyDescent="0.2">
      <c r="A151" s="2"/>
      <c r="G151"/>
      <c r="J151"/>
      <c r="M151"/>
    </row>
    <row r="152" spans="1:13" x14ac:dyDescent="0.2">
      <c r="A152" s="2"/>
      <c r="B152" t="s">
        <v>126</v>
      </c>
      <c r="E152" s="13">
        <f>E153+E154</f>
        <v>14040</v>
      </c>
      <c r="F152" t="s">
        <v>70</v>
      </c>
      <c r="G152"/>
      <c r="J152"/>
      <c r="M152"/>
    </row>
    <row r="153" spans="1:13" x14ac:dyDescent="0.2">
      <c r="A153" s="2"/>
      <c r="B153" s="25" t="s">
        <v>139</v>
      </c>
      <c r="E153" s="13">
        <f>IF(G110&gt;2,G110*3000,IF(G111=1,2350,0)+IF(G111=2,4040,0)+IF(G111=3,4950,0)+IF(G111=4,6000,0)+IF(G111=5,7000,0)+IF(G111=6,8100,0))</f>
        <v>4040</v>
      </c>
      <c r="F153" t="s">
        <v>70</v>
      </c>
      <c r="G153"/>
      <c r="J153"/>
      <c r="M153"/>
    </row>
    <row r="154" spans="1:13" x14ac:dyDescent="0.2">
      <c r="A154" s="2"/>
      <c r="B154" s="25" t="s">
        <v>140</v>
      </c>
      <c r="E154" s="13">
        <f>IF(G110&gt;2,G110*1000,G111*500)+IF(G112="Neubau",G113*45,0)+IF(G112="Bestand",G113*100,0)</f>
        <v>10000</v>
      </c>
      <c r="F154" t="s">
        <v>70</v>
      </c>
      <c r="G154"/>
      <c r="J154"/>
      <c r="M154"/>
    </row>
    <row r="155" spans="1:13" x14ac:dyDescent="0.2">
      <c r="A155" s="2"/>
      <c r="E155" s="13"/>
      <c r="G155"/>
      <c r="J155"/>
      <c r="M155"/>
    </row>
    <row r="156" spans="1:13" x14ac:dyDescent="0.2">
      <c r="A156" s="2"/>
      <c r="G156"/>
      <c r="J156"/>
      <c r="M156"/>
    </row>
    <row r="157" spans="1:13" x14ac:dyDescent="0.2">
      <c r="A157" s="2"/>
      <c r="B157" t="s">
        <v>86</v>
      </c>
      <c r="E157" s="21">
        <f>IF(H118="ja", 60%,30%)</f>
        <v>0.3</v>
      </c>
      <c r="G157"/>
      <c r="J157"/>
      <c r="M157"/>
    </row>
    <row r="158" spans="1:13" x14ac:dyDescent="0.2">
      <c r="A158" s="2"/>
      <c r="B158" t="s">
        <v>87</v>
      </c>
      <c r="E158" s="24">
        <f>IF((E141+E144)*E157&gt;E153,E153,E141*E157+E144*E157)</f>
        <v>1200</v>
      </c>
      <c r="F158" t="s">
        <v>70</v>
      </c>
      <c r="G158"/>
      <c r="J158"/>
      <c r="M158"/>
    </row>
    <row r="159" spans="1:13" x14ac:dyDescent="0.2">
      <c r="A159" s="2"/>
      <c r="B159" t="s">
        <v>88</v>
      </c>
      <c r="E159" s="24">
        <f>E141+E144-E158</f>
        <v>2800</v>
      </c>
      <c r="F159" t="s">
        <v>70</v>
      </c>
      <c r="G159"/>
      <c r="J159"/>
      <c r="M159"/>
    </row>
    <row r="160" spans="1:13" x14ac:dyDescent="0.2">
      <c r="A160" s="2"/>
      <c r="B160" t="s">
        <v>124</v>
      </c>
      <c r="E160" s="24">
        <f>IF(E143&lt;E154*0.6,E143,E154*0.6)</f>
        <v>6000</v>
      </c>
      <c r="F160" t="s">
        <v>70</v>
      </c>
      <c r="G160"/>
      <c r="J160"/>
      <c r="M160"/>
    </row>
    <row r="161" spans="1:13" x14ac:dyDescent="0.2">
      <c r="A161" s="2"/>
      <c r="G161"/>
      <c r="J161"/>
      <c r="M161"/>
    </row>
    <row r="162" spans="1:13" x14ac:dyDescent="0.2">
      <c r="A162" s="2"/>
      <c r="G162"/>
      <c r="J162"/>
      <c r="M162"/>
    </row>
    <row r="163" spans="1:13" x14ac:dyDescent="0.2">
      <c r="A163" s="5" t="s">
        <v>156</v>
      </c>
      <c r="B163" s="3" t="s">
        <v>74</v>
      </c>
      <c r="G163"/>
      <c r="J163"/>
      <c r="M163"/>
    </row>
    <row r="164" spans="1:13" x14ac:dyDescent="0.2">
      <c r="A164" s="2"/>
      <c r="G164"/>
      <c r="J164"/>
      <c r="M164"/>
    </row>
    <row r="165" spans="1:13" x14ac:dyDescent="0.2">
      <c r="B165" t="s">
        <v>107</v>
      </c>
      <c r="E165" s="26">
        <f>E159*D46</f>
        <v>229.59999999999997</v>
      </c>
      <c r="G165"/>
      <c r="H165" s="7"/>
      <c r="J165"/>
      <c r="M165"/>
    </row>
    <row r="166" spans="1:13" x14ac:dyDescent="0.2">
      <c r="B166" t="s">
        <v>108</v>
      </c>
      <c r="E166" s="26">
        <f>E159*D52</f>
        <v>224</v>
      </c>
      <c r="G166"/>
      <c r="J166"/>
      <c r="M166"/>
    </row>
    <row r="167" spans="1:13" x14ac:dyDescent="0.2">
      <c r="B167" t="s">
        <v>91</v>
      </c>
      <c r="E167" s="26">
        <f>E158*D38</f>
        <v>419.52000000000004</v>
      </c>
      <c r="G167"/>
      <c r="J167"/>
      <c r="M167"/>
    </row>
    <row r="168" spans="1:13" x14ac:dyDescent="0.2">
      <c r="B168" t="s">
        <v>116</v>
      </c>
      <c r="E168" s="26">
        <f>IF(H30="Heizöl",E160*D42,E160*D40)</f>
        <v>560.4</v>
      </c>
      <c r="G168"/>
      <c r="J168"/>
      <c r="M168"/>
    </row>
    <row r="169" spans="1:13" x14ac:dyDescent="0.2">
      <c r="B169" t="s">
        <v>127</v>
      </c>
      <c r="E169" s="16">
        <v>100</v>
      </c>
      <c r="G169"/>
      <c r="J169"/>
      <c r="M169"/>
    </row>
    <row r="170" spans="1:13" x14ac:dyDescent="0.2">
      <c r="B170" t="s">
        <v>130</v>
      </c>
      <c r="E170" s="16">
        <f>2*D106</f>
        <v>40</v>
      </c>
      <c r="G170"/>
      <c r="J170"/>
      <c r="M170"/>
    </row>
    <row r="171" spans="1:13" x14ac:dyDescent="0.2">
      <c r="B171" t="s">
        <v>131</v>
      </c>
      <c r="E171" s="16">
        <v>200</v>
      </c>
      <c r="G171"/>
      <c r="J171"/>
      <c r="M171"/>
    </row>
    <row r="172" spans="1:13" x14ac:dyDescent="0.2">
      <c r="B172" t="s">
        <v>132</v>
      </c>
      <c r="E172" s="17">
        <f>D92</f>
        <v>616.66666666666663</v>
      </c>
      <c r="G172"/>
      <c r="J172"/>
      <c r="M172"/>
    </row>
    <row r="173" spans="1:13" x14ac:dyDescent="0.2">
      <c r="G173"/>
      <c r="J173"/>
      <c r="M173"/>
    </row>
    <row r="174" spans="1:13" x14ac:dyDescent="0.2">
      <c r="G174"/>
      <c r="J174"/>
      <c r="M174"/>
    </row>
    <row r="175" spans="1:13" ht="34" x14ac:dyDescent="0.2">
      <c r="A175" s="3" t="s">
        <v>75</v>
      </c>
      <c r="B175" s="18" t="s">
        <v>89</v>
      </c>
      <c r="C175" s="18" t="s">
        <v>90</v>
      </c>
      <c r="D175" s="3" t="s">
        <v>76</v>
      </c>
      <c r="E175" s="3" t="s">
        <v>77</v>
      </c>
      <c r="F175" s="18" t="s">
        <v>78</v>
      </c>
      <c r="G175" s="18" t="s">
        <v>79</v>
      </c>
      <c r="J175"/>
      <c r="M175"/>
    </row>
    <row r="176" spans="1:13" x14ac:dyDescent="0.2">
      <c r="A176">
        <v>0</v>
      </c>
      <c r="B176" s="27">
        <v>0</v>
      </c>
      <c r="C176" s="27">
        <f>D62+IF(H118="ja",D122,0)+IF(D126="ja",D128+D130,0)</f>
        <v>11818.518518518518</v>
      </c>
      <c r="D176" s="27">
        <f t="shared" ref="D176:D206" si="7">B176-C176</f>
        <v>-11818.518518518518</v>
      </c>
      <c r="E176" s="20">
        <f>1/((1+$D$54)^A176)</f>
        <v>1</v>
      </c>
      <c r="F176" s="12">
        <f>D176*E176</f>
        <v>-11818.518518518518</v>
      </c>
      <c r="G176" s="12">
        <f>F176</f>
        <v>-11818.518518518518</v>
      </c>
      <c r="J176"/>
      <c r="M176"/>
    </row>
    <row r="177" spans="1:13" x14ac:dyDescent="0.2">
      <c r="A177">
        <v>1</v>
      </c>
      <c r="B177" s="27">
        <f>$E$165+$E$167+$E$168</f>
        <v>1209.52</v>
      </c>
      <c r="C177" s="27">
        <f>$E$169+IF(ISEVEN(A177),$E$170,0)</f>
        <v>100</v>
      </c>
      <c r="D177" s="27">
        <f t="shared" si="7"/>
        <v>1109.52</v>
      </c>
      <c r="E177" s="20">
        <f t="shared" ref="E177:E206" si="8">1/((1+$D$54)^A177)</f>
        <v>0.95238095238095233</v>
      </c>
      <c r="F177" s="12">
        <f>D177*E177</f>
        <v>1056.6857142857143</v>
      </c>
      <c r="G177" s="12">
        <f>F177+G176</f>
        <v>-10761.832804232803</v>
      </c>
      <c r="J177"/>
      <c r="M177"/>
    </row>
    <row r="178" spans="1:13" x14ac:dyDescent="0.2">
      <c r="A178">
        <v>2</v>
      </c>
      <c r="B178" s="27">
        <f>($E$165+$E$167+$E$168)*(100-0.4*(A178-1))/100</f>
        <v>1204.68192</v>
      </c>
      <c r="C178" s="27">
        <f t="shared" ref="C178:C205" si="9">$E$169+IF(ISEVEN(A178),$E$170,0)</f>
        <v>140</v>
      </c>
      <c r="D178" s="27">
        <f t="shared" si="7"/>
        <v>1064.68192</v>
      </c>
      <c r="E178" s="20">
        <f t="shared" si="8"/>
        <v>0.90702947845804982</v>
      </c>
      <c r="F178" s="12">
        <f t="shared" ref="F178:F206" si="10">D178*E178</f>
        <v>965.69788662131509</v>
      </c>
      <c r="G178" s="12">
        <f>G177+F178</f>
        <v>-9796.1349176114873</v>
      </c>
      <c r="J178"/>
      <c r="M178"/>
    </row>
    <row r="179" spans="1:13" x14ac:dyDescent="0.2">
      <c r="A179">
        <v>3</v>
      </c>
      <c r="B179" s="27">
        <f t="shared" ref="B179:B194" si="11">($E$165+$E$167+$E$168)*(100-0.4*(A179-1))/100</f>
        <v>1199.84384</v>
      </c>
      <c r="C179" s="27">
        <f>$E$169+IF(ISEVEN(A179),$E$170,0)+E171</f>
        <v>300</v>
      </c>
      <c r="D179" s="27">
        <f t="shared" si="7"/>
        <v>899.84384</v>
      </c>
      <c r="E179" s="20">
        <f t="shared" si="8"/>
        <v>0.86383759853147601</v>
      </c>
      <c r="F179" s="12">
        <f t="shared" si="10"/>
        <v>777.31894179894175</v>
      </c>
      <c r="G179" s="12">
        <f>G178+F179</f>
        <v>-9018.8159758125457</v>
      </c>
      <c r="J179"/>
      <c r="M179"/>
    </row>
    <row r="180" spans="1:13" x14ac:dyDescent="0.2">
      <c r="A180">
        <v>4</v>
      </c>
      <c r="B180" s="27">
        <f t="shared" si="11"/>
        <v>1195.00576</v>
      </c>
      <c r="C180" s="27">
        <f t="shared" si="9"/>
        <v>140</v>
      </c>
      <c r="D180" s="27">
        <f t="shared" si="7"/>
        <v>1055.00576</v>
      </c>
      <c r="E180" s="20">
        <f t="shared" si="8"/>
        <v>0.82270247479188197</v>
      </c>
      <c r="F180" s="12">
        <f t="shared" si="10"/>
        <v>867.95584967169032</v>
      </c>
      <c r="G180" s="12">
        <f t="shared" ref="G180:G206" si="12">G179+F180</f>
        <v>-8150.8601261408558</v>
      </c>
      <c r="J180"/>
      <c r="M180"/>
    </row>
    <row r="181" spans="1:13" x14ac:dyDescent="0.2">
      <c r="A181">
        <v>5</v>
      </c>
      <c r="B181" s="27">
        <f t="shared" si="11"/>
        <v>1190.16768</v>
      </c>
      <c r="C181" s="27">
        <f t="shared" si="9"/>
        <v>100</v>
      </c>
      <c r="D181" s="27">
        <f t="shared" si="7"/>
        <v>1090.16768</v>
      </c>
      <c r="E181" s="20">
        <f t="shared" si="8"/>
        <v>0.78352616646845896</v>
      </c>
      <c r="F181" s="12">
        <f t="shared" si="10"/>
        <v>854.17490311821371</v>
      </c>
      <c r="G181" s="12">
        <f t="shared" si="12"/>
        <v>-7296.6852230226423</v>
      </c>
      <c r="J181"/>
      <c r="M181"/>
    </row>
    <row r="182" spans="1:13" x14ac:dyDescent="0.2">
      <c r="A182">
        <v>6</v>
      </c>
      <c r="B182" s="27">
        <f t="shared" si="11"/>
        <v>1185.3296</v>
      </c>
      <c r="C182" s="27">
        <f>$E$169+IF(ISEVEN(A182),$E$170,0)+E171</f>
        <v>340</v>
      </c>
      <c r="D182" s="27">
        <f t="shared" si="7"/>
        <v>845.32960000000003</v>
      </c>
      <c r="E182" s="20">
        <f t="shared" si="8"/>
        <v>0.74621539663662761</v>
      </c>
      <c r="F182" s="12">
        <f t="shared" si="10"/>
        <v>630.79796275268177</v>
      </c>
      <c r="G182" s="12">
        <f t="shared" si="12"/>
        <v>-6665.8872602699603</v>
      </c>
      <c r="J182"/>
      <c r="M182"/>
    </row>
    <row r="183" spans="1:13" x14ac:dyDescent="0.2">
      <c r="A183">
        <v>7</v>
      </c>
      <c r="B183" s="27">
        <f t="shared" si="11"/>
        <v>1180.4915199999998</v>
      </c>
      <c r="C183" s="27">
        <f t="shared" si="9"/>
        <v>100</v>
      </c>
      <c r="D183" s="27">
        <f t="shared" si="7"/>
        <v>1080.4915199999998</v>
      </c>
      <c r="E183" s="20">
        <f t="shared" si="8"/>
        <v>0.71068133013012147</v>
      </c>
      <c r="F183" s="12">
        <f t="shared" si="10"/>
        <v>767.88515062791657</v>
      </c>
      <c r="G183" s="12">
        <f t="shared" si="12"/>
        <v>-5898.0021096420442</v>
      </c>
      <c r="J183"/>
      <c r="M183"/>
    </row>
    <row r="184" spans="1:13" x14ac:dyDescent="0.2">
      <c r="A184">
        <v>8</v>
      </c>
      <c r="B184" s="27">
        <f t="shared" si="11"/>
        <v>1175.65344</v>
      </c>
      <c r="C184" s="27">
        <f t="shared" si="9"/>
        <v>140</v>
      </c>
      <c r="D184" s="27">
        <f t="shared" si="7"/>
        <v>1035.65344</v>
      </c>
      <c r="E184" s="20">
        <f t="shared" si="8"/>
        <v>0.67683936202868722</v>
      </c>
      <c r="F184" s="12">
        <f t="shared" si="10"/>
        <v>700.97101361241528</v>
      </c>
      <c r="G184" s="12">
        <f t="shared" si="12"/>
        <v>-5197.0310960296292</v>
      </c>
      <c r="J184"/>
      <c r="M184"/>
    </row>
    <row r="185" spans="1:13" x14ac:dyDescent="0.2">
      <c r="A185">
        <v>9</v>
      </c>
      <c r="B185" s="27">
        <f t="shared" si="11"/>
        <v>1170.8153599999998</v>
      </c>
      <c r="C185" s="27">
        <f>$E$169+IF(ISEVEN(A185),$E$170,0)+E171</f>
        <v>300</v>
      </c>
      <c r="D185" s="27">
        <f t="shared" si="7"/>
        <v>870.81535999999983</v>
      </c>
      <c r="E185" s="20">
        <f t="shared" si="8"/>
        <v>0.64460891621779726</v>
      </c>
      <c r="F185" s="12">
        <f t="shared" si="10"/>
        <v>561.33534543541089</v>
      </c>
      <c r="G185" s="12">
        <f t="shared" si="12"/>
        <v>-4635.6957505942182</v>
      </c>
      <c r="J185"/>
      <c r="M185"/>
    </row>
    <row r="186" spans="1:13" x14ac:dyDescent="0.2">
      <c r="A186">
        <v>10</v>
      </c>
      <c r="B186" s="27">
        <f t="shared" si="11"/>
        <v>1165.9772800000001</v>
      </c>
      <c r="C186" s="27">
        <f t="shared" si="9"/>
        <v>140</v>
      </c>
      <c r="D186" s="27">
        <f t="shared" si="7"/>
        <v>1025.9772800000001</v>
      </c>
      <c r="E186" s="20">
        <f t="shared" si="8"/>
        <v>0.61391325354075932</v>
      </c>
      <c r="F186" s="12">
        <f t="shared" si="10"/>
        <v>629.86105002369868</v>
      </c>
      <c r="G186" s="12">
        <f t="shared" si="12"/>
        <v>-4005.8347005705195</v>
      </c>
      <c r="J186"/>
      <c r="M186"/>
    </row>
    <row r="187" spans="1:13" x14ac:dyDescent="0.2">
      <c r="A187">
        <v>11</v>
      </c>
      <c r="B187" s="27">
        <f t="shared" si="11"/>
        <v>1161.1392000000001</v>
      </c>
      <c r="C187" s="27">
        <f t="shared" si="9"/>
        <v>100</v>
      </c>
      <c r="D187" s="27">
        <f t="shared" si="7"/>
        <v>1061.1392000000001</v>
      </c>
      <c r="E187" s="20">
        <f t="shared" si="8"/>
        <v>0.5846792890864374</v>
      </c>
      <c r="F187" s="12">
        <f t="shared" si="10"/>
        <v>620.42611307775098</v>
      </c>
      <c r="G187" s="12">
        <f t="shared" si="12"/>
        <v>-3385.4085874927687</v>
      </c>
      <c r="J187"/>
      <c r="M187"/>
    </row>
    <row r="188" spans="1:13" x14ac:dyDescent="0.2">
      <c r="A188">
        <v>12</v>
      </c>
      <c r="B188" s="27">
        <f t="shared" si="11"/>
        <v>1156.3011199999999</v>
      </c>
      <c r="C188" s="27">
        <f>$E$169+IF(ISEVEN(A188),$E$170,0)+E171</f>
        <v>340</v>
      </c>
      <c r="D188" s="27">
        <f t="shared" si="7"/>
        <v>816.30111999999986</v>
      </c>
      <c r="E188" s="20">
        <f t="shared" si="8"/>
        <v>0.5568374181775595</v>
      </c>
      <c r="F188" s="12">
        <f t="shared" si="10"/>
        <v>454.54700811625008</v>
      </c>
      <c r="G188" s="12">
        <f t="shared" si="12"/>
        <v>-2930.8615793765184</v>
      </c>
      <c r="J188"/>
      <c r="M188"/>
    </row>
    <row r="189" spans="1:13" x14ac:dyDescent="0.2">
      <c r="A189">
        <v>13</v>
      </c>
      <c r="B189" s="27">
        <f t="shared" si="11"/>
        <v>1151.4630400000001</v>
      </c>
      <c r="C189" s="27">
        <f>$E$169+IF(ISEVEN(A189),$E$170,0)+E172</f>
        <v>716.66666666666663</v>
      </c>
      <c r="D189" s="27">
        <f t="shared" si="7"/>
        <v>434.79637333333346</v>
      </c>
      <c r="E189" s="20">
        <f t="shared" si="8"/>
        <v>0.53032135064529462</v>
      </c>
      <c r="F189" s="12">
        <f t="shared" si="10"/>
        <v>230.58179996180917</v>
      </c>
      <c r="G189" s="12">
        <f t="shared" si="12"/>
        <v>-2700.2797794147091</v>
      </c>
      <c r="J189"/>
      <c r="M189"/>
    </row>
    <row r="190" spans="1:13" x14ac:dyDescent="0.2">
      <c r="A190">
        <v>14</v>
      </c>
      <c r="B190" s="27">
        <f t="shared" si="11"/>
        <v>1146.6249600000001</v>
      </c>
      <c r="C190" s="27">
        <f t="shared" si="9"/>
        <v>140</v>
      </c>
      <c r="D190" s="27">
        <f t="shared" si="7"/>
        <v>1006.6249600000001</v>
      </c>
      <c r="E190" s="20">
        <f t="shared" si="8"/>
        <v>0.50506795299551888</v>
      </c>
      <c r="F190" s="12">
        <f t="shared" si="10"/>
        <v>508.41400798139614</v>
      </c>
      <c r="G190" s="12">
        <f t="shared" si="12"/>
        <v>-2191.8657714333131</v>
      </c>
      <c r="J190"/>
      <c r="M190"/>
    </row>
    <row r="191" spans="1:13" x14ac:dyDescent="0.2">
      <c r="A191">
        <v>15</v>
      </c>
      <c r="B191" s="27">
        <f t="shared" si="11"/>
        <v>1141.7868800000001</v>
      </c>
      <c r="C191" s="27">
        <f>$E$169+IF(ISEVEN(A191),$E$170,0)+E171</f>
        <v>300</v>
      </c>
      <c r="D191" s="27">
        <f t="shared" si="7"/>
        <v>841.78688000000011</v>
      </c>
      <c r="E191" s="20">
        <f t="shared" si="8"/>
        <v>0.48101709809097021</v>
      </c>
      <c r="F191" s="12">
        <f t="shared" si="10"/>
        <v>404.9138822286518</v>
      </c>
      <c r="G191" s="12">
        <f t="shared" si="12"/>
        <v>-1786.9518892046613</v>
      </c>
      <c r="J191"/>
      <c r="M191"/>
    </row>
    <row r="192" spans="1:13" x14ac:dyDescent="0.2">
      <c r="A192">
        <v>16</v>
      </c>
      <c r="B192" s="27">
        <f t="shared" si="11"/>
        <v>1136.9488000000001</v>
      </c>
      <c r="C192" s="27">
        <f t="shared" si="9"/>
        <v>140</v>
      </c>
      <c r="D192" s="27">
        <f t="shared" si="7"/>
        <v>996.94880000000012</v>
      </c>
      <c r="E192" s="20">
        <f t="shared" si="8"/>
        <v>0.45811152199140021</v>
      </c>
      <c r="F192" s="12">
        <f t="shared" si="10"/>
        <v>456.71373211550008</v>
      </c>
      <c r="G192" s="12">
        <f t="shared" si="12"/>
        <v>-1330.2381570891612</v>
      </c>
      <c r="J192"/>
      <c r="M192"/>
    </row>
    <row r="193" spans="1:13" x14ac:dyDescent="0.2">
      <c r="A193">
        <v>17</v>
      </c>
      <c r="B193" s="27">
        <f t="shared" si="11"/>
        <v>1132.1107199999999</v>
      </c>
      <c r="C193" s="27">
        <f t="shared" si="9"/>
        <v>100</v>
      </c>
      <c r="D193" s="27">
        <f t="shared" si="7"/>
        <v>1032.1107199999999</v>
      </c>
      <c r="E193" s="20">
        <f t="shared" si="8"/>
        <v>0.43629668761085727</v>
      </c>
      <c r="F193" s="12">
        <f t="shared" si="10"/>
        <v>450.30648838365693</v>
      </c>
      <c r="G193" s="12">
        <f t="shared" si="12"/>
        <v>-879.93166870550431</v>
      </c>
      <c r="J193"/>
      <c r="M193"/>
    </row>
    <row r="194" spans="1:13" x14ac:dyDescent="0.2">
      <c r="A194">
        <v>18</v>
      </c>
      <c r="B194" s="27">
        <f t="shared" si="11"/>
        <v>1127.2726399999999</v>
      </c>
      <c r="C194" s="27">
        <f>$E$169+IF(ISEVEN(A194),$E$170,0)+E171</f>
        <v>340</v>
      </c>
      <c r="D194" s="27">
        <f t="shared" si="7"/>
        <v>787.27263999999991</v>
      </c>
      <c r="E194" s="20">
        <f t="shared" si="8"/>
        <v>0.41552065486748313</v>
      </c>
      <c r="F194" s="12">
        <f t="shared" si="10"/>
        <v>327.12804293205227</v>
      </c>
      <c r="G194" s="12">
        <f t="shared" si="12"/>
        <v>-552.80362577345204</v>
      </c>
      <c r="J194"/>
      <c r="M194"/>
    </row>
    <row r="195" spans="1:13" x14ac:dyDescent="0.2">
      <c r="A195">
        <v>19</v>
      </c>
      <c r="B195" s="27">
        <f>($E$165+$E$167+$E$168)*(100-0.4*(A195-1))/100</f>
        <v>1122.4345599999999</v>
      </c>
      <c r="C195" s="27">
        <f t="shared" si="9"/>
        <v>100</v>
      </c>
      <c r="D195" s="27">
        <f t="shared" si="7"/>
        <v>1022.4345599999999</v>
      </c>
      <c r="E195" s="20">
        <f t="shared" si="8"/>
        <v>0.39573395701665059</v>
      </c>
      <c r="F195" s="12">
        <f t="shared" si="10"/>
        <v>404.61207421937803</v>
      </c>
      <c r="G195" s="12">
        <f>G194+F195</f>
        <v>-148.19155155407401</v>
      </c>
      <c r="J195"/>
      <c r="M195"/>
    </row>
    <row r="196" spans="1:13" x14ac:dyDescent="0.2">
      <c r="A196">
        <v>20</v>
      </c>
      <c r="B196" s="27">
        <f>($E$165+$E$167+$E$168)*(100-0.4*(A196-1))/100</f>
        <v>1117.5964799999999</v>
      </c>
      <c r="C196" s="27">
        <f t="shared" si="9"/>
        <v>140</v>
      </c>
      <c r="D196" s="27">
        <f t="shared" si="7"/>
        <v>977.59647999999993</v>
      </c>
      <c r="E196" s="20">
        <f t="shared" si="8"/>
        <v>0.37688948287300061</v>
      </c>
      <c r="F196" s="12">
        <f>D196*E196</f>
        <v>368.44583180566565</v>
      </c>
      <c r="G196" s="12">
        <f t="shared" si="12"/>
        <v>220.25428025159164</v>
      </c>
      <c r="J196"/>
      <c r="M196"/>
    </row>
    <row r="197" spans="1:13" x14ac:dyDescent="0.2">
      <c r="A197">
        <v>21</v>
      </c>
      <c r="B197" s="27">
        <f>($E$166+$E$167+$E$168)*(100-0.4*(A197-1))/100</f>
        <v>1107.6064000000001</v>
      </c>
      <c r="C197" s="27">
        <f>$E$169+IF(ISEVEN(A197),$E$170,0)+E171</f>
        <v>300</v>
      </c>
      <c r="D197" s="27">
        <f t="shared" si="7"/>
        <v>807.60640000000012</v>
      </c>
      <c r="E197" s="20">
        <f t="shared" si="8"/>
        <v>0.35894236464095297</v>
      </c>
      <c r="F197" s="12">
        <f t="shared" si="10"/>
        <v>289.88415091516737</v>
      </c>
      <c r="G197" s="12">
        <f t="shared" si="12"/>
        <v>510.13843116675901</v>
      </c>
      <c r="J197"/>
      <c r="M197"/>
    </row>
    <row r="198" spans="1:13" x14ac:dyDescent="0.2">
      <c r="A198">
        <v>22</v>
      </c>
      <c r="B198" s="27">
        <f t="shared" ref="B198:B206" si="13">($E$166+$E$167+$E$168)*(100-0.4*(A198-1))/100</f>
        <v>1102.79072</v>
      </c>
      <c r="C198" s="27">
        <f t="shared" si="9"/>
        <v>140</v>
      </c>
      <c r="D198" s="27">
        <f t="shared" si="7"/>
        <v>962.79071999999996</v>
      </c>
      <c r="E198" s="20">
        <f t="shared" si="8"/>
        <v>0.3418498710866219</v>
      </c>
      <c r="F198" s="12">
        <f t="shared" si="10"/>
        <v>329.12988351539587</v>
      </c>
      <c r="G198" s="12">
        <f t="shared" si="12"/>
        <v>839.26831468215482</v>
      </c>
      <c r="J198"/>
      <c r="M198"/>
    </row>
    <row r="199" spans="1:13" x14ac:dyDescent="0.2">
      <c r="A199">
        <v>23</v>
      </c>
      <c r="B199" s="27">
        <f t="shared" si="13"/>
        <v>1097.9750400000003</v>
      </c>
      <c r="C199" s="27">
        <f t="shared" si="9"/>
        <v>100</v>
      </c>
      <c r="D199" s="27">
        <f t="shared" si="7"/>
        <v>997.97504000000026</v>
      </c>
      <c r="E199" s="20">
        <f t="shared" si="8"/>
        <v>0.32557130579678267</v>
      </c>
      <c r="F199" s="12">
        <f t="shared" si="10"/>
        <v>324.91203692539648</v>
      </c>
      <c r="G199" s="12">
        <f t="shared" si="12"/>
        <v>1164.1803516075513</v>
      </c>
      <c r="J199"/>
      <c r="M199"/>
    </row>
    <row r="200" spans="1:13" x14ac:dyDescent="0.2">
      <c r="A200">
        <v>24</v>
      </c>
      <c r="B200" s="27">
        <f t="shared" si="13"/>
        <v>1093.1593600000001</v>
      </c>
      <c r="C200" s="27">
        <f>$E$169+IF(ISEVEN(A200),$E$170,0)+E171</f>
        <v>340</v>
      </c>
      <c r="D200" s="27">
        <f t="shared" si="7"/>
        <v>753.15936000000011</v>
      </c>
      <c r="E200" s="20">
        <f t="shared" si="8"/>
        <v>0.31006791028265024</v>
      </c>
      <c r="F200" s="12">
        <f t="shared" si="10"/>
        <v>233.53054886501832</v>
      </c>
      <c r="G200" s="12">
        <f t="shared" si="12"/>
        <v>1397.7109004725696</v>
      </c>
      <c r="J200"/>
      <c r="M200"/>
    </row>
    <row r="201" spans="1:13" x14ac:dyDescent="0.2">
      <c r="A201">
        <v>25</v>
      </c>
      <c r="B201" s="27">
        <f t="shared" si="13"/>
        <v>1088.3436800000002</v>
      </c>
      <c r="C201" s="27">
        <f>$E$169+IF(ISEVEN(A201),$E$170,0)+E172</f>
        <v>716.66666666666663</v>
      </c>
      <c r="D201" s="27">
        <f t="shared" si="7"/>
        <v>371.67701333333355</v>
      </c>
      <c r="E201" s="20">
        <f t="shared" si="8"/>
        <v>0.29530277169776209</v>
      </c>
      <c r="F201" s="12">
        <f t="shared" si="10"/>
        <v>109.75725221367948</v>
      </c>
      <c r="G201" s="12">
        <f t="shared" si="12"/>
        <v>1507.4681526862491</v>
      </c>
      <c r="J201"/>
      <c r="M201"/>
    </row>
    <row r="202" spans="1:13" x14ac:dyDescent="0.2">
      <c r="A202">
        <v>26</v>
      </c>
      <c r="B202" s="27">
        <f t="shared" si="13"/>
        <v>1083.528</v>
      </c>
      <c r="C202" s="27">
        <f t="shared" si="9"/>
        <v>140</v>
      </c>
      <c r="D202" s="27">
        <f t="shared" si="7"/>
        <v>943.52800000000002</v>
      </c>
      <c r="E202" s="20">
        <f t="shared" si="8"/>
        <v>0.28124073495024959</v>
      </c>
      <c r="F202" s="12">
        <f t="shared" si="10"/>
        <v>265.35850816613913</v>
      </c>
      <c r="G202" s="12">
        <f t="shared" si="12"/>
        <v>1772.8266608523882</v>
      </c>
      <c r="J202"/>
      <c r="M202"/>
    </row>
    <row r="203" spans="1:13" x14ac:dyDescent="0.2">
      <c r="A203">
        <v>27</v>
      </c>
      <c r="B203" s="27">
        <f t="shared" si="13"/>
        <v>1078.7123200000001</v>
      </c>
      <c r="C203" s="27">
        <f>$E$169+IF(ISEVEN(A203),$E$170,0)+E171</f>
        <v>300</v>
      </c>
      <c r="D203" s="27">
        <f t="shared" si="7"/>
        <v>778.71232000000009</v>
      </c>
      <c r="E203" s="20">
        <f t="shared" si="8"/>
        <v>0.2678483190002377</v>
      </c>
      <c r="F203" s="12">
        <f t="shared" si="10"/>
        <v>208.57678589677519</v>
      </c>
      <c r="G203" s="12">
        <f t="shared" si="12"/>
        <v>1981.4034467491633</v>
      </c>
      <c r="I203" s="3" t="s">
        <v>178</v>
      </c>
      <c r="J203" s="3"/>
      <c r="K203" s="3">
        <f>IF(G176&gt;0,A176,IF(G177&gt;0,A177,IF(G178&gt;0,A178,IF(G179&gt;0,A179,IF(G180&gt;0,A180,IF(G181&gt;0,A181,IF(G182&gt;0,A182,IF(G183&gt;0,A183,IF(G184&gt;0,A184, IF(G185&gt;0,A185, IF(G186&gt;0,A186,IF(G187&gt;0,A187,IF(G188&gt;0,763,IF(G189&gt;0,A189,IF(G190&gt;0,A190,IF(G191&gt;0,A191,IF(G192&gt;0,A192,IF(G193&gt;0,A193,IF(G194&gt;0,A194, IF(G195&gt;0,A195, IF(G196&gt;0,A196,IF(G197&gt;0,A197,IF(G198&gt;0,A198,IF(G199&gt;0,A199,IF(G200&gt;0,A200,IF(G201&gt;0,A201,IF(G202&gt;0,A202,IF(G203&gt;0,A203,IF(G204&gt;0,A204, IF(G205&gt;0,A205, IF(G206&gt;0,A206, 0)))))))))))))))))))))))))))))))</f>
        <v>20</v>
      </c>
      <c r="M203"/>
    </row>
    <row r="204" spans="1:13" x14ac:dyDescent="0.2">
      <c r="A204">
        <v>28</v>
      </c>
      <c r="B204" s="27">
        <f t="shared" si="13"/>
        <v>1073.8966399999999</v>
      </c>
      <c r="C204" s="27">
        <f t="shared" si="9"/>
        <v>140</v>
      </c>
      <c r="D204" s="27">
        <f t="shared" si="7"/>
        <v>933.89663999999993</v>
      </c>
      <c r="E204" s="20">
        <f t="shared" si="8"/>
        <v>0.25509363714308358</v>
      </c>
      <c r="F204" s="12">
        <f t="shared" si="10"/>
        <v>238.23109061330493</v>
      </c>
      <c r="G204" s="12">
        <f t="shared" si="12"/>
        <v>2219.6345373624681</v>
      </c>
      <c r="I204" s="3"/>
      <c r="J204" s="3"/>
      <c r="K204" s="3"/>
      <c r="M204"/>
    </row>
    <row r="205" spans="1:13" x14ac:dyDescent="0.2">
      <c r="A205">
        <v>29</v>
      </c>
      <c r="B205" s="27">
        <f t="shared" si="13"/>
        <v>1069.08096</v>
      </c>
      <c r="C205" s="27">
        <f t="shared" si="9"/>
        <v>100</v>
      </c>
      <c r="D205" s="27">
        <f t="shared" si="7"/>
        <v>969.08096</v>
      </c>
      <c r="E205" s="20">
        <f t="shared" si="8"/>
        <v>0.24294632108865097</v>
      </c>
      <c r="F205" s="12">
        <f t="shared" si="10"/>
        <v>235.43465406905813</v>
      </c>
      <c r="G205" s="12">
        <f t="shared" si="12"/>
        <v>2455.0691914315262</v>
      </c>
      <c r="J205"/>
      <c r="M205"/>
    </row>
    <row r="206" spans="1:13" x14ac:dyDescent="0.2">
      <c r="A206">
        <v>30</v>
      </c>
      <c r="B206" s="27">
        <f t="shared" si="13"/>
        <v>1064.2652800000003</v>
      </c>
      <c r="C206" s="27">
        <f>$E$169+IF(ISEVEN(A206),$E$170,0)+E171</f>
        <v>340</v>
      </c>
      <c r="D206" s="27">
        <f t="shared" si="7"/>
        <v>724.2652800000003</v>
      </c>
      <c r="E206" s="20">
        <f t="shared" si="8"/>
        <v>0.23137744865585813</v>
      </c>
      <c r="F206" s="12">
        <f t="shared" si="10"/>
        <v>167.57865263642077</v>
      </c>
      <c r="G206" s="12">
        <f t="shared" si="12"/>
        <v>2622.6478440679471</v>
      </c>
      <c r="J206"/>
      <c r="M206"/>
    </row>
    <row r="207" spans="1:13" x14ac:dyDescent="0.2">
      <c r="G207"/>
      <c r="J207"/>
      <c r="M207"/>
    </row>
    <row r="208" spans="1:13" x14ac:dyDescent="0.2">
      <c r="A208" s="3"/>
      <c r="B208" s="3"/>
      <c r="C208" s="3"/>
      <c r="D208" s="3"/>
      <c r="J208" s="6"/>
    </row>
    <row r="209" spans="4:10" x14ac:dyDescent="0.2">
      <c r="D209" s="14"/>
      <c r="J209" s="6"/>
    </row>
    <row r="210" spans="4:10" x14ac:dyDescent="0.2">
      <c r="D210" s="14"/>
      <c r="J210" s="6"/>
    </row>
    <row r="211" spans="4:10" x14ac:dyDescent="0.2">
      <c r="D211" s="14"/>
      <c r="J211" s="6"/>
    </row>
    <row r="212" spans="4:10" x14ac:dyDescent="0.2">
      <c r="D212" s="14"/>
      <c r="J212" s="6"/>
    </row>
    <row r="213" spans="4:10" x14ac:dyDescent="0.2">
      <c r="D213" s="14"/>
      <c r="J213" s="6"/>
    </row>
    <row r="214" spans="4:10" x14ac:dyDescent="0.2">
      <c r="D214" s="14"/>
    </row>
    <row r="215" spans="4:10" x14ac:dyDescent="0.2">
      <c r="D215" s="14"/>
    </row>
    <row r="216" spans="4:10" x14ac:dyDescent="0.2">
      <c r="D216" s="14"/>
    </row>
    <row r="217" spans="4:10" x14ac:dyDescent="0.2">
      <c r="D217" s="14"/>
    </row>
    <row r="218" spans="4:10" x14ac:dyDescent="0.2">
      <c r="D218" s="14"/>
    </row>
    <row r="219" spans="4:10" x14ac:dyDescent="0.2">
      <c r="D219" s="14"/>
    </row>
    <row r="220" spans="4:10" x14ac:dyDescent="0.2">
      <c r="D220" s="14"/>
    </row>
    <row r="221" spans="4:10" x14ac:dyDescent="0.2">
      <c r="D221" s="14"/>
    </row>
    <row r="222" spans="4:10" x14ac:dyDescent="0.2">
      <c r="D222" s="14"/>
    </row>
    <row r="223" spans="4:10" x14ac:dyDescent="0.2">
      <c r="D223" s="14"/>
    </row>
    <row r="224" spans="4:10" x14ac:dyDescent="0.2">
      <c r="D224" s="14"/>
    </row>
    <row r="225" spans="4:4" x14ac:dyDescent="0.2">
      <c r="D225" s="14"/>
    </row>
    <row r="226" spans="4:4" x14ac:dyDescent="0.2">
      <c r="D226" s="14"/>
    </row>
    <row r="227" spans="4:4" x14ac:dyDescent="0.2">
      <c r="D227" s="14"/>
    </row>
    <row r="228" spans="4:4" x14ac:dyDescent="0.2">
      <c r="D228" s="14"/>
    </row>
    <row r="229" spans="4:4" x14ac:dyDescent="0.2">
      <c r="D229" s="14"/>
    </row>
    <row r="230" spans="4:4" x14ac:dyDescent="0.2">
      <c r="D230" s="14"/>
    </row>
    <row r="231" spans="4:4" x14ac:dyDescent="0.2">
      <c r="D231" s="14"/>
    </row>
    <row r="232" spans="4:4" x14ac:dyDescent="0.2">
      <c r="D232" s="14"/>
    </row>
    <row r="233" spans="4:4" x14ac:dyDescent="0.2">
      <c r="D233" s="14"/>
    </row>
    <row r="234" spans="4:4" x14ac:dyDescent="0.2">
      <c r="D234" s="14"/>
    </row>
    <row r="235" spans="4:4" x14ac:dyDescent="0.2">
      <c r="D235" s="14"/>
    </row>
    <row r="236" spans="4:4" x14ac:dyDescent="0.2">
      <c r="D236" s="14"/>
    </row>
    <row r="237" spans="4:4" x14ac:dyDescent="0.2">
      <c r="D237" s="14"/>
    </row>
    <row r="238" spans="4:4" x14ac:dyDescent="0.2">
      <c r="D238" s="14"/>
    </row>
    <row r="239" spans="4:4" x14ac:dyDescent="0.2">
      <c r="D239" s="14"/>
    </row>
    <row r="240" spans="4:4" x14ac:dyDescent="0.2">
      <c r="D240" s="14"/>
    </row>
    <row r="241" spans="4:4" x14ac:dyDescent="0.2">
      <c r="D241" s="14"/>
    </row>
  </sheetData>
  <phoneticPr fontId="4" type="noConversion"/>
  <conditionalFormatting sqref="G176:G206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scale="5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4FB3-0E2B-2E44-8A34-6E570F9AA6DE}">
  <dimension ref="A1:T34"/>
  <sheetViews>
    <sheetView workbookViewId="0">
      <selection activeCell="D34" sqref="D34"/>
    </sheetView>
  </sheetViews>
  <sheetFormatPr baseColWidth="10" defaultRowHeight="16" x14ac:dyDescent="0.2"/>
  <cols>
    <col min="1" max="1" width="35.33203125" customWidth="1"/>
    <col min="4" max="5" width="11.33203125" bestFit="1" customWidth="1"/>
    <col min="16" max="16" width="11.33203125" bestFit="1" customWidth="1"/>
  </cols>
  <sheetData>
    <row r="1" spans="1:20" x14ac:dyDescent="0.2">
      <c r="A1" s="3" t="s">
        <v>158</v>
      </c>
      <c r="B1" s="3" t="s">
        <v>159</v>
      </c>
      <c r="C1" s="3" t="s">
        <v>160</v>
      </c>
      <c r="D1" s="3" t="s">
        <v>161</v>
      </c>
    </row>
    <row r="2" spans="1:20" x14ac:dyDescent="0.2">
      <c r="A2" t="s">
        <v>187</v>
      </c>
      <c r="B2" t="s">
        <v>47</v>
      </c>
      <c r="D2" s="13">
        <f>'calculation-sheet'!G176</f>
        <v>-11818.518518518518</v>
      </c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4"/>
      <c r="Q2" s="14"/>
      <c r="R2" s="14"/>
      <c r="S2" s="14"/>
      <c r="T2" s="12"/>
    </row>
    <row r="3" spans="1:20" x14ac:dyDescent="0.2">
      <c r="A3" t="s">
        <v>188</v>
      </c>
      <c r="B3" t="s">
        <v>47</v>
      </c>
      <c r="D3" s="13">
        <f>'calculation-sheet'!G177</f>
        <v>-10761.832804232803</v>
      </c>
    </row>
    <row r="4" spans="1:20" x14ac:dyDescent="0.2">
      <c r="A4" t="s">
        <v>189</v>
      </c>
      <c r="B4" t="s">
        <v>47</v>
      </c>
      <c r="D4" s="13">
        <f>'calculation-sheet'!G178</f>
        <v>-9796.1349176114873</v>
      </c>
    </row>
    <row r="5" spans="1:20" x14ac:dyDescent="0.2">
      <c r="A5" t="s">
        <v>190</v>
      </c>
      <c r="B5" t="s">
        <v>47</v>
      </c>
      <c r="D5" s="13">
        <f>'calculation-sheet'!G179</f>
        <v>-9018.8159758125457</v>
      </c>
    </row>
    <row r="6" spans="1:20" x14ac:dyDescent="0.2">
      <c r="A6" t="s">
        <v>191</v>
      </c>
      <c r="B6" t="s">
        <v>47</v>
      </c>
      <c r="D6" s="13">
        <f>'calculation-sheet'!G180</f>
        <v>-8150.8601261408558</v>
      </c>
    </row>
    <row r="7" spans="1:20" x14ac:dyDescent="0.2">
      <c r="A7" t="s">
        <v>192</v>
      </c>
      <c r="B7" t="s">
        <v>47</v>
      </c>
      <c r="D7" s="13">
        <f>'calculation-sheet'!G181</f>
        <v>-7296.6852230226423</v>
      </c>
    </row>
    <row r="8" spans="1:20" x14ac:dyDescent="0.2">
      <c r="A8" t="s">
        <v>193</v>
      </c>
      <c r="B8" t="s">
        <v>47</v>
      </c>
      <c r="D8" s="13">
        <f>'calculation-sheet'!G182</f>
        <v>-6665.8872602699603</v>
      </c>
    </row>
    <row r="9" spans="1:20" x14ac:dyDescent="0.2">
      <c r="A9" t="s">
        <v>194</v>
      </c>
      <c r="B9" t="s">
        <v>47</v>
      </c>
      <c r="D9" s="13">
        <f>'calculation-sheet'!G183</f>
        <v>-5898.0021096420442</v>
      </c>
    </row>
    <row r="10" spans="1:20" x14ac:dyDescent="0.2">
      <c r="A10" t="s">
        <v>195</v>
      </c>
      <c r="B10" t="s">
        <v>47</v>
      </c>
      <c r="D10" s="13">
        <f>'calculation-sheet'!G184</f>
        <v>-5197.0310960296292</v>
      </c>
    </row>
    <row r="11" spans="1:20" x14ac:dyDescent="0.2">
      <c r="A11" t="s">
        <v>196</v>
      </c>
      <c r="B11" t="s">
        <v>47</v>
      </c>
      <c r="D11" s="13">
        <f>'calculation-sheet'!G185</f>
        <v>-4635.6957505942182</v>
      </c>
    </row>
    <row r="12" spans="1:20" x14ac:dyDescent="0.2">
      <c r="A12" t="s">
        <v>197</v>
      </c>
      <c r="B12" t="s">
        <v>47</v>
      </c>
      <c r="D12" s="13">
        <f>'calculation-sheet'!G186</f>
        <v>-4005.8347005705195</v>
      </c>
    </row>
    <row r="13" spans="1:20" x14ac:dyDescent="0.2">
      <c r="A13" t="s">
        <v>198</v>
      </c>
      <c r="B13" t="s">
        <v>47</v>
      </c>
      <c r="D13" s="13">
        <f>'calculation-sheet'!G187</f>
        <v>-3385.4085874927687</v>
      </c>
    </row>
    <row r="14" spans="1:20" x14ac:dyDescent="0.2">
      <c r="A14" t="s">
        <v>199</v>
      </c>
      <c r="B14" t="s">
        <v>47</v>
      </c>
      <c r="D14" s="13">
        <f>'calculation-sheet'!G188</f>
        <v>-2930.8615793765184</v>
      </c>
    </row>
    <row r="15" spans="1:20" x14ac:dyDescent="0.2">
      <c r="A15" t="s">
        <v>200</v>
      </c>
      <c r="B15" t="s">
        <v>47</v>
      </c>
      <c r="D15" s="13">
        <f>'calculation-sheet'!G189</f>
        <v>-2700.2797794147091</v>
      </c>
    </row>
    <row r="16" spans="1:20" x14ac:dyDescent="0.2">
      <c r="A16" t="s">
        <v>201</v>
      </c>
      <c r="B16" t="s">
        <v>47</v>
      </c>
      <c r="D16" s="13">
        <f>'calculation-sheet'!G190</f>
        <v>-2191.8657714333131</v>
      </c>
    </row>
    <row r="17" spans="1:4" x14ac:dyDescent="0.2">
      <c r="A17" t="s">
        <v>202</v>
      </c>
      <c r="B17" t="s">
        <v>47</v>
      </c>
      <c r="D17" s="13">
        <f>'calculation-sheet'!G191</f>
        <v>-1786.9518892046613</v>
      </c>
    </row>
    <row r="18" spans="1:4" x14ac:dyDescent="0.2">
      <c r="A18" t="s">
        <v>203</v>
      </c>
      <c r="B18" t="s">
        <v>47</v>
      </c>
      <c r="D18" s="13">
        <f>'calculation-sheet'!G192</f>
        <v>-1330.2381570891612</v>
      </c>
    </row>
    <row r="19" spans="1:4" x14ac:dyDescent="0.2">
      <c r="A19" t="s">
        <v>204</v>
      </c>
      <c r="B19" t="s">
        <v>47</v>
      </c>
      <c r="D19" s="13">
        <f>'calculation-sheet'!G193</f>
        <v>-879.93166870550431</v>
      </c>
    </row>
    <row r="20" spans="1:4" x14ac:dyDescent="0.2">
      <c r="A20" t="s">
        <v>205</v>
      </c>
      <c r="B20" t="s">
        <v>47</v>
      </c>
      <c r="D20" s="13">
        <f>'calculation-sheet'!G194</f>
        <v>-552.80362577345204</v>
      </c>
    </row>
    <row r="21" spans="1:4" x14ac:dyDescent="0.2">
      <c r="A21" t="s">
        <v>206</v>
      </c>
      <c r="B21" t="s">
        <v>47</v>
      </c>
      <c r="D21" s="13">
        <f>'calculation-sheet'!G195</f>
        <v>-148.19155155407401</v>
      </c>
    </row>
    <row r="22" spans="1:4" x14ac:dyDescent="0.2">
      <c r="A22" t="s">
        <v>207</v>
      </c>
      <c r="B22" t="s">
        <v>47</v>
      </c>
      <c r="D22" s="13">
        <f>'calculation-sheet'!G196</f>
        <v>220.25428025159164</v>
      </c>
    </row>
    <row r="23" spans="1:4" x14ac:dyDescent="0.2">
      <c r="A23" t="s">
        <v>208</v>
      </c>
      <c r="B23" t="s">
        <v>47</v>
      </c>
      <c r="D23" s="13">
        <f>'calculation-sheet'!G197</f>
        <v>510.13843116675901</v>
      </c>
    </row>
    <row r="24" spans="1:4" x14ac:dyDescent="0.2">
      <c r="A24" t="s">
        <v>209</v>
      </c>
      <c r="B24" t="s">
        <v>47</v>
      </c>
      <c r="D24" s="13">
        <f>'calculation-sheet'!G198</f>
        <v>839.26831468215482</v>
      </c>
    </row>
    <row r="25" spans="1:4" x14ac:dyDescent="0.2">
      <c r="A25" t="s">
        <v>210</v>
      </c>
      <c r="B25" t="s">
        <v>47</v>
      </c>
      <c r="D25" s="13">
        <f>'calculation-sheet'!G199</f>
        <v>1164.1803516075513</v>
      </c>
    </row>
    <row r="26" spans="1:4" x14ac:dyDescent="0.2">
      <c r="A26" t="s">
        <v>211</v>
      </c>
      <c r="B26" t="s">
        <v>47</v>
      </c>
      <c r="D26" s="13">
        <f>'calculation-sheet'!G200</f>
        <v>1397.7109004725696</v>
      </c>
    </row>
    <row r="27" spans="1:4" x14ac:dyDescent="0.2">
      <c r="A27" t="s">
        <v>212</v>
      </c>
      <c r="B27" t="s">
        <v>47</v>
      </c>
      <c r="D27" s="13">
        <f>'calculation-sheet'!G201</f>
        <v>1507.4681526862491</v>
      </c>
    </row>
    <row r="28" spans="1:4" x14ac:dyDescent="0.2">
      <c r="A28" t="s">
        <v>213</v>
      </c>
      <c r="B28" t="s">
        <v>47</v>
      </c>
      <c r="D28" s="13">
        <f>'calculation-sheet'!G202</f>
        <v>1772.8266608523882</v>
      </c>
    </row>
    <row r="29" spans="1:4" x14ac:dyDescent="0.2">
      <c r="A29" t="s">
        <v>214</v>
      </c>
      <c r="B29" t="s">
        <v>47</v>
      </c>
      <c r="D29" s="13">
        <f>'calculation-sheet'!G203</f>
        <v>1981.4034467491633</v>
      </c>
    </row>
    <row r="30" spans="1:4" x14ac:dyDescent="0.2">
      <c r="A30" t="s">
        <v>215</v>
      </c>
      <c r="B30" t="s">
        <v>47</v>
      </c>
      <c r="D30" s="13">
        <f>'calculation-sheet'!G204</f>
        <v>2219.6345373624681</v>
      </c>
    </row>
    <row r="31" spans="1:4" x14ac:dyDescent="0.2">
      <c r="A31" t="s">
        <v>216</v>
      </c>
      <c r="B31" t="s">
        <v>47</v>
      </c>
      <c r="D31" s="13">
        <f>'calculation-sheet'!G205</f>
        <v>2455.0691914315262</v>
      </c>
    </row>
    <row r="32" spans="1:4" x14ac:dyDescent="0.2">
      <c r="A32" t="s">
        <v>217</v>
      </c>
      <c r="B32" t="s">
        <v>47</v>
      </c>
      <c r="D32" s="13">
        <f>'calculation-sheet'!G206</f>
        <v>2622.6478440679471</v>
      </c>
    </row>
    <row r="33" spans="1:4" x14ac:dyDescent="0.2">
      <c r="A33" t="s">
        <v>46</v>
      </c>
      <c r="B33" t="s">
        <v>47</v>
      </c>
      <c r="D33" s="13">
        <f>'calculation-sheet'!C176</f>
        <v>11818.518518518518</v>
      </c>
    </row>
    <row r="34" spans="1:4" x14ac:dyDescent="0.2">
      <c r="A34" t="s">
        <v>178</v>
      </c>
      <c r="B34" t="s">
        <v>29</v>
      </c>
      <c r="D34" s="13">
        <f>'calculation-sheet'!K203</f>
        <v>20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viktor-input-sheet</vt:lpstr>
      <vt:lpstr>calculation-sheet</vt:lpstr>
      <vt:lpstr>viktor-output-sheet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Nane Becher</cp:lastModifiedBy>
  <cp:revision/>
  <cp:lastPrinted>2023-09-22T09:09:13Z</cp:lastPrinted>
  <dcterms:created xsi:type="dcterms:W3CDTF">2023-06-08T19:52:49Z</dcterms:created>
  <dcterms:modified xsi:type="dcterms:W3CDTF">2023-10-05T09:04:31Z</dcterms:modified>
  <cp:category/>
  <cp:contentStatus/>
</cp:coreProperties>
</file>