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13_ncr:1_{BF36668F-21F3-2D4A-8744-068FDB29A3F5}" xr6:coauthVersionLast="47" xr6:coauthVersionMax="47" xr10:uidLastSave="{00000000-0000-0000-0000-000000000000}"/>
  <bookViews>
    <workbookView xWindow="25600" yWindow="500" windowWidth="38400" windowHeight="19740" activeTab="2" xr2:uid="{10AE25AE-CBB9-6C48-A0BD-F3B6274A0E75}"/>
  </bookViews>
  <sheets>
    <sheet name="viktor-input-sheet" sheetId="10" r:id="rId1"/>
    <sheet name="calculation-sheet" sheetId="6" r:id="rId2"/>
    <sheet name="viktor-output-shee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1" l="1"/>
  <c r="D114" i="6"/>
  <c r="D3" i="11" s="1"/>
  <c r="D2" i="11"/>
  <c r="D25" i="6"/>
  <c r="D113" i="6" s="1"/>
  <c r="G42" i="6"/>
  <c r="H23" i="6"/>
  <c r="D85" i="6"/>
  <c r="D86" i="6" s="1"/>
  <c r="D101" i="6" s="1"/>
  <c r="D3" i="6"/>
  <c r="G89" i="6" s="1"/>
  <c r="D4" i="6"/>
  <c r="G90" i="6" s="1"/>
  <c r="D5" i="6"/>
  <c r="G92" i="6" s="1"/>
  <c r="D6" i="6"/>
  <c r="D7" i="6"/>
  <c r="D8" i="6"/>
  <c r="G43" i="6" s="1"/>
  <c r="D9" i="6"/>
  <c r="G44" i="6" s="1"/>
  <c r="D10" i="6"/>
  <c r="G51" i="6" s="1"/>
  <c r="D11" i="6"/>
  <c r="G52" i="6" s="1"/>
  <c r="D12" i="6"/>
  <c r="G53" i="6" s="1"/>
  <c r="D13" i="6"/>
  <c r="G61" i="6" s="1"/>
  <c r="D14" i="6"/>
  <c r="G62" i="6" s="1"/>
  <c r="D15" i="6"/>
  <c r="G70" i="6" s="1"/>
  <c r="D16" i="6"/>
  <c r="G71" i="6" s="1"/>
  <c r="D17" i="6"/>
  <c r="H97" i="6" s="1"/>
  <c r="D18" i="6"/>
  <c r="D19" i="6"/>
  <c r="H104" i="6" s="1"/>
  <c r="D20" i="6"/>
  <c r="H105" i="6" s="1"/>
  <c r="D2" i="6"/>
  <c r="G91" i="6" s="1"/>
  <c r="D105" i="6" l="1"/>
  <c r="D79" i="6"/>
  <c r="D69" i="6"/>
  <c r="D60" i="6"/>
  <c r="D50" i="6"/>
  <c r="D77" i="6"/>
  <c r="D58" i="6"/>
  <c r="D75" i="6" l="1"/>
  <c r="D56" i="6"/>
  <c r="I30" i="6" l="1"/>
  <c r="H30" i="6"/>
  <c r="G30" i="6"/>
  <c r="F30" i="6"/>
  <c r="E30" i="6"/>
  <c r="I29" i="6"/>
  <c r="H29" i="6"/>
  <c r="G29" i="6"/>
  <c r="F29" i="6"/>
  <c r="E29" i="6"/>
  <c r="I28" i="6"/>
  <c r="H28" i="6"/>
  <c r="G28" i="6"/>
  <c r="F28" i="6"/>
  <c r="E28" i="6"/>
  <c r="L48" i="6" l="1"/>
  <c r="L50" i="6"/>
  <c r="L49" i="6"/>
  <c r="D107" i="6"/>
  <c r="D74" i="6" l="1"/>
  <c r="D71" i="6" s="1"/>
  <c r="D55" i="6"/>
  <c r="D52" i="6" s="1"/>
  <c r="D59" i="6" s="1"/>
  <c r="D51" i="6" s="1"/>
  <c r="D46" i="6"/>
  <c r="D43" i="6" s="1"/>
  <c r="D42" i="6" s="1"/>
  <c r="D65" i="6"/>
  <c r="D78" i="6" l="1"/>
  <c r="D70" i="6" s="1"/>
  <c r="D62" i="6"/>
  <c r="D61" i="6" s="1"/>
  <c r="D41" i="6" l="1"/>
</calcChain>
</file>

<file path=xl/sharedStrings.xml><?xml version="1.0" encoding="utf-8"?>
<sst xmlns="http://schemas.openxmlformats.org/spreadsheetml/2006/main" count="253" uniqueCount="108">
  <si>
    <t>Süd</t>
  </si>
  <si>
    <t>35°</t>
  </si>
  <si>
    <t>BIPV</t>
  </si>
  <si>
    <t>BIPVT</t>
  </si>
  <si>
    <t>Ausrichtung</t>
  </si>
  <si>
    <t>Neigung</t>
  </si>
  <si>
    <t>90°</t>
  </si>
  <si>
    <t>Erdgas</t>
  </si>
  <si>
    <t>€/kWh</t>
  </si>
  <si>
    <t>Staatliche Förderungen</t>
  </si>
  <si>
    <t>Projektspezifische Eingangsparameter</t>
  </si>
  <si>
    <t>Investitionskosten</t>
  </si>
  <si>
    <t>€</t>
  </si>
  <si>
    <t xml:space="preserve">5.2.3.1 Anlagenflächen  </t>
  </si>
  <si>
    <t>Dachintegriert</t>
  </si>
  <si>
    <t>Fläche</t>
  </si>
  <si>
    <t>m2</t>
  </si>
  <si>
    <t>Komponenten</t>
  </si>
  <si>
    <t>Module</t>
  </si>
  <si>
    <t>€/ m2</t>
  </si>
  <si>
    <t>°</t>
  </si>
  <si>
    <t>Wechselrichter</t>
  </si>
  <si>
    <t>Planung und Auslegung</t>
  </si>
  <si>
    <t>Einsparungen</t>
  </si>
  <si>
    <t>Fassadenintegriert</t>
  </si>
  <si>
    <t>Energieertrag</t>
  </si>
  <si>
    <t>Anlagenfläche</t>
  </si>
  <si>
    <t>s.o.</t>
  </si>
  <si>
    <t>Gesamt</t>
  </si>
  <si>
    <t>Anzahl WE</t>
  </si>
  <si>
    <t>Anzahl Personen</t>
  </si>
  <si>
    <t>nur für WE&lt;=2 erforderlich</t>
  </si>
  <si>
    <t>kWpeak/m2</t>
  </si>
  <si>
    <t>Wohnfläche</t>
  </si>
  <si>
    <t>Gebäudeart</t>
  </si>
  <si>
    <t>Unterkonstruktion und Zubehör</t>
  </si>
  <si>
    <t>kWpeak</t>
  </si>
  <si>
    <t>Flächenleistung der Modul</t>
  </si>
  <si>
    <t>Inbetreibnahme der Anlage</t>
  </si>
  <si>
    <t>&lt; 10 kWp</t>
  </si>
  <si>
    <t>Größe</t>
  </si>
  <si>
    <t>Vergütung ct/kWh</t>
  </si>
  <si>
    <t>&lt; 40 kWp</t>
  </si>
  <si>
    <t>&lt; 100 kWp</t>
  </si>
  <si>
    <t>anzulegender Wert</t>
  </si>
  <si>
    <t>Einspeisevergütung ersten 20 Jahre</t>
  </si>
  <si>
    <t>Einspeisevergütung nach 20 Jahre</t>
  </si>
  <si>
    <t>Kalkulationszinssatz</t>
  </si>
  <si>
    <t>Jahresenergiebedarf</t>
  </si>
  <si>
    <t xml:space="preserve">Neubau auch bei Kernsanierungen </t>
  </si>
  <si>
    <t>a</t>
  </si>
  <si>
    <t>b</t>
  </si>
  <si>
    <t>c</t>
  </si>
  <si>
    <t>d</t>
  </si>
  <si>
    <t>Wärmepumpe</t>
  </si>
  <si>
    <t>Installation pauschal</t>
  </si>
  <si>
    <t>Installation je m2</t>
  </si>
  <si>
    <t>1-3 kWp</t>
  </si>
  <si>
    <t>3-6 kWp</t>
  </si>
  <si>
    <t>6-9 kWp</t>
  </si>
  <si>
    <t>9-15 kWp</t>
  </si>
  <si>
    <t>15-100 kWp</t>
  </si>
  <si>
    <t>Soll ein Speicher verbaut werden?</t>
  </si>
  <si>
    <t>Investitionskosten für einen Speicher</t>
  </si>
  <si>
    <t xml:space="preserve">bestehende Förderungsmöglichkeiten </t>
  </si>
  <si>
    <t>Ist eine im Haushalt lebende Person in Besitz eines Elektroautos?</t>
  </si>
  <si>
    <t>Soll eine Ladesäule verbaut werden?</t>
  </si>
  <si>
    <t>KfW Förderprogramm 442</t>
  </si>
  <si>
    <t>Förderhöhe</t>
  </si>
  <si>
    <t>Kosten für die Ladestation</t>
  </si>
  <si>
    <t>6.1.5</t>
  </si>
  <si>
    <t>6.1.6</t>
  </si>
  <si>
    <t>6.2</t>
  </si>
  <si>
    <t>6.2.1</t>
  </si>
  <si>
    <t>6.2.3</t>
  </si>
  <si>
    <t>6.2.3.1</t>
  </si>
  <si>
    <t>6.2.4</t>
  </si>
  <si>
    <t>6.4.1</t>
  </si>
  <si>
    <t>Parameters</t>
  </si>
  <si>
    <t>Unit</t>
  </si>
  <si>
    <t>Comment</t>
  </si>
  <si>
    <t>Values</t>
  </si>
  <si>
    <t>aktuelle Wärmeerzeugung</t>
  </si>
  <si>
    <t>Fläche der PV-Anlage (1)</t>
  </si>
  <si>
    <t>Ausrichtung der Fläche (1)</t>
  </si>
  <si>
    <t>Neigung der Fläche (1)</t>
  </si>
  <si>
    <t>Fläche der PVT-Anlage (2)</t>
  </si>
  <si>
    <t>Ausrichtung der Fläche (2)</t>
  </si>
  <si>
    <t>Neigung der Fläche (2)</t>
  </si>
  <si>
    <t>Fläche der PV-Anlage (3)</t>
  </si>
  <si>
    <t>Ausrichtung der Fläche (3)</t>
  </si>
  <si>
    <t>Fläche der PVT-Anlage (4)</t>
  </si>
  <si>
    <t>Ausrichtung der Fläche (4)</t>
  </si>
  <si>
    <t>Stromspeicher</t>
  </si>
  <si>
    <t>Inbetriebnahme-Zeitpunkt</t>
  </si>
  <si>
    <t>Elektroauto</t>
  </si>
  <si>
    <t>Ladesäule</t>
  </si>
  <si>
    <t>m^2</t>
  </si>
  <si>
    <t>bis 31.01.2024</t>
  </si>
  <si>
    <t>ab 01.02.2024</t>
  </si>
  <si>
    <t>ab 01.08.2024</t>
  </si>
  <si>
    <t>ab 01.02.2025</t>
  </si>
  <si>
    <t>ab 01.08.2025</t>
  </si>
  <si>
    <t>ab 01.02.2026</t>
  </si>
  <si>
    <t>Neubau</t>
  </si>
  <si>
    <t>nein</t>
  </si>
  <si>
    <t>Einspeisevergütung_1-20</t>
  </si>
  <si>
    <t>Inv_Wechselrichter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</si>
</sst>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0\°"/>
    <numFmt numFmtId="166" formatCode="0.0000"/>
    <numFmt numFmtId="167" formatCode="_-* #,##0.00\ [$€-407]_-;\-* #,##0.00\ [$€-407]_-;_-* &quot;-&quot;??\ [$€-407]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3" fontId="0" fillId="0" borderId="0" xfId="1" applyFont="1"/>
    <xf numFmtId="49" fontId="3" fillId="0" borderId="0" xfId="0" applyNumberFormat="1" applyFont="1" applyAlignment="1">
      <alignment horizontal="center"/>
    </xf>
    <xf numFmtId="43" fontId="0" fillId="0" borderId="0" xfId="1" applyFont="1" applyFill="1"/>
    <xf numFmtId="0" fontId="0" fillId="0" borderId="0" xfId="0" applyAlignment="1">
      <alignment horizont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 applyFill="1"/>
    <xf numFmtId="44" fontId="0" fillId="0" borderId="0" xfId="2" applyFont="1" applyFill="1"/>
    <xf numFmtId="167" fontId="0" fillId="0" borderId="0" xfId="2" applyNumberFormat="1" applyFon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64" fontId="0" fillId="0" borderId="0" xfId="0" applyNumberFormat="1"/>
    <xf numFmtId="43" fontId="0" fillId="2" borderId="0" xfId="1" applyFont="1" applyFill="1"/>
    <xf numFmtId="43" fontId="0" fillId="0" borderId="0" xfId="0" applyNumberFormat="1"/>
  </cellXfs>
  <cellStyles count="3">
    <cellStyle name="Komma" xfId="1" builtinId="3"/>
    <cellStyle name="Standard" xfId="0" builtinId="0"/>
    <cellStyle name="Währung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9F5-DB14-FD41-B8AE-100B4009EB94}">
  <dimension ref="A1:D20"/>
  <sheetViews>
    <sheetView workbookViewId="0">
      <selection activeCell="A24" sqref="A24:D26"/>
    </sheetView>
  </sheetViews>
  <sheetFormatPr baseColWidth="10" defaultRowHeight="16" x14ac:dyDescent="0.2"/>
  <cols>
    <col min="1" max="1" width="25.33203125" customWidth="1"/>
    <col min="4" max="4" width="13.83203125" customWidth="1"/>
  </cols>
  <sheetData>
    <row r="1" spans="1:4" x14ac:dyDescent="0.2">
      <c r="A1" s="3" t="s">
        <v>78</v>
      </c>
      <c r="B1" s="3" t="s">
        <v>79</v>
      </c>
      <c r="C1" s="3" t="s">
        <v>80</v>
      </c>
      <c r="D1" s="3" t="s">
        <v>81</v>
      </c>
    </row>
    <row r="2" spans="1:4" x14ac:dyDescent="0.2">
      <c r="A2" t="s">
        <v>34</v>
      </c>
      <c r="D2" t="s">
        <v>104</v>
      </c>
    </row>
    <row r="3" spans="1:4" x14ac:dyDescent="0.2">
      <c r="A3" t="s">
        <v>29</v>
      </c>
      <c r="D3">
        <v>1</v>
      </c>
    </row>
    <row r="4" spans="1:4" x14ac:dyDescent="0.2">
      <c r="A4" t="s">
        <v>30</v>
      </c>
      <c r="D4">
        <v>2</v>
      </c>
    </row>
    <row r="5" spans="1:4" x14ac:dyDescent="0.2">
      <c r="A5" t="s">
        <v>33</v>
      </c>
      <c r="B5" t="s">
        <v>97</v>
      </c>
      <c r="D5">
        <v>50</v>
      </c>
    </row>
    <row r="6" spans="1:4" x14ac:dyDescent="0.2">
      <c r="A6" t="s">
        <v>82</v>
      </c>
      <c r="D6" t="s">
        <v>7</v>
      </c>
    </row>
    <row r="7" spans="1:4" x14ac:dyDescent="0.2">
      <c r="A7" t="s">
        <v>83</v>
      </c>
      <c r="B7" t="s">
        <v>97</v>
      </c>
      <c r="D7">
        <v>20</v>
      </c>
    </row>
    <row r="8" spans="1:4" x14ac:dyDescent="0.2">
      <c r="A8" t="s">
        <v>84</v>
      </c>
      <c r="D8" t="s">
        <v>0</v>
      </c>
    </row>
    <row r="9" spans="1:4" x14ac:dyDescent="0.2">
      <c r="A9" t="s">
        <v>85</v>
      </c>
      <c r="D9" t="s">
        <v>1</v>
      </c>
    </row>
    <row r="10" spans="1:4" x14ac:dyDescent="0.2">
      <c r="A10" t="s">
        <v>86</v>
      </c>
      <c r="B10" t="s">
        <v>97</v>
      </c>
      <c r="D10">
        <v>0</v>
      </c>
    </row>
    <row r="11" spans="1:4" x14ac:dyDescent="0.2">
      <c r="A11" t="s">
        <v>87</v>
      </c>
      <c r="D11" t="s">
        <v>0</v>
      </c>
    </row>
    <row r="12" spans="1:4" x14ac:dyDescent="0.2">
      <c r="A12" t="s">
        <v>88</v>
      </c>
      <c r="D12" t="s">
        <v>1</v>
      </c>
    </row>
    <row r="13" spans="1:4" x14ac:dyDescent="0.2">
      <c r="A13" s="8" t="s">
        <v>89</v>
      </c>
      <c r="B13" t="s">
        <v>97</v>
      </c>
      <c r="D13">
        <v>0</v>
      </c>
    </row>
    <row r="14" spans="1:4" x14ac:dyDescent="0.2">
      <c r="A14" s="8" t="s">
        <v>90</v>
      </c>
      <c r="D14" t="s">
        <v>0</v>
      </c>
    </row>
    <row r="15" spans="1:4" x14ac:dyDescent="0.2">
      <c r="A15" s="8" t="s">
        <v>91</v>
      </c>
      <c r="B15" t="s">
        <v>97</v>
      </c>
      <c r="D15">
        <v>0</v>
      </c>
    </row>
    <row r="16" spans="1:4" x14ac:dyDescent="0.2">
      <c r="A16" s="8" t="s">
        <v>92</v>
      </c>
      <c r="D16" t="s">
        <v>0</v>
      </c>
    </row>
    <row r="17" spans="1:4" x14ac:dyDescent="0.2">
      <c r="A17" s="8" t="s">
        <v>93</v>
      </c>
      <c r="D17" t="s">
        <v>105</v>
      </c>
    </row>
    <row r="18" spans="1:4" x14ac:dyDescent="0.2">
      <c r="A18" s="8" t="s">
        <v>94</v>
      </c>
      <c r="D18" t="s">
        <v>98</v>
      </c>
    </row>
    <row r="19" spans="1:4" x14ac:dyDescent="0.2">
      <c r="A19" s="8" t="s">
        <v>95</v>
      </c>
      <c r="D19" t="s">
        <v>105</v>
      </c>
    </row>
    <row r="20" spans="1:4" x14ac:dyDescent="0.2">
      <c r="A20" s="8" t="s">
        <v>96</v>
      </c>
      <c r="D20" t="s">
        <v>105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EE4-CC8A-8E45-BFEF-C6530A976C96}">
  <sheetPr>
    <pageSetUpPr fitToPage="1"/>
  </sheetPr>
  <dimension ref="A1:R220"/>
  <sheetViews>
    <sheetView topLeftCell="A57" zoomScale="97" workbookViewId="0">
      <selection activeCell="D115" sqref="D115"/>
    </sheetView>
  </sheetViews>
  <sheetFormatPr baseColWidth="10" defaultColWidth="11" defaultRowHeight="16" x14ac:dyDescent="0.2"/>
  <cols>
    <col min="1" max="1" width="15.83203125" customWidth="1"/>
    <col min="3" max="3" width="25.83203125" customWidth="1"/>
    <col min="4" max="4" width="15.83203125" customWidth="1"/>
    <col min="5" max="5" width="15.33203125" customWidth="1"/>
    <col min="6" max="6" width="14.5" customWidth="1"/>
    <col min="7" max="7" width="14.6640625" style="1" customWidth="1"/>
    <col min="8" max="8" width="15" customWidth="1"/>
    <col min="9" max="9" width="14.83203125" customWidth="1"/>
    <col min="10" max="10" width="12.33203125" style="4" customWidth="1"/>
    <col min="13" max="13" width="10.83203125" style="2"/>
    <col min="16" max="16" width="18.6640625" customWidth="1"/>
    <col min="17" max="17" width="11" customWidth="1"/>
    <col min="19" max="22" width="10.83203125" customWidth="1"/>
  </cols>
  <sheetData>
    <row r="1" spans="1:4" x14ac:dyDescent="0.2">
      <c r="A1" s="3" t="s">
        <v>78</v>
      </c>
      <c r="B1" s="3" t="s">
        <v>79</v>
      </c>
      <c r="C1" s="3" t="s">
        <v>80</v>
      </c>
      <c r="D1" s="3" t="s">
        <v>81</v>
      </c>
    </row>
    <row r="2" spans="1:4" x14ac:dyDescent="0.2">
      <c r="A2" t="s">
        <v>34</v>
      </c>
      <c r="D2" t="str">
        <f>'viktor-input-sheet'!D2</f>
        <v>Neubau</v>
      </c>
    </row>
    <row r="3" spans="1:4" x14ac:dyDescent="0.2">
      <c r="A3" t="s">
        <v>29</v>
      </c>
      <c r="D3">
        <f>'viktor-input-sheet'!D3</f>
        <v>1</v>
      </c>
    </row>
    <row r="4" spans="1:4" x14ac:dyDescent="0.2">
      <c r="A4" t="s">
        <v>30</v>
      </c>
      <c r="D4">
        <f>'viktor-input-sheet'!D4</f>
        <v>2</v>
      </c>
    </row>
    <row r="5" spans="1:4" x14ac:dyDescent="0.2">
      <c r="A5" t="s">
        <v>33</v>
      </c>
      <c r="D5">
        <f>'viktor-input-sheet'!D5</f>
        <v>50</v>
      </c>
    </row>
    <row r="6" spans="1:4" x14ac:dyDescent="0.2">
      <c r="A6" t="s">
        <v>82</v>
      </c>
      <c r="D6" t="str">
        <f>'viktor-input-sheet'!D6</f>
        <v>Erdgas</v>
      </c>
    </row>
    <row r="7" spans="1:4" x14ac:dyDescent="0.2">
      <c r="A7" t="s">
        <v>83</v>
      </c>
      <c r="D7">
        <f>'viktor-input-sheet'!D7</f>
        <v>20</v>
      </c>
    </row>
    <row r="8" spans="1:4" x14ac:dyDescent="0.2">
      <c r="A8" t="s">
        <v>84</v>
      </c>
      <c r="D8" t="str">
        <f>'viktor-input-sheet'!D8</f>
        <v>Süd</v>
      </c>
    </row>
    <row r="9" spans="1:4" x14ac:dyDescent="0.2">
      <c r="A9" t="s">
        <v>85</v>
      </c>
      <c r="D9" t="str">
        <f>'viktor-input-sheet'!D9</f>
        <v>35°</v>
      </c>
    </row>
    <row r="10" spans="1:4" x14ac:dyDescent="0.2">
      <c r="A10" t="s">
        <v>86</v>
      </c>
      <c r="D10">
        <f>'viktor-input-sheet'!D10</f>
        <v>0</v>
      </c>
    </row>
    <row r="11" spans="1:4" x14ac:dyDescent="0.2">
      <c r="A11" t="s">
        <v>87</v>
      </c>
      <c r="D11" t="str">
        <f>'viktor-input-sheet'!D11</f>
        <v>Süd</v>
      </c>
    </row>
    <row r="12" spans="1:4" x14ac:dyDescent="0.2">
      <c r="A12" t="s">
        <v>88</v>
      </c>
      <c r="D12" t="str">
        <f>'viktor-input-sheet'!D12</f>
        <v>35°</v>
      </c>
    </row>
    <row r="13" spans="1:4" x14ac:dyDescent="0.2">
      <c r="A13" s="8" t="s">
        <v>89</v>
      </c>
      <c r="D13">
        <f>'viktor-input-sheet'!D13</f>
        <v>0</v>
      </c>
    </row>
    <row r="14" spans="1:4" x14ac:dyDescent="0.2">
      <c r="A14" s="8" t="s">
        <v>90</v>
      </c>
      <c r="D14" t="str">
        <f>'viktor-input-sheet'!D14</f>
        <v>Süd</v>
      </c>
    </row>
    <row r="15" spans="1:4" x14ac:dyDescent="0.2">
      <c r="A15" s="8" t="s">
        <v>91</v>
      </c>
      <c r="D15">
        <f>'viktor-input-sheet'!D15</f>
        <v>0</v>
      </c>
    </row>
    <row r="16" spans="1:4" x14ac:dyDescent="0.2">
      <c r="A16" s="8" t="s">
        <v>92</v>
      </c>
      <c r="D16" t="str">
        <f>'viktor-input-sheet'!D16</f>
        <v>Süd</v>
      </c>
    </row>
    <row r="17" spans="1:18" x14ac:dyDescent="0.2">
      <c r="A17" s="8" t="s">
        <v>93</v>
      </c>
      <c r="D17" t="str">
        <f>'viktor-input-sheet'!D17</f>
        <v>nein</v>
      </c>
    </row>
    <row r="18" spans="1:18" x14ac:dyDescent="0.2">
      <c r="A18" s="8" t="s">
        <v>94</v>
      </c>
      <c r="D18" t="str">
        <f>'viktor-input-sheet'!D18</f>
        <v>bis 31.01.2024</v>
      </c>
    </row>
    <row r="19" spans="1:18" x14ac:dyDescent="0.2">
      <c r="A19" s="8" t="s">
        <v>95</v>
      </c>
      <c r="D19" t="str">
        <f>'viktor-input-sheet'!D19</f>
        <v>nein</v>
      </c>
    </row>
    <row r="20" spans="1:18" x14ac:dyDescent="0.2">
      <c r="A20" s="8" t="s">
        <v>96</v>
      </c>
      <c r="D20" t="str">
        <f>'viktor-input-sheet'!D20</f>
        <v>nein</v>
      </c>
    </row>
    <row r="22" spans="1:18" x14ac:dyDescent="0.2">
      <c r="J22" s="6"/>
      <c r="O22" s="9"/>
      <c r="P22" s="13"/>
      <c r="Q22" s="10"/>
      <c r="R22" s="10"/>
    </row>
    <row r="23" spans="1:18" ht="17" x14ac:dyDescent="0.2">
      <c r="A23" s="2" t="s">
        <v>70</v>
      </c>
      <c r="B23" s="3" t="s">
        <v>9</v>
      </c>
      <c r="F23" t="s">
        <v>38</v>
      </c>
      <c r="H23" s="18" t="str">
        <f>D18</f>
        <v>bis 31.01.2024</v>
      </c>
      <c r="J23" s="6"/>
      <c r="O23" s="9"/>
      <c r="P23" s="13"/>
      <c r="Q23" s="10"/>
      <c r="R23" s="10"/>
    </row>
    <row r="24" spans="1:18" x14ac:dyDescent="0.2">
      <c r="A24" s="2"/>
      <c r="B24" t="s">
        <v>37</v>
      </c>
      <c r="D24">
        <v>0.2</v>
      </c>
      <c r="E24" t="s">
        <v>32</v>
      </c>
      <c r="J24" s="6"/>
      <c r="O24" s="9"/>
      <c r="P24" s="13"/>
      <c r="Q24" s="10"/>
      <c r="R24" s="10"/>
    </row>
    <row r="25" spans="1:18" x14ac:dyDescent="0.2">
      <c r="A25" s="2"/>
      <c r="B25" t="s">
        <v>45</v>
      </c>
      <c r="D25" s="19">
        <f>(IF(H23=D26,IF(D86&lt;10,D28,IF(D86&lt;40,D29,D30)),0)+IF(H23=E26,IF(D86&lt;10,E28,IF(D86&lt;40,E29,E30)),0)+IF(H23=F26,IF(D86&lt;10,F28,IF(D86&lt;40,F29,F30)),0)+IF(H23=G26,IF(D86&lt;10,G28,IF(D86&lt;40,G29,G30)),0)+IF(H23=H26,IF(D86&lt;10,H28,IF(D86&lt;40,H29,H30)),0)+IF(H23=I26,IF(D86&lt;10,I28,IF(D86&lt;40,I29,I30)),0))/100</f>
        <v>8.199999999999999E-2</v>
      </c>
      <c r="E25" t="s">
        <v>8</v>
      </c>
      <c r="J25" s="6"/>
      <c r="O25" s="9"/>
      <c r="P25" s="13"/>
      <c r="Q25" s="10"/>
      <c r="R25" s="10"/>
    </row>
    <row r="26" spans="1:18" ht="17" x14ac:dyDescent="0.2">
      <c r="A26" s="2"/>
      <c r="D26" s="18" t="s">
        <v>98</v>
      </c>
      <c r="E26" s="18" t="s">
        <v>99</v>
      </c>
      <c r="F26" s="18" t="s">
        <v>100</v>
      </c>
      <c r="G26" s="18" t="s">
        <v>101</v>
      </c>
      <c r="H26" s="18" t="s">
        <v>102</v>
      </c>
      <c r="I26" s="18" t="s">
        <v>103</v>
      </c>
      <c r="J26" s="6"/>
      <c r="O26" s="9"/>
      <c r="P26" s="13"/>
      <c r="Q26" s="10"/>
      <c r="R26" s="10"/>
    </row>
    <row r="27" spans="1:18" x14ac:dyDescent="0.2">
      <c r="A27" s="2"/>
      <c r="B27" t="s">
        <v>40</v>
      </c>
      <c r="C27" t="s">
        <v>44</v>
      </c>
      <c r="D27" t="s">
        <v>41</v>
      </c>
      <c r="E27" t="s">
        <v>41</v>
      </c>
      <c r="F27" t="s">
        <v>41</v>
      </c>
      <c r="G27" t="s">
        <v>41</v>
      </c>
      <c r="H27" t="s">
        <v>41</v>
      </c>
      <c r="I27" t="s">
        <v>41</v>
      </c>
      <c r="J27" s="6"/>
      <c r="O27" s="9"/>
      <c r="P27" s="13"/>
      <c r="Q27" s="10"/>
      <c r="R27" s="10"/>
    </row>
    <row r="28" spans="1:18" x14ac:dyDescent="0.2">
      <c r="A28" s="2"/>
      <c r="B28" t="s">
        <v>39</v>
      </c>
      <c r="C28">
        <v>8.6</v>
      </c>
      <c r="D28">
        <v>8.1999999999999993</v>
      </c>
      <c r="E28" s="13">
        <f>C28*0.99-0.4</f>
        <v>8.113999999999999</v>
      </c>
      <c r="F28" s="13">
        <f>C28*0.99^2-0.4</f>
        <v>8.0288599999999999</v>
      </c>
      <c r="G28" s="13">
        <f>C28*0.99^3-0.4</f>
        <v>7.9445713999999992</v>
      </c>
      <c r="H28" s="13">
        <f>C28*0.99^4-0.4</f>
        <v>7.8611256859999994</v>
      </c>
      <c r="I28" s="13">
        <f>C28*0.99^5-0.4</f>
        <v>7.7785144291399977</v>
      </c>
      <c r="J28" s="6"/>
      <c r="O28" s="9"/>
      <c r="P28" s="13"/>
      <c r="Q28" s="10"/>
      <c r="R28" s="10"/>
    </row>
    <row r="29" spans="1:18" x14ac:dyDescent="0.2">
      <c r="A29" s="2"/>
      <c r="B29" t="s">
        <v>42</v>
      </c>
      <c r="C29">
        <v>7.5</v>
      </c>
      <c r="D29">
        <v>7.1</v>
      </c>
      <c r="E29" s="13">
        <f t="shared" ref="E29:E30" si="0">C29*0.99-0.4</f>
        <v>7.0249999999999995</v>
      </c>
      <c r="F29" s="13">
        <f t="shared" ref="F29:F30" si="1">C29*0.99^2-0.4</f>
        <v>6.9507499999999993</v>
      </c>
      <c r="G29" s="13">
        <f t="shared" ref="G29:G30" si="2">C29*0.99^3-0.4</f>
        <v>6.8772424999999986</v>
      </c>
      <c r="H29" s="13">
        <f t="shared" ref="H29:H30" si="3">C29*0.99^4-0.4</f>
        <v>6.8044700749999993</v>
      </c>
      <c r="I29" s="13">
        <f t="shared" ref="I29:I30" si="4">C29*0.99^5-0.4</f>
        <v>6.7324253742499991</v>
      </c>
      <c r="J29" s="6"/>
      <c r="O29" s="9"/>
      <c r="P29" s="13"/>
      <c r="Q29" s="10"/>
      <c r="R29" s="10"/>
    </row>
    <row r="30" spans="1:18" x14ac:dyDescent="0.2">
      <c r="A30" s="2"/>
      <c r="B30" t="s">
        <v>43</v>
      </c>
      <c r="C30">
        <v>6.2</v>
      </c>
      <c r="D30">
        <v>5.8</v>
      </c>
      <c r="E30" s="13">
        <f t="shared" si="0"/>
        <v>5.7379999999999995</v>
      </c>
      <c r="F30" s="13">
        <f t="shared" si="1"/>
        <v>5.6766199999999998</v>
      </c>
      <c r="G30" s="13">
        <f t="shared" si="2"/>
        <v>5.6158537999999991</v>
      </c>
      <c r="H30" s="13">
        <f t="shared" si="3"/>
        <v>5.5556952619999995</v>
      </c>
      <c r="I30" s="13">
        <f t="shared" si="4"/>
        <v>5.4961383093799991</v>
      </c>
      <c r="J30" s="6"/>
      <c r="O30" s="9"/>
      <c r="P30" s="13"/>
      <c r="Q30" s="10"/>
      <c r="R30" s="10"/>
    </row>
    <row r="31" spans="1:18" x14ac:dyDescent="0.2">
      <c r="A31" s="2"/>
      <c r="B31" t="s">
        <v>46</v>
      </c>
      <c r="D31">
        <v>0.08</v>
      </c>
      <c r="E31" t="s">
        <v>8</v>
      </c>
      <c r="J31" s="6"/>
      <c r="O31" s="9"/>
      <c r="P31" s="13"/>
      <c r="Q31" s="10"/>
      <c r="R31" s="10"/>
    </row>
    <row r="32" spans="1:18" x14ac:dyDescent="0.2">
      <c r="J32" s="6"/>
      <c r="O32" s="9"/>
      <c r="P32" s="13"/>
      <c r="Q32" s="10"/>
      <c r="R32" s="10"/>
    </row>
    <row r="33" spans="1:18" x14ac:dyDescent="0.2">
      <c r="A33" s="2" t="s">
        <v>71</v>
      </c>
      <c r="B33" s="3" t="s">
        <v>47</v>
      </c>
      <c r="D33" s="20">
        <v>0.05</v>
      </c>
      <c r="J33" s="6"/>
      <c r="O33" s="9"/>
      <c r="P33" s="13"/>
      <c r="Q33" s="10"/>
      <c r="R33" s="10"/>
    </row>
    <row r="34" spans="1:18" x14ac:dyDescent="0.2">
      <c r="J34" s="6"/>
      <c r="O34" s="9"/>
      <c r="P34" s="13"/>
      <c r="Q34" s="10"/>
      <c r="R34" s="10"/>
    </row>
    <row r="35" spans="1:18" x14ac:dyDescent="0.2">
      <c r="J35" s="6"/>
      <c r="O35" s="9"/>
      <c r="P35" s="13"/>
      <c r="Q35" s="10"/>
      <c r="R35" s="10"/>
    </row>
    <row r="36" spans="1:18" x14ac:dyDescent="0.2">
      <c r="J36" s="6"/>
      <c r="O36" s="9"/>
      <c r="P36" s="13"/>
      <c r="Q36" s="10"/>
      <c r="R36" s="10"/>
    </row>
    <row r="37" spans="1:18" x14ac:dyDescent="0.2">
      <c r="J37" s="6"/>
      <c r="O37" s="9"/>
      <c r="P37" s="13"/>
      <c r="Q37" s="10"/>
      <c r="R37" s="10"/>
    </row>
    <row r="38" spans="1:18" x14ac:dyDescent="0.2">
      <c r="J38" s="6"/>
      <c r="O38" s="9"/>
      <c r="P38" s="13"/>
      <c r="Q38" s="10"/>
      <c r="R38" s="10"/>
    </row>
    <row r="39" spans="1:18" x14ac:dyDescent="0.2">
      <c r="A39" s="2" t="s">
        <v>72</v>
      </c>
      <c r="B39" s="3" t="s">
        <v>10</v>
      </c>
      <c r="D39" s="6"/>
      <c r="J39" s="6"/>
      <c r="O39" s="9"/>
      <c r="P39" s="13"/>
      <c r="Q39" s="10"/>
      <c r="R39" s="10"/>
    </row>
    <row r="40" spans="1:18" x14ac:dyDescent="0.2">
      <c r="A40" s="1"/>
      <c r="D40" s="6"/>
      <c r="J40" s="6"/>
      <c r="O40" s="9"/>
      <c r="P40" s="13"/>
      <c r="Q40" s="10"/>
      <c r="R40" s="10"/>
    </row>
    <row r="41" spans="1:18" x14ac:dyDescent="0.2">
      <c r="A41" s="2" t="s">
        <v>73</v>
      </c>
      <c r="B41" s="3" t="s">
        <v>11</v>
      </c>
      <c r="D41" s="27">
        <f>D42+D51+D61+D70</f>
        <v>4316.666666666667</v>
      </c>
      <c r="E41" t="s">
        <v>12</v>
      </c>
      <c r="F41" s="3" t="s">
        <v>13</v>
      </c>
      <c r="J41" s="6"/>
      <c r="O41" s="9"/>
      <c r="P41" s="13"/>
      <c r="Q41" s="10"/>
      <c r="R41" s="10"/>
    </row>
    <row r="42" spans="1:18" x14ac:dyDescent="0.2">
      <c r="A42" s="2" t="s">
        <v>50</v>
      </c>
      <c r="B42" s="3" t="s">
        <v>2</v>
      </c>
      <c r="C42" t="s">
        <v>14</v>
      </c>
      <c r="D42" s="6">
        <f>IF(G42=0,0,D43+D47*G42+D48+D49+D50)</f>
        <v>4316.666666666667</v>
      </c>
      <c r="E42" t="s">
        <v>12</v>
      </c>
      <c r="F42" t="s">
        <v>15</v>
      </c>
      <c r="G42" s="21">
        <f>D7</f>
        <v>20</v>
      </c>
      <c r="H42" t="s">
        <v>16</v>
      </c>
      <c r="J42" s="6"/>
      <c r="O42" s="9"/>
      <c r="P42" s="13"/>
      <c r="Q42" s="10"/>
      <c r="R42" s="10"/>
    </row>
    <row r="43" spans="1:18" x14ac:dyDescent="0.2">
      <c r="A43" s="1"/>
      <c r="B43" t="s">
        <v>17</v>
      </c>
      <c r="C43" s="1"/>
      <c r="D43" s="6">
        <f>IF(G42&gt;20,(D44+D45)*G42+D46,D44*G42+1600+D46)</f>
        <v>4716.666666666667</v>
      </c>
      <c r="E43" t="s">
        <v>12</v>
      </c>
      <c r="F43" t="s">
        <v>4</v>
      </c>
      <c r="G43" s="21" t="str">
        <f>D8</f>
        <v>Süd</v>
      </c>
      <c r="J43" s="6"/>
      <c r="O43" s="9"/>
      <c r="P43" s="13"/>
      <c r="Q43" s="10"/>
      <c r="R43" s="10"/>
    </row>
    <row r="44" spans="1:18" x14ac:dyDescent="0.2">
      <c r="A44" s="1"/>
      <c r="C44" s="22" t="s">
        <v>18</v>
      </c>
      <c r="D44" s="6">
        <v>125</v>
      </c>
      <c r="E44" t="s">
        <v>19</v>
      </c>
      <c r="F44" t="s">
        <v>5</v>
      </c>
      <c r="G44" s="21" t="str">
        <f>D9</f>
        <v>35°</v>
      </c>
      <c r="H44" t="s">
        <v>20</v>
      </c>
      <c r="J44" s="6"/>
      <c r="O44" s="9"/>
      <c r="P44" s="13"/>
      <c r="Q44" s="10"/>
      <c r="R44" s="10"/>
    </row>
    <row r="45" spans="1:18" x14ac:dyDescent="0.2">
      <c r="A45" s="1"/>
      <c r="C45" s="22" t="s">
        <v>35</v>
      </c>
      <c r="D45" s="6">
        <v>80</v>
      </c>
      <c r="E45" t="s">
        <v>19</v>
      </c>
      <c r="J45" s="6"/>
      <c r="O45" s="9"/>
      <c r="P45" s="13"/>
      <c r="Q45" s="10"/>
      <c r="R45" s="10"/>
    </row>
    <row r="46" spans="1:18" x14ac:dyDescent="0.2">
      <c r="A46" s="1"/>
      <c r="C46" s="22" t="s">
        <v>21</v>
      </c>
      <c r="D46" s="6">
        <f>IF($D$86&lt;=3,450, IF($D$86&lt;=6,'calculation-sheet'!$L$48,IF($D$86&lt;=9,'calculation-sheet'!$L$49, IF($D$86&lt;=15,'calculation-sheet'!$L$50,2000))))</f>
        <v>616.66666666666663</v>
      </c>
      <c r="E46" t="s">
        <v>12</v>
      </c>
      <c r="J46" t="s">
        <v>21</v>
      </c>
      <c r="O46" s="9"/>
      <c r="P46" s="13"/>
      <c r="Q46" s="10"/>
      <c r="R46" s="10"/>
    </row>
    <row r="47" spans="1:18" x14ac:dyDescent="0.2">
      <c r="A47" s="1"/>
      <c r="B47" t="s">
        <v>56</v>
      </c>
      <c r="D47" s="6">
        <v>40</v>
      </c>
      <c r="E47" t="s">
        <v>19</v>
      </c>
      <c r="J47" t="s">
        <v>57</v>
      </c>
      <c r="L47">
        <v>450</v>
      </c>
      <c r="O47" s="9"/>
      <c r="P47" s="13"/>
      <c r="Q47" s="10"/>
      <c r="R47" s="10"/>
    </row>
    <row r="48" spans="1:18" x14ac:dyDescent="0.2">
      <c r="A48" s="1"/>
      <c r="B48" t="s">
        <v>55</v>
      </c>
      <c r="D48" s="6">
        <v>2000</v>
      </c>
      <c r="E48" t="s">
        <v>12</v>
      </c>
      <c r="J48" t="s">
        <v>58</v>
      </c>
      <c r="L48">
        <f>500/3*'calculation-sheet'!D86-50</f>
        <v>616.66666666666663</v>
      </c>
      <c r="O48" s="9"/>
      <c r="P48" s="13"/>
      <c r="Q48" s="10"/>
      <c r="R48" s="10"/>
    </row>
    <row r="49" spans="1:18" x14ac:dyDescent="0.2">
      <c r="A49" s="1"/>
      <c r="B49" t="s">
        <v>22</v>
      </c>
      <c r="D49" s="6">
        <v>0</v>
      </c>
      <c r="E49" t="s">
        <v>12</v>
      </c>
      <c r="J49" t="s">
        <v>59</v>
      </c>
      <c r="L49">
        <f>50/3*'calculation-sheet'!D86+850</f>
        <v>916.66666666666663</v>
      </c>
      <c r="O49" s="9"/>
      <c r="P49" s="13"/>
      <c r="Q49" s="10"/>
      <c r="R49" s="10"/>
    </row>
    <row r="50" spans="1:18" x14ac:dyDescent="0.2">
      <c r="A50" s="1"/>
      <c r="B50" t="s">
        <v>23</v>
      </c>
      <c r="D50" s="6">
        <f>-IF(G91="Bestand",0,160*G42)</f>
        <v>-3200</v>
      </c>
      <c r="E50" t="s">
        <v>12</v>
      </c>
      <c r="J50" t="s">
        <v>60</v>
      </c>
      <c r="L50">
        <f>500/6*'calculation-sheet'!D86+250</f>
        <v>583.33333333333326</v>
      </c>
      <c r="O50" s="9"/>
      <c r="P50" s="13"/>
      <c r="Q50" s="10"/>
      <c r="R50" s="10"/>
    </row>
    <row r="51" spans="1:18" x14ac:dyDescent="0.2">
      <c r="A51" s="2" t="s">
        <v>51</v>
      </c>
      <c r="B51" s="3" t="s">
        <v>3</v>
      </c>
      <c r="C51" t="s">
        <v>14</v>
      </c>
      <c r="D51" s="6">
        <f>IF(G51=0,0,D52+D57*G51+D58+D59+D60)</f>
        <v>0</v>
      </c>
      <c r="E51" t="s">
        <v>12</v>
      </c>
      <c r="F51" t="s">
        <v>15</v>
      </c>
      <c r="G51" s="21">
        <f>D10</f>
        <v>0</v>
      </c>
      <c r="H51" t="s">
        <v>16</v>
      </c>
      <c r="J51" t="s">
        <v>61</v>
      </c>
      <c r="L51">
        <v>2000</v>
      </c>
      <c r="O51" s="9"/>
      <c r="P51" s="13"/>
      <c r="Q51" s="10"/>
      <c r="R51" s="10"/>
    </row>
    <row r="52" spans="1:18" x14ac:dyDescent="0.2">
      <c r="A52" s="1"/>
      <c r="B52" t="s">
        <v>17</v>
      </c>
      <c r="C52" s="1"/>
      <c r="D52" s="6">
        <f>(D53+D54)*G51+D55+D56</f>
        <v>616.66666666666663</v>
      </c>
      <c r="E52" t="s">
        <v>12</v>
      </c>
      <c r="F52" t="s">
        <v>4</v>
      </c>
      <c r="G52" s="21" t="str">
        <f>D11</f>
        <v>Süd</v>
      </c>
      <c r="J52" s="6"/>
      <c r="O52" s="9"/>
      <c r="P52" s="13"/>
      <c r="Q52" s="10"/>
      <c r="R52" s="10"/>
    </row>
    <row r="53" spans="1:18" x14ac:dyDescent="0.2">
      <c r="A53" s="1"/>
      <c r="C53" s="22" t="s">
        <v>18</v>
      </c>
      <c r="D53" s="6">
        <v>480</v>
      </c>
      <c r="E53" t="s">
        <v>19</v>
      </c>
      <c r="F53" t="s">
        <v>5</v>
      </c>
      <c r="G53" s="21" t="str">
        <f>D12</f>
        <v>35°</v>
      </c>
      <c r="H53" t="s">
        <v>20</v>
      </c>
      <c r="J53" s="6"/>
      <c r="O53" s="9"/>
      <c r="P53" s="13"/>
      <c r="Q53" s="10"/>
      <c r="R53" s="10"/>
    </row>
    <row r="54" spans="1:18" x14ac:dyDescent="0.2">
      <c r="A54" s="1"/>
      <c r="C54" s="22" t="s">
        <v>35</v>
      </c>
      <c r="D54" s="6">
        <v>0</v>
      </c>
      <c r="E54" t="s">
        <v>19</v>
      </c>
      <c r="J54" s="6"/>
      <c r="O54" s="9"/>
      <c r="P54" s="13"/>
      <c r="Q54" s="10"/>
      <c r="R54" s="10"/>
    </row>
    <row r="55" spans="1:18" x14ac:dyDescent="0.2">
      <c r="A55" s="2"/>
      <c r="C55" s="22" t="s">
        <v>21</v>
      </c>
      <c r="D55" s="6">
        <f>IF($D$86&lt;=3,450, IF($D$86&lt;=6,'calculation-sheet'!$L$48,IF($D$86&lt;=9,'calculation-sheet'!$L$49, IF($D$86&lt;=15,'calculation-sheet'!$L$50,2000))))</f>
        <v>616.66666666666663</v>
      </c>
      <c r="E55" t="s">
        <v>12</v>
      </c>
      <c r="J55" s="6"/>
      <c r="O55" s="9"/>
      <c r="P55" s="13"/>
      <c r="Q55" s="10"/>
      <c r="R55" s="10"/>
    </row>
    <row r="56" spans="1:18" x14ac:dyDescent="0.2">
      <c r="A56" s="2"/>
      <c r="C56" s="22" t="s">
        <v>54</v>
      </c>
      <c r="D56" s="6">
        <f>IF(G91="Bestand",11000, 0)</f>
        <v>0</v>
      </c>
      <c r="E56" t="s">
        <v>12</v>
      </c>
      <c r="J56" s="6"/>
      <c r="O56" s="9"/>
      <c r="P56" s="13"/>
      <c r="Q56" s="10"/>
      <c r="R56" s="10"/>
    </row>
    <row r="57" spans="1:18" x14ac:dyDescent="0.2">
      <c r="A57" s="1"/>
      <c r="B57" t="s">
        <v>56</v>
      </c>
      <c r="D57" s="6">
        <v>65</v>
      </c>
      <c r="E57" t="s">
        <v>19</v>
      </c>
      <c r="J57" s="6"/>
      <c r="O57" s="9"/>
      <c r="P57" s="13"/>
      <c r="Q57" s="10"/>
      <c r="R57" s="10"/>
    </row>
    <row r="58" spans="1:18" x14ac:dyDescent="0.2">
      <c r="A58" s="1"/>
      <c r="B58" t="s">
        <v>55</v>
      </c>
      <c r="D58" s="6">
        <f>2000+IF(G91="Bestand",3000,0)</f>
        <v>2000</v>
      </c>
      <c r="E58" t="s">
        <v>12</v>
      </c>
      <c r="J58" s="6"/>
      <c r="O58" s="9"/>
      <c r="P58" s="13"/>
      <c r="Q58" s="10"/>
      <c r="R58" s="10"/>
    </row>
    <row r="59" spans="1:18" x14ac:dyDescent="0.2">
      <c r="A59" s="1"/>
      <c r="B59" t="s">
        <v>22</v>
      </c>
      <c r="D59" s="6">
        <f>(D52+D58+D57*G51)*10/90</f>
        <v>290.7407407407407</v>
      </c>
      <c r="E59" t="s">
        <v>12</v>
      </c>
      <c r="J59" s="6"/>
      <c r="O59" s="9"/>
      <c r="P59" s="13"/>
      <c r="Q59" s="10"/>
      <c r="R59" s="10"/>
    </row>
    <row r="60" spans="1:18" x14ac:dyDescent="0.2">
      <c r="A60" s="1"/>
      <c r="B60" t="s">
        <v>23</v>
      </c>
      <c r="D60" s="6">
        <f>-IF(G91="Bestand",0,160*G51)</f>
        <v>0</v>
      </c>
      <c r="E60" t="s">
        <v>12</v>
      </c>
      <c r="J60" s="6"/>
      <c r="O60" s="9"/>
      <c r="P60" s="13"/>
      <c r="Q60" s="10"/>
      <c r="R60" s="10"/>
    </row>
    <row r="61" spans="1:18" x14ac:dyDescent="0.2">
      <c r="A61" s="2" t="s">
        <v>52</v>
      </c>
      <c r="B61" s="3" t="s">
        <v>2</v>
      </c>
      <c r="C61" t="s">
        <v>24</v>
      </c>
      <c r="D61" s="6">
        <f>IF(G61=0,0,D62+D66*G61+D67+D68+D69)</f>
        <v>0</v>
      </c>
      <c r="E61" t="s">
        <v>12</v>
      </c>
      <c r="F61" t="s">
        <v>15</v>
      </c>
      <c r="G61" s="21">
        <f>D13</f>
        <v>0</v>
      </c>
      <c r="H61" t="s">
        <v>16</v>
      </c>
      <c r="J61" s="6"/>
      <c r="O61" s="9"/>
      <c r="P61" s="13"/>
      <c r="Q61" s="10"/>
      <c r="R61" s="10"/>
    </row>
    <row r="62" spans="1:18" x14ac:dyDescent="0.2">
      <c r="A62" s="1"/>
      <c r="B62" t="s">
        <v>17</v>
      </c>
      <c r="C62" s="1"/>
      <c r="D62" s="6">
        <f>IF(G61&gt;20,(D63+D64)*G61+D65,D63*G61 + 3200 + D65)</f>
        <v>3816.6666666666665</v>
      </c>
      <c r="E62" t="s">
        <v>12</v>
      </c>
      <c r="F62" t="s">
        <v>4</v>
      </c>
      <c r="G62" s="21" t="str">
        <f>D14</f>
        <v>Süd</v>
      </c>
      <c r="J62" s="6"/>
      <c r="O62" s="9"/>
      <c r="P62" s="13"/>
      <c r="Q62" s="10"/>
      <c r="R62" s="10"/>
    </row>
    <row r="63" spans="1:18" x14ac:dyDescent="0.2">
      <c r="A63" s="1"/>
      <c r="C63" s="22" t="s">
        <v>18</v>
      </c>
      <c r="D63" s="6">
        <v>250</v>
      </c>
      <c r="E63" t="s">
        <v>19</v>
      </c>
      <c r="F63" t="s">
        <v>5</v>
      </c>
      <c r="G63" s="21" t="s">
        <v>6</v>
      </c>
      <c r="H63" t="s">
        <v>20</v>
      </c>
      <c r="J63" s="6"/>
      <c r="O63" s="9"/>
      <c r="P63" s="13"/>
      <c r="Q63" s="10"/>
      <c r="R63" s="10"/>
    </row>
    <row r="64" spans="1:18" x14ac:dyDescent="0.2">
      <c r="A64" s="1"/>
      <c r="C64" s="22" t="s">
        <v>35</v>
      </c>
      <c r="D64" s="6">
        <v>160</v>
      </c>
      <c r="E64" t="s">
        <v>19</v>
      </c>
      <c r="J64" s="6"/>
    </row>
    <row r="65" spans="1:10" x14ac:dyDescent="0.2">
      <c r="A65" s="1"/>
      <c r="C65" s="22" t="s">
        <v>21</v>
      </c>
      <c r="D65" s="6">
        <f>IF($D$86&lt;=3,450, IF($D$86&lt;=6,'calculation-sheet'!$L$48,IF($D$86&lt;=9,'calculation-sheet'!$L$49, IF($D$86&lt;=15,'calculation-sheet'!$L$50,2000))))</f>
        <v>616.66666666666663</v>
      </c>
      <c r="E65" t="s">
        <v>12</v>
      </c>
      <c r="J65" s="6"/>
    </row>
    <row r="66" spans="1:10" x14ac:dyDescent="0.2">
      <c r="A66" s="1"/>
      <c r="B66" t="s">
        <v>56</v>
      </c>
      <c r="D66" s="6">
        <v>80</v>
      </c>
      <c r="E66" t="s">
        <v>19</v>
      </c>
      <c r="J66" s="6"/>
    </row>
    <row r="67" spans="1:10" x14ac:dyDescent="0.2">
      <c r="A67" s="1"/>
      <c r="B67" t="s">
        <v>55</v>
      </c>
      <c r="D67" s="6">
        <v>2000</v>
      </c>
      <c r="E67" t="s">
        <v>12</v>
      </c>
      <c r="J67" s="6"/>
    </row>
    <row r="68" spans="1:10" x14ac:dyDescent="0.2">
      <c r="A68" s="1"/>
      <c r="B68" t="s">
        <v>22</v>
      </c>
      <c r="D68" s="6">
        <v>0</v>
      </c>
      <c r="E68" t="s">
        <v>12</v>
      </c>
      <c r="J68" s="6"/>
    </row>
    <row r="69" spans="1:10" x14ac:dyDescent="0.2">
      <c r="A69" s="1"/>
      <c r="B69" t="s">
        <v>23</v>
      </c>
      <c r="D69" s="6">
        <f>-IF(G91="Bestand",0,190*G61)</f>
        <v>0</v>
      </c>
      <c r="E69" t="s">
        <v>12</v>
      </c>
      <c r="J69" s="6"/>
    </row>
    <row r="70" spans="1:10" x14ac:dyDescent="0.2">
      <c r="A70" s="2" t="s">
        <v>53</v>
      </c>
      <c r="B70" s="3" t="s">
        <v>3</v>
      </c>
      <c r="C70" t="s">
        <v>24</v>
      </c>
      <c r="D70" s="6">
        <f>IF(G70=0,0,D71+D76*G70+D77+D78+D79)</f>
        <v>0</v>
      </c>
      <c r="E70" t="s">
        <v>12</v>
      </c>
      <c r="F70" t="s">
        <v>15</v>
      </c>
      <c r="G70" s="21">
        <f>D15</f>
        <v>0</v>
      </c>
      <c r="H70" t="s">
        <v>16</v>
      </c>
      <c r="J70" s="6"/>
    </row>
    <row r="71" spans="1:10" x14ac:dyDescent="0.2">
      <c r="A71" s="1"/>
      <c r="B71" t="s">
        <v>17</v>
      </c>
      <c r="C71" s="1"/>
      <c r="D71" s="6">
        <f>(D72+D73)*G70+D74+D75</f>
        <v>616.66666666666663</v>
      </c>
      <c r="E71" t="s">
        <v>12</v>
      </c>
      <c r="F71" t="s">
        <v>4</v>
      </c>
      <c r="G71" s="21" t="str">
        <f>D16</f>
        <v>Süd</v>
      </c>
      <c r="J71" s="6"/>
    </row>
    <row r="72" spans="1:10" x14ac:dyDescent="0.2">
      <c r="A72" s="1"/>
      <c r="C72" s="22" t="s">
        <v>18</v>
      </c>
      <c r="D72" s="6">
        <v>750</v>
      </c>
      <c r="E72" t="s">
        <v>19</v>
      </c>
      <c r="F72" t="s">
        <v>5</v>
      </c>
      <c r="G72" s="21" t="s">
        <v>6</v>
      </c>
      <c r="H72" t="s">
        <v>20</v>
      </c>
      <c r="J72" s="6"/>
    </row>
    <row r="73" spans="1:10" x14ac:dyDescent="0.2">
      <c r="A73" s="1"/>
      <c r="C73" s="22" t="s">
        <v>35</v>
      </c>
      <c r="D73" s="6">
        <v>0</v>
      </c>
      <c r="E73" t="s">
        <v>19</v>
      </c>
      <c r="J73" s="6"/>
    </row>
    <row r="74" spans="1:10" x14ac:dyDescent="0.2">
      <c r="A74" s="2"/>
      <c r="C74" s="22" t="s">
        <v>21</v>
      </c>
      <c r="D74" s="6">
        <f>IF($D$86&lt;=3,450, IF($D$86&lt;=6,'calculation-sheet'!$L$48,IF($D$86&lt;=9,'calculation-sheet'!$L$49, IF($D$86&lt;=15,'calculation-sheet'!$L$50,2000))))</f>
        <v>616.66666666666663</v>
      </c>
      <c r="E74" t="s">
        <v>12</v>
      </c>
      <c r="J74" s="6"/>
    </row>
    <row r="75" spans="1:10" x14ac:dyDescent="0.2">
      <c r="A75" s="2"/>
      <c r="C75" s="22" t="s">
        <v>54</v>
      </c>
      <c r="D75" s="6">
        <f>IF(G91="Bestand",11000, 0)</f>
        <v>0</v>
      </c>
      <c r="E75" t="s">
        <v>12</v>
      </c>
      <c r="J75" s="6"/>
    </row>
    <row r="76" spans="1:10" x14ac:dyDescent="0.2">
      <c r="A76" s="1"/>
      <c r="B76" t="s">
        <v>56</v>
      </c>
      <c r="D76" s="6">
        <v>130</v>
      </c>
      <c r="E76" t="s">
        <v>19</v>
      </c>
      <c r="J76" s="6"/>
    </row>
    <row r="77" spans="1:10" x14ac:dyDescent="0.2">
      <c r="A77" s="1"/>
      <c r="B77" t="s">
        <v>55</v>
      </c>
      <c r="D77" s="6">
        <f>2000+IF(G91="Bestand",3000,0)</f>
        <v>2000</v>
      </c>
      <c r="E77" t="s">
        <v>12</v>
      </c>
      <c r="J77" s="6"/>
    </row>
    <row r="78" spans="1:10" x14ac:dyDescent="0.2">
      <c r="A78" s="1"/>
      <c r="B78" t="s">
        <v>22</v>
      </c>
      <c r="D78" s="6">
        <f>(D71+D77+D76*G70)*10/90</f>
        <v>290.7407407407407</v>
      </c>
      <c r="E78" t="s">
        <v>12</v>
      </c>
      <c r="J78" s="6"/>
    </row>
    <row r="79" spans="1:10" x14ac:dyDescent="0.2">
      <c r="A79" s="1"/>
      <c r="B79" t="s">
        <v>23</v>
      </c>
      <c r="D79" s="6">
        <f>-IF(G91="Bestand",0,190*G70)</f>
        <v>0</v>
      </c>
      <c r="E79" t="s">
        <v>12</v>
      </c>
      <c r="J79" s="6"/>
    </row>
    <row r="80" spans="1:10" x14ac:dyDescent="0.2">
      <c r="A80" s="1"/>
      <c r="D80" s="6"/>
      <c r="J80" s="6"/>
    </row>
    <row r="81" spans="1:10" x14ac:dyDescent="0.2">
      <c r="A81" s="1"/>
      <c r="D81" s="6"/>
      <c r="J81" s="6"/>
    </row>
    <row r="82" spans="1:10" x14ac:dyDescent="0.2">
      <c r="A82" s="1"/>
      <c r="D82" s="6"/>
      <c r="J82" s="6"/>
    </row>
    <row r="83" spans="1:10" x14ac:dyDescent="0.2">
      <c r="A83" s="2" t="s">
        <v>74</v>
      </c>
      <c r="B83" s="3" t="s">
        <v>25</v>
      </c>
      <c r="D83" s="6"/>
      <c r="J83" s="6"/>
    </row>
    <row r="84" spans="1:10" x14ac:dyDescent="0.2">
      <c r="A84" s="2" t="s">
        <v>75</v>
      </c>
      <c r="B84" s="3" t="s">
        <v>26</v>
      </c>
      <c r="D84" s="6"/>
      <c r="J84" s="6"/>
    </row>
    <row r="85" spans="1:10" x14ac:dyDescent="0.2">
      <c r="A85" s="1"/>
      <c r="B85" t="s">
        <v>27</v>
      </c>
      <c r="C85" t="s">
        <v>28</v>
      </c>
      <c r="D85" s="14">
        <f>G42+G51+G61+G70</f>
        <v>20</v>
      </c>
      <c r="E85" t="s">
        <v>16</v>
      </c>
      <c r="J85" s="6"/>
    </row>
    <row r="86" spans="1:10" x14ac:dyDescent="0.2">
      <c r="A86" s="1"/>
      <c r="D86" s="14">
        <f>D85*D24</f>
        <v>4</v>
      </c>
      <c r="E86" t="s">
        <v>36</v>
      </c>
      <c r="J86" s="6"/>
    </row>
    <row r="87" spans="1:10" x14ac:dyDescent="0.2">
      <c r="A87" s="1"/>
      <c r="D87" s="6"/>
      <c r="J87" s="6"/>
    </row>
    <row r="88" spans="1:10" x14ac:dyDescent="0.2">
      <c r="A88" s="2" t="s">
        <v>76</v>
      </c>
      <c r="B88" s="3" t="s">
        <v>48</v>
      </c>
      <c r="D88" s="6"/>
      <c r="J88" s="6"/>
    </row>
    <row r="89" spans="1:10" x14ac:dyDescent="0.2">
      <c r="A89" s="7"/>
      <c r="F89" t="s">
        <v>29</v>
      </c>
      <c r="G89">
        <f>D3</f>
        <v>1</v>
      </c>
      <c r="J89" s="6"/>
    </row>
    <row r="90" spans="1:10" x14ac:dyDescent="0.2">
      <c r="A90" s="7"/>
      <c r="F90" t="s">
        <v>30</v>
      </c>
      <c r="G90">
        <f>D4</f>
        <v>2</v>
      </c>
      <c r="H90" t="s">
        <v>31</v>
      </c>
      <c r="J90" s="6"/>
    </row>
    <row r="91" spans="1:10" x14ac:dyDescent="0.2">
      <c r="A91" s="7"/>
      <c r="F91" t="s">
        <v>34</v>
      </c>
      <c r="G91" t="str">
        <f>D2</f>
        <v>Neubau</v>
      </c>
      <c r="H91" t="s">
        <v>49</v>
      </c>
      <c r="J91" s="6"/>
    </row>
    <row r="92" spans="1:10" x14ac:dyDescent="0.2">
      <c r="A92" s="7"/>
      <c r="D92" s="23"/>
      <c r="F92" t="s">
        <v>33</v>
      </c>
      <c r="G92">
        <f>D5</f>
        <v>50</v>
      </c>
      <c r="H92" t="s">
        <v>16</v>
      </c>
      <c r="J92" s="6"/>
    </row>
    <row r="93" spans="1:10" x14ac:dyDescent="0.2">
      <c r="A93" s="7"/>
      <c r="J93" s="6"/>
    </row>
    <row r="94" spans="1:10" x14ac:dyDescent="0.2">
      <c r="A94" s="7"/>
      <c r="G94"/>
      <c r="J94" s="6"/>
    </row>
    <row r="95" spans="1:10" x14ac:dyDescent="0.2">
      <c r="A95" s="7"/>
      <c r="J95" s="6"/>
    </row>
    <row r="96" spans="1:10" x14ac:dyDescent="0.2">
      <c r="A96" s="7"/>
      <c r="G96"/>
      <c r="J96" s="6"/>
    </row>
    <row r="97" spans="1:13" x14ac:dyDescent="0.2">
      <c r="A97" s="7"/>
      <c r="D97" s="20"/>
      <c r="F97" t="s">
        <v>62</v>
      </c>
      <c r="G97"/>
      <c r="H97" t="str">
        <f>D17</f>
        <v>nein</v>
      </c>
      <c r="J97" s="6"/>
    </row>
    <row r="98" spans="1:13" x14ac:dyDescent="0.2">
      <c r="G98"/>
      <c r="J98" s="6"/>
    </row>
    <row r="99" spans="1:13" x14ac:dyDescent="0.2">
      <c r="D99" s="20"/>
      <c r="G99"/>
      <c r="J99" s="6"/>
    </row>
    <row r="100" spans="1:13" x14ac:dyDescent="0.2">
      <c r="G100"/>
      <c r="J100" s="6"/>
    </row>
    <row r="101" spans="1:13" x14ac:dyDescent="0.2">
      <c r="B101" t="s">
        <v>63</v>
      </c>
      <c r="D101" s="15">
        <f>IF(D86&lt;15,5000,13000)</f>
        <v>5000</v>
      </c>
      <c r="G101"/>
      <c r="J101" s="6"/>
    </row>
    <row r="102" spans="1:13" x14ac:dyDescent="0.2">
      <c r="J102" s="6"/>
    </row>
    <row r="103" spans="1:13" x14ac:dyDescent="0.2">
      <c r="J103" s="6"/>
    </row>
    <row r="104" spans="1:13" x14ac:dyDescent="0.2">
      <c r="A104" s="1" t="s">
        <v>77</v>
      </c>
      <c r="B104" t="s">
        <v>64</v>
      </c>
      <c r="F104" t="s">
        <v>65</v>
      </c>
      <c r="H104" t="str">
        <f>D19</f>
        <v>nein</v>
      </c>
      <c r="J104" s="6"/>
    </row>
    <row r="105" spans="1:13" x14ac:dyDescent="0.2">
      <c r="B105" t="s">
        <v>67</v>
      </c>
      <c r="D105" t="str">
        <f>IF(AND(H97="ja",H104="ja",H105="ja"),"erfüllt","keine Förderung")</f>
        <v>keine Förderung</v>
      </c>
      <c r="F105" t="s">
        <v>66</v>
      </c>
      <c r="H105" t="str">
        <f>D20</f>
        <v>nein</v>
      </c>
      <c r="J105" s="6"/>
    </row>
    <row r="106" spans="1:13" x14ac:dyDescent="0.2">
      <c r="J106" s="6"/>
    </row>
    <row r="107" spans="1:13" x14ac:dyDescent="0.2">
      <c r="B107" t="s">
        <v>68</v>
      </c>
      <c r="D107" s="15">
        <f>-(600+IF(D86&gt;10,6000,600*D86)+IF(D86&gt;15,3000,250*8))</f>
        <v>-5000</v>
      </c>
      <c r="J107" s="6"/>
    </row>
    <row r="108" spans="1:13" x14ac:dyDescent="0.2">
      <c r="J108" s="6"/>
    </row>
    <row r="109" spans="1:13" x14ac:dyDescent="0.2">
      <c r="B109" t="s">
        <v>69</v>
      </c>
      <c r="D109" s="15">
        <v>2000</v>
      </c>
      <c r="J109" s="6"/>
    </row>
    <row r="110" spans="1:13" x14ac:dyDescent="0.2">
      <c r="J110" s="6"/>
    </row>
    <row r="111" spans="1:13" x14ac:dyDescent="0.2">
      <c r="J111" s="6"/>
    </row>
    <row r="112" spans="1:13" x14ac:dyDescent="0.2">
      <c r="A112" s="3" t="s">
        <v>78</v>
      </c>
      <c r="B112" s="3" t="s">
        <v>79</v>
      </c>
      <c r="C112" s="3" t="s">
        <v>80</v>
      </c>
      <c r="D112" s="3" t="s">
        <v>81</v>
      </c>
      <c r="G112"/>
      <c r="J112"/>
      <c r="M112"/>
    </row>
    <row r="113" spans="1:13" x14ac:dyDescent="0.2">
      <c r="A113" t="s">
        <v>106</v>
      </c>
      <c r="B113" t="s">
        <v>12</v>
      </c>
      <c r="D113" s="19">
        <f>D25</f>
        <v>8.199999999999999E-2</v>
      </c>
      <c r="G113"/>
      <c r="J113"/>
      <c r="M113"/>
    </row>
    <row r="114" spans="1:13" x14ac:dyDescent="0.2">
      <c r="A114" t="s">
        <v>11</v>
      </c>
      <c r="B114" t="s">
        <v>12</v>
      </c>
      <c r="D114" s="12">
        <f>D41+IF(H97="ja",D101,0)+IF(H105="ja",D109,0)+IF(D105="ja",D107,0)</f>
        <v>4316.666666666667</v>
      </c>
      <c r="G114"/>
      <c r="J114"/>
      <c r="M114"/>
    </row>
    <row r="115" spans="1:13" x14ac:dyDescent="0.2">
      <c r="A115" s="2"/>
      <c r="G115"/>
      <c r="J115"/>
      <c r="M115"/>
    </row>
    <row r="116" spans="1:13" x14ac:dyDescent="0.2">
      <c r="A116" s="2"/>
      <c r="G116"/>
      <c r="J116"/>
      <c r="M116"/>
    </row>
    <row r="117" spans="1:13" x14ac:dyDescent="0.2">
      <c r="A117" s="2"/>
      <c r="B117" s="3"/>
      <c r="G117"/>
      <c r="J117"/>
      <c r="M117"/>
    </row>
    <row r="118" spans="1:13" x14ac:dyDescent="0.2">
      <c r="A118" s="2"/>
      <c r="G118"/>
      <c r="J118"/>
      <c r="M118"/>
    </row>
    <row r="119" spans="1:13" x14ac:dyDescent="0.2">
      <c r="A119" s="2"/>
      <c r="G119"/>
      <c r="J119"/>
      <c r="M119"/>
    </row>
    <row r="120" spans="1:13" x14ac:dyDescent="0.2">
      <c r="A120" s="2"/>
      <c r="E120" s="23"/>
      <c r="G120"/>
      <c r="J120"/>
      <c r="M120"/>
    </row>
    <row r="121" spans="1:13" x14ac:dyDescent="0.2">
      <c r="A121" s="2"/>
      <c r="E121" s="23"/>
      <c r="G121"/>
      <c r="J121"/>
      <c r="M121"/>
    </row>
    <row r="122" spans="1:13" x14ac:dyDescent="0.2">
      <c r="A122" s="2"/>
      <c r="E122" s="23"/>
      <c r="G122"/>
      <c r="J122"/>
      <c r="M122"/>
    </row>
    <row r="123" spans="1:13" x14ac:dyDescent="0.2">
      <c r="A123" s="2"/>
      <c r="E123" s="23"/>
      <c r="G123"/>
      <c r="J123"/>
      <c r="M123"/>
    </row>
    <row r="124" spans="1:13" x14ac:dyDescent="0.2">
      <c r="A124" s="2"/>
      <c r="G124"/>
      <c r="J124"/>
      <c r="M124"/>
    </row>
    <row r="125" spans="1:13" x14ac:dyDescent="0.2">
      <c r="A125" s="2"/>
      <c r="G125"/>
      <c r="J125"/>
      <c r="M125"/>
    </row>
    <row r="126" spans="1:13" x14ac:dyDescent="0.2">
      <c r="A126" s="2"/>
      <c r="G126"/>
      <c r="J126"/>
      <c r="M126"/>
    </row>
    <row r="127" spans="1:13" x14ac:dyDescent="0.2">
      <c r="A127" s="2"/>
      <c r="G127"/>
      <c r="J127"/>
      <c r="M127"/>
    </row>
    <row r="128" spans="1:13" x14ac:dyDescent="0.2">
      <c r="A128" s="2"/>
      <c r="G128"/>
      <c r="J128"/>
      <c r="M128"/>
    </row>
    <row r="129" spans="1:13" x14ac:dyDescent="0.2">
      <c r="A129" s="2"/>
      <c r="B129" s="3"/>
      <c r="G129"/>
      <c r="J129"/>
      <c r="M129"/>
    </row>
    <row r="130" spans="1:13" x14ac:dyDescent="0.2">
      <c r="A130" s="2"/>
      <c r="G130"/>
      <c r="J130"/>
      <c r="M130"/>
    </row>
    <row r="131" spans="1:13" x14ac:dyDescent="0.2">
      <c r="A131" s="2"/>
      <c r="E131" s="12"/>
      <c r="G131"/>
      <c r="J131"/>
      <c r="M131"/>
    </row>
    <row r="132" spans="1:13" x14ac:dyDescent="0.2">
      <c r="A132" s="2"/>
      <c r="B132" s="24"/>
      <c r="E132" s="12"/>
      <c r="G132"/>
      <c r="J132"/>
      <c r="M132"/>
    </row>
    <row r="133" spans="1:13" x14ac:dyDescent="0.2">
      <c r="A133" s="2"/>
      <c r="B133" s="24"/>
      <c r="E133" s="12"/>
      <c r="G133"/>
      <c r="J133"/>
      <c r="M133"/>
    </row>
    <row r="134" spans="1:13" x14ac:dyDescent="0.2">
      <c r="A134" s="2"/>
      <c r="E134" s="12"/>
      <c r="G134"/>
      <c r="J134"/>
      <c r="M134"/>
    </row>
    <row r="135" spans="1:13" x14ac:dyDescent="0.2">
      <c r="A135" s="2"/>
      <c r="G135"/>
      <c r="J135"/>
      <c r="M135"/>
    </row>
    <row r="136" spans="1:13" x14ac:dyDescent="0.2">
      <c r="A136" s="2"/>
      <c r="E136" s="20"/>
      <c r="G136"/>
      <c r="J136"/>
      <c r="M136"/>
    </row>
    <row r="137" spans="1:13" x14ac:dyDescent="0.2">
      <c r="A137" s="2"/>
      <c r="E137" s="23"/>
      <c r="G137"/>
      <c r="J137"/>
      <c r="M137"/>
    </row>
    <row r="138" spans="1:13" x14ac:dyDescent="0.2">
      <c r="A138" s="2"/>
      <c r="E138" s="23"/>
      <c r="G138"/>
      <c r="J138"/>
      <c r="M138"/>
    </row>
    <row r="139" spans="1:13" x14ac:dyDescent="0.2">
      <c r="A139" s="2"/>
      <c r="E139" s="23"/>
      <c r="G139"/>
      <c r="J139"/>
      <c r="M139"/>
    </row>
    <row r="140" spans="1:13" x14ac:dyDescent="0.2">
      <c r="A140" s="2"/>
      <c r="G140"/>
      <c r="J140"/>
      <c r="M140"/>
    </row>
    <row r="141" spans="1:13" x14ac:dyDescent="0.2">
      <c r="A141" s="2"/>
      <c r="G141"/>
      <c r="J141"/>
      <c r="M141"/>
    </row>
    <row r="142" spans="1:13" x14ac:dyDescent="0.2">
      <c r="A142" s="5"/>
      <c r="B142" s="3"/>
      <c r="G142"/>
      <c r="J142"/>
      <c r="M142"/>
    </row>
    <row r="143" spans="1:13" x14ac:dyDescent="0.2">
      <c r="A143" s="2"/>
      <c r="G143"/>
      <c r="J143"/>
      <c r="M143"/>
    </row>
    <row r="144" spans="1:13" x14ac:dyDescent="0.2">
      <c r="E144" s="25"/>
      <c r="G144"/>
      <c r="H144" s="7"/>
      <c r="J144"/>
      <c r="M144"/>
    </row>
    <row r="145" spans="1:13" x14ac:dyDescent="0.2">
      <c r="E145" s="25"/>
      <c r="G145"/>
      <c r="J145"/>
      <c r="M145"/>
    </row>
    <row r="146" spans="1:13" x14ac:dyDescent="0.2">
      <c r="E146" s="25"/>
      <c r="G146"/>
      <c r="J146"/>
      <c r="M146"/>
    </row>
    <row r="147" spans="1:13" x14ac:dyDescent="0.2">
      <c r="E147" s="25"/>
      <c r="G147"/>
      <c r="J147"/>
      <c r="M147"/>
    </row>
    <row r="148" spans="1:13" x14ac:dyDescent="0.2">
      <c r="E148" s="15"/>
      <c r="G148"/>
      <c r="J148"/>
      <c r="M148"/>
    </row>
    <row r="149" spans="1:13" x14ac:dyDescent="0.2">
      <c r="E149" s="15"/>
      <c r="G149"/>
      <c r="J149"/>
      <c r="M149"/>
    </row>
    <row r="150" spans="1:13" x14ac:dyDescent="0.2">
      <c r="E150" s="15"/>
      <c r="G150"/>
      <c r="J150"/>
      <c r="M150"/>
    </row>
    <row r="151" spans="1:13" x14ac:dyDescent="0.2">
      <c r="E151" s="16"/>
      <c r="G151"/>
      <c r="J151"/>
      <c r="M151"/>
    </row>
    <row r="152" spans="1:13" x14ac:dyDescent="0.2">
      <c r="G152"/>
      <c r="J152"/>
      <c r="M152"/>
    </row>
    <row r="153" spans="1:13" x14ac:dyDescent="0.2">
      <c r="G153"/>
      <c r="J153"/>
      <c r="M153"/>
    </row>
    <row r="154" spans="1:13" x14ac:dyDescent="0.2">
      <c r="A154" s="3"/>
      <c r="B154" s="17"/>
      <c r="C154" s="17"/>
      <c r="D154" s="3"/>
      <c r="E154" s="3"/>
      <c r="F154" s="17"/>
      <c r="G154" s="17"/>
      <c r="J154"/>
      <c r="M154"/>
    </row>
    <row r="155" spans="1:13" x14ac:dyDescent="0.2">
      <c r="B155" s="26"/>
      <c r="C155" s="26"/>
      <c r="D155" s="26"/>
      <c r="E155" s="19"/>
      <c r="F155" s="11"/>
      <c r="G155" s="11"/>
      <c r="J155"/>
      <c r="M155"/>
    </row>
    <row r="156" spans="1:13" x14ac:dyDescent="0.2">
      <c r="B156" s="26"/>
      <c r="C156" s="26"/>
      <c r="D156" s="26"/>
      <c r="E156" s="19"/>
      <c r="F156" s="11"/>
      <c r="G156" s="11"/>
      <c r="J156"/>
      <c r="M156"/>
    </row>
    <row r="157" spans="1:13" x14ac:dyDescent="0.2">
      <c r="B157" s="26"/>
      <c r="C157" s="26"/>
      <c r="D157" s="26"/>
      <c r="E157" s="19"/>
      <c r="F157" s="11"/>
      <c r="G157" s="11"/>
      <c r="J157"/>
      <c r="M157"/>
    </row>
    <row r="158" spans="1:13" x14ac:dyDescent="0.2">
      <c r="B158" s="26"/>
      <c r="C158" s="26"/>
      <c r="D158" s="26"/>
      <c r="E158" s="19"/>
      <c r="F158" s="11"/>
      <c r="G158" s="11"/>
      <c r="J158"/>
      <c r="M158"/>
    </row>
    <row r="159" spans="1:13" x14ac:dyDescent="0.2">
      <c r="B159" s="26"/>
      <c r="C159" s="26"/>
      <c r="D159" s="26"/>
      <c r="E159" s="19"/>
      <c r="F159" s="11"/>
      <c r="G159" s="11"/>
      <c r="J159"/>
      <c r="M159"/>
    </row>
    <row r="160" spans="1:13" x14ac:dyDescent="0.2">
      <c r="B160" s="26"/>
      <c r="C160" s="26"/>
      <c r="D160" s="26"/>
      <c r="E160" s="19"/>
      <c r="F160" s="11"/>
      <c r="G160" s="11"/>
      <c r="J160"/>
      <c r="M160"/>
    </row>
    <row r="161" spans="2:13" x14ac:dyDescent="0.2">
      <c r="B161" s="26"/>
      <c r="C161" s="26"/>
      <c r="D161" s="26"/>
      <c r="E161" s="19"/>
      <c r="F161" s="11"/>
      <c r="G161" s="11"/>
      <c r="J161"/>
      <c r="M161"/>
    </row>
    <row r="162" spans="2:13" x14ac:dyDescent="0.2">
      <c r="B162" s="26"/>
      <c r="C162" s="26"/>
      <c r="D162" s="26"/>
      <c r="E162" s="19"/>
      <c r="F162" s="11"/>
      <c r="G162" s="11"/>
      <c r="J162"/>
      <c r="M162"/>
    </row>
    <row r="163" spans="2:13" x14ac:dyDescent="0.2">
      <c r="B163" s="26"/>
      <c r="C163" s="26"/>
      <c r="D163" s="26"/>
      <c r="E163" s="19"/>
      <c r="F163" s="11"/>
      <c r="G163" s="11"/>
      <c r="J163"/>
      <c r="M163"/>
    </row>
    <row r="164" spans="2:13" x14ac:dyDescent="0.2">
      <c r="B164" s="26"/>
      <c r="C164" s="26"/>
      <c r="D164" s="26"/>
      <c r="E164" s="19"/>
      <c r="F164" s="11"/>
      <c r="G164" s="11"/>
      <c r="J164"/>
      <c r="M164"/>
    </row>
    <row r="165" spans="2:13" x14ac:dyDescent="0.2">
      <c r="B165" s="26"/>
      <c r="C165" s="26"/>
      <c r="D165" s="26"/>
      <c r="E165" s="19"/>
      <c r="F165" s="11"/>
      <c r="G165" s="11"/>
      <c r="J165"/>
      <c r="M165"/>
    </row>
    <row r="166" spans="2:13" x14ac:dyDescent="0.2">
      <c r="B166" s="26"/>
      <c r="C166" s="26"/>
      <c r="D166" s="26"/>
      <c r="E166" s="19"/>
      <c r="F166" s="11"/>
      <c r="G166" s="11"/>
      <c r="J166"/>
      <c r="M166"/>
    </row>
    <row r="167" spans="2:13" x14ac:dyDescent="0.2">
      <c r="B167" s="26"/>
      <c r="C167" s="26"/>
      <c r="D167" s="26"/>
      <c r="E167" s="19"/>
      <c r="F167" s="11"/>
      <c r="G167" s="11"/>
      <c r="J167"/>
      <c r="M167"/>
    </row>
    <row r="168" spans="2:13" x14ac:dyDescent="0.2">
      <c r="B168" s="26"/>
      <c r="C168" s="26"/>
      <c r="D168" s="26"/>
      <c r="E168" s="19"/>
      <c r="F168" s="11"/>
      <c r="G168" s="11"/>
      <c r="J168"/>
      <c r="M168"/>
    </row>
    <row r="169" spans="2:13" x14ac:dyDescent="0.2">
      <c r="B169" s="26"/>
      <c r="C169" s="26"/>
      <c r="D169" s="26"/>
      <c r="E169" s="19"/>
      <c r="F169" s="11"/>
      <c r="G169" s="11"/>
      <c r="J169"/>
      <c r="M169"/>
    </row>
    <row r="170" spans="2:13" x14ac:dyDescent="0.2">
      <c r="B170" s="26"/>
      <c r="C170" s="26"/>
      <c r="D170" s="26"/>
      <c r="E170" s="19"/>
      <c r="F170" s="11"/>
      <c r="G170" s="11"/>
      <c r="J170"/>
      <c r="M170"/>
    </row>
    <row r="171" spans="2:13" x14ac:dyDescent="0.2">
      <c r="B171" s="26"/>
      <c r="C171" s="26"/>
      <c r="D171" s="26"/>
      <c r="E171" s="19"/>
      <c r="F171" s="11"/>
      <c r="G171" s="11"/>
      <c r="J171"/>
      <c r="M171"/>
    </row>
    <row r="172" spans="2:13" x14ac:dyDescent="0.2">
      <c r="B172" s="26"/>
      <c r="C172" s="26"/>
      <c r="D172" s="26"/>
      <c r="E172" s="19"/>
      <c r="F172" s="11"/>
      <c r="G172" s="11"/>
      <c r="J172"/>
      <c r="M172"/>
    </row>
    <row r="173" spans="2:13" x14ac:dyDescent="0.2">
      <c r="B173" s="26"/>
      <c r="C173" s="26"/>
      <c r="D173" s="26"/>
      <c r="E173" s="19"/>
      <c r="F173" s="11"/>
      <c r="G173" s="11"/>
      <c r="J173"/>
      <c r="M173"/>
    </row>
    <row r="174" spans="2:13" x14ac:dyDescent="0.2">
      <c r="B174" s="26"/>
      <c r="C174" s="26"/>
      <c r="D174" s="26"/>
      <c r="E174" s="19"/>
      <c r="F174" s="11"/>
      <c r="G174" s="11"/>
      <c r="J174"/>
      <c r="M174"/>
    </row>
    <row r="175" spans="2:13" x14ac:dyDescent="0.2">
      <c r="B175" s="26"/>
      <c r="C175" s="26"/>
      <c r="D175" s="26"/>
      <c r="E175" s="19"/>
      <c r="F175" s="11"/>
      <c r="G175" s="11"/>
      <c r="J175"/>
      <c r="M175"/>
    </row>
    <row r="176" spans="2:13" x14ac:dyDescent="0.2">
      <c r="B176" s="26"/>
      <c r="C176" s="26"/>
      <c r="D176" s="26"/>
      <c r="E176" s="19"/>
      <c r="F176" s="11"/>
      <c r="G176" s="11"/>
      <c r="J176"/>
      <c r="M176"/>
    </row>
    <row r="177" spans="1:13" x14ac:dyDescent="0.2">
      <c r="B177" s="26"/>
      <c r="C177" s="26"/>
      <c r="D177" s="26"/>
      <c r="E177" s="19"/>
      <c r="F177" s="11"/>
      <c r="G177" s="11"/>
      <c r="J177"/>
      <c r="M177"/>
    </row>
    <row r="178" spans="1:13" x14ac:dyDescent="0.2">
      <c r="B178" s="26"/>
      <c r="C178" s="26"/>
      <c r="D178" s="26"/>
      <c r="E178" s="19"/>
      <c r="F178" s="11"/>
      <c r="G178" s="11"/>
      <c r="J178"/>
      <c r="M178"/>
    </row>
    <row r="179" spans="1:13" x14ac:dyDescent="0.2">
      <c r="B179" s="26"/>
      <c r="C179" s="26"/>
      <c r="D179" s="26"/>
      <c r="E179" s="19"/>
      <c r="F179" s="11"/>
      <c r="G179" s="11"/>
      <c r="J179"/>
      <c r="M179"/>
    </row>
    <row r="180" spans="1:13" x14ac:dyDescent="0.2">
      <c r="B180" s="26"/>
      <c r="C180" s="26"/>
      <c r="D180" s="26"/>
      <c r="E180" s="19"/>
      <c r="F180" s="11"/>
      <c r="G180" s="11"/>
      <c r="J180"/>
      <c r="M180"/>
    </row>
    <row r="181" spans="1:13" x14ac:dyDescent="0.2">
      <c r="B181" s="26"/>
      <c r="C181" s="26"/>
      <c r="D181" s="26"/>
      <c r="E181" s="19"/>
      <c r="F181" s="11"/>
      <c r="G181" s="11"/>
      <c r="J181"/>
      <c r="M181"/>
    </row>
    <row r="182" spans="1:13" x14ac:dyDescent="0.2">
      <c r="B182" s="26"/>
      <c r="C182" s="26"/>
      <c r="D182" s="26"/>
      <c r="E182" s="19"/>
      <c r="F182" s="11"/>
      <c r="G182" s="11"/>
      <c r="I182" s="3"/>
      <c r="J182" s="3"/>
      <c r="K182" s="3"/>
      <c r="M182"/>
    </row>
    <row r="183" spans="1:13" x14ac:dyDescent="0.2">
      <c r="B183" s="26"/>
      <c r="C183" s="26"/>
      <c r="D183" s="26"/>
      <c r="E183" s="19"/>
      <c r="F183" s="11"/>
      <c r="G183" s="11"/>
      <c r="I183" s="3"/>
      <c r="J183" s="3"/>
      <c r="K183" s="3"/>
      <c r="M183"/>
    </row>
    <row r="184" spans="1:13" x14ac:dyDescent="0.2">
      <c r="B184" s="26"/>
      <c r="C184" s="26"/>
      <c r="D184" s="26"/>
      <c r="E184" s="19"/>
      <c r="F184" s="11"/>
      <c r="G184" s="11"/>
      <c r="J184"/>
      <c r="M184"/>
    </row>
    <row r="185" spans="1:13" x14ac:dyDescent="0.2">
      <c r="B185" s="26"/>
      <c r="C185" s="26"/>
      <c r="D185" s="26"/>
      <c r="E185" s="19"/>
      <c r="F185" s="11"/>
      <c r="G185" s="11"/>
      <c r="J185"/>
      <c r="M185"/>
    </row>
    <row r="186" spans="1:13" x14ac:dyDescent="0.2">
      <c r="G186"/>
      <c r="J186"/>
      <c r="M186"/>
    </row>
    <row r="187" spans="1:13" x14ac:dyDescent="0.2">
      <c r="A187" s="3"/>
      <c r="B187" s="3"/>
      <c r="C187" s="3"/>
      <c r="D187" s="3"/>
      <c r="J187" s="6"/>
    </row>
    <row r="188" spans="1:13" x14ac:dyDescent="0.2">
      <c r="D188" s="13"/>
      <c r="J188" s="6"/>
    </row>
    <row r="189" spans="1:13" x14ac:dyDescent="0.2">
      <c r="D189" s="13"/>
      <c r="J189" s="6"/>
    </row>
    <row r="190" spans="1:13" x14ac:dyDescent="0.2">
      <c r="D190" s="13"/>
      <c r="J190" s="6"/>
    </row>
    <row r="191" spans="1:13" x14ac:dyDescent="0.2">
      <c r="D191" s="13"/>
      <c r="J191" s="6"/>
    </row>
    <row r="192" spans="1:13" x14ac:dyDescent="0.2">
      <c r="D192" s="13"/>
      <c r="J192" s="6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</sheetData>
  <phoneticPr fontId="4" type="noConversion"/>
  <conditionalFormatting sqref="G155:G185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5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FB3-0E2B-2E44-8A34-6E570F9AA6DE}">
  <dimension ref="A1:T34"/>
  <sheetViews>
    <sheetView tabSelected="1" workbookViewId="0">
      <selection activeCell="A5" sqref="A5"/>
    </sheetView>
  </sheetViews>
  <sheetFormatPr baseColWidth="10" defaultRowHeight="16" x14ac:dyDescent="0.2"/>
  <cols>
    <col min="1" max="1" width="35.33203125" customWidth="1"/>
    <col min="4" max="5" width="11.33203125" bestFit="1" customWidth="1"/>
    <col min="16" max="16" width="11.33203125" bestFit="1" customWidth="1"/>
  </cols>
  <sheetData>
    <row r="1" spans="1:20" x14ac:dyDescent="0.2">
      <c r="A1" s="3" t="s">
        <v>78</v>
      </c>
      <c r="B1" s="3" t="s">
        <v>79</v>
      </c>
      <c r="C1" s="3" t="s">
        <v>80</v>
      </c>
      <c r="D1" s="3" t="s">
        <v>81</v>
      </c>
    </row>
    <row r="2" spans="1:20" x14ac:dyDescent="0.2">
      <c r="A2" t="s">
        <v>106</v>
      </c>
      <c r="B2" t="s">
        <v>12</v>
      </c>
      <c r="D2">
        <f>'calculation-sheet'!D113</f>
        <v>8.199999999999999E-2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  <c r="Q2" s="13"/>
      <c r="R2" s="13"/>
      <c r="S2" s="13"/>
      <c r="T2" s="11"/>
    </row>
    <row r="3" spans="1:20" x14ac:dyDescent="0.2">
      <c r="A3" t="s">
        <v>11</v>
      </c>
      <c r="B3" t="s">
        <v>12</v>
      </c>
      <c r="D3" s="12">
        <f>'calculation-sheet'!D114</f>
        <v>4316.666666666667</v>
      </c>
    </row>
    <row r="4" spans="1:20" x14ac:dyDescent="0.2">
      <c r="A4" t="s">
        <v>107</v>
      </c>
      <c r="B4" t="s">
        <v>12</v>
      </c>
      <c r="D4" s="28">
        <f>'calculation-sheet'!D74</f>
        <v>616.66666666666663</v>
      </c>
    </row>
    <row r="5" spans="1:20" x14ac:dyDescent="0.2">
      <c r="D5" s="12"/>
    </row>
    <row r="6" spans="1:20" x14ac:dyDescent="0.2">
      <c r="D6" s="12"/>
    </row>
    <row r="7" spans="1:20" x14ac:dyDescent="0.2">
      <c r="D7" s="12"/>
    </row>
    <row r="8" spans="1:20" x14ac:dyDescent="0.2">
      <c r="D8" s="12"/>
    </row>
    <row r="9" spans="1:20" x14ac:dyDescent="0.2">
      <c r="D9" s="12"/>
    </row>
    <row r="10" spans="1:20" x14ac:dyDescent="0.2">
      <c r="D10" s="12"/>
    </row>
    <row r="11" spans="1:20" x14ac:dyDescent="0.2">
      <c r="D11" s="12"/>
    </row>
    <row r="12" spans="1:20" x14ac:dyDescent="0.2">
      <c r="D12" s="12"/>
    </row>
    <row r="13" spans="1:20" x14ac:dyDescent="0.2">
      <c r="D13" s="12"/>
    </row>
    <row r="14" spans="1:20" x14ac:dyDescent="0.2">
      <c r="D14" s="12"/>
    </row>
    <row r="15" spans="1:20" x14ac:dyDescent="0.2">
      <c r="D15" s="12"/>
    </row>
    <row r="16" spans="1:20" x14ac:dyDescent="0.2">
      <c r="D16" s="12"/>
    </row>
    <row r="17" spans="4:4" x14ac:dyDescent="0.2">
      <c r="D17" s="12"/>
    </row>
    <row r="18" spans="4:4" x14ac:dyDescent="0.2">
      <c r="D18" s="12"/>
    </row>
    <row r="19" spans="4:4" x14ac:dyDescent="0.2">
      <c r="D19" s="12"/>
    </row>
    <row r="20" spans="4:4" x14ac:dyDescent="0.2">
      <c r="D20" s="12"/>
    </row>
    <row r="21" spans="4:4" x14ac:dyDescent="0.2">
      <c r="D21" s="12"/>
    </row>
    <row r="22" spans="4:4" x14ac:dyDescent="0.2">
      <c r="D22" s="12"/>
    </row>
    <row r="23" spans="4:4" x14ac:dyDescent="0.2">
      <c r="D23" s="12"/>
    </row>
    <row r="24" spans="4:4" x14ac:dyDescent="0.2">
      <c r="D24" s="12"/>
    </row>
    <row r="25" spans="4:4" x14ac:dyDescent="0.2">
      <c r="D25" s="12"/>
    </row>
    <row r="26" spans="4:4" x14ac:dyDescent="0.2">
      <c r="D26" s="12"/>
    </row>
    <row r="27" spans="4:4" x14ac:dyDescent="0.2">
      <c r="D27" s="12"/>
    </row>
    <row r="28" spans="4:4" x14ac:dyDescent="0.2">
      <c r="D28" s="12"/>
    </row>
    <row r="29" spans="4:4" x14ac:dyDescent="0.2">
      <c r="D29" s="12"/>
    </row>
    <row r="30" spans="4:4" x14ac:dyDescent="0.2">
      <c r="D30" s="12"/>
    </row>
    <row r="31" spans="4:4" x14ac:dyDescent="0.2">
      <c r="D31" s="12"/>
    </row>
    <row r="32" spans="4:4" x14ac:dyDescent="0.2">
      <c r="D32" s="12"/>
    </row>
    <row r="33" spans="4:4" x14ac:dyDescent="0.2">
      <c r="D33" s="12"/>
    </row>
    <row r="34" spans="4:4" x14ac:dyDescent="0.2">
      <c r="D34" s="12"/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Nane Becher</cp:lastModifiedBy>
  <cp:revision/>
  <cp:lastPrinted>2023-09-22T09:09:13Z</cp:lastPrinted>
  <dcterms:created xsi:type="dcterms:W3CDTF">2023-06-08T19:52:49Z</dcterms:created>
  <dcterms:modified xsi:type="dcterms:W3CDTF">2023-10-05T10:17:20Z</dcterms:modified>
  <cp:category/>
  <cp:contentStatus/>
</cp:coreProperties>
</file>