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nhofner.ICOM\sciebo - Edenhofner, Fabian Johannes (4S3GT0@rwth-aachen.de)@rwth-aachen.sciebo.de4\Abschlussarbeiten\Abgeschlossen\Becher\05_Abgabe\"/>
    </mc:Choice>
  </mc:AlternateContent>
  <xr:revisionPtr revIDLastSave="0" documentId="13_ncr:1_{C58DFCED-292B-4B43-9C95-93875A316BCB}" xr6:coauthVersionLast="36" xr6:coauthVersionMax="47" xr10:uidLastSave="{00000000-0000-0000-0000-000000000000}"/>
  <bookViews>
    <workbookView xWindow="25596" yWindow="0" windowWidth="38400" windowHeight="21600" xr2:uid="{10AE25AE-CBB9-6C48-A0BD-F3B6274A0E75}"/>
  </bookViews>
  <sheets>
    <sheet name="Eingangsparameter" sheetId="6" r:id="rId1"/>
    <sheet name="Ausgabekennzahlen" sheetId="8" r:id="rId2"/>
    <sheet name="Solareerträge" sheetId="9" r:id="rId3"/>
    <sheet name="Hilfstabelle" sheetId="7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6" l="1"/>
  <c r="D64" i="6"/>
  <c r="E143" i="6" l="1"/>
  <c r="F145" i="6"/>
  <c r="D79" i="6"/>
  <c r="D69" i="6"/>
  <c r="D60" i="6"/>
  <c r="D50" i="6"/>
  <c r="E62" i="8"/>
  <c r="E54" i="8" l="1"/>
  <c r="D77" i="6"/>
  <c r="D58" i="6"/>
  <c r="D135" i="6" l="1"/>
  <c r="E12" i="8" a="1"/>
  <c r="E12" i="8" s="1"/>
  <c r="E13" i="8" a="1"/>
  <c r="E13" i="8" s="1"/>
  <c r="D75" i="6"/>
  <c r="E144" i="6" s="1"/>
  <c r="D56" i="6"/>
  <c r="E11" i="8" l="1"/>
  <c r="E26" i="8"/>
  <c r="E10" i="8" a="1"/>
  <c r="E10" i="8" s="1"/>
  <c r="E87" i="8" l="1"/>
  <c r="E88" i="8"/>
  <c r="E89" i="8"/>
  <c r="E90" i="8"/>
  <c r="E91" i="8"/>
  <c r="I30" i="6"/>
  <c r="H30" i="6"/>
  <c r="G30" i="6"/>
  <c r="F30" i="6"/>
  <c r="E30" i="6"/>
  <c r="I29" i="6"/>
  <c r="H29" i="6"/>
  <c r="G29" i="6"/>
  <c r="F29" i="6"/>
  <c r="E29" i="6"/>
  <c r="I28" i="6"/>
  <c r="H28" i="6"/>
  <c r="G28" i="6"/>
  <c r="F28" i="6"/>
  <c r="E28" i="6"/>
  <c r="E61" i="8" l="1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D106" i="6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5" i="9"/>
  <c r="E23" i="8" l="1"/>
  <c r="D92" i="6"/>
  <c r="E29" i="8" l="1"/>
  <c r="E43" i="8" s="1"/>
  <c r="E55" i="8"/>
  <c r="D93" i="6"/>
  <c r="C119" i="6"/>
  <c r="C118" i="6"/>
  <c r="C117" i="6"/>
  <c r="C116" i="6"/>
  <c r="E44" i="8" l="1"/>
  <c r="E38" i="8"/>
  <c r="E37" i="8"/>
  <c r="E53" i="8"/>
  <c r="D85" i="6"/>
  <c r="E56" i="8" s="1"/>
  <c r="C91" i="8" s="1"/>
  <c r="D139" i="6"/>
  <c r="C78" i="8"/>
  <c r="C84" i="8"/>
  <c r="C72" i="8"/>
  <c r="C68" i="8"/>
  <c r="C62" i="8"/>
  <c r="C66" i="8"/>
  <c r="C80" i="8"/>
  <c r="C90" i="8"/>
  <c r="D25" i="6"/>
  <c r="C31" i="7"/>
  <c r="C30" i="7"/>
  <c r="C29" i="7"/>
  <c r="C75" i="8"/>
  <c r="C87" i="8"/>
  <c r="C89" i="8"/>
  <c r="C83" i="8"/>
  <c r="C65" i="8"/>
  <c r="C81" i="8"/>
  <c r="C77" i="8"/>
  <c r="C71" i="8"/>
  <c r="C69" i="8"/>
  <c r="C63" i="8"/>
  <c r="D112" i="6"/>
  <c r="E32" i="8" l="1"/>
  <c r="E33" i="8"/>
  <c r="D74" i="6"/>
  <c r="D71" i="6" s="1"/>
  <c r="C85" i="8"/>
  <c r="C67" i="8"/>
  <c r="E22" i="8"/>
  <c r="C79" i="8"/>
  <c r="C73" i="8"/>
  <c r="C88" i="8"/>
  <c r="C70" i="8"/>
  <c r="C64" i="8"/>
  <c r="C82" i="8"/>
  <c r="C76" i="8"/>
  <c r="D55" i="6"/>
  <c r="E21" i="8"/>
  <c r="D46" i="6"/>
  <c r="D43" i="6" s="1"/>
  <c r="D42" i="6" s="1"/>
  <c r="D65" i="6"/>
  <c r="D62" i="6" s="1"/>
  <c r="D78" i="6" l="1"/>
  <c r="D70" i="6" s="1"/>
  <c r="D52" i="6"/>
  <c r="D59" i="6" s="1"/>
  <c r="E27" i="8"/>
  <c r="E42" i="8" s="1"/>
  <c r="D86" i="6"/>
  <c r="J33" i="8"/>
  <c r="I33" i="8"/>
  <c r="D61" i="6"/>
  <c r="D51" i="6" l="1"/>
  <c r="D41" i="6" s="1"/>
  <c r="E145" i="6"/>
  <c r="E147" i="6" s="1"/>
  <c r="E41" i="8"/>
  <c r="I34" i="8" s="1"/>
  <c r="E36" i="8"/>
  <c r="E35" i="8" s="1"/>
  <c r="J34" i="8" s="1"/>
  <c r="E28" i="8"/>
  <c r="E52" i="8"/>
  <c r="E57" i="8"/>
  <c r="C86" i="8" s="1"/>
  <c r="C61" i="8" l="1"/>
  <c r="D61" i="8" s="1"/>
  <c r="F61" i="8" s="1"/>
  <c r="G61" i="8" s="1"/>
  <c r="E51" i="8"/>
  <c r="E50" i="8"/>
  <c r="C74" i="8"/>
  <c r="B62" i="8" l="1"/>
  <c r="D62" i="8" s="1"/>
  <c r="F62" i="8" s="1"/>
  <c r="G62" i="8" s="1"/>
  <c r="B70" i="8"/>
  <c r="D70" i="8" s="1"/>
  <c r="F70" i="8" s="1"/>
  <c r="B77" i="8"/>
  <c r="D77" i="8" s="1"/>
  <c r="F77" i="8" s="1"/>
  <c r="B71" i="8"/>
  <c r="D71" i="8" s="1"/>
  <c r="F71" i="8" s="1"/>
  <c r="B72" i="8"/>
  <c r="D72" i="8" s="1"/>
  <c r="F72" i="8" s="1"/>
  <c r="B68" i="8"/>
  <c r="D68" i="8" s="1"/>
  <c r="F68" i="8" s="1"/>
  <c r="B73" i="8"/>
  <c r="D73" i="8" s="1"/>
  <c r="F73" i="8" s="1"/>
  <c r="B66" i="8"/>
  <c r="D66" i="8" s="1"/>
  <c r="F66" i="8" s="1"/>
  <c r="B67" i="8"/>
  <c r="D67" i="8" s="1"/>
  <c r="F67" i="8" s="1"/>
  <c r="B63" i="8"/>
  <c r="D63" i="8" s="1"/>
  <c r="F63" i="8" s="1"/>
  <c r="B79" i="8"/>
  <c r="D79" i="8" s="1"/>
  <c r="F79" i="8" s="1"/>
  <c r="B80" i="8"/>
  <c r="D80" i="8" s="1"/>
  <c r="F80" i="8" s="1"/>
  <c r="B65" i="8"/>
  <c r="D65" i="8" s="1"/>
  <c r="F65" i="8" s="1"/>
  <c r="B69" i="8"/>
  <c r="D69" i="8" s="1"/>
  <c r="F69" i="8" s="1"/>
  <c r="B74" i="8"/>
  <c r="D74" i="8" s="1"/>
  <c r="F74" i="8" s="1"/>
  <c r="B75" i="8"/>
  <c r="D75" i="8" s="1"/>
  <c r="F75" i="8" s="1"/>
  <c r="B64" i="8"/>
  <c r="D64" i="8" s="1"/>
  <c r="F64" i="8" s="1"/>
  <c r="B76" i="8"/>
  <c r="D76" i="8" s="1"/>
  <c r="F76" i="8" s="1"/>
  <c r="B78" i="8"/>
  <c r="D78" i="8" s="1"/>
  <c r="F78" i="8" s="1"/>
  <c r="B81" i="8"/>
  <c r="D81" i="8" s="1"/>
  <c r="F81" i="8" s="1"/>
  <c r="B88" i="8"/>
  <c r="D88" i="8" s="1"/>
  <c r="F88" i="8" s="1"/>
  <c r="B89" i="8"/>
  <c r="D89" i="8" s="1"/>
  <c r="F89" i="8" s="1"/>
  <c r="B84" i="8"/>
  <c r="D84" i="8" s="1"/>
  <c r="F84" i="8" s="1"/>
  <c r="B90" i="8"/>
  <c r="D90" i="8" s="1"/>
  <c r="F90" i="8" s="1"/>
  <c r="B85" i="8"/>
  <c r="D85" i="8" s="1"/>
  <c r="F85" i="8" s="1"/>
  <c r="B83" i="8"/>
  <c r="D83" i="8" s="1"/>
  <c r="F83" i="8" s="1"/>
  <c r="B86" i="8"/>
  <c r="D86" i="8" s="1"/>
  <c r="F86" i="8" s="1"/>
  <c r="B91" i="8"/>
  <c r="D91" i="8" s="1"/>
  <c r="F91" i="8" s="1"/>
  <c r="B87" i="8"/>
  <c r="D87" i="8" s="1"/>
  <c r="F87" i="8" s="1"/>
  <c r="B82" i="8"/>
  <c r="D82" i="8" s="1"/>
  <c r="F82" i="8" s="1"/>
  <c r="G63" i="8" l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K86" i="8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<sst xmlns="http://schemas.openxmlformats.org/spreadsheetml/2006/main" count="599" uniqueCount="273">
  <si>
    <t>Mögliche Ausrichtungen</t>
  </si>
  <si>
    <t>Nord</t>
  </si>
  <si>
    <t>N</t>
  </si>
  <si>
    <t>Nord-Ost</t>
  </si>
  <si>
    <t>NO</t>
  </si>
  <si>
    <t>Ost</t>
  </si>
  <si>
    <t>O</t>
  </si>
  <si>
    <t>Süd-Ost</t>
  </si>
  <si>
    <t>SO</t>
  </si>
  <si>
    <t>Süd</t>
  </si>
  <si>
    <t>S</t>
  </si>
  <si>
    <t>Süd-West</t>
  </si>
  <si>
    <t>SW</t>
  </si>
  <si>
    <t>West</t>
  </si>
  <si>
    <t>W</t>
  </si>
  <si>
    <t>Nord-West</t>
  </si>
  <si>
    <t>NW</t>
  </si>
  <si>
    <t>Mögliche Neigungen</t>
  </si>
  <si>
    <t>0-5°</t>
  </si>
  <si>
    <t>nicht möglich</t>
  </si>
  <si>
    <t>5°-20°</t>
  </si>
  <si>
    <t>5°</t>
  </si>
  <si>
    <t>20°-30°</t>
  </si>
  <si>
    <t>25°</t>
  </si>
  <si>
    <t>30°-40°</t>
  </si>
  <si>
    <t>35°</t>
  </si>
  <si>
    <t>40°-50°</t>
  </si>
  <si>
    <t>45°</t>
  </si>
  <si>
    <t>50°-60°</t>
  </si>
  <si>
    <t>55°</t>
  </si>
  <si>
    <t>60°-75°</t>
  </si>
  <si>
    <t>70°</t>
  </si>
  <si>
    <t>Solarerträge</t>
  </si>
  <si>
    <t>BIPV</t>
  </si>
  <si>
    <t>BIPVT</t>
  </si>
  <si>
    <t>Ausrichtung</t>
  </si>
  <si>
    <t>Azimutwinkel</t>
  </si>
  <si>
    <t>Neigung</t>
  </si>
  <si>
    <t xml:space="preserve">Fläche </t>
  </si>
  <si>
    <t>Stromproduktion (kWh/ Jahr)</t>
  </si>
  <si>
    <t>Produktion thermische Energie</t>
  </si>
  <si>
    <t>180°</t>
  </si>
  <si>
    <t>225°</t>
  </si>
  <si>
    <t>270°</t>
  </si>
  <si>
    <t>315°</t>
  </si>
  <si>
    <t>0°</t>
  </si>
  <si>
    <t>90°</t>
  </si>
  <si>
    <t>135°</t>
  </si>
  <si>
    <t>Projektübergreifende Eingangsparameter</t>
  </si>
  <si>
    <t>Zeitraum</t>
  </si>
  <si>
    <t>Jahre</t>
  </si>
  <si>
    <t>Primärenergiefaktoren</t>
  </si>
  <si>
    <t>Netzstrom</t>
  </si>
  <si>
    <t>Erdgas</t>
  </si>
  <si>
    <t>Heizöl</t>
  </si>
  <si>
    <t>Emissionsfaktoren</t>
  </si>
  <si>
    <t>g/kWh</t>
  </si>
  <si>
    <t>Vergleichkaufpreise</t>
  </si>
  <si>
    <t>Netzstrom Haushalte</t>
  </si>
  <si>
    <t>€/kWh</t>
  </si>
  <si>
    <t>Netzstrom Nicht-Haushalte</t>
  </si>
  <si>
    <t>Erdgas Haushalte</t>
  </si>
  <si>
    <t>Erdgas Nicht-Haushalte</t>
  </si>
  <si>
    <t>Heizöl Haushalte</t>
  </si>
  <si>
    <t>Heizöl Nicht-Haushalte</t>
  </si>
  <si>
    <t>Staatliche Förderungen</t>
  </si>
  <si>
    <t>Projektspezifische Eingangsparameter</t>
  </si>
  <si>
    <t>Investitionskosten</t>
  </si>
  <si>
    <t>€</t>
  </si>
  <si>
    <t xml:space="preserve">5.2.3.1 Anlagenflächen  </t>
  </si>
  <si>
    <t>Dachintegriert</t>
  </si>
  <si>
    <t>Fläche</t>
  </si>
  <si>
    <t>m2</t>
  </si>
  <si>
    <t>Komponenten</t>
  </si>
  <si>
    <t>Module</t>
  </si>
  <si>
    <t>€/ m2</t>
  </si>
  <si>
    <t>°</t>
  </si>
  <si>
    <t>Wechselrichter</t>
  </si>
  <si>
    <t>Planung und Auslegung</t>
  </si>
  <si>
    <t>Einsparungen</t>
  </si>
  <si>
    <t>Fassadenintegriert</t>
  </si>
  <si>
    <t xml:space="preserve">laufende Kosten </t>
  </si>
  <si>
    <t>€/a</t>
  </si>
  <si>
    <t>Wartungskosten Module und Unterkonstruktion</t>
  </si>
  <si>
    <t>Wartungskosten Verkabelung und Wechselrichter</t>
  </si>
  <si>
    <t>Instandsetzung</t>
  </si>
  <si>
    <t>Energieertrag</t>
  </si>
  <si>
    <t>Anlagenfläche</t>
  </si>
  <si>
    <t>s.o.</t>
  </si>
  <si>
    <t>Gesamt</t>
  </si>
  <si>
    <t>Solare Einstrahlung</t>
  </si>
  <si>
    <t>Anzahl WE</t>
  </si>
  <si>
    <t>Anzahl Personen</t>
  </si>
  <si>
    <t>nur für WE&lt;=2 erforderlich</t>
  </si>
  <si>
    <t>kWh</t>
  </si>
  <si>
    <t>Einfamilienhaus (bis zu 2 WE)</t>
  </si>
  <si>
    <t>kWh/ Person</t>
  </si>
  <si>
    <t>Mehrfamilienhaus (&gt; 2 WE)</t>
  </si>
  <si>
    <t>kWh/WE</t>
  </si>
  <si>
    <t>Einfamilienhaus Personen (bis zu 2 WE)</t>
  </si>
  <si>
    <t>Mehrfamilienhaus Wohneinheiten</t>
  </si>
  <si>
    <t>1 WE</t>
  </si>
  <si>
    <t>2 WE</t>
  </si>
  <si>
    <t>3 WE</t>
  </si>
  <si>
    <t>4 WE</t>
  </si>
  <si>
    <t>5 WE</t>
  </si>
  <si>
    <t>6 WE</t>
  </si>
  <si>
    <t>7 WE</t>
  </si>
  <si>
    <t>8 WE</t>
  </si>
  <si>
    <t>9 WE</t>
  </si>
  <si>
    <t>10 WE</t>
  </si>
  <si>
    <t>Ausgangskennzahlen</t>
  </si>
  <si>
    <t>Solarertrag</t>
  </si>
  <si>
    <t xml:space="preserve">spezifischer Kollektorjahresertrag </t>
  </si>
  <si>
    <t>kWh/a</t>
  </si>
  <si>
    <t>Anteil thermisch</t>
  </si>
  <si>
    <t>Anteil elektrisch</t>
  </si>
  <si>
    <t>energiebezogene Kennzahlen</t>
  </si>
  <si>
    <t>ökologische Kennzahlen</t>
  </si>
  <si>
    <t>Primärenergieverbrauch</t>
  </si>
  <si>
    <t>ggf. Einsparung gegenüber Vergleichssystem</t>
  </si>
  <si>
    <t>wirtschaftliche Kennzahlen</t>
  </si>
  <si>
    <t>Zeit [Jahre]</t>
  </si>
  <si>
    <t>R(t)=E(t)-A(t)</t>
  </si>
  <si>
    <t>1/((1+i)^t)</t>
  </si>
  <si>
    <t>Barwert im Jahr t</t>
  </si>
  <si>
    <t>kumulierter Barwert</t>
  </si>
  <si>
    <t>Amortisationsdauer</t>
  </si>
  <si>
    <t>Jahresenergiebedarf Trinkwassererwärmung</t>
  </si>
  <si>
    <t>Anteil Stromproduktion vom Optimum</t>
  </si>
  <si>
    <t xml:space="preserve">spezifischer Jährlicher Ertrag </t>
  </si>
  <si>
    <t>kWh/kWpeak</t>
  </si>
  <si>
    <t>Leistung Module</t>
  </si>
  <si>
    <t>kWpeak/m2</t>
  </si>
  <si>
    <t>Leistung je m2 Modulfläche</t>
  </si>
  <si>
    <t>Der jährliche Ertrag einer Anlage lässt sich auch über die Solarkataster der jeweiligen Bundesländer genauer ermitteln</t>
  </si>
  <si>
    <t xml:space="preserve">In dieser Arbeit wird der Solarertrag durch deutschen Durchschnittswert des spezifischen jährlichen Ertrags berechnet. </t>
  </si>
  <si>
    <t>&gt;75° Fassade</t>
  </si>
  <si>
    <t>Wohnfläche</t>
  </si>
  <si>
    <t>Neubau</t>
  </si>
  <si>
    <t>Bestand</t>
  </si>
  <si>
    <t>Gebäudeart</t>
  </si>
  <si>
    <t>kWh/m2</t>
  </si>
  <si>
    <t>spezifischer Heizwärmebedarf Neubaugebäude</t>
  </si>
  <si>
    <t>spezifischer Heizwärmebedarf Bestandsgebäude</t>
  </si>
  <si>
    <t>nutzbarer Eigenanteil am jährlichen Ertrag</t>
  </si>
  <si>
    <t>jährlich nutzbare Energie elektrisch</t>
  </si>
  <si>
    <t>jährlich Eingespeiste Energie</t>
  </si>
  <si>
    <t>Ertrag im Jahr t E(t)</t>
  </si>
  <si>
    <t>Ausgabe im Jahr t A(t)</t>
  </si>
  <si>
    <t>jährliche Einsparung durch nicht erforderlichen Strom</t>
  </si>
  <si>
    <t>Unterkonstruktion und Zubehör</t>
  </si>
  <si>
    <t>durch Elektriker</t>
  </si>
  <si>
    <t>€/m2/2a</t>
  </si>
  <si>
    <t xml:space="preserve">Reinigung und Sichtprüfung der Module </t>
  </si>
  <si>
    <t>kWpeak</t>
  </si>
  <si>
    <t>Flächenleistung der Modul</t>
  </si>
  <si>
    <t>Inbetreibnahme der Anlage</t>
  </si>
  <si>
    <t>&lt; 10 kWp</t>
  </si>
  <si>
    <t>Größe</t>
  </si>
  <si>
    <t>Vergütung ct/kWh</t>
  </si>
  <si>
    <t>&lt; 40 kWp</t>
  </si>
  <si>
    <t>&lt; 100 kWp</t>
  </si>
  <si>
    <t>Inbetriebnahme ab 01.08.2024</t>
  </si>
  <si>
    <t>Inbetriebnahme bis 31.01.2024</t>
  </si>
  <si>
    <t>Inbetriebnahme ab 01.02.2024</t>
  </si>
  <si>
    <t>Inbetriebnahme ab 01.08.2025</t>
  </si>
  <si>
    <t>Inbetriebnahme ab 01.02.2025</t>
  </si>
  <si>
    <t>Inbetriebnahme ab 01.02.2026</t>
  </si>
  <si>
    <t>anzulegender Wert</t>
  </si>
  <si>
    <t>Einspeisevergütung ersten 20 Jahre</t>
  </si>
  <si>
    <t>Einspeisevergütung nach 20 Jahre</t>
  </si>
  <si>
    <t>Kosten für Stromzähler</t>
  </si>
  <si>
    <t>Kalkulationszinssatz</t>
  </si>
  <si>
    <t>Jahresenergiebedarf</t>
  </si>
  <si>
    <t>Lastmanagementpotentiale</t>
  </si>
  <si>
    <t>nutzbarer Eigenanteil am jährlichen Stromertrag</t>
  </si>
  <si>
    <t xml:space="preserve">Neubau auch bei Kernsanierungen </t>
  </si>
  <si>
    <t>jährlicher Ertrag durch eingespeisten Strom (Jahr 1-20)</t>
  </si>
  <si>
    <t>jährlicher Ertrag durch eingespeisten Strom (Jahr 20-30)</t>
  </si>
  <si>
    <t>a</t>
  </si>
  <si>
    <t>b</t>
  </si>
  <si>
    <t>c</t>
  </si>
  <si>
    <t>d</t>
  </si>
  <si>
    <t>Wärmepumpe</t>
  </si>
  <si>
    <t>Installation pauschal</t>
  </si>
  <si>
    <t>Installation je m2</t>
  </si>
  <si>
    <t>spezifischer jährlicher Ertrag Deutschland PV</t>
  </si>
  <si>
    <t>jährliche Einsparung durch nicht erforderliche Wärme</t>
  </si>
  <si>
    <t>der Wirkungsgrad der Module lässt über die Zeit nach, daher nach 30 Jahren 87%, linear aufteilen. Jedes Jahr 0,4% (0,4333333) weniger Erträge</t>
  </si>
  <si>
    <t>1-3 kWp</t>
  </si>
  <si>
    <t>3-6 kWp</t>
  </si>
  <si>
    <t>6-9 kWp</t>
  </si>
  <si>
    <t>9-15 kWp</t>
  </si>
  <si>
    <t>15-100 kWp</t>
  </si>
  <si>
    <t>jährlicher Energieeintrag BIPV (elektrisch)</t>
  </si>
  <si>
    <t>jährlicher Energieeintrag BIPVT</t>
  </si>
  <si>
    <t>CO2-Äquivalent</t>
  </si>
  <si>
    <t>für Strom eingespart</t>
  </si>
  <si>
    <t>für Erdgas eingespart</t>
  </si>
  <si>
    <t>für Heizöl eingespart</t>
  </si>
  <si>
    <t>jährlich nutzbare Energie thermisch</t>
  </si>
  <si>
    <t xml:space="preserve">für Strom eingespart </t>
  </si>
  <si>
    <t>CO2-Äquivalent Gesamt eingespart</t>
  </si>
  <si>
    <t>Primärenergieverbrauch Gesamt eingespart</t>
  </si>
  <si>
    <t>kg/a</t>
  </si>
  <si>
    <t>Vorheriger Wärmeerzeuger oder Vergleichsystem</t>
  </si>
  <si>
    <t>Jahresenergieverbrauch Gesamt</t>
  </si>
  <si>
    <t>Primärenergieverbrauch Gesamt Vergleichsystem</t>
  </si>
  <si>
    <t>CO2-Äquivalent Gesamt Vergleichsystem</t>
  </si>
  <si>
    <t>Ohne BIPV(T)</t>
  </si>
  <si>
    <t>Mit BIPV(T)</t>
  </si>
  <si>
    <t xml:space="preserve">laufende Kosten jährlich </t>
  </si>
  <si>
    <t>€/ 12a</t>
  </si>
  <si>
    <t>Sanierung</t>
  </si>
  <si>
    <t>ja</t>
  </si>
  <si>
    <t>nein</t>
  </si>
  <si>
    <t>Soll ein Speicher verbaut werden?</t>
  </si>
  <si>
    <t>erhöht den nutzbaren Anteil um</t>
  </si>
  <si>
    <t>€/3a</t>
  </si>
  <si>
    <t>Investitionskosten für einen Speicher</t>
  </si>
  <si>
    <t>laufende Kosten alle 2 Jahre</t>
  </si>
  <si>
    <t>laufende Kosten alle 3 Jahre</t>
  </si>
  <si>
    <t>Austausch Wechselrichter alle 12 Jahre</t>
  </si>
  <si>
    <t>für Strom</t>
  </si>
  <si>
    <t>für Wärme + TWW</t>
  </si>
  <si>
    <t>6.1</t>
  </si>
  <si>
    <t>6.1.1</t>
  </si>
  <si>
    <t>6.1.2</t>
  </si>
  <si>
    <t>6.1.3</t>
  </si>
  <si>
    <t>6.1.4</t>
  </si>
  <si>
    <t>6.1.5</t>
  </si>
  <si>
    <t>6.1.6</t>
  </si>
  <si>
    <t>6.2</t>
  </si>
  <si>
    <t>6.2.1</t>
  </si>
  <si>
    <t>6.2.2</t>
  </si>
  <si>
    <t>6.2.2.1</t>
  </si>
  <si>
    <t>6.2.2.2</t>
  </si>
  <si>
    <t>6.2.2.3</t>
  </si>
  <si>
    <t>6.2.3</t>
  </si>
  <si>
    <t>6.2.3.1</t>
  </si>
  <si>
    <t>6.2.3.2</t>
  </si>
  <si>
    <t>siehe auch Tabellenblatt Solarerträge</t>
  </si>
  <si>
    <t>6.2.4</t>
  </si>
  <si>
    <t>6.2.4.1</t>
  </si>
  <si>
    <t>Jahresenergiebedarf Wärme</t>
  </si>
  <si>
    <t>6.2.4.2</t>
  </si>
  <si>
    <t>6.2.4.3</t>
  </si>
  <si>
    <t>Jahresenergiebedarf Strom</t>
  </si>
  <si>
    <t>6.2.4.4</t>
  </si>
  <si>
    <t>6.3</t>
  </si>
  <si>
    <t>6.3.1</t>
  </si>
  <si>
    <t>6.3.2</t>
  </si>
  <si>
    <t>6.3.3</t>
  </si>
  <si>
    <t>6.3.4</t>
  </si>
  <si>
    <t>6.3.4.3</t>
  </si>
  <si>
    <t>INFO</t>
  </si>
  <si>
    <t xml:space="preserve">Break-Even-Point Kalkulator - Excelbasierte Kalkulation </t>
  </si>
  <si>
    <t>Erläuterung der Tabelle in Kapitel 7.1</t>
  </si>
  <si>
    <t>Kapitel</t>
  </si>
  <si>
    <t>feste Eingangsparameter</t>
  </si>
  <si>
    <t>Eingabe durch Anwendende:n</t>
  </si>
  <si>
    <t>automatisch berechnet</t>
  </si>
  <si>
    <t>Legende:</t>
  </si>
  <si>
    <t>solathermischer jährlicher Ertrag der Module</t>
  </si>
  <si>
    <t>6.4</t>
  </si>
  <si>
    <t>Förderungen</t>
  </si>
  <si>
    <t>Zuschuss Solarkollektoranlagen</t>
  </si>
  <si>
    <t>Zuschuss Heizungstausch</t>
  </si>
  <si>
    <t xml:space="preserve">Zuschuss Planung </t>
  </si>
  <si>
    <t>BEG EM für BIPVT-Anlagen Bestandsgebäude und Sanierungen</t>
  </si>
  <si>
    <t>hier anwendbare Förderungen aus BEG EM</t>
  </si>
  <si>
    <t>maximal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</si>
</sst>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#,##0.00\ &quot;€&quot;"/>
    <numFmt numFmtId="166" formatCode="0\°"/>
    <numFmt numFmtId="167" formatCode="0.0000"/>
    <numFmt numFmtId="168" formatCode="_-* #,##0.00\ [$€-407]_-;\-* #,##0.00\ [$€-407]_-;_-* &quot;-&quot;??\ [$€-407]_-;_-@_-"/>
  </numFmts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Textkörper)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68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1" applyFont="1"/>
    <xf numFmtId="49" fontId="4" fillId="0" borderId="0" xfId="0" applyNumberFormat="1" applyFont="1" applyAlignment="1">
      <alignment horizontal="center"/>
    </xf>
    <xf numFmtId="0" fontId="4" fillId="0" borderId="0" xfId="0" applyFont="1"/>
    <xf numFmtId="165" fontId="0" fillId="0" borderId="0" xfId="0" applyNumberFormat="1"/>
    <xf numFmtId="164" fontId="0" fillId="0" borderId="0" xfId="1" applyFon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6" fillId="0" borderId="0" xfId="0" applyFont="1"/>
    <xf numFmtId="0" fontId="0" fillId="2" borderId="0" xfId="0" applyFill="1"/>
    <xf numFmtId="9" fontId="0" fillId="2" borderId="0" xfId="0" applyNumberFormat="1" applyFill="1"/>
    <xf numFmtId="164" fontId="0" fillId="2" borderId="0" xfId="1" applyFont="1" applyFill="1"/>
    <xf numFmtId="164" fontId="1" fillId="2" borderId="0" xfId="1" applyFont="1" applyFill="1"/>
    <xf numFmtId="49" fontId="0" fillId="3" borderId="0" xfId="0" applyNumberForma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0" fillId="3" borderId="0" xfId="0" applyFill="1"/>
    <xf numFmtId="164" fontId="0" fillId="4" borderId="0" xfId="1" applyFont="1" applyFill="1"/>
    <xf numFmtId="16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1" fillId="0" borderId="0" xfId="0" applyFont="1"/>
    <xf numFmtId="4" fontId="0" fillId="4" borderId="0" xfId="0" applyNumberFormat="1" applyFill="1"/>
    <xf numFmtId="0" fontId="2" fillId="0" borderId="0" xfId="0" applyFont="1" applyAlignment="1">
      <alignment wrapText="1"/>
    </xf>
    <xf numFmtId="167" fontId="0" fillId="0" borderId="0" xfId="0" applyNumberFormat="1"/>
    <xf numFmtId="8" fontId="0" fillId="0" borderId="0" xfId="0" applyNumberFormat="1"/>
    <xf numFmtId="168" fontId="0" fillId="4" borderId="0" xfId="0" applyNumberFormat="1" applyFill="1"/>
    <xf numFmtId="0" fontId="0" fillId="0" borderId="0" xfId="0" applyAlignment="1">
      <alignment horizontal="left" indent="1"/>
    </xf>
    <xf numFmtId="44" fontId="0" fillId="4" borderId="0" xfId="2" applyFont="1" applyFill="1"/>
    <xf numFmtId="2" fontId="0" fillId="4" borderId="0" xfId="1" applyNumberFormat="1" applyFon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2" fontId="0" fillId="2" borderId="0" xfId="0" applyNumberFormat="1" applyFill="1"/>
    <xf numFmtId="167" fontId="0" fillId="4" borderId="0" xfId="0" applyNumberFormat="1" applyFill="1"/>
    <xf numFmtId="49" fontId="7" fillId="0" borderId="0" xfId="0" applyNumberFormat="1" applyFont="1" applyAlignment="1">
      <alignment horizontal="center"/>
    </xf>
    <xf numFmtId="43" fontId="1" fillId="0" borderId="0" xfId="0" applyNumberFormat="1" applyFont="1"/>
    <xf numFmtId="3" fontId="0" fillId="4" borderId="0" xfId="0" applyNumberFormat="1" applyFill="1"/>
    <xf numFmtId="3" fontId="0" fillId="0" borderId="0" xfId="0" applyNumberFormat="1"/>
    <xf numFmtId="168" fontId="0" fillId="4" borderId="0" xfId="2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2" fontId="0" fillId="0" borderId="0" xfId="0" applyNumberFormat="1"/>
    <xf numFmtId="164" fontId="1" fillId="0" borderId="0" xfId="1" applyFont="1" applyFill="1"/>
    <xf numFmtId="44" fontId="0" fillId="2" borderId="0" xfId="2" applyFont="1" applyFill="1"/>
    <xf numFmtId="0" fontId="6" fillId="0" borderId="0" xfId="0" applyFont="1" applyAlignment="1">
      <alignment horizontal="left" indent="1"/>
    </xf>
    <xf numFmtId="0" fontId="8" fillId="0" borderId="0" xfId="0" applyFont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0" fillId="0" borderId="3" xfId="0" applyBorder="1"/>
    <xf numFmtId="164" fontId="3" fillId="0" borderId="4" xfId="1" applyFont="1" applyBorder="1"/>
    <xf numFmtId="0" fontId="0" fillId="0" borderId="5" xfId="0" applyBorder="1"/>
    <xf numFmtId="164" fontId="0" fillId="0" borderId="4" xfId="1" applyFont="1" applyBorder="1"/>
    <xf numFmtId="164" fontId="0" fillId="0" borderId="6" xfId="1" applyFont="1" applyBorder="1"/>
    <xf numFmtId="0" fontId="0" fillId="0" borderId="7" xfId="0" applyBorder="1"/>
    <xf numFmtId="49" fontId="2" fillId="0" borderId="7" xfId="0" applyNumberFormat="1" applyFont="1" applyBorder="1" applyAlignment="1">
      <alignment horizontal="center"/>
    </xf>
    <xf numFmtId="0" fontId="0" fillId="0" borderId="8" xfId="0" applyBorder="1"/>
    <xf numFmtId="164" fontId="2" fillId="0" borderId="1" xfId="1" applyFont="1" applyBorder="1"/>
    <xf numFmtId="44" fontId="0" fillId="0" borderId="0" xfId="2" applyFont="1" applyFill="1"/>
    <xf numFmtId="9" fontId="3" fillId="2" borderId="0" xfId="2" applyNumberFormat="1" applyFont="1" applyFill="1"/>
    <xf numFmtId="43" fontId="0" fillId="4" borderId="0" xfId="0" applyNumberFormat="1" applyFill="1"/>
    <xf numFmtId="2" fontId="1" fillId="4" borderId="0" xfId="0" applyNumberFormat="1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3">
    <cellStyle name="Komma" xfId="1" builtinId="3"/>
    <cellStyle name="Standard" xfId="0" builtinId="0"/>
    <cellStyle name="Währung" xfId="2" builtinId="4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Amortisationsdauer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Ausgabekennzahlen!$G$61:$G$91</c:f>
              <c:numCache>
                <c:formatCode>"€"#,##0.00_);[Red]\("€"#,##0.00\)</c:formatCode>
                <c:ptCount val="31"/>
                <c:pt idx="0">
                  <c:v>-34664.644444444442</c:v>
                </c:pt>
                <c:pt idx="1">
                  <c:v>-31412.849554920635</c:v>
                </c:pt>
                <c:pt idx="2">
                  <c:v>-28437.496180350114</c:v>
                </c:pt>
                <c:pt idx="3">
                  <c:v>-25698.898139595985</c:v>
                </c:pt>
                <c:pt idx="4">
                  <c:v>-23023.295263516986</c:v>
                </c:pt>
                <c:pt idx="5">
                  <c:v>-20392.093357506532</c:v>
                </c:pt>
                <c:pt idx="6">
                  <c:v>-18147.405105318001</c:v>
                </c:pt>
                <c:pt idx="7">
                  <c:v>-15780.808273161752</c:v>
                </c:pt>
                <c:pt idx="8">
                  <c:v>-13617.641947108881</c:v>
                </c:pt>
                <c:pt idx="9">
                  <c:v>-11628.427611981531</c:v>
                </c:pt>
                <c:pt idx="10">
                  <c:v>-9683.6322058826008</c:v>
                </c:pt>
                <c:pt idx="11">
                  <c:v>-7769.5037417831618</c:v>
                </c:pt>
                <c:pt idx="12">
                  <c:v>-6141.4493881366261</c:v>
                </c:pt>
                <c:pt idx="13">
                  <c:v>-6143.7328608863309</c:v>
                </c:pt>
                <c:pt idx="14">
                  <c:v>-4572.1449161749897</c:v>
                </c:pt>
                <c:pt idx="15">
                  <c:v>-3128.3340504500015</c:v>
                </c:pt>
                <c:pt idx="16">
                  <c:v>-1715.7372973558754</c:v>
                </c:pt>
                <c:pt idx="17">
                  <c:v>-324.18471129976683</c:v>
                </c:pt>
                <c:pt idx="18">
                  <c:v>855.64732824274938</c:v>
                </c:pt>
                <c:pt idx="19">
                  <c:v>2106.7004539186419</c:v>
                </c:pt>
                <c:pt idx="20">
                  <c:v>3247.6547448549554</c:v>
                </c:pt>
                <c:pt idx="21">
                  <c:v>4312.8668888457933</c:v>
                </c:pt>
                <c:pt idx="22">
                  <c:v>5355.2917443238366</c:v>
                </c:pt>
                <c:pt idx="23">
                  <c:v>6382.4977935432798</c:v>
                </c:pt>
                <c:pt idx="24">
                  <c:v>7252.1797043526121</c:v>
                </c:pt>
                <c:pt idx="25">
                  <c:v>7215.7199647934722</c:v>
                </c:pt>
                <c:pt idx="26">
                  <c:v>8057.2647138772008</c:v>
                </c:pt>
                <c:pt idx="27">
                  <c:v>8829.1984745465797</c:v>
                </c:pt>
                <c:pt idx="28">
                  <c:v>9585.2205783401532</c:v>
                </c:pt>
                <c:pt idx="29">
                  <c:v>10330.926716166123</c:v>
                </c:pt>
                <c:pt idx="30">
                  <c:v>10960.076908550447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1C-F44D-BFF9-675A684AA6BC}"/>
            </c:ext>
          </c:extLst>
        </c:ser>
        <c:ser>
          <c:idx val="0"/>
          <c:order val="1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Ausgabekennzahlen!$G$61:$G$91</c:f>
              <c:numCache>
                <c:formatCode>"€"#,##0.00_);[Red]\("€"#,##0.00\)</c:formatCode>
                <c:ptCount val="31"/>
                <c:pt idx="0">
                  <c:v>-34664.644444444442</c:v>
                </c:pt>
                <c:pt idx="1">
                  <c:v>-31412.849554920635</c:v>
                </c:pt>
                <c:pt idx="2">
                  <c:v>-28437.496180350114</c:v>
                </c:pt>
                <c:pt idx="3">
                  <c:v>-25698.898139595985</c:v>
                </c:pt>
                <c:pt idx="4">
                  <c:v>-23023.295263516986</c:v>
                </c:pt>
                <c:pt idx="5">
                  <c:v>-20392.093357506532</c:v>
                </c:pt>
                <c:pt idx="6">
                  <c:v>-18147.405105318001</c:v>
                </c:pt>
                <c:pt idx="7">
                  <c:v>-15780.808273161752</c:v>
                </c:pt>
                <c:pt idx="8">
                  <c:v>-13617.641947108881</c:v>
                </c:pt>
                <c:pt idx="9">
                  <c:v>-11628.427611981531</c:v>
                </c:pt>
                <c:pt idx="10">
                  <c:v>-9683.6322058826008</c:v>
                </c:pt>
                <c:pt idx="11">
                  <c:v>-7769.5037417831618</c:v>
                </c:pt>
                <c:pt idx="12">
                  <c:v>-6141.4493881366261</c:v>
                </c:pt>
                <c:pt idx="13">
                  <c:v>-6143.7328608863309</c:v>
                </c:pt>
                <c:pt idx="14">
                  <c:v>-4572.1449161749897</c:v>
                </c:pt>
                <c:pt idx="15">
                  <c:v>-3128.3340504500015</c:v>
                </c:pt>
                <c:pt idx="16">
                  <c:v>-1715.7372973558754</c:v>
                </c:pt>
                <c:pt idx="17">
                  <c:v>-324.18471129976683</c:v>
                </c:pt>
                <c:pt idx="18">
                  <c:v>855.64732824274938</c:v>
                </c:pt>
                <c:pt idx="19">
                  <c:v>2106.7004539186419</c:v>
                </c:pt>
                <c:pt idx="20">
                  <c:v>3247.6547448549554</c:v>
                </c:pt>
                <c:pt idx="21">
                  <c:v>4312.8668888457933</c:v>
                </c:pt>
                <c:pt idx="22">
                  <c:v>5355.2917443238366</c:v>
                </c:pt>
                <c:pt idx="23">
                  <c:v>6382.4977935432798</c:v>
                </c:pt>
                <c:pt idx="24">
                  <c:v>7252.1797043526121</c:v>
                </c:pt>
                <c:pt idx="25">
                  <c:v>7215.7199647934722</c:v>
                </c:pt>
                <c:pt idx="26">
                  <c:v>8057.2647138772008</c:v>
                </c:pt>
                <c:pt idx="27">
                  <c:v>8829.1984745465797</c:v>
                </c:pt>
                <c:pt idx="28">
                  <c:v>9585.2205783401532</c:v>
                </c:pt>
                <c:pt idx="29">
                  <c:v>10330.926716166123</c:v>
                </c:pt>
                <c:pt idx="30">
                  <c:v>10960.076908550447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1C-F44D-BFF9-675A684AA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990080"/>
        <c:axId val="496874176"/>
      </c:lineChart>
      <c:catAx>
        <c:axId val="45999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874176"/>
        <c:crosses val="autoZero"/>
        <c:auto val="1"/>
        <c:lblAlgn val="ctr"/>
        <c:lblOffset val="100"/>
        <c:noMultiLvlLbl val="0"/>
      </c:catAx>
      <c:valAx>
        <c:axId val="49687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kumulierter Barwert</a:t>
                </a:r>
              </a:p>
            </c:rich>
          </c:tx>
          <c:layout>
            <c:manualLayout>
              <c:xMode val="edge"/>
              <c:yMode val="edge"/>
              <c:x val="1.9383259911894272E-2"/>
              <c:y val="0.3805018559465326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999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Ausgabekennzahlen!$I$32</c:f>
              <c:strCache>
                <c:ptCount val="1"/>
                <c:pt idx="0">
                  <c:v>CO2-Äquivalent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Ausgabekennzahlen!$H$33:$H$34</c:f>
              <c:strCache>
                <c:ptCount val="2"/>
                <c:pt idx="0">
                  <c:v>Ohne BIPV(T)</c:v>
                </c:pt>
                <c:pt idx="1">
                  <c:v>Mit BIPV(T)</c:v>
                </c:pt>
              </c:strCache>
            </c:strRef>
          </c:cat>
          <c:val>
            <c:numRef>
              <c:f>Ausgabekennzahlen!$I$33:$I$34</c:f>
              <c:numCache>
                <c:formatCode>#,##0</c:formatCode>
                <c:ptCount val="2"/>
                <c:pt idx="0">
                  <c:v>7764</c:v>
                </c:pt>
                <c:pt idx="1">
                  <c:v>1537.6000000000004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7-C947-A2DD-B9154E04F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9199551"/>
        <c:axId val="1713683087"/>
      </c:barChart>
      <c:catAx>
        <c:axId val="161919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3683087"/>
        <c:crosses val="autoZero"/>
        <c:auto val="1"/>
        <c:lblAlgn val="ctr"/>
        <c:lblOffset val="100"/>
        <c:noMultiLvlLbl val="0"/>
      </c:catAx>
      <c:valAx>
        <c:axId val="171368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1919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Ausgabekennzahlen!$J$32</c:f>
              <c:strCache>
                <c:ptCount val="1"/>
                <c:pt idx="0">
                  <c:v>Primärenergieverbrauch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Ausgabekennzahlen!$K$33:$K$34</c:f>
              <c:strCache>
                <c:ptCount val="2"/>
                <c:pt idx="0">
                  <c:v>Ohne BIPV(T)</c:v>
                </c:pt>
                <c:pt idx="1">
                  <c:v>Mit BIPV(T)</c:v>
                </c:pt>
              </c:strCache>
            </c:strRef>
          </c:cat>
          <c:val>
            <c:numRef>
              <c:f>Ausgabekennzahlen!$J$33:$J$34</c:f>
              <c:numCache>
                <c:formatCode>#,##0</c:formatCode>
                <c:ptCount val="2"/>
                <c:pt idx="0">
                  <c:v>26240</c:v>
                </c:pt>
                <c:pt idx="1">
                  <c:v>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E-C94C-921F-06A63DDA3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7012591"/>
        <c:axId val="1713604335"/>
      </c:barChart>
      <c:catAx>
        <c:axId val="171701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3604335"/>
        <c:crosses val="autoZero"/>
        <c:auto val="1"/>
        <c:lblAlgn val="ctr"/>
        <c:lblOffset val="100"/>
        <c:noMultiLvlLbl val="0"/>
      </c:catAx>
      <c:valAx>
        <c:axId val="17136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701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59</xdr:row>
      <xdr:rowOff>50800</xdr:rowOff>
    </xdr:from>
    <xdr:to>
      <xdr:col>18</xdr:col>
      <xdr:colOff>342900</xdr:colOff>
      <xdr:row>82</xdr:row>
      <xdr:rowOff>146050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2483F4-E2A8-0E56-D2C1-6E2A28781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604845</xdr:colOff>
      <xdr:row>29</xdr:row>
      <xdr:rowOff>62582</xdr:rowOff>
    </xdr:from>
    <xdr:to>
      <xdr:col>12</xdr:col>
      <xdr:colOff>96845</xdr:colOff>
      <xdr:row>42</xdr:row>
      <xdr:rowOff>164182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C6F880B-F43B-749F-F641-C6BA3426F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222439</xdr:colOff>
      <xdr:row>29</xdr:row>
      <xdr:rowOff>62580</xdr:rowOff>
    </xdr:from>
    <xdr:to>
      <xdr:col>17</xdr:col>
      <xdr:colOff>578039</xdr:colOff>
      <xdr:row>42</xdr:row>
      <xdr:rowOff>164181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7BB8FB1-E4E0-1C82-5751-E68C1965B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EEE4-CC8A-8E45-BFEF-C6530A976C96}">
  <dimension ref="A1:N147"/>
  <sheetViews>
    <sheetView tabSelected="1" zoomScale="88" workbookViewId="0">
      <selection activeCell="G57" sqref="G57"/>
    </sheetView>
  </sheetViews>
  <sheetFormatPr baseColWidth="10" defaultColWidth="11" defaultRowHeight="15.6"/>
  <cols>
    <col min="1" max="2" width="11" customWidth="1"/>
    <col min="3" max="3" width="25.796875" customWidth="1"/>
    <col min="4" max="4" width="15.796875" customWidth="1"/>
    <col min="5" max="5" width="15.296875" customWidth="1"/>
    <col min="6" max="6" width="14.5" customWidth="1"/>
    <col min="7" max="7" width="14.796875" style="1" customWidth="1"/>
    <col min="8" max="8" width="15" customWidth="1"/>
    <col min="9" max="9" width="14.796875" customWidth="1"/>
    <col min="10" max="10" width="12.296875" style="4" customWidth="1"/>
    <col min="13" max="13" width="10.796875" style="2"/>
    <col min="16" max="16" width="18.69921875" customWidth="1"/>
    <col min="19" max="22" width="10.796875" customWidth="1"/>
  </cols>
  <sheetData>
    <row r="1" spans="1:14" ht="34.200000000000003" thickBot="1">
      <c r="A1" s="50" t="s">
        <v>257</v>
      </c>
    </row>
    <row r="2" spans="1:14" ht="16.95" customHeight="1">
      <c r="A2" t="s">
        <v>258</v>
      </c>
      <c r="J2" s="61" t="s">
        <v>263</v>
      </c>
      <c r="K2" s="51"/>
      <c r="L2" s="51"/>
      <c r="M2" s="52"/>
      <c r="N2" s="53"/>
    </row>
    <row r="3" spans="1:14" ht="16.05" customHeight="1">
      <c r="J3" s="54"/>
      <c r="K3" s="12"/>
      <c r="L3" t="s">
        <v>260</v>
      </c>
      <c r="M3" s="1"/>
      <c r="N3" s="55"/>
    </row>
    <row r="4" spans="1:14">
      <c r="A4" s="34" t="s">
        <v>259</v>
      </c>
      <c r="J4" s="56"/>
      <c r="K4" s="18"/>
      <c r="L4" t="s">
        <v>261</v>
      </c>
      <c r="N4" s="55"/>
    </row>
    <row r="5" spans="1:14">
      <c r="A5" s="2" t="s">
        <v>226</v>
      </c>
      <c r="B5" s="3" t="s">
        <v>48</v>
      </c>
      <c r="J5" s="56"/>
      <c r="K5" s="24"/>
      <c r="L5" t="s">
        <v>262</v>
      </c>
      <c r="N5" s="55"/>
    </row>
    <row r="6" spans="1:14" ht="16.2" thickBot="1">
      <c r="J6" s="57"/>
      <c r="K6" s="58"/>
      <c r="L6" s="58"/>
      <c r="M6" s="59"/>
      <c r="N6" s="60"/>
    </row>
    <row r="7" spans="1:14">
      <c r="A7" s="2" t="s">
        <v>227</v>
      </c>
      <c r="B7" s="3" t="s">
        <v>49</v>
      </c>
      <c r="D7" s="12">
        <v>30</v>
      </c>
      <c r="E7" t="s">
        <v>50</v>
      </c>
    </row>
    <row r="8" spans="1:14">
      <c r="A8" s="2" t="s">
        <v>228</v>
      </c>
      <c r="B8" s="3" t="s">
        <v>51</v>
      </c>
    </row>
    <row r="9" spans="1:14" ht="16.05" customHeight="1">
      <c r="B9" t="s">
        <v>52</v>
      </c>
      <c r="D9" s="12">
        <v>1.8</v>
      </c>
      <c r="F9" s="67" t="s">
        <v>206</v>
      </c>
      <c r="G9" s="67"/>
      <c r="H9" s="18" t="s">
        <v>54</v>
      </c>
    </row>
    <row r="10" spans="1:14">
      <c r="B10" t="s">
        <v>53</v>
      </c>
      <c r="D10" s="12">
        <v>1.1000000000000001</v>
      </c>
      <c r="F10" s="67"/>
      <c r="G10" s="67"/>
    </row>
    <row r="11" spans="1:14">
      <c r="B11" t="s">
        <v>54</v>
      </c>
      <c r="D11" s="12">
        <v>1.1000000000000001</v>
      </c>
    </row>
    <row r="12" spans="1:14">
      <c r="A12" s="2" t="s">
        <v>229</v>
      </c>
      <c r="B12" s="3" t="s">
        <v>55</v>
      </c>
    </row>
    <row r="13" spans="1:14">
      <c r="B13" t="s">
        <v>52</v>
      </c>
      <c r="D13" s="12">
        <v>560</v>
      </c>
      <c r="E13" t="s">
        <v>56</v>
      </c>
    </row>
    <row r="14" spans="1:14">
      <c r="B14" t="s">
        <v>53</v>
      </c>
      <c r="D14" s="12">
        <v>240</v>
      </c>
      <c r="E14" t="s">
        <v>56</v>
      </c>
    </row>
    <row r="15" spans="1:14">
      <c r="B15" t="s">
        <v>54</v>
      </c>
      <c r="D15" s="12">
        <v>310</v>
      </c>
      <c r="E15" t="s">
        <v>56</v>
      </c>
    </row>
    <row r="16" spans="1:14">
      <c r="A16" s="2" t="s">
        <v>230</v>
      </c>
      <c r="B16" s="3" t="s">
        <v>57</v>
      </c>
    </row>
    <row r="17" spans="1:9">
      <c r="B17" t="s">
        <v>58</v>
      </c>
      <c r="D17" s="12">
        <v>0.34960000000000002</v>
      </c>
      <c r="E17" t="s">
        <v>59</v>
      </c>
    </row>
    <row r="18" spans="1:9" hidden="1">
      <c r="B18" t="s">
        <v>60</v>
      </c>
      <c r="D18" s="12">
        <v>0.2074</v>
      </c>
      <c r="E18" t="s">
        <v>59</v>
      </c>
    </row>
    <row r="19" spans="1:9">
      <c r="B19" t="s">
        <v>61</v>
      </c>
      <c r="D19" s="12">
        <v>9.3399999999999997E-2</v>
      </c>
      <c r="E19" t="s">
        <v>59</v>
      </c>
    </row>
    <row r="20" spans="1:9" hidden="1">
      <c r="B20" t="s">
        <v>62</v>
      </c>
      <c r="D20" s="12">
        <v>9.1200000000000003E-2</v>
      </c>
      <c r="E20" t="s">
        <v>59</v>
      </c>
    </row>
    <row r="21" spans="1:9">
      <c r="B21" t="s">
        <v>63</v>
      </c>
      <c r="D21" s="12">
        <v>9.8330000000000001E-2</v>
      </c>
      <c r="E21" t="s">
        <v>59</v>
      </c>
    </row>
    <row r="22" spans="1:9" hidden="1">
      <c r="B22" t="s">
        <v>64</v>
      </c>
      <c r="D22" s="12">
        <v>7.893E-2</v>
      </c>
      <c r="E22" t="s">
        <v>59</v>
      </c>
    </row>
    <row r="23" spans="1:9" ht="31.2">
      <c r="A23" s="2" t="s">
        <v>231</v>
      </c>
      <c r="B23" s="3" t="s">
        <v>65</v>
      </c>
      <c r="F23" t="s">
        <v>157</v>
      </c>
      <c r="H23" s="35" t="s">
        <v>167</v>
      </c>
    </row>
    <row r="24" spans="1:9">
      <c r="A24" s="2"/>
      <c r="B24" t="s">
        <v>156</v>
      </c>
      <c r="D24" s="12">
        <v>0.2</v>
      </c>
      <c r="E24" t="s">
        <v>133</v>
      </c>
    </row>
    <row r="25" spans="1:9">
      <c r="A25" s="2"/>
      <c r="B25" t="s">
        <v>170</v>
      </c>
      <c r="D25" s="37">
        <f>(IF(D93&lt;10,HLOOKUP(H23,D26:I30,3,0),0)+IF(AND(D93&lt;40,D93&gt;=10),HLOOKUP(H23,D26:I30,4,0),0)+IF(AND(D93&lt;=100,D93&gt;=40),HLOOKUP(H23,D26:I30,5,0),0))/100</f>
        <v>6.8772424999999984E-2</v>
      </c>
      <c r="E25" t="s">
        <v>59</v>
      </c>
    </row>
    <row r="26" spans="1:9" ht="31.2">
      <c r="A26" s="2"/>
      <c r="D26" s="34" t="s">
        <v>164</v>
      </c>
      <c r="E26" s="34" t="s">
        <v>165</v>
      </c>
      <c r="F26" s="34" t="s">
        <v>163</v>
      </c>
      <c r="G26" s="34" t="s">
        <v>167</v>
      </c>
      <c r="H26" s="34" t="s">
        <v>166</v>
      </c>
      <c r="I26" s="34" t="s">
        <v>168</v>
      </c>
    </row>
    <row r="27" spans="1:9">
      <c r="A27" s="2"/>
      <c r="B27" t="s">
        <v>159</v>
      </c>
      <c r="C27" t="s">
        <v>169</v>
      </c>
      <c r="D27" t="s">
        <v>160</v>
      </c>
      <c r="E27" t="s">
        <v>160</v>
      </c>
      <c r="F27" t="s">
        <v>160</v>
      </c>
      <c r="G27" t="s">
        <v>160</v>
      </c>
      <c r="H27" t="s">
        <v>160</v>
      </c>
      <c r="I27" t="s">
        <v>160</v>
      </c>
    </row>
    <row r="28" spans="1:9">
      <c r="A28" s="2"/>
      <c r="B28" t="s">
        <v>158</v>
      </c>
      <c r="C28" s="12">
        <v>8.6</v>
      </c>
      <c r="D28" s="12">
        <v>8.1999999999999993</v>
      </c>
      <c r="E28" s="36">
        <f>C28*0.99-0.4</f>
        <v>8.113999999999999</v>
      </c>
      <c r="F28" s="36">
        <f>C28*0.99^2-0.4</f>
        <v>8.0288599999999999</v>
      </c>
      <c r="G28" s="36">
        <f>C28*0.99^3-0.4</f>
        <v>7.9445713999999992</v>
      </c>
      <c r="H28" s="36">
        <f>C28*0.99^4-0.4</f>
        <v>7.8611256859999994</v>
      </c>
      <c r="I28" s="36">
        <f>C28*0.99^5-0.4</f>
        <v>7.7785144291399977</v>
      </c>
    </row>
    <row r="29" spans="1:9">
      <c r="A29" s="2"/>
      <c r="B29" t="s">
        <v>161</v>
      </c>
      <c r="C29" s="12">
        <v>7.5</v>
      </c>
      <c r="D29" s="12">
        <v>7.1</v>
      </c>
      <c r="E29" s="36">
        <f t="shared" ref="E29:E30" si="0">C29*0.99-0.4</f>
        <v>7.0249999999999995</v>
      </c>
      <c r="F29" s="36">
        <f t="shared" ref="F29:F30" si="1">C29*0.99^2-0.4</f>
        <v>6.9507499999999993</v>
      </c>
      <c r="G29" s="36">
        <f t="shared" ref="G29:G30" si="2">C29*0.99^3-0.4</f>
        <v>6.8772424999999986</v>
      </c>
      <c r="H29" s="36">
        <f t="shared" ref="H29:H30" si="3">C29*0.99^4-0.4</f>
        <v>6.8044700749999993</v>
      </c>
      <c r="I29" s="36">
        <f t="shared" ref="I29:I30" si="4">C29*0.99^5-0.4</f>
        <v>6.7324253742499991</v>
      </c>
    </row>
    <row r="30" spans="1:9">
      <c r="A30" s="2"/>
      <c r="B30" t="s">
        <v>162</v>
      </c>
      <c r="C30" s="12">
        <v>6.2</v>
      </c>
      <c r="D30" s="12">
        <v>5.8</v>
      </c>
      <c r="E30" s="36">
        <f t="shared" si="0"/>
        <v>5.7379999999999995</v>
      </c>
      <c r="F30" s="36">
        <f t="shared" si="1"/>
        <v>5.6766199999999998</v>
      </c>
      <c r="G30" s="36">
        <f t="shared" si="2"/>
        <v>5.6158537999999991</v>
      </c>
      <c r="H30" s="36">
        <f t="shared" si="3"/>
        <v>5.5556952619999995</v>
      </c>
      <c r="I30" s="36">
        <f t="shared" si="4"/>
        <v>5.4961383093799991</v>
      </c>
    </row>
    <row r="31" spans="1:9">
      <c r="A31" s="2"/>
      <c r="B31" t="s">
        <v>171</v>
      </c>
      <c r="D31" s="12">
        <v>0.08</v>
      </c>
      <c r="E31" t="s">
        <v>59</v>
      </c>
    </row>
    <row r="33" spans="1:9">
      <c r="A33" s="2" t="s">
        <v>232</v>
      </c>
      <c r="B33" s="3" t="s">
        <v>173</v>
      </c>
      <c r="D33" s="13">
        <v>0.05</v>
      </c>
    </row>
    <row r="39" spans="1:9">
      <c r="A39" s="2" t="s">
        <v>233</v>
      </c>
      <c r="B39" s="3" t="s">
        <v>66</v>
      </c>
      <c r="D39" s="4"/>
    </row>
    <row r="40" spans="1:9">
      <c r="A40" s="1"/>
      <c r="D40" s="4"/>
    </row>
    <row r="41" spans="1:9">
      <c r="A41" s="2" t="s">
        <v>234</v>
      </c>
      <c r="B41" s="3" t="s">
        <v>67</v>
      </c>
      <c r="D41" s="19">
        <f>D42+D51+D61+D70</f>
        <v>29664.644444444442</v>
      </c>
      <c r="E41" t="s">
        <v>68</v>
      </c>
      <c r="F41" s="3" t="s">
        <v>69</v>
      </c>
      <c r="I41" s="25"/>
    </row>
    <row r="42" spans="1:9">
      <c r="A42" s="2" t="s">
        <v>180</v>
      </c>
      <c r="B42" s="3" t="s">
        <v>33</v>
      </c>
      <c r="C42" t="s">
        <v>70</v>
      </c>
      <c r="D42" s="19">
        <f>IF(G42=0,0,D43+D47*G42+D48+D49+D50)</f>
        <v>0</v>
      </c>
      <c r="E42" t="s">
        <v>68</v>
      </c>
      <c r="F42" t="s">
        <v>71</v>
      </c>
      <c r="G42" s="44">
        <v>0</v>
      </c>
      <c r="H42" t="s">
        <v>72</v>
      </c>
      <c r="I42" s="25"/>
    </row>
    <row r="43" spans="1:9">
      <c r="A43" s="1"/>
      <c r="B43" t="s">
        <v>73</v>
      </c>
      <c r="C43" s="1"/>
      <c r="D43" s="19">
        <f>IF(G42&gt;20,(D44+D45)*G42+D46,D44*G42+1600+D46)</f>
        <v>2850</v>
      </c>
      <c r="E43" t="s">
        <v>68</v>
      </c>
      <c r="F43" t="s">
        <v>35</v>
      </c>
      <c r="G43" s="16" t="s">
        <v>10</v>
      </c>
      <c r="I43" s="25"/>
    </row>
    <row r="44" spans="1:9">
      <c r="A44" s="1"/>
      <c r="C44" s="10" t="s">
        <v>74</v>
      </c>
      <c r="D44" s="14">
        <v>125</v>
      </c>
      <c r="E44" t="s">
        <v>75</v>
      </c>
      <c r="F44" t="s">
        <v>37</v>
      </c>
      <c r="G44" s="44" t="s">
        <v>25</v>
      </c>
      <c r="H44" t="s">
        <v>76</v>
      </c>
    </row>
    <row r="45" spans="1:9">
      <c r="A45" s="1"/>
      <c r="C45" s="10" t="s">
        <v>151</v>
      </c>
      <c r="D45" s="14">
        <v>80</v>
      </c>
      <c r="E45" t="s">
        <v>75</v>
      </c>
    </row>
    <row r="46" spans="1:9">
      <c r="A46" s="1"/>
      <c r="C46" s="10" t="s">
        <v>77</v>
      </c>
      <c r="D46" s="14">
        <f>IF($D$93&lt;=3,450, IF($D$93&lt;=6,Hilfstabelle!$C$29,IF($D$93&lt;=9,Hilfstabelle!$C$30, IF($D$93&lt;=15,Hilfstabelle!$C$31,2000))))</f>
        <v>1250</v>
      </c>
      <c r="E46" t="s">
        <v>68</v>
      </c>
    </row>
    <row r="47" spans="1:9">
      <c r="A47" s="1"/>
      <c r="B47" t="s">
        <v>186</v>
      </c>
      <c r="D47" s="14">
        <v>40</v>
      </c>
      <c r="E47" t="s">
        <v>75</v>
      </c>
    </row>
    <row r="48" spans="1:9">
      <c r="A48" s="1"/>
      <c r="B48" t="s">
        <v>185</v>
      </c>
      <c r="D48" s="14">
        <v>2000</v>
      </c>
      <c r="E48" t="s">
        <v>68</v>
      </c>
    </row>
    <row r="49" spans="1:8">
      <c r="A49" s="1"/>
      <c r="B49" t="s">
        <v>78</v>
      </c>
      <c r="D49" s="14">
        <v>0</v>
      </c>
      <c r="E49" t="s">
        <v>68</v>
      </c>
    </row>
    <row r="50" spans="1:8">
      <c r="A50" s="1"/>
      <c r="B50" t="s">
        <v>79</v>
      </c>
      <c r="D50" s="15">
        <f>-IF(G103="Bestand",0,171.33*G42)</f>
        <v>0</v>
      </c>
      <c r="E50" t="s">
        <v>68</v>
      </c>
    </row>
    <row r="51" spans="1:8">
      <c r="A51" s="2" t="s">
        <v>181</v>
      </c>
      <c r="B51" s="3" t="s">
        <v>34</v>
      </c>
      <c r="C51" t="s">
        <v>70</v>
      </c>
      <c r="D51" s="19">
        <f>IF(G51=0,0,D52+D57*G51+D58+D59+D60)</f>
        <v>29664.644444444442</v>
      </c>
      <c r="E51" t="s">
        <v>68</v>
      </c>
      <c r="F51" t="s">
        <v>71</v>
      </c>
      <c r="G51" s="44">
        <v>60</v>
      </c>
      <c r="H51" t="s">
        <v>72</v>
      </c>
    </row>
    <row r="52" spans="1:8">
      <c r="A52" s="1"/>
      <c r="B52" t="s">
        <v>73</v>
      </c>
      <c r="C52" s="1"/>
      <c r="D52" s="19">
        <f>(D53+D54)*G51+D55+D56</f>
        <v>30050</v>
      </c>
      <c r="E52" t="s">
        <v>68</v>
      </c>
      <c r="F52" t="s">
        <v>35</v>
      </c>
      <c r="G52" s="16" t="s">
        <v>10</v>
      </c>
    </row>
    <row r="53" spans="1:8">
      <c r="A53" s="1"/>
      <c r="C53" s="10" t="s">
        <v>74</v>
      </c>
      <c r="D53" s="14">
        <v>480</v>
      </c>
      <c r="E53" t="s">
        <v>75</v>
      </c>
      <c r="F53" t="s">
        <v>37</v>
      </c>
      <c r="G53" s="44" t="s">
        <v>27</v>
      </c>
      <c r="H53" t="s">
        <v>76</v>
      </c>
    </row>
    <row r="54" spans="1:8">
      <c r="A54" s="1"/>
      <c r="C54" s="10" t="s">
        <v>151</v>
      </c>
      <c r="D54" s="14">
        <v>0</v>
      </c>
      <c r="E54" t="s">
        <v>75</v>
      </c>
    </row>
    <row r="55" spans="1:8">
      <c r="A55" s="2"/>
      <c r="C55" s="10" t="s">
        <v>77</v>
      </c>
      <c r="D55" s="14">
        <f>IF($D$93&lt;=3,450, IF($D$93&lt;=6,Hilfstabelle!$C$29,IF($D$93&lt;=9,Hilfstabelle!$C$30, IF($D$93&lt;=15,Hilfstabelle!$C$31,2000))))</f>
        <v>1250</v>
      </c>
      <c r="E55" t="s">
        <v>68</v>
      </c>
    </row>
    <row r="56" spans="1:8">
      <c r="A56" s="2"/>
      <c r="C56" s="10" t="s">
        <v>184</v>
      </c>
      <c r="D56" s="14">
        <f>IF(G103="Bestand",11000, 0)</f>
        <v>0</v>
      </c>
      <c r="E56" t="s">
        <v>68</v>
      </c>
    </row>
    <row r="57" spans="1:8">
      <c r="A57" s="1"/>
      <c r="B57" t="s">
        <v>186</v>
      </c>
      <c r="D57" s="14">
        <v>65</v>
      </c>
      <c r="E57" t="s">
        <v>75</v>
      </c>
    </row>
    <row r="58" spans="1:8">
      <c r="A58" s="1"/>
      <c r="B58" t="s">
        <v>185</v>
      </c>
      <c r="D58" s="14">
        <f>2000+IF(G103="Bestand",3000,0)</f>
        <v>2000</v>
      </c>
      <c r="E58" t="s">
        <v>68</v>
      </c>
    </row>
    <row r="59" spans="1:8">
      <c r="A59" s="1"/>
      <c r="B59" t="s">
        <v>78</v>
      </c>
      <c r="D59" s="14">
        <f>(D52+D58+D57*G51)*10/90</f>
        <v>3994.4444444444443</v>
      </c>
      <c r="E59" t="s">
        <v>68</v>
      </c>
    </row>
    <row r="60" spans="1:8">
      <c r="A60" s="1"/>
      <c r="B60" t="s">
        <v>79</v>
      </c>
      <c r="D60" s="15">
        <f>-IF(G103="Bestand",0,171.33*G51)</f>
        <v>-10279.800000000001</v>
      </c>
      <c r="E60" t="s">
        <v>68</v>
      </c>
    </row>
    <row r="61" spans="1:8">
      <c r="A61" s="2" t="s">
        <v>182</v>
      </c>
      <c r="B61" s="3" t="s">
        <v>33</v>
      </c>
      <c r="C61" t="s">
        <v>80</v>
      </c>
      <c r="D61" s="19">
        <f>IF(G61=0,0,D62+D66*G61+D67+D68+D69)</f>
        <v>0</v>
      </c>
      <c r="E61" t="s">
        <v>68</v>
      </c>
      <c r="F61" t="s">
        <v>71</v>
      </c>
      <c r="G61" s="44">
        <v>0</v>
      </c>
      <c r="H61" t="s">
        <v>72</v>
      </c>
    </row>
    <row r="62" spans="1:8">
      <c r="A62" s="1"/>
      <c r="B62" t="s">
        <v>73</v>
      </c>
      <c r="C62" s="1"/>
      <c r="D62" s="19">
        <f>IF(G61&gt;20,(D63+D64)*G61+D65,D63*G61 + 3200 + D65)</f>
        <v>4450</v>
      </c>
      <c r="E62" t="s">
        <v>68</v>
      </c>
      <c r="F62" t="s">
        <v>35</v>
      </c>
      <c r="G62" s="16" t="s">
        <v>10</v>
      </c>
    </row>
    <row r="63" spans="1:8">
      <c r="A63" s="1"/>
      <c r="C63" s="10" t="s">
        <v>74</v>
      </c>
      <c r="D63" s="14">
        <v>250</v>
      </c>
      <c r="E63" t="s">
        <v>75</v>
      </c>
      <c r="F63" t="s">
        <v>37</v>
      </c>
      <c r="G63" s="43" t="s">
        <v>46</v>
      </c>
      <c r="H63" t="s">
        <v>76</v>
      </c>
    </row>
    <row r="64" spans="1:8">
      <c r="A64" s="1"/>
      <c r="C64" s="10" t="s">
        <v>151</v>
      </c>
      <c r="D64" s="14">
        <f>160</f>
        <v>160</v>
      </c>
      <c r="E64" t="s">
        <v>75</v>
      </c>
    </row>
    <row r="65" spans="1:8">
      <c r="A65" s="1"/>
      <c r="C65" s="10" t="s">
        <v>77</v>
      </c>
      <c r="D65" s="14">
        <f>IF($D$93&lt;=3,450, IF($D$93&lt;=6,Hilfstabelle!$C$29,IF($D$93&lt;=9,Hilfstabelle!$C$30, IF($D$93&lt;=15,Hilfstabelle!$C$31,2000))))</f>
        <v>1250</v>
      </c>
      <c r="E65" t="s">
        <v>68</v>
      </c>
    </row>
    <row r="66" spans="1:8">
      <c r="A66" s="1"/>
      <c r="B66" t="s">
        <v>186</v>
      </c>
      <c r="D66" s="14">
        <v>80</v>
      </c>
      <c r="E66" t="s">
        <v>75</v>
      </c>
    </row>
    <row r="67" spans="1:8">
      <c r="A67" s="1"/>
      <c r="B67" t="s">
        <v>185</v>
      </c>
      <c r="D67" s="14">
        <v>2000</v>
      </c>
      <c r="E67" t="s">
        <v>68</v>
      </c>
    </row>
    <row r="68" spans="1:8">
      <c r="A68" s="1"/>
      <c r="B68" t="s">
        <v>78</v>
      </c>
      <c r="D68" s="14">
        <v>0</v>
      </c>
      <c r="E68" t="s">
        <v>68</v>
      </c>
    </row>
    <row r="69" spans="1:8">
      <c r="A69" s="1"/>
      <c r="B69" t="s">
        <v>79</v>
      </c>
      <c r="D69" s="15">
        <f>-IF(G103="Bestand",0,197.67*G61)</f>
        <v>0</v>
      </c>
      <c r="E69" t="s">
        <v>68</v>
      </c>
    </row>
    <row r="70" spans="1:8">
      <c r="A70" s="2" t="s">
        <v>183</v>
      </c>
      <c r="B70" s="3" t="s">
        <v>34</v>
      </c>
      <c r="C70" t="s">
        <v>80</v>
      </c>
      <c r="D70" s="19">
        <f>IF(G70=0,0,D71+D76*G70+D77+D78+D79)</f>
        <v>0</v>
      </c>
      <c r="E70" t="s">
        <v>68</v>
      </c>
      <c r="F70" s="11" t="s">
        <v>71</v>
      </c>
      <c r="G70" s="45">
        <v>0</v>
      </c>
      <c r="H70" s="11" t="s">
        <v>72</v>
      </c>
    </row>
    <row r="71" spans="1:8">
      <c r="A71" s="1"/>
      <c r="B71" t="s">
        <v>73</v>
      </c>
      <c r="C71" s="1"/>
      <c r="D71" s="19">
        <f>(D72+D73)*G70+D74+D75</f>
        <v>1250</v>
      </c>
      <c r="E71" t="s">
        <v>68</v>
      </c>
      <c r="F71" s="11" t="s">
        <v>35</v>
      </c>
      <c r="G71" s="17" t="s">
        <v>10</v>
      </c>
      <c r="H71" s="11"/>
    </row>
    <row r="72" spans="1:8">
      <c r="A72" s="1"/>
      <c r="C72" s="10" t="s">
        <v>74</v>
      </c>
      <c r="D72" s="14">
        <v>750</v>
      </c>
      <c r="E72" t="s">
        <v>75</v>
      </c>
      <c r="F72" s="11" t="s">
        <v>37</v>
      </c>
      <c r="G72" s="43" t="s">
        <v>46</v>
      </c>
      <c r="H72" s="11" t="s">
        <v>76</v>
      </c>
    </row>
    <row r="73" spans="1:8">
      <c r="A73" s="1"/>
      <c r="C73" s="10" t="s">
        <v>151</v>
      </c>
      <c r="D73" s="14">
        <v>0</v>
      </c>
      <c r="E73" t="s">
        <v>75</v>
      </c>
    </row>
    <row r="74" spans="1:8">
      <c r="A74" s="2"/>
      <c r="C74" s="10" t="s">
        <v>77</v>
      </c>
      <c r="D74" s="14">
        <f>IF($D$93&lt;=3,450, IF($D$93&lt;=6,Hilfstabelle!$C$29,IF($D$93&lt;=9,Hilfstabelle!$C$30, IF($D$93&lt;=15,Hilfstabelle!$C$31,2000))))</f>
        <v>1250</v>
      </c>
      <c r="E74" t="s">
        <v>68</v>
      </c>
    </row>
    <row r="75" spans="1:8">
      <c r="A75" s="2"/>
      <c r="C75" s="10" t="s">
        <v>184</v>
      </c>
      <c r="D75" s="14">
        <f>IF(G103="Bestand",11000, 0)</f>
        <v>0</v>
      </c>
      <c r="E75" t="s">
        <v>68</v>
      </c>
    </row>
    <row r="76" spans="1:8">
      <c r="A76" s="1"/>
      <c r="B76" t="s">
        <v>186</v>
      </c>
      <c r="D76" s="14">
        <v>130</v>
      </c>
      <c r="E76" t="s">
        <v>75</v>
      </c>
    </row>
    <row r="77" spans="1:8">
      <c r="A77" s="1"/>
      <c r="B77" t="s">
        <v>185</v>
      </c>
      <c r="D77" s="14">
        <f>2000+IF(G103="Bestand",3000,0)</f>
        <v>2000</v>
      </c>
      <c r="E77" t="s">
        <v>68</v>
      </c>
    </row>
    <row r="78" spans="1:8">
      <c r="A78" s="1"/>
      <c r="B78" t="s">
        <v>78</v>
      </c>
      <c r="D78" s="14">
        <f>(D71+D77+D76*G70)*10/90</f>
        <v>361.11111111111109</v>
      </c>
      <c r="E78" t="s">
        <v>68</v>
      </c>
    </row>
    <row r="79" spans="1:8">
      <c r="A79" s="1"/>
      <c r="B79" t="s">
        <v>79</v>
      </c>
      <c r="D79" s="15">
        <f>-IF(G103="Bestand",0,197.67*G70)</f>
        <v>0</v>
      </c>
      <c r="E79" t="s">
        <v>68</v>
      </c>
    </row>
    <row r="80" spans="1:8">
      <c r="A80" s="1"/>
      <c r="D80" s="8"/>
    </row>
    <row r="81" spans="1:7">
      <c r="A81" s="1"/>
      <c r="D81" s="4"/>
    </row>
    <row r="82" spans="1:7">
      <c r="A82" s="2" t="s">
        <v>235</v>
      </c>
      <c r="B82" s="3" t="s">
        <v>81</v>
      </c>
      <c r="D82" s="47"/>
      <c r="F82" s="39"/>
      <c r="G82" s="25"/>
    </row>
    <row r="83" spans="1:7">
      <c r="A83" s="1" t="s">
        <v>231</v>
      </c>
      <c r="B83" t="s">
        <v>172</v>
      </c>
      <c r="D83" s="14">
        <v>100</v>
      </c>
      <c r="E83" t="s">
        <v>82</v>
      </c>
    </row>
    <row r="84" spans="1:7" ht="37.049999999999997" customHeight="1">
      <c r="A84" s="1" t="s">
        <v>236</v>
      </c>
      <c r="B84" s="66" t="s">
        <v>83</v>
      </c>
      <c r="C84" s="66"/>
      <c r="D84" s="12">
        <v>2</v>
      </c>
      <c r="E84" s="9" t="s">
        <v>153</v>
      </c>
      <c r="F84" t="s">
        <v>154</v>
      </c>
    </row>
    <row r="85" spans="1:7" ht="37.049999999999997" customHeight="1">
      <c r="A85" s="1" t="s">
        <v>237</v>
      </c>
      <c r="B85" s="66" t="s">
        <v>84</v>
      </c>
      <c r="C85" s="66"/>
      <c r="D85" s="14">
        <f>IF(D93&gt;11,D93*18,200)</f>
        <v>216</v>
      </c>
      <c r="E85" t="s">
        <v>219</v>
      </c>
      <c r="F85" t="s">
        <v>152</v>
      </c>
      <c r="G85" s="38"/>
    </row>
    <row r="86" spans="1:7">
      <c r="A86" s="1" t="s">
        <v>238</v>
      </c>
      <c r="B86" t="s">
        <v>85</v>
      </c>
      <c r="D86" s="14">
        <f>D46+2000</f>
        <v>3250</v>
      </c>
      <c r="E86" t="s">
        <v>213</v>
      </c>
    </row>
    <row r="87" spans="1:7">
      <c r="A87" s="1"/>
      <c r="D87" s="8"/>
    </row>
    <row r="88" spans="1:7">
      <c r="A88" s="1"/>
      <c r="D88" s="8"/>
    </row>
    <row r="89" spans="1:7">
      <c r="A89" s="1"/>
      <c r="D89" s="4"/>
    </row>
    <row r="90" spans="1:7">
      <c r="A90" s="2" t="s">
        <v>239</v>
      </c>
      <c r="B90" s="3" t="s">
        <v>86</v>
      </c>
      <c r="D90" s="4"/>
    </row>
    <row r="91" spans="1:7">
      <c r="A91" s="2" t="s">
        <v>240</v>
      </c>
      <c r="B91" s="3" t="s">
        <v>87</v>
      </c>
      <c r="D91" s="4"/>
    </row>
    <row r="92" spans="1:7">
      <c r="A92" s="1"/>
      <c r="B92" t="s">
        <v>88</v>
      </c>
      <c r="C92" t="s">
        <v>89</v>
      </c>
      <c r="D92" s="33">
        <f>G42+G51+G61+G70</f>
        <v>60</v>
      </c>
      <c r="E92" t="s">
        <v>72</v>
      </c>
    </row>
    <row r="93" spans="1:7">
      <c r="A93" s="1"/>
      <c r="D93" s="33">
        <f>D92*D24</f>
        <v>12</v>
      </c>
      <c r="E93" t="s">
        <v>155</v>
      </c>
    </row>
    <row r="94" spans="1:7">
      <c r="A94" s="2" t="s">
        <v>241</v>
      </c>
      <c r="B94" s="3" t="s">
        <v>90</v>
      </c>
      <c r="D94" s="4"/>
    </row>
    <row r="95" spans="1:7">
      <c r="A95" s="2"/>
      <c r="B95" t="s">
        <v>242</v>
      </c>
      <c r="D95" s="4"/>
    </row>
    <row r="96" spans="1:7">
      <c r="B96" t="s">
        <v>187</v>
      </c>
      <c r="D96" s="14">
        <v>1000</v>
      </c>
      <c r="E96" t="s">
        <v>131</v>
      </c>
    </row>
    <row r="97" spans="1:8">
      <c r="A97" s="1"/>
      <c r="B97" t="s">
        <v>134</v>
      </c>
      <c r="D97" s="12">
        <v>0.2</v>
      </c>
      <c r="E97" t="s">
        <v>133</v>
      </c>
    </row>
    <row r="98" spans="1:8">
      <c r="A98" s="1"/>
      <c r="B98" t="s">
        <v>264</v>
      </c>
      <c r="D98" s="36">
        <v>710</v>
      </c>
      <c r="E98" t="s">
        <v>142</v>
      </c>
    </row>
    <row r="99" spans="1:8">
      <c r="A99" s="1"/>
      <c r="D99" s="4"/>
    </row>
    <row r="100" spans="1:8">
      <c r="A100" s="2" t="s">
        <v>243</v>
      </c>
      <c r="B100" s="3" t="s">
        <v>174</v>
      </c>
      <c r="D100" s="4"/>
    </row>
    <row r="101" spans="1:8">
      <c r="A101" s="9" t="s">
        <v>244</v>
      </c>
      <c r="B101" t="s">
        <v>245</v>
      </c>
      <c r="E101" s="25"/>
      <c r="F101" t="s">
        <v>91</v>
      </c>
      <c r="G101" s="18">
        <v>1</v>
      </c>
    </row>
    <row r="102" spans="1:8">
      <c r="A102" s="9"/>
      <c r="B102" t="s">
        <v>143</v>
      </c>
      <c r="D102" s="12">
        <v>55</v>
      </c>
      <c r="E102" t="s">
        <v>142</v>
      </c>
      <c r="F102" t="s">
        <v>92</v>
      </c>
      <c r="G102" s="18">
        <v>5</v>
      </c>
      <c r="H102" t="s">
        <v>93</v>
      </c>
    </row>
    <row r="103" spans="1:8">
      <c r="A103" s="9"/>
      <c r="B103" t="s">
        <v>144</v>
      </c>
      <c r="D103" s="12">
        <v>100</v>
      </c>
      <c r="E103" t="s">
        <v>142</v>
      </c>
      <c r="F103" t="s">
        <v>141</v>
      </c>
      <c r="G103" s="18" t="s">
        <v>139</v>
      </c>
      <c r="H103" t="s">
        <v>177</v>
      </c>
    </row>
    <row r="104" spans="1:8">
      <c r="A104" s="9"/>
      <c r="D104" s="26">
        <f>IF(G103="Bestand",G104*D103,G104*D102)</f>
        <v>9900</v>
      </c>
      <c r="E104" t="s">
        <v>94</v>
      </c>
      <c r="F104" t="s">
        <v>138</v>
      </c>
      <c r="G104" s="18">
        <v>180</v>
      </c>
      <c r="H104" t="s">
        <v>72</v>
      </c>
    </row>
    <row r="105" spans="1:8">
      <c r="A105" s="9"/>
    </row>
    <row r="106" spans="1:8">
      <c r="A106" s="9" t="s">
        <v>246</v>
      </c>
      <c r="B106" t="s">
        <v>128</v>
      </c>
      <c r="D106" s="24">
        <f>IF(G101&gt;2,G101*C110,G102*C108)</f>
        <v>2500</v>
      </c>
      <c r="E106" t="s">
        <v>94</v>
      </c>
      <c r="G106"/>
    </row>
    <row r="107" spans="1:8">
      <c r="A107" s="9"/>
      <c r="B107" t="s">
        <v>95</v>
      </c>
    </row>
    <row r="108" spans="1:8">
      <c r="A108" s="9"/>
      <c r="C108" s="12">
        <v>500</v>
      </c>
      <c r="D108" t="s">
        <v>96</v>
      </c>
    </row>
    <row r="109" spans="1:8">
      <c r="A109" s="9"/>
      <c r="B109" t="s">
        <v>97</v>
      </c>
    </row>
    <row r="110" spans="1:8">
      <c r="A110" s="9"/>
      <c r="C110" s="12">
        <v>1000</v>
      </c>
      <c r="D110" t="s">
        <v>98</v>
      </c>
      <c r="G110"/>
    </row>
    <row r="111" spans="1:8">
      <c r="A111" s="9"/>
      <c r="G111"/>
    </row>
    <row r="112" spans="1:8">
      <c r="A112" s="9" t="s">
        <v>247</v>
      </c>
      <c r="B112" t="s">
        <v>248</v>
      </c>
      <c r="D112" s="24">
        <f>IF(G101&gt;2,G101*C121,IF(G102=B114,C114,0)+IF(G102=B115,C115,0)+IF(G102=B116,C116,0)+IF(G102=B117,C117,0)+IF(G102=B118,C118,0)+IF(G102=B119,C119,0))</f>
        <v>7000</v>
      </c>
      <c r="E112" t="s">
        <v>94</v>
      </c>
    </row>
    <row r="113" spans="2:7">
      <c r="B113" t="s">
        <v>99</v>
      </c>
    </row>
    <row r="114" spans="2:7">
      <c r="B114">
        <v>1</v>
      </c>
      <c r="C114" s="12">
        <v>2350</v>
      </c>
      <c r="D114" t="s">
        <v>94</v>
      </c>
    </row>
    <row r="115" spans="2:7">
      <c r="B115">
        <v>2</v>
      </c>
      <c r="C115" s="12">
        <v>4040</v>
      </c>
      <c r="D115" t="s">
        <v>94</v>
      </c>
      <c r="G115"/>
    </row>
    <row r="116" spans="2:7">
      <c r="B116">
        <v>3</v>
      </c>
      <c r="C116" s="12">
        <f>1650*3</f>
        <v>4950</v>
      </c>
      <c r="D116" t="s">
        <v>94</v>
      </c>
      <c r="G116"/>
    </row>
    <row r="117" spans="2:7">
      <c r="B117">
        <v>4</v>
      </c>
      <c r="C117" s="12">
        <f>1500*4</f>
        <v>6000</v>
      </c>
      <c r="D117" t="s">
        <v>94</v>
      </c>
      <c r="G117"/>
    </row>
    <row r="118" spans="2:7">
      <c r="B118">
        <v>5</v>
      </c>
      <c r="C118" s="12">
        <f>1400*5</f>
        <v>7000</v>
      </c>
      <c r="D118" t="s">
        <v>94</v>
      </c>
      <c r="G118"/>
    </row>
    <row r="119" spans="2:7">
      <c r="B119">
        <v>6</v>
      </c>
      <c r="C119" s="12">
        <f>1350*6</f>
        <v>8100</v>
      </c>
      <c r="D119" t="s">
        <v>94</v>
      </c>
      <c r="G119"/>
    </row>
    <row r="120" spans="2:7" ht="31.05" customHeight="1">
      <c r="B120" t="s">
        <v>100</v>
      </c>
      <c r="G120"/>
    </row>
    <row r="121" spans="2:7" ht="30" customHeight="1">
      <c r="B121" t="s">
        <v>101</v>
      </c>
      <c r="C121" s="12">
        <v>3000</v>
      </c>
      <c r="D121" t="s">
        <v>94</v>
      </c>
      <c r="G121"/>
    </row>
    <row r="122" spans="2:7">
      <c r="B122" t="s">
        <v>102</v>
      </c>
      <c r="C122" s="12">
        <v>6000</v>
      </c>
      <c r="D122" t="s">
        <v>94</v>
      </c>
      <c r="G122"/>
    </row>
    <row r="123" spans="2:7">
      <c r="B123" t="s">
        <v>103</v>
      </c>
      <c r="C123" s="12">
        <v>9000</v>
      </c>
      <c r="D123" t="s">
        <v>94</v>
      </c>
      <c r="G123"/>
    </row>
    <row r="124" spans="2:7">
      <c r="B124" t="s">
        <v>104</v>
      </c>
      <c r="C124" s="12">
        <v>12000</v>
      </c>
      <c r="D124" t="s">
        <v>94</v>
      </c>
      <c r="G124"/>
    </row>
    <row r="125" spans="2:7">
      <c r="B125" t="s">
        <v>105</v>
      </c>
      <c r="C125" s="12">
        <v>15000</v>
      </c>
      <c r="D125" t="s">
        <v>94</v>
      </c>
      <c r="G125"/>
    </row>
    <row r="126" spans="2:7">
      <c r="B126" t="s">
        <v>106</v>
      </c>
      <c r="C126" s="12">
        <v>18000</v>
      </c>
      <c r="D126" t="s">
        <v>94</v>
      </c>
      <c r="G126"/>
    </row>
    <row r="127" spans="2:7">
      <c r="B127" t="s">
        <v>107</v>
      </c>
      <c r="C127" s="12">
        <v>21000</v>
      </c>
      <c r="D127" t="s">
        <v>94</v>
      </c>
      <c r="G127"/>
    </row>
    <row r="128" spans="2:7">
      <c r="B128" t="s">
        <v>108</v>
      </c>
      <c r="C128" s="12">
        <v>24000</v>
      </c>
      <c r="D128" t="s">
        <v>94</v>
      </c>
      <c r="G128"/>
    </row>
    <row r="129" spans="1:8">
      <c r="B129" t="s">
        <v>109</v>
      </c>
      <c r="C129" s="12">
        <v>27000</v>
      </c>
      <c r="D129" t="s">
        <v>94</v>
      </c>
      <c r="G129"/>
    </row>
    <row r="130" spans="1:8">
      <c r="B130" t="s">
        <v>110</v>
      </c>
      <c r="C130" s="12">
        <v>30000</v>
      </c>
      <c r="D130" t="s">
        <v>94</v>
      </c>
      <c r="G130"/>
    </row>
    <row r="131" spans="1:8">
      <c r="G131"/>
    </row>
    <row r="132" spans="1:8">
      <c r="A132" s="9"/>
      <c r="G132"/>
    </row>
    <row r="133" spans="1:8">
      <c r="A133" s="9"/>
      <c r="G133"/>
    </row>
    <row r="134" spans="1:8">
      <c r="A134" s="9" t="s">
        <v>249</v>
      </c>
      <c r="B134" t="s">
        <v>175</v>
      </c>
      <c r="G134"/>
    </row>
    <row r="135" spans="1:8">
      <c r="A135" s="9"/>
      <c r="B135" t="s">
        <v>176</v>
      </c>
      <c r="D135" s="13">
        <f>IF(H135="ja", 30%+D137,30%)</f>
        <v>0.6</v>
      </c>
      <c r="F135" t="s">
        <v>217</v>
      </c>
      <c r="G135"/>
      <c r="H135" s="18" t="s">
        <v>215</v>
      </c>
    </row>
    <row r="136" spans="1:8">
      <c r="G136"/>
    </row>
    <row r="137" spans="1:8">
      <c r="B137" t="s">
        <v>218</v>
      </c>
      <c r="D137" s="13">
        <v>0.3</v>
      </c>
      <c r="G137"/>
    </row>
    <row r="138" spans="1:8">
      <c r="G138"/>
    </row>
    <row r="139" spans="1:8">
      <c r="B139" t="s">
        <v>220</v>
      </c>
      <c r="D139" s="48">
        <f>IF(D93&lt;15,5000,13000)</f>
        <v>5000</v>
      </c>
      <c r="G139"/>
    </row>
    <row r="141" spans="1:8">
      <c r="A141" s="1" t="s">
        <v>265</v>
      </c>
      <c r="B141" t="s">
        <v>266</v>
      </c>
    </row>
    <row r="142" spans="1:8">
      <c r="A142" s="1"/>
      <c r="B142" t="s">
        <v>270</v>
      </c>
      <c r="F142" s="34" t="s">
        <v>272</v>
      </c>
      <c r="G142" s="34"/>
    </row>
    <row r="143" spans="1:8">
      <c r="B143" t="s">
        <v>267</v>
      </c>
      <c r="D143" s="13">
        <v>0.25</v>
      </c>
      <c r="E143" s="64">
        <f>(IF(G51=0,0,(D53+D54+D57)*G51)+IF(G70=0,0,(D72+D73+D76)*G70))*D143</f>
        <v>8175</v>
      </c>
      <c r="F143" s="12">
        <v>60000</v>
      </c>
    </row>
    <row r="144" spans="1:8">
      <c r="B144" t="s">
        <v>268</v>
      </c>
      <c r="D144" s="13">
        <v>0.1</v>
      </c>
      <c r="E144" s="64">
        <f>(IF(G51=0,0,(D75+D77))+IF(G70=0,0,(D56+D58)))*D144</f>
        <v>200</v>
      </c>
      <c r="F144" s="12"/>
    </row>
    <row r="145" spans="2:6">
      <c r="B145" t="s">
        <v>269</v>
      </c>
      <c r="D145" s="63">
        <v>0.5</v>
      </c>
      <c r="E145" s="64">
        <f>(IF(G51=0,0,D59)+IF(G70=0,0,D78))*D145</f>
        <v>1997.2222222222222</v>
      </c>
      <c r="F145" s="24">
        <f>IF(G101&lt;11,IF(G101&gt;2,2000*G101,5000),20000)</f>
        <v>5000</v>
      </c>
    </row>
    <row r="147" spans="2:6">
      <c r="B147" t="s">
        <v>271</v>
      </c>
      <c r="D147" s="62"/>
      <c r="E147" s="65">
        <f>-IF(G103="Neubau",0,IF(E143&lt;F143,E143,F143)+E144+IF(E145&lt;F145,E145,F145))</f>
        <v>0</v>
      </c>
    </row>
  </sheetData>
  <mergeCells count="3">
    <mergeCell ref="B84:C84"/>
    <mergeCell ref="B85:C85"/>
    <mergeCell ref="F9:G10"/>
  </mergeCells>
  <phoneticPr fontId="5" type="noConversion"/>
  <dataValidations count="2">
    <dataValidation type="whole" allowBlank="1" showInputMessage="1" showErrorMessage="1" sqref="G102" xr:uid="{C073AC10-C0A5-D246-A48A-7F7EB0BE8803}">
      <formula1>1</formula1>
      <formula2>100</formula2>
    </dataValidation>
    <dataValidation type="list" allowBlank="1" showInputMessage="1" showErrorMessage="1" sqref="H23" xr:uid="{85978B0D-9B54-2446-AC86-4839C696982D}">
      <formula1>$D$26:$I$26</formula1>
    </dataValidation>
  </dataValidations>
  <pageMargins left="0.7" right="0.7" top="0.78740157499999996" bottom="0.78740157499999996" header="0.3" footer="0.3"/>
  <pageSetup paperSize="9" scale="80" orientation="landscape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DB58207-E7AB-1441-A8B5-A51AAF6C44F1}">
          <x14:formula1>
            <xm:f>Hilfstabelle!$B$3:$B$10</xm:f>
          </x14:formula1>
          <xm:sqref>G43 G52 G62 G71</xm:sqref>
        </x14:dataValidation>
        <x14:dataValidation type="list" allowBlank="1" showInputMessage="1" showErrorMessage="1" xr:uid="{80F51A59-31DD-C54A-9F02-F8D54A0B5193}">
          <x14:formula1>
            <xm:f>Hilfstabelle!$B$15:$B$21</xm:f>
          </x14:formula1>
          <xm:sqref>G53 G44</xm:sqref>
        </x14:dataValidation>
        <x14:dataValidation type="list" allowBlank="1" showInputMessage="1" showErrorMessage="1" xr:uid="{3A81D314-A9D8-9D43-ACF4-44CD0B5828A1}">
          <x14:formula1>
            <xm:f>Hilfstabelle!$A$23:$A$25</xm:f>
          </x14:formula1>
          <xm:sqref>G103</xm:sqref>
        </x14:dataValidation>
        <x14:dataValidation type="list" allowBlank="1" showInputMessage="1" showErrorMessage="1" xr:uid="{C147208D-52F3-E546-8EA6-7544B92317F9}">
          <x14:formula1>
            <xm:f>Hilfstabelle!$C$23:$C$24</xm:f>
          </x14:formula1>
          <xm:sqref>H9</xm:sqref>
        </x14:dataValidation>
        <x14:dataValidation type="list" allowBlank="1" showInputMessage="1" showErrorMessage="1" xr:uid="{8926E63E-38F1-5A44-80D6-611EB355E890}">
          <x14:formula1>
            <xm:f>Hilfstabelle!$D$23:$D$24</xm:f>
          </x14:formula1>
          <xm:sqref>H135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5B99-8361-094A-BC7C-8201C5C7AAFC}">
  <dimension ref="A2:L94"/>
  <sheetViews>
    <sheetView topLeftCell="D49" zoomScale="107" workbookViewId="0">
      <selection activeCell="M18" sqref="M18"/>
    </sheetView>
  </sheetViews>
  <sheetFormatPr baseColWidth="10" defaultColWidth="11" defaultRowHeight="15.6"/>
  <cols>
    <col min="1" max="1" width="11.19921875" bestFit="1" customWidth="1"/>
    <col min="2" max="2" width="13.5" customWidth="1"/>
    <col min="3" max="3" width="16.296875" customWidth="1"/>
    <col min="4" max="4" width="14.69921875" customWidth="1"/>
    <col min="5" max="5" width="12.19921875" bestFit="1" customWidth="1"/>
    <col min="6" max="6" width="13.5" customWidth="1"/>
    <col min="7" max="7" width="13.19921875" customWidth="1"/>
    <col min="11" max="11" width="17" customWidth="1"/>
  </cols>
  <sheetData>
    <row r="2" spans="1:6">
      <c r="A2" s="2" t="s">
        <v>250</v>
      </c>
      <c r="B2" s="3" t="s">
        <v>111</v>
      </c>
    </row>
    <row r="3" spans="1:6">
      <c r="A3" s="2"/>
    </row>
    <row r="4" spans="1:6">
      <c r="A4" s="2" t="s">
        <v>251</v>
      </c>
      <c r="B4" s="3" t="s">
        <v>112</v>
      </c>
    </row>
    <row r="5" spans="1:6">
      <c r="A5" s="2"/>
      <c r="B5" t="s">
        <v>135</v>
      </c>
    </row>
    <row r="6" spans="1:6">
      <c r="A6" s="2"/>
      <c r="B6" t="s">
        <v>136</v>
      </c>
    </row>
    <row r="7" spans="1:6">
      <c r="A7" s="2"/>
      <c r="B7" s="3"/>
    </row>
    <row r="8" spans="1:6">
      <c r="A8" s="2"/>
      <c r="B8" t="s">
        <v>113</v>
      </c>
    </row>
    <row r="9" spans="1:6">
      <c r="A9" s="2"/>
    </row>
    <row r="10" spans="1:6">
      <c r="A10" s="2"/>
      <c r="B10" t="s">
        <v>195</v>
      </c>
      <c r="E10" s="26" cm="1">
        <f t="array" ref="E10">VLOOKUP(Eingangsparameter!G43&amp;Eingangsparameter!G44,CHOOSE({1,2},Solareerträge!A:A&amp;Solareerträge!C:C,Solareerträge!E:E),2,0)/100*Eingangsparameter!$D$96*Eingangsparameter!$D$97*Eingangsparameter!G42+VLOOKUP(Eingangsparameter!G62&amp;Eingangsparameter!G63,CHOOSE({1,2},Solareerträge!A:A&amp;Solareerträge!C:C,Solareerträge!E:E),2,0)/100*Eingangsparameter!$D$96*Eingangsparameter!$D$97*Eingangsparameter!G61</f>
        <v>0</v>
      </c>
      <c r="F10" t="s">
        <v>114</v>
      </c>
    </row>
    <row r="11" spans="1:6">
      <c r="A11" s="2"/>
      <c r="B11" t="s">
        <v>196</v>
      </c>
      <c r="E11" s="26">
        <f>E12+E13</f>
        <v>54054</v>
      </c>
      <c r="F11" t="s">
        <v>114</v>
      </c>
    </row>
    <row r="12" spans="1:6">
      <c r="A12" s="2"/>
      <c r="C12" t="s">
        <v>115</v>
      </c>
      <c r="E12" s="26" cm="1">
        <f t="array" ref="E12">VLOOKUP(Eingangsparameter!G52&amp;Eingangsparameter!G53,CHOOSE({1,2},Solareerträge!A:A&amp;Solareerträge!C:C,Solareerträge!E:E),2,0)/100*Eingangsparameter!G51*Eingangsparameter!D98+VLOOKUP(Eingangsparameter!G71&amp;Eingangsparameter!G72,CHOOSE({1,2},Solareerträge!A:A&amp;Solareerträge!C:C,Solareerträge!E:E),2,0)/100*Eingangsparameter!G70*Eingangsparameter!D98</f>
        <v>42174</v>
      </c>
      <c r="F12" t="s">
        <v>114</v>
      </c>
    </row>
    <row r="13" spans="1:6">
      <c r="A13" s="2"/>
      <c r="C13" t="s">
        <v>116</v>
      </c>
      <c r="E13" s="26" cm="1">
        <f t="array" ref="E13">VLOOKUP(Eingangsparameter!G52&amp;Eingangsparameter!G53,CHOOSE({1,2},Solareerträge!A:A&amp;Solareerträge!C:C,Solareerträge!E:E),2,0)/100*Eingangsparameter!D96*Eingangsparameter!D97*Eingangsparameter!G51+VLOOKUP(Eingangsparameter!G71&amp;Eingangsparameter!G72,CHOOSE({1,2},Solareerträge!A:A&amp;Solareerträge!C:C,Solareerträge!E:E),2,0)/100*Eingangsparameter!D96*Eingangsparameter!D97*Eingangsparameter!G70</f>
        <v>11880</v>
      </c>
      <c r="F13" t="s">
        <v>114</v>
      </c>
    </row>
    <row r="14" spans="1:6">
      <c r="A14" s="2"/>
    </row>
    <row r="15" spans="1:6">
      <c r="A15" s="2"/>
    </row>
    <row r="16" spans="1:6">
      <c r="A16" s="2"/>
    </row>
    <row r="17" spans="1:10">
      <c r="A17" s="2"/>
    </row>
    <row r="18" spans="1:10">
      <c r="A18" s="2"/>
    </row>
    <row r="19" spans="1:10">
      <c r="A19" s="2" t="s">
        <v>252</v>
      </c>
      <c r="B19" s="3" t="s">
        <v>117</v>
      </c>
    </row>
    <row r="20" spans="1:10">
      <c r="A20" s="2"/>
    </row>
    <row r="21" spans="1:10">
      <c r="A21" s="2"/>
      <c r="B21" s="11" t="s">
        <v>207</v>
      </c>
      <c r="E21" s="40">
        <f>Eingangsparameter!D104+Eingangsparameter!D106+Eingangsparameter!D112</f>
        <v>19400</v>
      </c>
      <c r="F21" t="s">
        <v>114</v>
      </c>
    </row>
    <row r="22" spans="1:10">
      <c r="A22" s="2"/>
      <c r="B22" s="49" t="s">
        <v>224</v>
      </c>
      <c r="E22" s="40">
        <f>Eingangsparameter!D112</f>
        <v>7000</v>
      </c>
      <c r="F22" t="s">
        <v>114</v>
      </c>
    </row>
    <row r="23" spans="1:10">
      <c r="A23" s="2"/>
      <c r="B23" s="49" t="s">
        <v>225</v>
      </c>
      <c r="E23" s="40">
        <f>Eingangsparameter!D104+Eingangsparameter!D106</f>
        <v>12400</v>
      </c>
      <c r="F23" t="s">
        <v>114</v>
      </c>
    </row>
    <row r="24" spans="1:10">
      <c r="A24" s="2"/>
      <c r="B24" s="11"/>
      <c r="E24" s="41"/>
    </row>
    <row r="25" spans="1:10">
      <c r="A25" s="2"/>
    </row>
    <row r="26" spans="1:10">
      <c r="A26" s="2"/>
      <c r="B26" t="s">
        <v>145</v>
      </c>
      <c r="E26" s="13">
        <f>Eingangsparameter!D135</f>
        <v>0.6</v>
      </c>
      <c r="F26" s="25"/>
    </row>
    <row r="27" spans="1:10">
      <c r="A27" s="2"/>
      <c r="B27" t="s">
        <v>146</v>
      </c>
      <c r="E27" s="26">
        <f>IF(E10*E26+E13*E26&gt;E22,E22,E10*E26+E13*E26)</f>
        <v>7000</v>
      </c>
      <c r="F27" t="s">
        <v>114</v>
      </c>
    </row>
    <row r="28" spans="1:10">
      <c r="A28" s="2"/>
      <c r="B28" t="s">
        <v>147</v>
      </c>
      <c r="E28" s="26">
        <f>E10+E13-E27</f>
        <v>4880</v>
      </c>
      <c r="F28" t="s">
        <v>114</v>
      </c>
    </row>
    <row r="29" spans="1:10">
      <c r="A29" s="2"/>
      <c r="B29" t="s">
        <v>201</v>
      </c>
      <c r="E29" s="26">
        <f>IF(E12&lt;E23*0.6,E12,E23*0.6)</f>
        <v>7440</v>
      </c>
      <c r="F29" t="s">
        <v>114</v>
      </c>
    </row>
    <row r="30" spans="1:10">
      <c r="A30" s="2"/>
    </row>
    <row r="31" spans="1:10">
      <c r="A31" s="5" t="s">
        <v>253</v>
      </c>
      <c r="B31" s="6" t="s">
        <v>118</v>
      </c>
    </row>
    <row r="32" spans="1:10">
      <c r="A32" s="5"/>
      <c r="B32" t="s">
        <v>208</v>
      </c>
      <c r="E32" s="40">
        <f>(Eingangsparameter!D104+Eingangsparameter!D106)*Eingangsparameter!D10+Eingangsparameter!D112*Eingangsparameter!D9</f>
        <v>26240</v>
      </c>
      <c r="F32" t="s">
        <v>114</v>
      </c>
      <c r="I32" t="s">
        <v>197</v>
      </c>
      <c r="J32" t="s">
        <v>119</v>
      </c>
    </row>
    <row r="33" spans="1:11">
      <c r="A33" s="5"/>
      <c r="B33" s="11" t="s">
        <v>209</v>
      </c>
      <c r="E33" s="40">
        <f>(IF(Eingangsparameter!H9="Heizöl",Eingangsparameter!D15,Eingangsparameter!D14)*(Eingangsparameter!D104+Eingangsparameter!D106)+Eingangsparameter!D112*Eingangsparameter!D13)/1000</f>
        <v>7764</v>
      </c>
      <c r="F33" t="s">
        <v>205</v>
      </c>
      <c r="H33" t="s">
        <v>210</v>
      </c>
      <c r="I33" s="41">
        <f>E33</f>
        <v>7764</v>
      </c>
      <c r="J33" s="41">
        <f>E32</f>
        <v>26240</v>
      </c>
      <c r="K33" t="s">
        <v>210</v>
      </c>
    </row>
    <row r="34" spans="1:11">
      <c r="A34" s="5"/>
      <c r="B34" s="6"/>
      <c r="E34" s="41"/>
      <c r="H34" t="s">
        <v>211</v>
      </c>
      <c r="I34" s="41">
        <f>E33-E41</f>
        <v>1537.6000000000004</v>
      </c>
      <c r="J34" s="41">
        <f>IF(E32-E35&lt;0,0,E32-E35)</f>
        <v>5456</v>
      </c>
      <c r="K34" t="s">
        <v>211</v>
      </c>
    </row>
    <row r="35" spans="1:11">
      <c r="A35" s="2"/>
      <c r="B35" t="s">
        <v>204</v>
      </c>
      <c r="E35" s="40">
        <f>SUM(E36:E38)</f>
        <v>20784</v>
      </c>
      <c r="F35" t="s">
        <v>114</v>
      </c>
    </row>
    <row r="36" spans="1:11">
      <c r="A36" s="2"/>
      <c r="B36" s="31" t="s">
        <v>202</v>
      </c>
      <c r="E36" s="40">
        <f>E27*Eingangsparameter!D9</f>
        <v>12600</v>
      </c>
      <c r="F36" t="s">
        <v>114</v>
      </c>
    </row>
    <row r="37" spans="1:11">
      <c r="A37" s="2"/>
      <c r="B37" s="31" t="s">
        <v>199</v>
      </c>
      <c r="E37" s="40">
        <f>IF(Eingangsparameter!H9="Erdgas",E29*Eingangsparameter!D10,0)</f>
        <v>0</v>
      </c>
      <c r="F37" t="s">
        <v>114</v>
      </c>
    </row>
    <row r="38" spans="1:11">
      <c r="A38" s="2"/>
      <c r="B38" s="31" t="s">
        <v>200</v>
      </c>
      <c r="E38" s="40">
        <f>IF(Eingangsparameter!H9="Heizöl",E29*Eingangsparameter!D11,0)</f>
        <v>8184.0000000000009</v>
      </c>
      <c r="F38" t="s">
        <v>114</v>
      </c>
    </row>
    <row r="39" spans="1:11">
      <c r="A39" s="2"/>
      <c r="B39" s="31"/>
      <c r="E39" s="41"/>
    </row>
    <row r="40" spans="1:11">
      <c r="A40" s="2"/>
      <c r="E40" s="41"/>
    </row>
    <row r="41" spans="1:11">
      <c r="A41" s="2"/>
      <c r="B41" t="s">
        <v>203</v>
      </c>
      <c r="E41" s="40">
        <f>SUM(E42:E44)</f>
        <v>6226.4</v>
      </c>
      <c r="F41" t="s">
        <v>205</v>
      </c>
    </row>
    <row r="42" spans="1:11">
      <c r="A42" s="2"/>
      <c r="B42" s="31" t="s">
        <v>198</v>
      </c>
      <c r="E42" s="40">
        <f>(E27*Eingangsparameter!D13)/1000</f>
        <v>3920</v>
      </c>
      <c r="F42" t="s">
        <v>205</v>
      </c>
    </row>
    <row r="43" spans="1:11">
      <c r="A43" s="2"/>
      <c r="B43" s="31" t="s">
        <v>199</v>
      </c>
      <c r="E43" s="40">
        <f>IF(Eingangsparameter!H9="Erdgas",(E29*Eingangsparameter!D14)/1000,0)</f>
        <v>0</v>
      </c>
      <c r="F43" t="s">
        <v>205</v>
      </c>
    </row>
    <row r="44" spans="1:11">
      <c r="A44" s="2"/>
      <c r="B44" s="31" t="s">
        <v>200</v>
      </c>
      <c r="E44" s="40">
        <f>IF(Eingangsparameter!H9="Heizöl",(E29*Eingangsparameter!D15)/1000,0)</f>
        <v>2306.4</v>
      </c>
      <c r="F44" t="s">
        <v>205</v>
      </c>
    </row>
    <row r="45" spans="1:11">
      <c r="A45" s="2"/>
      <c r="E45" s="41"/>
    </row>
    <row r="46" spans="1:11">
      <c r="A46" s="2"/>
      <c r="B46" t="s">
        <v>120</v>
      </c>
    </row>
    <row r="47" spans="1:11">
      <c r="A47" s="2"/>
    </row>
    <row r="48" spans="1:11">
      <c r="A48" s="5" t="s">
        <v>254</v>
      </c>
      <c r="B48" s="6" t="s">
        <v>121</v>
      </c>
    </row>
    <row r="49" spans="1:7">
      <c r="A49" s="2"/>
    </row>
    <row r="50" spans="1:7">
      <c r="B50" t="s">
        <v>178</v>
      </c>
      <c r="E50" s="30">
        <f>E28*Eingangsparameter!D25</f>
        <v>335.60943399999991</v>
      </c>
    </row>
    <row r="51" spans="1:7">
      <c r="B51" t="s">
        <v>179</v>
      </c>
      <c r="E51" s="30">
        <f>E28*Eingangsparameter!D31</f>
        <v>390.40000000000003</v>
      </c>
    </row>
    <row r="52" spans="1:7">
      <c r="B52" t="s">
        <v>150</v>
      </c>
      <c r="E52" s="30">
        <f>E27*Eingangsparameter!D17</f>
        <v>2447.2000000000003</v>
      </c>
    </row>
    <row r="53" spans="1:7">
      <c r="B53" t="s">
        <v>188</v>
      </c>
      <c r="E53" s="30">
        <f>IF(Eingangsparameter!H9="Heizöl",E29*Eingangsparameter!D21,E29*Eingangsparameter!D19)</f>
        <v>731.5752</v>
      </c>
    </row>
    <row r="54" spans="1:7">
      <c r="B54" t="s">
        <v>212</v>
      </c>
      <c r="E54" s="32">
        <f>Eingangsparameter!D83</f>
        <v>100</v>
      </c>
    </row>
    <row r="55" spans="1:7">
      <c r="B55" t="s">
        <v>221</v>
      </c>
      <c r="E55" s="32">
        <f>Eingangsparameter!D84*Eingangsparameter!D92</f>
        <v>120</v>
      </c>
    </row>
    <row r="56" spans="1:7">
      <c r="B56" t="s">
        <v>222</v>
      </c>
      <c r="E56" s="32">
        <f>Eingangsparameter!D85</f>
        <v>216</v>
      </c>
    </row>
    <row r="57" spans="1:7">
      <c r="B57" t="s">
        <v>223</v>
      </c>
      <c r="E57" s="42">
        <f>Eingangsparameter!D86</f>
        <v>3250</v>
      </c>
    </row>
    <row r="60" spans="1:7" ht="31.2">
      <c r="A60" s="3" t="s">
        <v>122</v>
      </c>
      <c r="B60" s="27" t="s">
        <v>148</v>
      </c>
      <c r="C60" s="27" t="s">
        <v>149</v>
      </c>
      <c r="D60" s="3" t="s">
        <v>123</v>
      </c>
      <c r="E60" s="3" t="s">
        <v>124</v>
      </c>
      <c r="F60" s="27" t="s">
        <v>125</v>
      </c>
      <c r="G60" s="27" t="s">
        <v>126</v>
      </c>
    </row>
    <row r="61" spans="1:7">
      <c r="A61">
        <v>0</v>
      </c>
      <c r="B61" s="7">
        <v>0</v>
      </c>
      <c r="C61" s="7">
        <f>Eingangsparameter!D41+IF(Eingangsparameter!H135="ja",Eingangsparameter!D139,0)+Eingangsparameter!E147</f>
        <v>34664.644444444442</v>
      </c>
      <c r="D61" s="7">
        <f t="shared" ref="D61:D91" si="0">B61-C61</f>
        <v>-34664.644444444442</v>
      </c>
      <c r="E61" s="28">
        <f>1/((1+Eingangsparameter!$D$33)^Ausgabekennzahlen!A61)</f>
        <v>1</v>
      </c>
      <c r="F61" s="29">
        <f>D61*E61</f>
        <v>-34664.644444444442</v>
      </c>
      <c r="G61" s="29">
        <f>F61</f>
        <v>-34664.644444444442</v>
      </c>
    </row>
    <row r="62" spans="1:7">
      <c r="A62">
        <v>1</v>
      </c>
      <c r="B62" s="7">
        <f>$E$50+$E$52+$E$53</f>
        <v>3514.384634</v>
      </c>
      <c r="C62" s="7">
        <f>$E$54+IF(ISEVEN(A62),$E$55,0)</f>
        <v>100</v>
      </c>
      <c r="D62" s="7">
        <f t="shared" si="0"/>
        <v>3414.384634</v>
      </c>
      <c r="E62" s="28">
        <f>1/((1+Eingangsparameter!$D$33)^Ausgabekennzahlen!A62)</f>
        <v>0.95238095238095233</v>
      </c>
      <c r="F62" s="29">
        <f>D62*E62</f>
        <v>3251.7948895238092</v>
      </c>
      <c r="G62" s="29">
        <f>F62+G61</f>
        <v>-31412.849554920635</v>
      </c>
    </row>
    <row r="63" spans="1:7">
      <c r="A63">
        <v>2</v>
      </c>
      <c r="B63" s="7">
        <f>($E$50+$E$52+$E$53)*(100-0.4*(A63-1))/100</f>
        <v>3500.3270954640002</v>
      </c>
      <c r="C63" s="7">
        <f t="shared" ref="C63:C90" si="1">$E$54+IF(ISEVEN(A63),$E$55,0)</f>
        <v>220</v>
      </c>
      <c r="D63" s="7">
        <f t="shared" si="0"/>
        <v>3280.3270954640002</v>
      </c>
      <c r="E63" s="28">
        <f>1/((1+Eingangsparameter!$D$33)^Ausgabekennzahlen!A63)</f>
        <v>0.90702947845804982</v>
      </c>
      <c r="F63" s="29">
        <f t="shared" ref="F63:F86" si="2">D63*E63</f>
        <v>2975.3533745705213</v>
      </c>
      <c r="G63" s="29">
        <f>G62+F63</f>
        <v>-28437.496180350114</v>
      </c>
    </row>
    <row r="64" spans="1:7">
      <c r="A64">
        <v>3</v>
      </c>
      <c r="B64" s="7">
        <f t="shared" ref="B64:B81" si="3">($E$50+$E$52+$E$53)*(100-0.4*(A64-1))/100</f>
        <v>3486.2695569279999</v>
      </c>
      <c r="C64" s="7">
        <f>$E$54+IF(ISEVEN(A64),$E$55,0)+E56</f>
        <v>316</v>
      </c>
      <c r="D64" s="7">
        <f t="shared" si="0"/>
        <v>3170.2695569279999</v>
      </c>
      <c r="E64" s="28">
        <f>1/((1+Eingangsparameter!$D$33)^Ausgabekennzahlen!A64)</f>
        <v>0.86383759853147601</v>
      </c>
      <c r="F64" s="29">
        <f t="shared" si="2"/>
        <v>2738.5980407541301</v>
      </c>
      <c r="G64" s="29">
        <f>G63+F64</f>
        <v>-25698.898139595985</v>
      </c>
    </row>
    <row r="65" spans="1:7">
      <c r="A65">
        <v>4</v>
      </c>
      <c r="B65" s="7">
        <f t="shared" si="3"/>
        <v>3472.2120183919997</v>
      </c>
      <c r="C65" s="7">
        <f t="shared" si="1"/>
        <v>220</v>
      </c>
      <c r="D65" s="7">
        <f t="shared" si="0"/>
        <v>3252.2120183919997</v>
      </c>
      <c r="E65" s="28">
        <f>1/((1+Eingangsparameter!$D$33)^Ausgabekennzahlen!A65)</f>
        <v>0.82270247479188197</v>
      </c>
      <c r="F65" s="29">
        <f t="shared" si="2"/>
        <v>2675.6028760789995</v>
      </c>
      <c r="G65" s="29">
        <f t="shared" ref="G65:G86" si="4">G64+F65</f>
        <v>-23023.295263516986</v>
      </c>
    </row>
    <row r="66" spans="1:7">
      <c r="A66">
        <v>5</v>
      </c>
      <c r="B66" s="7">
        <f t="shared" si="3"/>
        <v>3458.1544798560003</v>
      </c>
      <c r="C66" s="7">
        <f t="shared" si="1"/>
        <v>100</v>
      </c>
      <c r="D66" s="7">
        <f t="shared" si="0"/>
        <v>3358.1544798560003</v>
      </c>
      <c r="E66" s="28">
        <f>1/((1+Eingangsparameter!$D$33)^Ausgabekennzahlen!A66)</f>
        <v>0.78352616646845896</v>
      </c>
      <c r="F66" s="29">
        <f t="shared" si="2"/>
        <v>2631.2019060104535</v>
      </c>
      <c r="G66" s="29">
        <f t="shared" si="4"/>
        <v>-20392.093357506532</v>
      </c>
    </row>
    <row r="67" spans="1:7">
      <c r="A67">
        <v>6</v>
      </c>
      <c r="B67" s="7">
        <f t="shared" si="3"/>
        <v>3444.0969413199996</v>
      </c>
      <c r="C67" s="7">
        <f>$E$54+IF(ISEVEN(A67),$E$55,0)+E56</f>
        <v>436</v>
      </c>
      <c r="D67" s="7">
        <f t="shared" si="0"/>
        <v>3008.0969413199996</v>
      </c>
      <c r="E67" s="28">
        <f>1/((1+Eingangsparameter!$D$33)^Ausgabekennzahlen!A67)</f>
        <v>0.74621539663662761</v>
      </c>
      <c r="F67" s="29">
        <f t="shared" si="2"/>
        <v>2244.68825218853</v>
      </c>
      <c r="G67" s="29">
        <f t="shared" si="4"/>
        <v>-18147.405105318001</v>
      </c>
    </row>
    <row r="68" spans="1:7">
      <c r="A68">
        <v>7</v>
      </c>
      <c r="B68" s="7">
        <f t="shared" si="3"/>
        <v>3430.0394027839998</v>
      </c>
      <c r="C68" s="7">
        <f t="shared" si="1"/>
        <v>100</v>
      </c>
      <c r="D68" s="7">
        <f t="shared" si="0"/>
        <v>3330.0394027839998</v>
      </c>
      <c r="E68" s="28">
        <f>1/((1+Eingangsparameter!$D$33)^Ausgabekennzahlen!A68)</f>
        <v>0.71068133013012147</v>
      </c>
      <c r="F68" s="29">
        <f t="shared" si="2"/>
        <v>2366.5968321562482</v>
      </c>
      <c r="G68" s="29">
        <f t="shared" si="4"/>
        <v>-15780.808273161752</v>
      </c>
    </row>
    <row r="69" spans="1:7">
      <c r="A69">
        <v>8</v>
      </c>
      <c r="B69" s="7">
        <f t="shared" si="3"/>
        <v>3415.9818642480004</v>
      </c>
      <c r="C69" s="7">
        <f t="shared" si="1"/>
        <v>220</v>
      </c>
      <c r="D69" s="7">
        <f t="shared" si="0"/>
        <v>3195.9818642480004</v>
      </c>
      <c r="E69" s="28">
        <f>1/((1+Eingangsparameter!$D$33)^Ausgabekennzahlen!A69)</f>
        <v>0.67683936202868722</v>
      </c>
      <c r="F69" s="29">
        <f t="shared" si="2"/>
        <v>2163.1663260528712</v>
      </c>
      <c r="G69" s="29">
        <f t="shared" si="4"/>
        <v>-13617.641947108881</v>
      </c>
    </row>
    <row r="70" spans="1:7">
      <c r="A70">
        <v>9</v>
      </c>
      <c r="B70" s="7">
        <f t="shared" si="3"/>
        <v>3401.9243257120002</v>
      </c>
      <c r="C70" s="7">
        <f>$E$54+IF(ISEVEN(A70),$E$55,0)+E56</f>
        <v>316</v>
      </c>
      <c r="D70" s="7">
        <f t="shared" si="0"/>
        <v>3085.9243257120002</v>
      </c>
      <c r="E70" s="28">
        <f>1/((1+Eingangsparameter!$D$33)^Ausgabekennzahlen!A70)</f>
        <v>0.64460891621779726</v>
      </c>
      <c r="F70" s="29">
        <f t="shared" si="2"/>
        <v>1989.2143351273492</v>
      </c>
      <c r="G70" s="29">
        <f t="shared" si="4"/>
        <v>-11628.427611981531</v>
      </c>
    </row>
    <row r="71" spans="1:7">
      <c r="A71">
        <v>10</v>
      </c>
      <c r="B71" s="7">
        <f t="shared" si="3"/>
        <v>3387.8667871759999</v>
      </c>
      <c r="C71" s="7">
        <f t="shared" si="1"/>
        <v>220</v>
      </c>
      <c r="D71" s="7">
        <f t="shared" si="0"/>
        <v>3167.8667871759999</v>
      </c>
      <c r="E71" s="28">
        <f>1/((1+Eingangsparameter!$D$33)^Ausgabekennzahlen!A71)</f>
        <v>0.61391325354075932</v>
      </c>
      <c r="F71" s="29">
        <f t="shared" si="2"/>
        <v>1944.7954060989302</v>
      </c>
      <c r="G71" s="29">
        <f t="shared" si="4"/>
        <v>-9683.6322058826008</v>
      </c>
    </row>
    <row r="72" spans="1:7">
      <c r="A72">
        <v>11</v>
      </c>
      <c r="B72" s="7">
        <f t="shared" si="3"/>
        <v>3373.8092486400001</v>
      </c>
      <c r="C72" s="7">
        <f t="shared" si="1"/>
        <v>100</v>
      </c>
      <c r="D72" s="7">
        <f t="shared" si="0"/>
        <v>3273.8092486400001</v>
      </c>
      <c r="E72" s="28">
        <f>1/((1+Eingangsparameter!$D$33)^Ausgabekennzahlen!A72)</f>
        <v>0.5846792890864374</v>
      </c>
      <c r="F72" s="29">
        <f t="shared" si="2"/>
        <v>1914.128464099439</v>
      </c>
      <c r="G72" s="29">
        <f t="shared" si="4"/>
        <v>-7769.5037417831618</v>
      </c>
    </row>
    <row r="73" spans="1:7">
      <c r="A73">
        <v>12</v>
      </c>
      <c r="B73" s="7">
        <f t="shared" si="3"/>
        <v>3359.7517101039998</v>
      </c>
      <c r="C73" s="7">
        <f>$E$54+IF(ISEVEN(A73),$E$55,0)+E56</f>
        <v>436</v>
      </c>
      <c r="D73" s="7">
        <f t="shared" si="0"/>
        <v>2923.7517101039998</v>
      </c>
      <c r="E73" s="28">
        <f>1/((1+Eingangsparameter!$D$33)^Ausgabekennzahlen!A73)</f>
        <v>0.5568374181775595</v>
      </c>
      <c r="F73" s="29">
        <f t="shared" si="2"/>
        <v>1628.0543536465357</v>
      </c>
      <c r="G73" s="29">
        <f t="shared" si="4"/>
        <v>-6141.4493881366261</v>
      </c>
    </row>
    <row r="74" spans="1:7">
      <c r="A74">
        <v>13</v>
      </c>
      <c r="B74" s="7">
        <f t="shared" si="3"/>
        <v>3345.694171568</v>
      </c>
      <c r="C74" s="7">
        <f>$E$54+IF(ISEVEN(A74),$E$55,0)+E57</f>
        <v>3350</v>
      </c>
      <c r="D74" s="7">
        <f t="shared" si="0"/>
        <v>-4.3058284319999984</v>
      </c>
      <c r="E74" s="28">
        <f>1/((1+Eingangsparameter!$D$33)^Ausgabekennzahlen!A74)</f>
        <v>0.53032135064529462</v>
      </c>
      <c r="F74" s="29">
        <f t="shared" si="2"/>
        <v>-2.2834727497051501</v>
      </c>
      <c r="G74" s="29">
        <f t="shared" si="4"/>
        <v>-6143.7328608863309</v>
      </c>
    </row>
    <row r="75" spans="1:7">
      <c r="A75">
        <v>14</v>
      </c>
      <c r="B75" s="7">
        <f t="shared" si="3"/>
        <v>3331.6366330319997</v>
      </c>
      <c r="C75" s="7">
        <f t="shared" si="1"/>
        <v>220</v>
      </c>
      <c r="D75" s="7">
        <f t="shared" si="0"/>
        <v>3111.6366330319997</v>
      </c>
      <c r="E75" s="28">
        <f>1/((1+Eingangsparameter!$D$33)^Ausgabekennzahlen!A75)</f>
        <v>0.50506795299551888</v>
      </c>
      <c r="F75" s="29">
        <f t="shared" si="2"/>
        <v>1571.5879447113407</v>
      </c>
      <c r="G75" s="29">
        <f t="shared" si="4"/>
        <v>-4572.1449161749897</v>
      </c>
    </row>
    <row r="76" spans="1:7">
      <c r="A76">
        <v>15</v>
      </c>
      <c r="B76" s="7">
        <f t="shared" si="3"/>
        <v>3317.5790944960004</v>
      </c>
      <c r="C76" s="7">
        <f>$E$54+IF(ISEVEN(A76),$E$55,0)+E56</f>
        <v>316</v>
      </c>
      <c r="D76" s="7">
        <f t="shared" si="0"/>
        <v>3001.5790944960004</v>
      </c>
      <c r="E76" s="28">
        <f>1/((1+Eingangsparameter!$D$33)^Ausgabekennzahlen!A76)</f>
        <v>0.48101709809097021</v>
      </c>
      <c r="F76" s="29">
        <f t="shared" si="2"/>
        <v>1443.8108657249882</v>
      </c>
      <c r="G76" s="29">
        <f t="shared" si="4"/>
        <v>-3128.3340504500015</v>
      </c>
    </row>
    <row r="77" spans="1:7">
      <c r="A77">
        <v>16</v>
      </c>
      <c r="B77" s="7">
        <f t="shared" si="3"/>
        <v>3303.5215559600001</v>
      </c>
      <c r="C77" s="7">
        <f t="shared" si="1"/>
        <v>220</v>
      </c>
      <c r="D77" s="7">
        <f t="shared" si="0"/>
        <v>3083.5215559600001</v>
      </c>
      <c r="E77" s="28">
        <f>1/((1+Eingangsparameter!$D$33)^Ausgabekennzahlen!A77)</f>
        <v>0.45811152199140021</v>
      </c>
      <c r="F77" s="29">
        <f t="shared" si="2"/>
        <v>1412.5967530941261</v>
      </c>
      <c r="G77" s="29">
        <f t="shared" si="4"/>
        <v>-1715.7372973558754</v>
      </c>
    </row>
    <row r="78" spans="1:7">
      <c r="A78">
        <v>17</v>
      </c>
      <c r="B78" s="7">
        <f t="shared" si="3"/>
        <v>3289.4640174239994</v>
      </c>
      <c r="C78" s="7">
        <f t="shared" si="1"/>
        <v>100</v>
      </c>
      <c r="D78" s="7">
        <f t="shared" si="0"/>
        <v>3189.4640174239994</v>
      </c>
      <c r="E78" s="28">
        <f>1/((1+Eingangsparameter!$D$33)^Ausgabekennzahlen!A78)</f>
        <v>0.43629668761085727</v>
      </c>
      <c r="F78" s="29">
        <f t="shared" si="2"/>
        <v>1391.5525860561086</v>
      </c>
      <c r="G78" s="29">
        <f t="shared" si="4"/>
        <v>-324.18471129976683</v>
      </c>
    </row>
    <row r="79" spans="1:7">
      <c r="A79">
        <v>18</v>
      </c>
      <c r="B79" s="7">
        <f t="shared" si="3"/>
        <v>3275.406478888</v>
      </c>
      <c r="C79" s="7">
        <f>$E$54+IF(ISEVEN(A79),$E$55,0)+E56</f>
        <v>436</v>
      </c>
      <c r="D79" s="7">
        <f t="shared" si="0"/>
        <v>2839.406478888</v>
      </c>
      <c r="E79" s="28">
        <f>1/((1+Eingangsparameter!$D$33)^Ausgabekennzahlen!A79)</f>
        <v>0.41552065486748313</v>
      </c>
      <c r="F79" s="29">
        <f t="shared" si="2"/>
        <v>1179.8320395425162</v>
      </c>
      <c r="G79" s="29">
        <f t="shared" si="4"/>
        <v>855.64732824274938</v>
      </c>
    </row>
    <row r="80" spans="1:7">
      <c r="A80">
        <v>19</v>
      </c>
      <c r="B80" s="7">
        <f t="shared" si="3"/>
        <v>3261.3489403520002</v>
      </c>
      <c r="C80" s="7">
        <f t="shared" si="1"/>
        <v>100</v>
      </c>
      <c r="D80" s="7">
        <f t="shared" si="0"/>
        <v>3161.3489403520002</v>
      </c>
      <c r="E80" s="28">
        <f>1/((1+Eingangsparameter!$D$33)^Ausgabekennzahlen!A80)</f>
        <v>0.39573395701665059</v>
      </c>
      <c r="F80" s="29">
        <f t="shared" si="2"/>
        <v>1251.0531256758923</v>
      </c>
      <c r="G80" s="29">
        <f>G79+F80</f>
        <v>2106.7004539186419</v>
      </c>
    </row>
    <row r="81" spans="1:12">
      <c r="A81">
        <v>20</v>
      </c>
      <c r="B81" s="7">
        <f t="shared" si="3"/>
        <v>3247.291401816</v>
      </c>
      <c r="C81" s="7">
        <f t="shared" si="1"/>
        <v>220</v>
      </c>
      <c r="D81" s="7">
        <f t="shared" si="0"/>
        <v>3027.291401816</v>
      </c>
      <c r="E81" s="28">
        <f>1/((1+Eingangsparameter!$D$33)^Ausgabekennzahlen!A81)</f>
        <v>0.37688948287300061</v>
      </c>
      <c r="F81" s="29">
        <f>D81*E81</f>
        <v>1140.9542909363133</v>
      </c>
      <c r="G81" s="29">
        <f t="shared" si="4"/>
        <v>3247.6547448549554</v>
      </c>
    </row>
    <row r="82" spans="1:12">
      <c r="A82">
        <v>21</v>
      </c>
      <c r="B82" s="7">
        <f>($E$51+$E$52+$E$53)*(100-0.4*(A82-1))/100</f>
        <v>3283.6411840000005</v>
      </c>
      <c r="C82" s="7">
        <f>$E$54+IF(ISEVEN(A82),$E$55,0)+E56</f>
        <v>316</v>
      </c>
      <c r="D82" s="7">
        <f t="shared" si="0"/>
        <v>2967.6411840000005</v>
      </c>
      <c r="E82" s="28">
        <f>1/((1+Eingangsparameter!$D$33)^Ausgabekennzahlen!A82)</f>
        <v>0.35894236464095297</v>
      </c>
      <c r="F82" s="29">
        <f t="shared" si="2"/>
        <v>1065.2121439908376</v>
      </c>
      <c r="G82" s="29">
        <f t="shared" si="4"/>
        <v>4312.8668888457933</v>
      </c>
    </row>
    <row r="83" spans="1:12">
      <c r="A83">
        <v>22</v>
      </c>
      <c r="B83" s="7">
        <f t="shared" ref="B83:B91" si="5">($E$51+$E$52+$E$53)*(100-0.4*(A83-1))/100</f>
        <v>3269.3644832000004</v>
      </c>
      <c r="C83" s="7">
        <f t="shared" si="1"/>
        <v>220</v>
      </c>
      <c r="D83" s="7">
        <f t="shared" si="0"/>
        <v>3049.3644832000004</v>
      </c>
      <c r="E83" s="28">
        <f>1/((1+Eingangsparameter!$D$33)^Ausgabekennzahlen!A83)</f>
        <v>0.3418498710866219</v>
      </c>
      <c r="F83" s="29">
        <f t="shared" si="2"/>
        <v>1042.4248554780436</v>
      </c>
      <c r="G83" s="29">
        <f t="shared" si="4"/>
        <v>5355.2917443238366</v>
      </c>
    </row>
    <row r="84" spans="1:12">
      <c r="A84">
        <v>23</v>
      </c>
      <c r="B84" s="7">
        <f t="shared" si="5"/>
        <v>3255.0877824000008</v>
      </c>
      <c r="C84" s="7">
        <f t="shared" si="1"/>
        <v>100</v>
      </c>
      <c r="D84" s="7">
        <f t="shared" si="0"/>
        <v>3155.0877824000008</v>
      </c>
      <c r="E84" s="28">
        <f>1/((1+Eingangsparameter!$D$33)^Ausgabekennzahlen!A84)</f>
        <v>0.32557130579678267</v>
      </c>
      <c r="F84" s="29">
        <f t="shared" si="2"/>
        <v>1027.2060492194437</v>
      </c>
      <c r="G84" s="29">
        <f t="shared" si="4"/>
        <v>6382.4977935432798</v>
      </c>
    </row>
    <row r="85" spans="1:12">
      <c r="A85">
        <v>24</v>
      </c>
      <c r="B85" s="7">
        <f t="shared" si="5"/>
        <v>3240.8110816000008</v>
      </c>
      <c r="C85" s="7">
        <f>$E$54+IF(ISEVEN(A85),$E$55,0)+E56</f>
        <v>436</v>
      </c>
      <c r="D85" s="7">
        <f t="shared" si="0"/>
        <v>2804.8110816000008</v>
      </c>
      <c r="E85" s="28">
        <f>1/((1+Eingangsparameter!$D$33)^Ausgabekennzahlen!A85)</f>
        <v>0.31006791028265024</v>
      </c>
      <c r="F85" s="29">
        <f t="shared" si="2"/>
        <v>869.68191080933218</v>
      </c>
      <c r="G85" s="29">
        <f t="shared" si="4"/>
        <v>7252.1797043526121</v>
      </c>
    </row>
    <row r="86" spans="1:12">
      <c r="A86">
        <v>25</v>
      </c>
      <c r="B86" s="7">
        <f t="shared" si="5"/>
        <v>3226.5343808000007</v>
      </c>
      <c r="C86" s="7">
        <f>$E$54+IF(ISEVEN(A86),$E$55,0)+E57</f>
        <v>3350</v>
      </c>
      <c r="D86" s="7">
        <f t="shared" si="0"/>
        <v>-123.46561919999931</v>
      </c>
      <c r="E86" s="28">
        <f>1/((1+Eingangsparameter!$D$33)^Ausgabekennzahlen!A86)</f>
        <v>0.29530277169776209</v>
      </c>
      <c r="F86" s="29">
        <f t="shared" si="2"/>
        <v>-36.459739559140225</v>
      </c>
      <c r="G86" s="29">
        <f t="shared" si="4"/>
        <v>7215.7199647934722</v>
      </c>
      <c r="I86" s="3" t="s">
        <v>127</v>
      </c>
      <c r="K86">
        <f>IF(G61&gt;0,A61,IF(G62&gt;0,A62,IF(G63&gt;0,A63,IF(G64&gt;0,A64,IF(G65&gt;0,A65,IF(G66&gt;0,A66,IF(G67&gt;0,A67,IF(G68&gt;0,A68,IF(G69&gt;0,A69, IF(G70&gt;0,A70, IF(G71&gt;0,A71,IF(G72&gt;0,A72,IF(G73&gt;0,A73,IF(G74&gt;0,A74,IF(G75&gt;0,A75,IF(G76&gt;0,A76,IF(G77&gt;0,A77,IF(G78&gt;0,A78,IF(G79&gt;0,A79, IF(G80&gt;0,A80, IF(G81&gt;0,A81,IF(G82&gt;0,A82,IF(G83&gt;0,A83,IF(G84&gt;0,A84,IF(G85&gt;0,A85,IF(G86&gt;0,A86,IF(G87&gt;0,A87,IF(G88&gt;0,A88,IF(G89&gt;0,A89, IF(G90&gt;0,A90, IF(G91&gt;0,A91, "nicht wirtschaftlich")))))))))))))))))))))))))))))))</f>
        <v>18</v>
      </c>
      <c r="L86" t="s">
        <v>50</v>
      </c>
    </row>
    <row r="87" spans="1:12">
      <c r="A87">
        <v>26</v>
      </c>
      <c r="B87" s="7">
        <f t="shared" si="5"/>
        <v>3212.2576800000006</v>
      </c>
      <c r="C87" s="7">
        <f t="shared" si="1"/>
        <v>220</v>
      </c>
      <c r="D87" s="7">
        <f t="shared" si="0"/>
        <v>2992.2576800000006</v>
      </c>
      <c r="E87" s="28">
        <f>1/((1+Eingangsparameter!$D$33)^Ausgabekennzahlen!A87)</f>
        <v>0.28124073495024959</v>
      </c>
      <c r="F87" s="29">
        <f t="shared" ref="F87:F91" si="6">D87*E87</f>
        <v>841.5447490837289</v>
      </c>
      <c r="G87" s="29">
        <f t="shared" ref="G87:G91" si="7">G86+F87</f>
        <v>8057.2647138772008</v>
      </c>
    </row>
    <row r="88" spans="1:12">
      <c r="A88">
        <v>27</v>
      </c>
      <c r="B88" s="7">
        <f t="shared" si="5"/>
        <v>3197.9809792000001</v>
      </c>
      <c r="C88" s="7">
        <f>$E$54+IF(ISEVEN(A88),$E$55,0)+E56</f>
        <v>316</v>
      </c>
      <c r="D88" s="7">
        <f t="shared" si="0"/>
        <v>2881.9809792000001</v>
      </c>
      <c r="E88" s="28">
        <f>1/((1+Eingangsparameter!$D$33)^Ausgabekennzahlen!A88)</f>
        <v>0.2678483190002377</v>
      </c>
      <c r="F88" s="29">
        <f t="shared" si="6"/>
        <v>771.93376066937901</v>
      </c>
      <c r="G88" s="29">
        <f t="shared" si="7"/>
        <v>8829.1984745465797</v>
      </c>
    </row>
    <row r="89" spans="1:12">
      <c r="A89">
        <v>28</v>
      </c>
      <c r="B89" s="7">
        <f t="shared" si="5"/>
        <v>3183.7042784000009</v>
      </c>
      <c r="C89" s="7">
        <f t="shared" si="1"/>
        <v>220</v>
      </c>
      <c r="D89" s="7">
        <f t="shared" si="0"/>
        <v>2963.7042784000009</v>
      </c>
      <c r="E89" s="28">
        <f>1/((1+Eingangsparameter!$D$33)^Ausgabekennzahlen!A89)</f>
        <v>0.25509363714308358</v>
      </c>
      <c r="F89" s="29">
        <f t="shared" si="6"/>
        <v>756.02210379357416</v>
      </c>
      <c r="G89" s="29">
        <f t="shared" si="7"/>
        <v>9585.2205783401532</v>
      </c>
    </row>
    <row r="90" spans="1:12">
      <c r="A90">
        <v>29</v>
      </c>
      <c r="B90" s="7">
        <f t="shared" si="5"/>
        <v>3169.4275776000009</v>
      </c>
      <c r="C90" s="7">
        <f t="shared" si="1"/>
        <v>100</v>
      </c>
      <c r="D90" s="7">
        <f t="shared" si="0"/>
        <v>3069.4275776000009</v>
      </c>
      <c r="E90" s="28">
        <f>1/((1+Eingangsparameter!$D$33)^Ausgabekennzahlen!A90)</f>
        <v>0.24294632108865097</v>
      </c>
      <c r="F90" s="29">
        <f t="shared" si="6"/>
        <v>745.7061378259699</v>
      </c>
      <c r="G90" s="29">
        <f t="shared" si="7"/>
        <v>10330.926716166123</v>
      </c>
    </row>
    <row r="91" spans="1:12">
      <c r="A91">
        <v>30</v>
      </c>
      <c r="B91" s="7">
        <f t="shared" si="5"/>
        <v>3155.1508768000003</v>
      </c>
      <c r="C91" s="7">
        <f>$E$54+IF(ISEVEN(A91),$E$55,0)+E56</f>
        <v>436</v>
      </c>
      <c r="D91" s="7">
        <f t="shared" si="0"/>
        <v>2719.1508768000003</v>
      </c>
      <c r="E91" s="28">
        <f>1/((1+Eingangsparameter!$D$33)^Ausgabekennzahlen!A91)</f>
        <v>0.23137744865585813</v>
      </c>
      <c r="F91" s="29">
        <f t="shared" si="6"/>
        <v>629.15019238432365</v>
      </c>
      <c r="G91" s="29">
        <f t="shared" si="7"/>
        <v>10960.076908550447</v>
      </c>
    </row>
    <row r="93" spans="1:12">
      <c r="A93" t="s">
        <v>256</v>
      </c>
    </row>
    <row r="94" spans="1:12">
      <c r="A94" s="9" t="s">
        <v>255</v>
      </c>
      <c r="B94" t="s">
        <v>189</v>
      </c>
    </row>
  </sheetData>
  <conditionalFormatting sqref="G61:G91">
    <cfRule type="cellIs" dxfId="0" priority="1" operator="greaterThan">
      <formula>0</formula>
    </cfRule>
  </conditionalFormatting>
  <pageMargins left="0.7" right="0.7" top="0.78740157499999996" bottom="0.78740157499999996" header="0.3" footer="0.3"/>
  <pageSetup paperSize="9" scale="80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E6FB-F70D-CC4D-93C0-E0F08DCBC3CA}">
  <dimension ref="A2:P60"/>
  <sheetViews>
    <sheetView topLeftCell="A3" workbookViewId="0">
      <selection activeCell="N9" sqref="N9"/>
    </sheetView>
  </sheetViews>
  <sheetFormatPr baseColWidth="10" defaultColWidth="11" defaultRowHeight="15.6"/>
  <cols>
    <col min="2" max="2" width="13.296875" customWidth="1"/>
    <col min="3" max="3" width="8.69921875" customWidth="1"/>
    <col min="4" max="4" width="8.19921875" style="23" hidden="1" customWidth="1"/>
    <col min="5" max="5" width="8.19921875" style="23" customWidth="1"/>
    <col min="6" max="6" width="24.796875" hidden="1" customWidth="1"/>
    <col min="7" max="7" width="26.296875" hidden="1" customWidth="1"/>
    <col min="8" max="8" width="8.5" customWidth="1"/>
  </cols>
  <sheetData>
    <row r="2" spans="1:16">
      <c r="A2" s="3" t="s">
        <v>32</v>
      </c>
      <c r="B2" s="3"/>
      <c r="C2" s="3"/>
      <c r="D2" s="22"/>
      <c r="E2" s="22"/>
      <c r="F2" s="3"/>
      <c r="G2" s="3"/>
      <c r="L2" t="s">
        <v>130</v>
      </c>
      <c r="O2">
        <v>1000</v>
      </c>
      <c r="P2" t="s">
        <v>131</v>
      </c>
    </row>
    <row r="3" spans="1:16">
      <c r="A3" s="3"/>
      <c r="B3" s="3"/>
      <c r="C3" s="3"/>
      <c r="D3" s="22"/>
      <c r="E3" s="22"/>
      <c r="F3" s="21"/>
      <c r="G3" s="21"/>
      <c r="L3" t="s">
        <v>132</v>
      </c>
      <c r="O3">
        <v>0.2</v>
      </c>
      <c r="P3" t="s">
        <v>133</v>
      </c>
    </row>
    <row r="4" spans="1:16">
      <c r="A4" s="3" t="s">
        <v>35</v>
      </c>
      <c r="B4" s="3" t="s">
        <v>36</v>
      </c>
      <c r="C4" s="3" t="s">
        <v>37</v>
      </c>
      <c r="D4" s="22" t="s">
        <v>38</v>
      </c>
      <c r="E4" s="22" t="s">
        <v>129</v>
      </c>
      <c r="F4" s="3" t="s">
        <v>39</v>
      </c>
      <c r="G4" s="3" t="s">
        <v>40</v>
      </c>
    </row>
    <row r="5" spans="1:16">
      <c r="A5" t="s">
        <v>2</v>
      </c>
      <c r="B5" s="20" t="s">
        <v>41</v>
      </c>
      <c r="C5" s="46" t="s">
        <v>21</v>
      </c>
      <c r="D5" s="23">
        <v>20</v>
      </c>
      <c r="E5" s="23">
        <v>82.7</v>
      </c>
      <c r="F5">
        <f t="shared" ref="F5:F36" si="0">$O$3*D5*$O$2*E5/100</f>
        <v>3308</v>
      </c>
    </row>
    <row r="6" spans="1:16">
      <c r="A6" t="s">
        <v>2</v>
      </c>
      <c r="B6" s="20" t="s">
        <v>41</v>
      </c>
      <c r="C6" s="46" t="s">
        <v>23</v>
      </c>
      <c r="D6" s="23">
        <v>20</v>
      </c>
      <c r="E6" s="23">
        <v>64.8</v>
      </c>
      <c r="F6">
        <f t="shared" si="0"/>
        <v>2592</v>
      </c>
    </row>
    <row r="7" spans="1:16">
      <c r="A7" t="s">
        <v>2</v>
      </c>
      <c r="B7" s="20" t="s">
        <v>41</v>
      </c>
      <c r="C7" s="46" t="s">
        <v>25</v>
      </c>
      <c r="D7" s="23">
        <v>20</v>
      </c>
      <c r="E7" s="23">
        <v>56.3</v>
      </c>
      <c r="F7">
        <f t="shared" si="0"/>
        <v>2252</v>
      </c>
    </row>
    <row r="8" spans="1:16">
      <c r="A8" t="s">
        <v>2</v>
      </c>
      <c r="B8" s="20" t="s">
        <v>41</v>
      </c>
      <c r="C8" s="46" t="s">
        <v>27</v>
      </c>
      <c r="D8" s="23">
        <v>20</v>
      </c>
      <c r="E8" s="23">
        <v>48.1</v>
      </c>
      <c r="F8">
        <f t="shared" si="0"/>
        <v>1924</v>
      </c>
    </row>
    <row r="9" spans="1:16">
      <c r="A9" t="s">
        <v>2</v>
      </c>
      <c r="B9" s="20" t="s">
        <v>41</v>
      </c>
      <c r="C9" s="46" t="s">
        <v>29</v>
      </c>
      <c r="D9" s="23">
        <v>20</v>
      </c>
      <c r="E9" s="23">
        <v>41</v>
      </c>
      <c r="F9">
        <f t="shared" si="0"/>
        <v>1640</v>
      </c>
    </row>
    <row r="10" spans="1:16">
      <c r="A10" t="s">
        <v>2</v>
      </c>
      <c r="B10" s="20" t="s">
        <v>41</v>
      </c>
      <c r="C10" s="46" t="s">
        <v>31</v>
      </c>
      <c r="D10" s="23">
        <v>20</v>
      </c>
      <c r="E10" s="23">
        <v>33.700000000000003</v>
      </c>
      <c r="F10">
        <f t="shared" si="0"/>
        <v>1348</v>
      </c>
    </row>
    <row r="11" spans="1:16">
      <c r="A11" t="s">
        <v>2</v>
      </c>
      <c r="B11" s="20" t="s">
        <v>41</v>
      </c>
      <c r="C11" s="46" t="s">
        <v>46</v>
      </c>
      <c r="D11" s="23">
        <v>20</v>
      </c>
      <c r="E11" s="23">
        <v>28.7</v>
      </c>
      <c r="F11">
        <f t="shared" si="0"/>
        <v>1148</v>
      </c>
    </row>
    <row r="12" spans="1:16">
      <c r="A12" t="s">
        <v>4</v>
      </c>
      <c r="B12" s="20" t="s">
        <v>42</v>
      </c>
      <c r="C12" s="46" t="s">
        <v>21</v>
      </c>
      <c r="D12" s="23">
        <v>20</v>
      </c>
      <c r="E12" s="23">
        <v>83.9</v>
      </c>
      <c r="F12">
        <f t="shared" si="0"/>
        <v>3356</v>
      </c>
    </row>
    <row r="13" spans="1:16">
      <c r="A13" t="s">
        <v>4</v>
      </c>
      <c r="B13" s="20" t="s">
        <v>42</v>
      </c>
      <c r="C13" s="46" t="s">
        <v>23</v>
      </c>
      <c r="D13" s="23">
        <v>20</v>
      </c>
      <c r="E13" s="23">
        <v>70.400000000000006</v>
      </c>
      <c r="F13">
        <f t="shared" si="0"/>
        <v>2816</v>
      </c>
    </row>
    <row r="14" spans="1:16">
      <c r="A14" t="s">
        <v>4</v>
      </c>
      <c r="B14" s="20" t="s">
        <v>42</v>
      </c>
      <c r="C14" s="46" t="s">
        <v>25</v>
      </c>
      <c r="D14" s="23">
        <v>20</v>
      </c>
      <c r="E14" s="23">
        <v>63.5</v>
      </c>
      <c r="F14">
        <f t="shared" si="0"/>
        <v>2540</v>
      </c>
    </row>
    <row r="15" spans="1:16">
      <c r="A15" t="s">
        <v>4</v>
      </c>
      <c r="B15" s="20" t="s">
        <v>42</v>
      </c>
      <c r="C15" s="46" t="s">
        <v>27</v>
      </c>
      <c r="D15" s="23">
        <v>20</v>
      </c>
      <c r="E15" s="23">
        <v>57.3</v>
      </c>
      <c r="F15">
        <f t="shared" si="0"/>
        <v>2292</v>
      </c>
    </row>
    <row r="16" spans="1:16">
      <c r="A16" t="s">
        <v>4</v>
      </c>
      <c r="B16" s="20" t="s">
        <v>42</v>
      </c>
      <c r="C16" s="46" t="s">
        <v>29</v>
      </c>
      <c r="D16" s="23">
        <v>20</v>
      </c>
      <c r="E16" s="23">
        <v>52.1</v>
      </c>
      <c r="F16">
        <f t="shared" si="0"/>
        <v>2084</v>
      </c>
    </row>
    <row r="17" spans="1:6">
      <c r="A17" t="s">
        <v>4</v>
      </c>
      <c r="B17" s="20" t="s">
        <v>42</v>
      </c>
      <c r="C17" s="46" t="s">
        <v>31</v>
      </c>
      <c r="D17" s="23">
        <v>20</v>
      </c>
      <c r="E17" s="23">
        <v>45.5</v>
      </c>
      <c r="F17">
        <f t="shared" si="0"/>
        <v>1820</v>
      </c>
    </row>
    <row r="18" spans="1:6">
      <c r="A18" t="s">
        <v>4</v>
      </c>
      <c r="B18" s="20" t="s">
        <v>42</v>
      </c>
      <c r="C18" s="46" t="s">
        <v>46</v>
      </c>
      <c r="D18" s="23">
        <v>20</v>
      </c>
      <c r="E18" s="23">
        <v>37.6</v>
      </c>
      <c r="F18">
        <f t="shared" si="0"/>
        <v>1504</v>
      </c>
    </row>
    <row r="19" spans="1:6">
      <c r="A19" t="s">
        <v>6</v>
      </c>
      <c r="B19" s="20" t="s">
        <v>43</v>
      </c>
      <c r="C19" s="46" t="s">
        <v>21</v>
      </c>
      <c r="D19" s="23">
        <v>20</v>
      </c>
      <c r="E19" s="23">
        <v>86.4</v>
      </c>
      <c r="F19">
        <f t="shared" si="0"/>
        <v>3456</v>
      </c>
    </row>
    <row r="20" spans="1:6">
      <c r="A20" t="s">
        <v>6</v>
      </c>
      <c r="B20" s="20" t="s">
        <v>43</v>
      </c>
      <c r="C20" s="46" t="s">
        <v>23</v>
      </c>
      <c r="D20" s="23">
        <v>20</v>
      </c>
      <c r="E20" s="23">
        <v>83.3</v>
      </c>
      <c r="F20">
        <f t="shared" si="0"/>
        <v>3332</v>
      </c>
    </row>
    <row r="21" spans="1:6">
      <c r="A21" t="s">
        <v>6</v>
      </c>
      <c r="B21" s="20" t="s">
        <v>43</v>
      </c>
      <c r="C21" s="46" t="s">
        <v>25</v>
      </c>
      <c r="D21" s="23">
        <v>20</v>
      </c>
      <c r="E21" s="23">
        <v>80.7</v>
      </c>
      <c r="F21">
        <f t="shared" si="0"/>
        <v>3228</v>
      </c>
    </row>
    <row r="22" spans="1:6">
      <c r="A22" t="s">
        <v>6</v>
      </c>
      <c r="B22" s="20" t="s">
        <v>43</v>
      </c>
      <c r="C22" s="46" t="s">
        <v>27</v>
      </c>
      <c r="D22" s="23">
        <v>20</v>
      </c>
      <c r="E22" s="23">
        <v>77.5</v>
      </c>
      <c r="F22">
        <f t="shared" si="0"/>
        <v>3100</v>
      </c>
    </row>
    <row r="23" spans="1:6">
      <c r="A23" t="s">
        <v>6</v>
      </c>
      <c r="B23" s="20" t="s">
        <v>43</v>
      </c>
      <c r="C23" s="46" t="s">
        <v>29</v>
      </c>
      <c r="D23" s="23">
        <v>20</v>
      </c>
      <c r="E23" s="23">
        <v>73.599999999999994</v>
      </c>
      <c r="F23">
        <f t="shared" si="0"/>
        <v>2944</v>
      </c>
    </row>
    <row r="24" spans="1:6">
      <c r="A24" t="s">
        <v>6</v>
      </c>
      <c r="B24" s="20" t="s">
        <v>43</v>
      </c>
      <c r="C24" s="46" t="s">
        <v>31</v>
      </c>
      <c r="D24" s="23">
        <v>20</v>
      </c>
      <c r="E24" s="23">
        <v>66.599999999999994</v>
      </c>
      <c r="F24">
        <f t="shared" si="0"/>
        <v>2664</v>
      </c>
    </row>
    <row r="25" spans="1:6">
      <c r="A25" t="s">
        <v>6</v>
      </c>
      <c r="B25" s="20" t="s">
        <v>43</v>
      </c>
      <c r="C25" s="46" t="s">
        <v>46</v>
      </c>
      <c r="D25" s="23">
        <v>20</v>
      </c>
      <c r="E25" s="23">
        <v>55.3</v>
      </c>
      <c r="F25">
        <f t="shared" si="0"/>
        <v>2212</v>
      </c>
    </row>
    <row r="26" spans="1:6">
      <c r="A26" t="s">
        <v>8</v>
      </c>
      <c r="B26" s="20" t="s">
        <v>44</v>
      </c>
      <c r="C26" s="46" t="s">
        <v>21</v>
      </c>
      <c r="D26" s="23">
        <v>20</v>
      </c>
      <c r="E26" s="23">
        <v>89</v>
      </c>
      <c r="F26">
        <f t="shared" si="0"/>
        <v>3560</v>
      </c>
    </row>
    <row r="27" spans="1:6">
      <c r="A27" t="s">
        <v>8</v>
      </c>
      <c r="B27" s="20" t="s">
        <v>44</v>
      </c>
      <c r="C27" s="46" t="s">
        <v>23</v>
      </c>
      <c r="D27" s="23">
        <v>20</v>
      </c>
      <c r="E27" s="23">
        <v>94.6</v>
      </c>
      <c r="F27">
        <f t="shared" si="0"/>
        <v>3784</v>
      </c>
    </row>
    <row r="28" spans="1:6">
      <c r="A28" t="s">
        <v>8</v>
      </c>
      <c r="B28" s="20" t="s">
        <v>44</v>
      </c>
      <c r="C28" s="46" t="s">
        <v>25</v>
      </c>
      <c r="D28" s="23">
        <v>20</v>
      </c>
      <c r="E28" s="23">
        <v>94.9</v>
      </c>
      <c r="F28">
        <f t="shared" si="0"/>
        <v>3796</v>
      </c>
    </row>
    <row r="29" spans="1:6">
      <c r="A29" t="s">
        <v>8</v>
      </c>
      <c r="B29" s="20" t="s">
        <v>44</v>
      </c>
      <c r="C29" s="46" t="s">
        <v>27</v>
      </c>
      <c r="D29" s="23">
        <v>20</v>
      </c>
      <c r="E29" s="23">
        <v>93.6</v>
      </c>
      <c r="F29">
        <f t="shared" si="0"/>
        <v>3744</v>
      </c>
    </row>
    <row r="30" spans="1:6">
      <c r="A30" t="s">
        <v>8</v>
      </c>
      <c r="B30" s="20" t="s">
        <v>44</v>
      </c>
      <c r="C30" s="46" t="s">
        <v>29</v>
      </c>
      <c r="D30" s="23">
        <v>20</v>
      </c>
      <c r="E30" s="23">
        <v>90.4</v>
      </c>
      <c r="F30">
        <f t="shared" si="0"/>
        <v>3616</v>
      </c>
    </row>
    <row r="31" spans="1:6">
      <c r="A31" t="s">
        <v>8</v>
      </c>
      <c r="B31" s="20" t="s">
        <v>44</v>
      </c>
      <c r="C31" s="46" t="s">
        <v>31</v>
      </c>
      <c r="D31" s="23">
        <v>20</v>
      </c>
      <c r="E31" s="23">
        <v>82.8</v>
      </c>
      <c r="F31">
        <f t="shared" si="0"/>
        <v>3312</v>
      </c>
    </row>
    <row r="32" spans="1:6">
      <c r="A32" t="s">
        <v>8</v>
      </c>
      <c r="B32" s="20" t="s">
        <v>44</v>
      </c>
      <c r="C32" s="46" t="s">
        <v>46</v>
      </c>
      <c r="D32" s="23">
        <v>20</v>
      </c>
      <c r="E32" s="23">
        <v>68.099999999999994</v>
      </c>
      <c r="F32">
        <f t="shared" si="0"/>
        <v>2724</v>
      </c>
    </row>
    <row r="33" spans="1:6">
      <c r="A33" t="s">
        <v>10</v>
      </c>
      <c r="B33" s="20" t="s">
        <v>45</v>
      </c>
      <c r="C33" s="46" t="s">
        <v>21</v>
      </c>
      <c r="D33" s="23">
        <v>20</v>
      </c>
      <c r="E33" s="23">
        <v>90</v>
      </c>
      <c r="F33">
        <f t="shared" si="0"/>
        <v>3600</v>
      </c>
    </row>
    <row r="34" spans="1:6">
      <c r="A34" t="s">
        <v>10</v>
      </c>
      <c r="B34" s="20" t="s">
        <v>45</v>
      </c>
      <c r="C34" s="46" t="s">
        <v>23</v>
      </c>
      <c r="D34" s="23">
        <v>20</v>
      </c>
      <c r="E34" s="23">
        <v>98.7</v>
      </c>
      <c r="F34">
        <f t="shared" si="0"/>
        <v>3948</v>
      </c>
    </row>
    <row r="35" spans="1:6">
      <c r="A35" t="s">
        <v>10</v>
      </c>
      <c r="B35" s="20" t="s">
        <v>45</v>
      </c>
      <c r="C35" s="46" t="s">
        <v>25</v>
      </c>
      <c r="D35" s="23">
        <v>20</v>
      </c>
      <c r="E35" s="23">
        <v>100</v>
      </c>
      <c r="F35">
        <f t="shared" si="0"/>
        <v>4000</v>
      </c>
    </row>
    <row r="36" spans="1:6">
      <c r="A36" t="s">
        <v>10</v>
      </c>
      <c r="B36" s="20" t="s">
        <v>45</v>
      </c>
      <c r="C36" s="46" t="s">
        <v>27</v>
      </c>
      <c r="D36" s="23">
        <v>20</v>
      </c>
      <c r="E36" s="23">
        <v>99</v>
      </c>
      <c r="F36">
        <f t="shared" si="0"/>
        <v>3960</v>
      </c>
    </row>
    <row r="37" spans="1:6">
      <c r="A37" t="s">
        <v>10</v>
      </c>
      <c r="B37" s="20" t="s">
        <v>45</v>
      </c>
      <c r="C37" s="46" t="s">
        <v>29</v>
      </c>
      <c r="D37" s="23">
        <v>20</v>
      </c>
      <c r="E37" s="23">
        <v>96</v>
      </c>
      <c r="F37">
        <f t="shared" ref="F37:F60" si="1">$O$3*D37*$O$2*E37/100</f>
        <v>3840</v>
      </c>
    </row>
    <row r="38" spans="1:6">
      <c r="A38" t="s">
        <v>10</v>
      </c>
      <c r="B38" s="20" t="s">
        <v>45</v>
      </c>
      <c r="C38" s="46" t="s">
        <v>31</v>
      </c>
      <c r="D38" s="23">
        <v>20</v>
      </c>
      <c r="E38" s="23">
        <v>87.6</v>
      </c>
      <c r="F38">
        <f t="shared" si="1"/>
        <v>3504</v>
      </c>
    </row>
    <row r="39" spans="1:6">
      <c r="A39" t="s">
        <v>10</v>
      </c>
      <c r="B39" s="20" t="s">
        <v>45</v>
      </c>
      <c r="C39" s="46" t="s">
        <v>46</v>
      </c>
      <c r="D39" s="23">
        <v>20</v>
      </c>
      <c r="E39" s="23">
        <v>70.599999999999994</v>
      </c>
      <c r="F39">
        <f t="shared" si="1"/>
        <v>2824</v>
      </c>
    </row>
    <row r="40" spans="1:6">
      <c r="A40" t="s">
        <v>12</v>
      </c>
      <c r="B40" s="20" t="s">
        <v>27</v>
      </c>
      <c r="C40" s="46" t="s">
        <v>21</v>
      </c>
      <c r="D40" s="23">
        <v>20</v>
      </c>
      <c r="E40" s="23">
        <v>89</v>
      </c>
      <c r="F40">
        <f t="shared" si="1"/>
        <v>3560</v>
      </c>
    </row>
    <row r="41" spans="1:6">
      <c r="A41" t="s">
        <v>12</v>
      </c>
      <c r="B41" s="20" t="s">
        <v>27</v>
      </c>
      <c r="C41" s="46" t="s">
        <v>23</v>
      </c>
      <c r="D41" s="23">
        <v>20</v>
      </c>
      <c r="E41" s="23">
        <v>94.6</v>
      </c>
      <c r="F41">
        <f t="shared" si="1"/>
        <v>3784</v>
      </c>
    </row>
    <row r="42" spans="1:6">
      <c r="A42" t="s">
        <v>12</v>
      </c>
      <c r="B42" s="20" t="s">
        <v>27</v>
      </c>
      <c r="C42" s="46" t="s">
        <v>25</v>
      </c>
      <c r="D42" s="23">
        <v>20</v>
      </c>
      <c r="E42" s="23">
        <v>94.9</v>
      </c>
      <c r="F42">
        <f t="shared" si="1"/>
        <v>3796</v>
      </c>
    </row>
    <row r="43" spans="1:6">
      <c r="A43" t="s">
        <v>12</v>
      </c>
      <c r="B43" s="20" t="s">
        <v>27</v>
      </c>
      <c r="C43" s="46" t="s">
        <v>27</v>
      </c>
      <c r="D43" s="23">
        <v>20</v>
      </c>
      <c r="E43" s="23">
        <v>93.6</v>
      </c>
      <c r="F43">
        <f t="shared" si="1"/>
        <v>3744</v>
      </c>
    </row>
    <row r="44" spans="1:6">
      <c r="A44" t="s">
        <v>12</v>
      </c>
      <c r="B44" s="20" t="s">
        <v>27</v>
      </c>
      <c r="C44" s="46" t="s">
        <v>29</v>
      </c>
      <c r="D44" s="23">
        <v>20</v>
      </c>
      <c r="E44" s="23">
        <v>90.4</v>
      </c>
      <c r="F44">
        <f t="shared" si="1"/>
        <v>3616</v>
      </c>
    </row>
    <row r="45" spans="1:6">
      <c r="A45" t="s">
        <v>12</v>
      </c>
      <c r="B45" s="20" t="s">
        <v>27</v>
      </c>
      <c r="C45" s="46" t="s">
        <v>31</v>
      </c>
      <c r="D45" s="23">
        <v>20</v>
      </c>
      <c r="E45" s="23">
        <v>82.8</v>
      </c>
      <c r="F45">
        <f t="shared" si="1"/>
        <v>3312</v>
      </c>
    </row>
    <row r="46" spans="1:6">
      <c r="A46" t="s">
        <v>12</v>
      </c>
      <c r="B46" s="20" t="s">
        <v>27</v>
      </c>
      <c r="C46" s="46" t="s">
        <v>46</v>
      </c>
      <c r="D46" s="23">
        <v>20</v>
      </c>
      <c r="E46" s="23">
        <v>68.099999999999994</v>
      </c>
      <c r="F46">
        <f t="shared" si="1"/>
        <v>2724</v>
      </c>
    </row>
    <row r="47" spans="1:6">
      <c r="A47" t="s">
        <v>14</v>
      </c>
      <c r="B47" s="20" t="s">
        <v>46</v>
      </c>
      <c r="C47" s="46" t="s">
        <v>21</v>
      </c>
      <c r="D47" s="23">
        <v>20</v>
      </c>
      <c r="E47" s="23">
        <v>86.4</v>
      </c>
      <c r="F47">
        <f t="shared" si="1"/>
        <v>3456</v>
      </c>
    </row>
    <row r="48" spans="1:6">
      <c r="A48" t="s">
        <v>14</v>
      </c>
      <c r="B48" s="20" t="s">
        <v>46</v>
      </c>
      <c r="C48" s="46" t="s">
        <v>23</v>
      </c>
      <c r="D48" s="23">
        <v>20</v>
      </c>
      <c r="E48" s="23">
        <v>83.3</v>
      </c>
      <c r="F48">
        <f t="shared" si="1"/>
        <v>3332</v>
      </c>
    </row>
    <row r="49" spans="1:6">
      <c r="A49" t="s">
        <v>14</v>
      </c>
      <c r="B49" s="20" t="s">
        <v>46</v>
      </c>
      <c r="C49" s="46" t="s">
        <v>25</v>
      </c>
      <c r="D49" s="23">
        <v>20</v>
      </c>
      <c r="E49" s="23">
        <v>80.7</v>
      </c>
      <c r="F49">
        <f t="shared" si="1"/>
        <v>3228</v>
      </c>
    </row>
    <row r="50" spans="1:6">
      <c r="A50" t="s">
        <v>14</v>
      </c>
      <c r="B50" s="20" t="s">
        <v>46</v>
      </c>
      <c r="C50" s="46" t="s">
        <v>27</v>
      </c>
      <c r="D50" s="23">
        <v>20</v>
      </c>
      <c r="E50" s="23">
        <v>77.5</v>
      </c>
      <c r="F50">
        <f t="shared" si="1"/>
        <v>3100</v>
      </c>
    </row>
    <row r="51" spans="1:6">
      <c r="A51" t="s">
        <v>14</v>
      </c>
      <c r="B51" s="20" t="s">
        <v>46</v>
      </c>
      <c r="C51" s="46" t="s">
        <v>29</v>
      </c>
      <c r="D51" s="23">
        <v>20</v>
      </c>
      <c r="E51" s="23">
        <v>73.599999999999994</v>
      </c>
      <c r="F51">
        <f t="shared" si="1"/>
        <v>2944</v>
      </c>
    </row>
    <row r="52" spans="1:6">
      <c r="A52" t="s">
        <v>14</v>
      </c>
      <c r="B52" s="20" t="s">
        <v>46</v>
      </c>
      <c r="C52" s="46" t="s">
        <v>31</v>
      </c>
      <c r="D52" s="23">
        <v>20</v>
      </c>
      <c r="E52" s="23">
        <v>66.599999999999994</v>
      </c>
      <c r="F52">
        <f t="shared" si="1"/>
        <v>2664</v>
      </c>
    </row>
    <row r="53" spans="1:6">
      <c r="A53" t="s">
        <v>14</v>
      </c>
      <c r="B53" s="20" t="s">
        <v>46</v>
      </c>
      <c r="C53" s="46" t="s">
        <v>46</v>
      </c>
      <c r="D53" s="23">
        <v>20</v>
      </c>
      <c r="E53" s="23">
        <v>55.3</v>
      </c>
      <c r="F53">
        <f t="shared" si="1"/>
        <v>2212</v>
      </c>
    </row>
    <row r="54" spans="1:6">
      <c r="A54" t="s">
        <v>16</v>
      </c>
      <c r="B54" s="20" t="s">
        <v>47</v>
      </c>
      <c r="C54" s="46" t="s">
        <v>21</v>
      </c>
      <c r="D54" s="23">
        <v>20</v>
      </c>
      <c r="E54" s="23">
        <v>83.9</v>
      </c>
      <c r="F54">
        <f t="shared" si="1"/>
        <v>3356</v>
      </c>
    </row>
    <row r="55" spans="1:6">
      <c r="A55" t="s">
        <v>16</v>
      </c>
      <c r="B55" s="20" t="s">
        <v>47</v>
      </c>
      <c r="C55" s="46" t="s">
        <v>23</v>
      </c>
      <c r="D55" s="23">
        <v>20</v>
      </c>
      <c r="E55" s="23">
        <v>70.400000000000006</v>
      </c>
      <c r="F55">
        <f t="shared" si="1"/>
        <v>2816</v>
      </c>
    </row>
    <row r="56" spans="1:6">
      <c r="A56" t="s">
        <v>16</v>
      </c>
      <c r="B56" s="20" t="s">
        <v>47</v>
      </c>
      <c r="C56" s="46" t="s">
        <v>25</v>
      </c>
      <c r="D56" s="23">
        <v>20</v>
      </c>
      <c r="E56" s="23">
        <v>63.5</v>
      </c>
      <c r="F56">
        <f t="shared" si="1"/>
        <v>2540</v>
      </c>
    </row>
    <row r="57" spans="1:6">
      <c r="A57" t="s">
        <v>16</v>
      </c>
      <c r="B57" s="20" t="s">
        <v>47</v>
      </c>
      <c r="C57" s="46" t="s">
        <v>27</v>
      </c>
      <c r="D57" s="23">
        <v>20</v>
      </c>
      <c r="E57" s="23">
        <v>57.3</v>
      </c>
      <c r="F57">
        <f t="shared" si="1"/>
        <v>2292</v>
      </c>
    </row>
    <row r="58" spans="1:6">
      <c r="A58" t="s">
        <v>16</v>
      </c>
      <c r="B58" s="20" t="s">
        <v>47</v>
      </c>
      <c r="C58" s="46" t="s">
        <v>29</v>
      </c>
      <c r="D58" s="23">
        <v>20</v>
      </c>
      <c r="E58" s="23">
        <v>52.1</v>
      </c>
      <c r="F58">
        <f t="shared" si="1"/>
        <v>2084</v>
      </c>
    </row>
    <row r="59" spans="1:6">
      <c r="A59" t="s">
        <v>16</v>
      </c>
      <c r="B59" s="20" t="s">
        <v>47</v>
      </c>
      <c r="C59" s="46" t="s">
        <v>31</v>
      </c>
      <c r="D59" s="23">
        <v>20</v>
      </c>
      <c r="E59" s="23">
        <v>45.5</v>
      </c>
      <c r="F59">
        <f t="shared" si="1"/>
        <v>1820</v>
      </c>
    </row>
    <row r="60" spans="1:6">
      <c r="A60" t="s">
        <v>16</v>
      </c>
      <c r="B60" s="20" t="s">
        <v>47</v>
      </c>
      <c r="C60" s="46" t="s">
        <v>46</v>
      </c>
      <c r="D60" s="23">
        <v>20</v>
      </c>
      <c r="E60" s="23">
        <v>37.6</v>
      </c>
      <c r="F60">
        <f t="shared" si="1"/>
        <v>1504</v>
      </c>
    </row>
  </sheetData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E0D6-B4AB-904F-8E3B-A9691E005BC2}">
  <dimension ref="A2:D32"/>
  <sheetViews>
    <sheetView showFormulas="1" workbookViewId="0">
      <selection activeCell="D13" sqref="D13"/>
    </sheetView>
  </sheetViews>
  <sheetFormatPr baseColWidth="10" defaultColWidth="11" defaultRowHeight="15.6"/>
  <cols>
    <col min="2" max="2" width="6.5" customWidth="1"/>
    <col min="3" max="3" width="20" customWidth="1"/>
    <col min="7" max="7" width="25.5" customWidth="1"/>
  </cols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2" spans="1:2">
      <c r="A12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4">
      <c r="A17" t="s">
        <v>24</v>
      </c>
      <c r="B17" t="s">
        <v>25</v>
      </c>
    </row>
    <row r="18" spans="1:4">
      <c r="A18" t="s">
        <v>26</v>
      </c>
      <c r="B18" t="s">
        <v>27</v>
      </c>
    </row>
    <row r="19" spans="1:4">
      <c r="A19" t="s">
        <v>28</v>
      </c>
      <c r="B19" t="s">
        <v>29</v>
      </c>
    </row>
    <row r="20" spans="1:4">
      <c r="A20" t="s">
        <v>30</v>
      </c>
      <c r="B20" t="s">
        <v>31</v>
      </c>
    </row>
    <row r="21" spans="1:4">
      <c r="A21" t="s">
        <v>137</v>
      </c>
      <c r="B21" t="s">
        <v>46</v>
      </c>
    </row>
    <row r="23" spans="1:4">
      <c r="A23" t="s">
        <v>139</v>
      </c>
      <c r="C23" t="s">
        <v>53</v>
      </c>
      <c r="D23" t="s">
        <v>215</v>
      </c>
    </row>
    <row r="24" spans="1:4">
      <c r="A24" t="s">
        <v>140</v>
      </c>
      <c r="C24" t="s">
        <v>54</v>
      </c>
      <c r="D24" t="s">
        <v>216</v>
      </c>
    </row>
    <row r="25" spans="1:4">
      <c r="A25" t="s">
        <v>214</v>
      </c>
    </row>
    <row r="27" spans="1:4">
      <c r="A27" t="s">
        <v>77</v>
      </c>
    </row>
    <row r="28" spans="1:4">
      <c r="A28" t="s">
        <v>190</v>
      </c>
      <c r="C28">
        <v>450</v>
      </c>
    </row>
    <row r="29" spans="1:4">
      <c r="A29" t="s">
        <v>191</v>
      </c>
      <c r="C29">
        <f>500/3*Eingangsparameter!D93-50</f>
        <v>1950</v>
      </c>
    </row>
    <row r="30" spans="1:4">
      <c r="A30" t="s">
        <v>192</v>
      </c>
      <c r="C30">
        <f>50/3*Eingangsparameter!D93+850</f>
        <v>1050</v>
      </c>
    </row>
    <row r="31" spans="1:4">
      <c r="A31" t="s">
        <v>193</v>
      </c>
      <c r="C31">
        <f>500/6*Eingangsparameter!D93+250</f>
        <v>1250</v>
      </c>
    </row>
    <row r="32" spans="1:4">
      <c r="A32" t="s">
        <v>194</v>
      </c>
      <c r="C32">
        <v>2000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Eingangsparameter</vt:lpstr>
      <vt:lpstr>Ausgabekennzahlen</vt:lpstr>
      <vt:lpstr>Solareerträge</vt:lpstr>
      <vt:lpstr>Hilfstabelle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Fabian Edenhofner</cp:lastModifiedBy>
  <cp:revision/>
  <cp:lastPrinted>2023-10-06T07:37:15Z</cp:lastPrinted>
  <dcterms:created xsi:type="dcterms:W3CDTF">2023-06-08T19:52:49Z</dcterms:created>
  <dcterms:modified xsi:type="dcterms:W3CDTF">2024-06-25T11:56:39Z</dcterms:modified>
  <cp:category/>
  <cp:contentStatus/>
</cp:coreProperties>
</file>