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ebecher/Desktop/"/>
    </mc:Choice>
  </mc:AlternateContent>
  <xr:revisionPtr revIDLastSave="0" documentId="13_ncr:1_{8B64DA82-5CFD-B745-AE49-088837E0B749}" xr6:coauthVersionLast="47" xr6:coauthVersionMax="47" xr10:uidLastSave="{00000000-0000-0000-0000-000000000000}"/>
  <bookViews>
    <workbookView xWindow="25600" yWindow="500" windowWidth="38400" windowHeight="21100" activeTab="2" xr2:uid="{10AE25AE-CBB9-6C48-A0BD-F3B6274A0E75}"/>
  </bookViews>
  <sheets>
    <sheet name="viktor-input-sheet" sheetId="10" r:id="rId1"/>
    <sheet name="calculation-sheet" sheetId="6" r:id="rId2"/>
    <sheet name="viktor-output-sheet" sheetId="1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5" i="6" l="1"/>
  <c r="C237" i="6"/>
  <c r="C241" i="6"/>
  <c r="C249" i="6"/>
  <c r="C253" i="6"/>
  <c r="C25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31" i="6"/>
  <c r="E232" i="6"/>
  <c r="E233" i="6"/>
  <c r="E234" i="6"/>
  <c r="E235" i="6"/>
  <c r="E236" i="6"/>
  <c r="E237" i="6"/>
  <c r="E238" i="6"/>
  <c r="E239" i="6"/>
  <c r="E230" i="6"/>
  <c r="E223" i="6"/>
  <c r="C247" i="6" s="1"/>
  <c r="D3" i="6"/>
  <c r="G122" i="6" s="1"/>
  <c r="D4" i="6"/>
  <c r="G123" i="6" s="1"/>
  <c r="D5" i="6"/>
  <c r="G125" i="6" s="1"/>
  <c r="D6" i="6"/>
  <c r="H30" i="6" s="1"/>
  <c r="D7" i="6"/>
  <c r="G63" i="6" s="1"/>
  <c r="D8" i="6"/>
  <c r="G64" i="6" s="1"/>
  <c r="D9" i="6"/>
  <c r="G65" i="6" s="1"/>
  <c r="D10" i="6"/>
  <c r="G72" i="6" s="1"/>
  <c r="D11" i="6"/>
  <c r="G73" i="6" s="1"/>
  <c r="D12" i="6"/>
  <c r="G74" i="6" s="1"/>
  <c r="D13" i="6"/>
  <c r="G82" i="6" s="1"/>
  <c r="D14" i="6"/>
  <c r="G83" i="6" s="1"/>
  <c r="D15" i="6"/>
  <c r="G91" i="6" s="1"/>
  <c r="D16" i="6"/>
  <c r="G92" i="6" s="1"/>
  <c r="D17" i="6"/>
  <c r="H156" i="6" s="1"/>
  <c r="D18" i="6"/>
  <c r="H44" i="6" s="1"/>
  <c r="D19" i="6"/>
  <c r="H163" i="6" s="1"/>
  <c r="D20" i="6"/>
  <c r="H164" i="6" s="1"/>
  <c r="D2" i="6"/>
  <c r="G124" i="6" s="1"/>
  <c r="C231" i="6" l="1"/>
  <c r="E179" i="6" a="1"/>
  <c r="E179" i="6" s="1"/>
  <c r="D264" i="6" s="1"/>
  <c r="E182" i="6" a="1"/>
  <c r="E182" i="6" s="1"/>
  <c r="D266" i="6" s="1"/>
  <c r="E181" i="6" a="1"/>
  <c r="E181" i="6" s="1"/>
  <c r="D267" i="6" s="1"/>
  <c r="E213" i="6"/>
  <c r="E207" i="6"/>
  <c r="D164" i="6" l="1"/>
  <c r="D100" i="6"/>
  <c r="D90" i="6"/>
  <c r="D81" i="6"/>
  <c r="D71" i="6"/>
  <c r="D98" i="6"/>
  <c r="D79" i="6"/>
  <c r="E180" i="6" l="1"/>
  <c r="D265" i="6" s="1"/>
  <c r="D156" i="6"/>
  <c r="E195" i="6" s="1"/>
  <c r="D96" i="6"/>
  <c r="D77" i="6"/>
  <c r="I51" i="6" l="1"/>
  <c r="H51" i="6"/>
  <c r="G51" i="6"/>
  <c r="F51" i="6"/>
  <c r="E51" i="6"/>
  <c r="I50" i="6"/>
  <c r="H50" i="6"/>
  <c r="G50" i="6"/>
  <c r="F50" i="6"/>
  <c r="E50" i="6"/>
  <c r="I49" i="6"/>
  <c r="H49" i="6"/>
  <c r="G49" i="6"/>
  <c r="F49" i="6"/>
  <c r="E49" i="6"/>
  <c r="D125" i="6" l="1"/>
  <c r="D127" i="6"/>
  <c r="D269" i="6" s="1"/>
  <c r="D268" i="6" l="1"/>
  <c r="E192" i="6"/>
  <c r="D113" i="6"/>
  <c r="E224" i="6" s="1"/>
  <c r="C232" i="6" l="1"/>
  <c r="C238" i="6"/>
  <c r="C246" i="6"/>
  <c r="C252" i="6"/>
  <c r="C234" i="6"/>
  <c r="C240" i="6"/>
  <c r="C256" i="6"/>
  <c r="C244" i="6"/>
  <c r="C250" i="6"/>
  <c r="C258" i="6"/>
  <c r="E198" i="6"/>
  <c r="D114" i="6"/>
  <c r="D46" i="6" s="1"/>
  <c r="C140" i="6"/>
  <c r="C139" i="6"/>
  <c r="C138" i="6"/>
  <c r="C137" i="6"/>
  <c r="E206" i="6" l="1"/>
  <c r="E212" i="6"/>
  <c r="D274" i="6"/>
  <c r="E222" i="6"/>
  <c r="L69" i="6"/>
  <c r="L71" i="6"/>
  <c r="L70" i="6"/>
  <c r="D106" i="6"/>
  <c r="E225" i="6" s="1"/>
  <c r="D160" i="6"/>
  <c r="D166" i="6"/>
  <c r="D133" i="6"/>
  <c r="E191" i="6" s="1"/>
  <c r="C257" i="6" l="1"/>
  <c r="C245" i="6"/>
  <c r="C239" i="6"/>
  <c r="C251" i="6"/>
  <c r="C233" i="6"/>
  <c r="C254" i="6"/>
  <c r="C236" i="6"/>
  <c r="C248" i="6"/>
  <c r="C260" i="6"/>
  <c r="C242" i="6"/>
  <c r="E196" i="6"/>
  <c r="E211" i="6" s="1"/>
  <c r="E210" i="6" s="1"/>
  <c r="D270" i="6"/>
  <c r="E202" i="6"/>
  <c r="E201" i="6"/>
  <c r="E190" i="6"/>
  <c r="D271" i="6" s="1"/>
  <c r="D95" i="6"/>
  <c r="D92" i="6" s="1"/>
  <c r="D76" i="6"/>
  <c r="D73" i="6" s="1"/>
  <c r="D80" i="6" s="1"/>
  <c r="D72" i="6" s="1"/>
  <c r="D67" i="6"/>
  <c r="D64" i="6" s="1"/>
  <c r="D63" i="6" s="1"/>
  <c r="D86" i="6"/>
  <c r="D99" i="6" l="1"/>
  <c r="D91" i="6" s="1"/>
  <c r="E205" i="6"/>
  <c r="E204" i="6" s="1"/>
  <c r="J203" i="6" s="1"/>
  <c r="D276" i="6" s="1"/>
  <c r="J202" i="6"/>
  <c r="D275" i="6"/>
  <c r="I203" i="6"/>
  <c r="D279" i="6" s="1"/>
  <c r="D277" i="6"/>
  <c r="I202" i="6"/>
  <c r="D272" i="6"/>
  <c r="E221" i="6"/>
  <c r="E197" i="6"/>
  <c r="D83" i="6"/>
  <c r="D82" i="6" s="1"/>
  <c r="D107" i="6"/>
  <c r="E226" i="6" s="1"/>
  <c r="D62" i="6" l="1"/>
  <c r="C230" i="6" s="1"/>
  <c r="D311" i="6" s="1"/>
  <c r="D33" i="11" s="1"/>
  <c r="C255" i="6"/>
  <c r="C243" i="6"/>
  <c r="D273" i="6"/>
  <c r="E219" i="6"/>
  <c r="E220" i="6"/>
  <c r="D230" i="6" l="1"/>
  <c r="F230" i="6" s="1"/>
  <c r="G230" i="6" s="1"/>
  <c r="B256" i="6"/>
  <c r="D256" i="6" s="1"/>
  <c r="F256" i="6" s="1"/>
  <c r="B258" i="6"/>
  <c r="D258" i="6" s="1"/>
  <c r="F258" i="6" s="1"/>
  <c r="B260" i="6"/>
  <c r="D260" i="6" s="1"/>
  <c r="F260" i="6" s="1"/>
  <c r="B257" i="6"/>
  <c r="D257" i="6" s="1"/>
  <c r="F257" i="6" s="1"/>
  <c r="B255" i="6"/>
  <c r="D255" i="6" s="1"/>
  <c r="F255" i="6" s="1"/>
  <c r="B252" i="6"/>
  <c r="D252" i="6" s="1"/>
  <c r="F252" i="6" s="1"/>
  <c r="B254" i="6"/>
  <c r="D254" i="6" s="1"/>
  <c r="F254" i="6" s="1"/>
  <c r="B251" i="6"/>
  <c r="D251" i="6" s="1"/>
  <c r="F251" i="6" s="1"/>
  <c r="B259" i="6"/>
  <c r="D259" i="6" s="1"/>
  <c r="F259" i="6" s="1"/>
  <c r="B253" i="6"/>
  <c r="D253" i="6" s="1"/>
  <c r="F253" i="6" s="1"/>
  <c r="B241" i="6"/>
  <c r="D241" i="6" s="1"/>
  <c r="F241" i="6" s="1"/>
  <c r="B243" i="6"/>
  <c r="D243" i="6" s="1"/>
  <c r="F243" i="6" s="1"/>
  <c r="B242" i="6"/>
  <c r="D242" i="6" s="1"/>
  <c r="F242" i="6" s="1"/>
  <c r="B248" i="6"/>
  <c r="D248" i="6" s="1"/>
  <c r="F248" i="6" s="1"/>
  <c r="B246" i="6"/>
  <c r="D246" i="6" s="1"/>
  <c r="F246" i="6" s="1"/>
  <c r="B245" i="6"/>
  <c r="D245" i="6" s="1"/>
  <c r="F245" i="6" s="1"/>
  <c r="B250" i="6"/>
  <c r="D250" i="6" s="1"/>
  <c r="F250" i="6" s="1"/>
  <c r="B247" i="6"/>
  <c r="D247" i="6" s="1"/>
  <c r="F247" i="6" s="1"/>
  <c r="B231" i="6"/>
  <c r="D231" i="6" s="1"/>
  <c r="F231" i="6" s="1"/>
  <c r="B233" i="6"/>
  <c r="D233" i="6" s="1"/>
  <c r="F233" i="6" s="1"/>
  <c r="B235" i="6"/>
  <c r="D235" i="6" s="1"/>
  <c r="F235" i="6" s="1"/>
  <c r="B234" i="6"/>
  <c r="D234" i="6" s="1"/>
  <c r="F234" i="6" s="1"/>
  <c r="B237" i="6"/>
  <c r="D237" i="6" s="1"/>
  <c r="F237" i="6" s="1"/>
  <c r="B239" i="6"/>
  <c r="D239" i="6" s="1"/>
  <c r="F239" i="6" s="1"/>
  <c r="B244" i="6"/>
  <c r="D244" i="6" s="1"/>
  <c r="F244" i="6" s="1"/>
  <c r="B238" i="6"/>
  <c r="D238" i="6" s="1"/>
  <c r="F238" i="6" s="1"/>
  <c r="B249" i="6"/>
  <c r="D249" i="6" s="1"/>
  <c r="F249" i="6" s="1"/>
  <c r="B236" i="6"/>
  <c r="D236" i="6" s="1"/>
  <c r="F236" i="6" s="1"/>
  <c r="B232" i="6"/>
  <c r="D232" i="6" s="1"/>
  <c r="F232" i="6" s="1"/>
  <c r="B240" i="6"/>
  <c r="D240" i="6" s="1"/>
  <c r="F240" i="6" s="1"/>
  <c r="D280" i="6" l="1"/>
  <c r="D2" i="11" s="1"/>
  <c r="G231" i="6"/>
  <c r="G232" i="6" s="1"/>
  <c r="D281" i="6" l="1"/>
  <c r="D3" i="11" s="1"/>
  <c r="D282" i="6"/>
  <c r="D4" i="11" s="1"/>
  <c r="G233" i="6"/>
  <c r="G234" i="6" l="1"/>
  <c r="D283" i="6"/>
  <c r="D5" i="11" s="1"/>
  <c r="G235" i="6" l="1"/>
  <c r="D284" i="6"/>
  <c r="D6" i="11" s="1"/>
  <c r="G236" i="6" l="1"/>
  <c r="D285" i="6"/>
  <c r="D7" i="11" s="1"/>
  <c r="G237" i="6" l="1"/>
  <c r="K257" i="6" s="1"/>
  <c r="D286" i="6"/>
  <c r="D8" i="11" s="1"/>
  <c r="G238" i="6" l="1"/>
  <c r="D287" i="6"/>
  <c r="D9" i="11" s="1"/>
  <c r="G239" i="6" l="1"/>
  <c r="D288" i="6"/>
  <c r="D10" i="11" s="1"/>
  <c r="D289" i="6" l="1"/>
  <c r="D11" i="11" s="1"/>
  <c r="G240" i="6"/>
  <c r="G241" i="6" l="1"/>
  <c r="D290" i="6"/>
  <c r="D12" i="11" s="1"/>
  <c r="G242" i="6" l="1"/>
  <c r="D291" i="6"/>
  <c r="D13" i="11" s="1"/>
  <c r="G243" i="6" l="1"/>
  <c r="D292" i="6"/>
  <c r="D14" i="11" s="1"/>
  <c r="G244" i="6" l="1"/>
  <c r="D293" i="6"/>
  <c r="D15" i="11" s="1"/>
  <c r="G245" i="6" l="1"/>
  <c r="D294" i="6"/>
  <c r="D16" i="11" s="1"/>
  <c r="G246" i="6" l="1"/>
  <c r="D295" i="6"/>
  <c r="D17" i="11" s="1"/>
  <c r="G247" i="6" l="1"/>
  <c r="D296" i="6"/>
  <c r="D18" i="11" s="1"/>
  <c r="G248" i="6" l="1"/>
  <c r="D297" i="6"/>
  <c r="D19" i="11" s="1"/>
  <c r="G249" i="6" l="1"/>
  <c r="D298" i="6"/>
  <c r="D20" i="11" s="1"/>
  <c r="G250" i="6" l="1"/>
  <c r="D299" i="6"/>
  <c r="D21" i="11" s="1"/>
  <c r="G251" i="6" l="1"/>
  <c r="D300" i="6"/>
  <c r="D22" i="11" s="1"/>
  <c r="G252" i="6" l="1"/>
  <c r="D301" i="6"/>
  <c r="D23" i="11" s="1"/>
  <c r="G253" i="6" l="1"/>
  <c r="D302" i="6"/>
  <c r="D24" i="11" s="1"/>
  <c r="G254" i="6" l="1"/>
  <c r="D303" i="6"/>
  <c r="D25" i="11" s="1"/>
  <c r="G255" i="6" l="1"/>
  <c r="D304" i="6"/>
  <c r="D26" i="11" s="1"/>
  <c r="G256" i="6" l="1"/>
  <c r="D305" i="6"/>
  <c r="D27" i="11" s="1"/>
  <c r="G257" i="6" l="1"/>
  <c r="D306" i="6"/>
  <c r="D28" i="11" s="1"/>
  <c r="G258" i="6" l="1"/>
  <c r="D307" i="6"/>
  <c r="D29" i="11" s="1"/>
  <c r="G259" i="6" l="1"/>
  <c r="D308" i="6"/>
  <c r="D30" i="11" s="1"/>
  <c r="G260" i="6" l="1"/>
  <c r="D309" i="6"/>
  <c r="D31" i="11" s="1"/>
  <c r="D310" i="6" l="1"/>
  <c r="D32" i="11" s="1"/>
  <c r="D312" i="6"/>
  <c r="D34" i="1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<sst xmlns="http://schemas.openxmlformats.org/spreadsheetml/2006/main" count="718" uniqueCount="337">
  <si>
    <t>Nord</t>
  </si>
  <si>
    <t>Nord-Ost</t>
  </si>
  <si>
    <t>Ost</t>
  </si>
  <si>
    <t>Süd-Ost</t>
  </si>
  <si>
    <t>Süd</t>
  </si>
  <si>
    <t>Süd-West</t>
  </si>
  <si>
    <t>West</t>
  </si>
  <si>
    <t>Nord-West</t>
  </si>
  <si>
    <t>5°</t>
  </si>
  <si>
    <t>25°</t>
  </si>
  <si>
    <t>35°</t>
  </si>
  <si>
    <t>45°</t>
  </si>
  <si>
    <t>55°</t>
  </si>
  <si>
    <t>70°</t>
  </si>
  <si>
    <t>BIPV</t>
  </si>
  <si>
    <t>BIPVT</t>
  </si>
  <si>
    <t>Ausrichtung</t>
  </si>
  <si>
    <t>Azimutwinkel</t>
  </si>
  <si>
    <t>Neigung</t>
  </si>
  <si>
    <t xml:space="preserve">Fläche </t>
  </si>
  <si>
    <t>180°</t>
  </si>
  <si>
    <t>225°</t>
  </si>
  <si>
    <t>270°</t>
  </si>
  <si>
    <t>315°</t>
  </si>
  <si>
    <t>0°</t>
  </si>
  <si>
    <t>90°</t>
  </si>
  <si>
    <t>135°</t>
  </si>
  <si>
    <t>Projektübergreifende Eingangsparameter</t>
  </si>
  <si>
    <t>Zeitraum</t>
  </si>
  <si>
    <t>Jahre</t>
  </si>
  <si>
    <t>Primärenergiefaktoren</t>
  </si>
  <si>
    <t>Netzstrom</t>
  </si>
  <si>
    <t>Erdgas</t>
  </si>
  <si>
    <t>Heizöl</t>
  </si>
  <si>
    <t>Emissionsfaktoren</t>
  </si>
  <si>
    <t>g/kWh</t>
  </si>
  <si>
    <t>Vergleichkaufpreise</t>
  </si>
  <si>
    <t>Netzstrom Haushalte</t>
  </si>
  <si>
    <t>€/kWh</t>
  </si>
  <si>
    <t>Netzstrom Nicht-Haushalte</t>
  </si>
  <si>
    <t>Erdgas Haushalte</t>
  </si>
  <si>
    <t>Erdgas Nicht-Haushalte</t>
  </si>
  <si>
    <t>Heizöl Haushalte</t>
  </si>
  <si>
    <t>Heizöl Nicht-Haushalte</t>
  </si>
  <si>
    <t>Staatliche Förderungen</t>
  </si>
  <si>
    <t>Projektspezifische Eingangsparameter</t>
  </si>
  <si>
    <t>Investitionskosten</t>
  </si>
  <si>
    <t>€</t>
  </si>
  <si>
    <t xml:space="preserve">5.2.3.1 Anlagenflächen  </t>
  </si>
  <si>
    <t>Dachintegriert</t>
  </si>
  <si>
    <t>Fläche</t>
  </si>
  <si>
    <t>m2</t>
  </si>
  <si>
    <t>Komponenten</t>
  </si>
  <si>
    <t>Module</t>
  </si>
  <si>
    <t>€/ m2</t>
  </si>
  <si>
    <t>°</t>
  </si>
  <si>
    <t>Wechselrichter</t>
  </si>
  <si>
    <t>Planung und Auslegung</t>
  </si>
  <si>
    <t>Einsparungen</t>
  </si>
  <si>
    <t>Fassadenintegriert</t>
  </si>
  <si>
    <t xml:space="preserve">laufende Kosten </t>
  </si>
  <si>
    <t>€/a</t>
  </si>
  <si>
    <t>Wartungskosten Module und Unterkonstruktion</t>
  </si>
  <si>
    <t>Wartungskosten Verkabelung und Wechselrichter</t>
  </si>
  <si>
    <t>Instandsetzung</t>
  </si>
  <si>
    <t>Energieertrag</t>
  </si>
  <si>
    <t>Anlagenfläche</t>
  </si>
  <si>
    <t>s.o.</t>
  </si>
  <si>
    <t>Gesamt</t>
  </si>
  <si>
    <t>Solare Einstrahlung</t>
  </si>
  <si>
    <t>Anzahl WE</t>
  </si>
  <si>
    <t>Anzahl Personen</t>
  </si>
  <si>
    <t>nur für WE&lt;=2 erforderlich</t>
  </si>
  <si>
    <t>kWh</t>
  </si>
  <si>
    <t>Einfamilienhaus (bis zu 2 WE)</t>
  </si>
  <si>
    <t>kWh/ Person</t>
  </si>
  <si>
    <t>Mehrfamilienhaus (&gt; 2 WE)</t>
  </si>
  <si>
    <t>kWh/WE</t>
  </si>
  <si>
    <t>Einfamilienhaus Personen (bis zu 2 WE)</t>
  </si>
  <si>
    <t>Mehrfamilienhaus Wohneinheiten</t>
  </si>
  <si>
    <t>1 WE</t>
  </si>
  <si>
    <t>2 WE</t>
  </si>
  <si>
    <t>3 WE</t>
  </si>
  <si>
    <t>4 WE</t>
  </si>
  <si>
    <t>5 WE</t>
  </si>
  <si>
    <t>6 WE</t>
  </si>
  <si>
    <t>7 WE</t>
  </si>
  <si>
    <t>8 WE</t>
  </si>
  <si>
    <t>9 WE</t>
  </si>
  <si>
    <t>10 WE</t>
  </si>
  <si>
    <t>Ausgangskennzahlen</t>
  </si>
  <si>
    <t>Solarertrag</t>
  </si>
  <si>
    <t xml:space="preserve">spezifischer Kollektorjahresertrag </t>
  </si>
  <si>
    <t>kWh/a</t>
  </si>
  <si>
    <t>Anteil thermisch</t>
  </si>
  <si>
    <t>Anteil elektrisch</t>
  </si>
  <si>
    <t>energiebezogene Kennzahlen</t>
  </si>
  <si>
    <t>ökologische Kennzahlen</t>
  </si>
  <si>
    <t>Primärenergieverbrauch</t>
  </si>
  <si>
    <t>ggf. Einsparung gegenüber Vergleichssystem</t>
  </si>
  <si>
    <t>wirtschaftliche Kennzahlen</t>
  </si>
  <si>
    <t>Zeit [Jahre]</t>
  </si>
  <si>
    <t>R(t)=E(t)-A(t)</t>
  </si>
  <si>
    <t>1/((1+i)^t)</t>
  </si>
  <si>
    <t>Barwert im Jahr t</t>
  </si>
  <si>
    <t>kumulierter Barwert</t>
  </si>
  <si>
    <t>Jahresenergiebedarf Trinkwassererwärmung</t>
  </si>
  <si>
    <t>Anteil Stromproduktion vom Optimum</t>
  </si>
  <si>
    <t>kWh/kWpeak</t>
  </si>
  <si>
    <t>kWpeak/m2</t>
  </si>
  <si>
    <t>Leistung je m2 Modulfläche</t>
  </si>
  <si>
    <t>Der jährliche Ertrag einer Anlage lässt sich auch über die Solarkataster der jeweiligen Bundesländer genauer ermitteln</t>
  </si>
  <si>
    <t xml:space="preserve">In dieser Arbeit wird der Solarertrag durch deutschen Durchschnittswert des spezifischen jährlichen Ertrags berechnet. </t>
  </si>
  <si>
    <t>Wohnfläche</t>
  </si>
  <si>
    <t>Gebäudeart</t>
  </si>
  <si>
    <t>kWh/m2</t>
  </si>
  <si>
    <t>spezifischer Heizwärmebedarf Neubaugebäude</t>
  </si>
  <si>
    <t>spezifischer Heizwärmebedarf Bestandsgebäude</t>
  </si>
  <si>
    <t>nutzbarer Eigenanteil am jährlichen Ertrag</t>
  </si>
  <si>
    <t>jährlich nutzbare Energie elektrisch</t>
  </si>
  <si>
    <t>jährlich Eingespeiste Energie</t>
  </si>
  <si>
    <t>Ertrag im Jahr t E(t)</t>
  </si>
  <si>
    <t>Ausgabe im Jahr t A(t)</t>
  </si>
  <si>
    <t>jährliche Einsparung durch nicht erforderlichen Strom</t>
  </si>
  <si>
    <t>Unterkonstruktion und Zubehör</t>
  </si>
  <si>
    <t>durch Elektriker</t>
  </si>
  <si>
    <t>€/m2/2a</t>
  </si>
  <si>
    <t xml:space="preserve">Reinigung und Sichtprüfung der Module </t>
  </si>
  <si>
    <t>Wechselrichter nach 12 Jahren (5.1.1)</t>
  </si>
  <si>
    <t>kWpeak</t>
  </si>
  <si>
    <t>Flächenleistung der Modul</t>
  </si>
  <si>
    <t>Inbetreibnahme der Anlage</t>
  </si>
  <si>
    <t>&lt; 10 kWp</t>
  </si>
  <si>
    <t>Größe</t>
  </si>
  <si>
    <t>Vergütung ct/kWh</t>
  </si>
  <si>
    <t>&lt; 40 kWp</t>
  </si>
  <si>
    <t>&lt; 100 kWp</t>
  </si>
  <si>
    <t>anzulegender Wert</t>
  </si>
  <si>
    <t>Einspeisevergütung ersten 20 Jahre</t>
  </si>
  <si>
    <t>Einspeisevergütung nach 20 Jahre</t>
  </si>
  <si>
    <t>Kosten für Stromzähler</t>
  </si>
  <si>
    <t>Kalkulationszinssatz</t>
  </si>
  <si>
    <t>Jahresenergiebedarf</t>
  </si>
  <si>
    <t>Lastmanagementpotentiale</t>
  </si>
  <si>
    <t>nutzbarer Eigenanteil am jährlichen Stromertrag</t>
  </si>
  <si>
    <t xml:space="preserve">Neubau auch bei Kernsanierungen </t>
  </si>
  <si>
    <t>jährlicher Ertrag durch eingespeisten Strom (Jahr 1-20)</t>
  </si>
  <si>
    <t>jährlicher Ertrag durch eingespeisten Strom (Jahr 20-30)</t>
  </si>
  <si>
    <t>a</t>
  </si>
  <si>
    <t>b</t>
  </si>
  <si>
    <t>c</t>
  </si>
  <si>
    <t>d</t>
  </si>
  <si>
    <t>Wärmepumpe</t>
  </si>
  <si>
    <t>Installation pauschal</t>
  </si>
  <si>
    <t>Installation je m2</t>
  </si>
  <si>
    <t>spezifischer jährlicher Ertrag Deutschland PV</t>
  </si>
  <si>
    <t>solathermischer jährlicher Ertrag Deutschland</t>
  </si>
  <si>
    <t>jährliche Einsparung durch nicht erforderliche Wärme</t>
  </si>
  <si>
    <t>der Wirkungsgrad der Module lässt über die Zeit nach, daher nach 30 Jahren 87%, linear aufteilen. Jedes Jahr 0,4% (0,4333333) weniger Erträge</t>
  </si>
  <si>
    <t>1-3 kWp</t>
  </si>
  <si>
    <t>3-6 kWp</t>
  </si>
  <si>
    <t>6-9 kWp</t>
  </si>
  <si>
    <t>9-15 kWp</t>
  </si>
  <si>
    <t>15-100 kWp</t>
  </si>
  <si>
    <t>jährlicher Energieeintrag BIPV (elektrisch)</t>
  </si>
  <si>
    <t>jährlicher Energieeintrag BIPVT</t>
  </si>
  <si>
    <t>CO2-Äquivalent</t>
  </si>
  <si>
    <t>für Strom eingespart</t>
  </si>
  <si>
    <t>für Erdgas eingespart</t>
  </si>
  <si>
    <t>für Heizöl eingespart</t>
  </si>
  <si>
    <t>jährlich nutzbare Energie thermisch</t>
  </si>
  <si>
    <t xml:space="preserve">für Strom eingespart </t>
  </si>
  <si>
    <t>CO2-Äquivalent Gesamt eingespart</t>
  </si>
  <si>
    <t>Primärenergieverbrauch Gesamt eingespart</t>
  </si>
  <si>
    <t>kg/a</t>
  </si>
  <si>
    <t>Vorheriger Wärmeerzeuger oder Vergleichsystem</t>
  </si>
  <si>
    <t>Jahresenergieverbrauch Gesamt</t>
  </si>
  <si>
    <t>Primärenergieverbrauch Gesamt Vergleichsystem</t>
  </si>
  <si>
    <t>CO2-Äquivalent Gesamt Vergleichsystem</t>
  </si>
  <si>
    <t>Ohne BIPV(T)</t>
  </si>
  <si>
    <t>Mit BIPV(T)</t>
  </si>
  <si>
    <t xml:space="preserve">laufende Kosten jährlich </t>
  </si>
  <si>
    <t>€/ 12a</t>
  </si>
  <si>
    <t>Soll ein Speicher verbaut werden?</t>
  </si>
  <si>
    <t>erhöht den nutzbaren Anteil um</t>
  </si>
  <si>
    <t>€/3a</t>
  </si>
  <si>
    <t>Investitionskosten für einen Speicher</t>
  </si>
  <si>
    <t>laufende Kosten alle 2 Jahre</t>
  </si>
  <si>
    <t>laufende Kosten alle 3 Jahre</t>
  </si>
  <si>
    <t>Austausch Wechselrichter alle 12 Jahre</t>
  </si>
  <si>
    <t xml:space="preserve">bestehende Förderungsmöglichkeiten </t>
  </si>
  <si>
    <t>Ist eine im Haushalt lebende Person in Besitz eines Elektroautos?</t>
  </si>
  <si>
    <t>Soll eine Ladesäule verbaut werden?</t>
  </si>
  <si>
    <t>KfW Förderprogramm 442</t>
  </si>
  <si>
    <t>Förderhöhe</t>
  </si>
  <si>
    <t>Kosten für die Ladestation</t>
  </si>
  <si>
    <t>für Strom</t>
  </si>
  <si>
    <t>für Wärme + TWW</t>
  </si>
  <si>
    <t>6.1</t>
  </si>
  <si>
    <t>6.1.1</t>
  </si>
  <si>
    <t>6.1.2</t>
  </si>
  <si>
    <t>6.1.3</t>
  </si>
  <si>
    <t>6.1.4</t>
  </si>
  <si>
    <t>6.1.5</t>
  </si>
  <si>
    <t>6.1.6</t>
  </si>
  <si>
    <t>6.2</t>
  </si>
  <si>
    <t>6.2.1</t>
  </si>
  <si>
    <t>6.2.2</t>
  </si>
  <si>
    <t>6.2.2.1</t>
  </si>
  <si>
    <t>6.2.2.2</t>
  </si>
  <si>
    <t>6.2.2.3</t>
  </si>
  <si>
    <t>6.2.3</t>
  </si>
  <si>
    <t>6.2.3.1</t>
  </si>
  <si>
    <t>6.2.3.2</t>
  </si>
  <si>
    <t>siehe auch Tabellenblatt Solarerträge</t>
  </si>
  <si>
    <t>6.2.4</t>
  </si>
  <si>
    <t>6.2.4.1</t>
  </si>
  <si>
    <t>Jahresenergiebedarf Wärme</t>
  </si>
  <si>
    <t>6.2.4.2</t>
  </si>
  <si>
    <t>6.2.4.3</t>
  </si>
  <si>
    <t>Jahresenergiebedarf Strom</t>
  </si>
  <si>
    <t>6.2.4.4</t>
  </si>
  <si>
    <t>6.3</t>
  </si>
  <si>
    <t>6.3.1</t>
  </si>
  <si>
    <t>6.3.2</t>
  </si>
  <si>
    <t>6.3.3</t>
  </si>
  <si>
    <t>6.3.4</t>
  </si>
  <si>
    <t>6.4.1</t>
  </si>
  <si>
    <t>6.3.4.3</t>
  </si>
  <si>
    <t>INFO</t>
  </si>
  <si>
    <t>Parameters</t>
  </si>
  <si>
    <t>Unit</t>
  </si>
  <si>
    <t>Comment</t>
  </si>
  <si>
    <t>Values</t>
  </si>
  <si>
    <t>aktuelle Wärmeerzeugung</t>
  </si>
  <si>
    <t>Fläche der PV-Anlage (1)</t>
  </si>
  <si>
    <t>Ausrichtung der Fläche (1)</t>
  </si>
  <si>
    <t>Neigung der Fläche (1)</t>
  </si>
  <si>
    <t>Fläche der PVT-Anlage (2)</t>
  </si>
  <si>
    <t>Ausrichtung der Fläche (2)</t>
  </si>
  <si>
    <t>Neigung der Fläche (2)</t>
  </si>
  <si>
    <t>Fläche der PV-Anlage (3)</t>
  </si>
  <si>
    <t>Ausrichtung der Fläche (3)</t>
  </si>
  <si>
    <t>Fläche der PVT-Anlage (4)</t>
  </si>
  <si>
    <t>Ausrichtung der Fläche (4)</t>
  </si>
  <si>
    <t>Stromspeicher</t>
  </si>
  <si>
    <t>Inbetriebnahme-Zeitpunkt</t>
  </si>
  <si>
    <t>Elektroauto</t>
  </si>
  <si>
    <t>Ladesäule</t>
  </si>
  <si>
    <t>m^2</t>
  </si>
  <si>
    <t>jährlicher Energieertrag BIPVT</t>
  </si>
  <si>
    <t>Anteil elektrische Energie an BIPVT</t>
  </si>
  <si>
    <t>Anteil thermische Energie an BIPVT</t>
  </si>
  <si>
    <t>Jahresenergiebedarf_Wärme</t>
  </si>
  <si>
    <t>Jahresenergiebedarf_TWW</t>
  </si>
  <si>
    <t>Jahresenergiebedarf_Strom</t>
  </si>
  <si>
    <t>Jahresenergiebedarf_Gesamt</t>
  </si>
  <si>
    <t>jährlich_nutzbar_elektrisch</t>
  </si>
  <si>
    <t>jährlich_einspeis_elektrisch</t>
  </si>
  <si>
    <t>jährlich_nutzbar_thermisch</t>
  </si>
  <si>
    <t>Primärenergieverbrauch Vgl Ges</t>
  </si>
  <si>
    <t>Primärenergieverbrauch BIPV(T)</t>
  </si>
  <si>
    <t>CO2-Äquivalent Vgl Ges</t>
  </si>
  <si>
    <t>CO2-Äquivalent BIPV(T)</t>
  </si>
  <si>
    <t>kumulierter Barwert_0</t>
  </si>
  <si>
    <t>kumulierter Barwert_1</t>
  </si>
  <si>
    <t>kumulierter Barwert_2</t>
  </si>
  <si>
    <t>kumulierter Barwert_3</t>
  </si>
  <si>
    <t>kumulierter Barwert_4</t>
  </si>
  <si>
    <t>kumulierter Barwert_5</t>
  </si>
  <si>
    <t>kumulierter Barwert_6</t>
  </si>
  <si>
    <t>kumulierter Barwert_7</t>
  </si>
  <si>
    <t>kumulierter Barwert_8</t>
  </si>
  <si>
    <t>kumulierter Barwert_9</t>
  </si>
  <si>
    <t>kumulierter Barwert_10</t>
  </si>
  <si>
    <t>kumulierter Barwert_11</t>
  </si>
  <si>
    <t>kumulierter Barwert_12</t>
  </si>
  <si>
    <t>kumulierter Barwert_13</t>
  </si>
  <si>
    <t>kumulierter Barwert_14</t>
  </si>
  <si>
    <t>kumulierter Barwert_15</t>
  </si>
  <si>
    <t>kumulierter Barwert_16</t>
  </si>
  <si>
    <t>kumulierter Barwert_17</t>
  </si>
  <si>
    <t>kumulierter Barwert_18</t>
  </si>
  <si>
    <t>kumulierter Barwert_19</t>
  </si>
  <si>
    <t>kumulierter Barwert_20</t>
  </si>
  <si>
    <t>kumulierter Barwert_21</t>
  </si>
  <si>
    <t>kumulierter Barwert_22</t>
  </si>
  <si>
    <t>kumulierter Barwert_23</t>
  </si>
  <si>
    <t>kumulierter Barwert_24</t>
  </si>
  <si>
    <t>kumulierter Barwert_25</t>
  </si>
  <si>
    <t>kumulierter Barwert_26</t>
  </si>
  <si>
    <t>kumulierter Barwert_27</t>
  </si>
  <si>
    <t>kumulierter Barwert_28</t>
  </si>
  <si>
    <t>kumulierter Barwert_29</t>
  </si>
  <si>
    <t>kumulierter Barwert_30</t>
  </si>
  <si>
    <t>Break-Even-Point</t>
  </si>
  <si>
    <t>bis 31.01.2024</t>
  </si>
  <si>
    <t>ab 01.02.2024</t>
  </si>
  <si>
    <t>ab 01.08.2024</t>
  </si>
  <si>
    <t>ab 01.02.2025</t>
  </si>
  <si>
    <t>ab 01.08.2025</t>
  </si>
  <si>
    <t>ab 01.02.2026</t>
  </si>
  <si>
    <t>jährlicher Enerngieertrag BIPV (elektrisch)</t>
  </si>
  <si>
    <t>60% nutzbar thermisch</t>
  </si>
  <si>
    <t>Neubau</t>
  </si>
  <si>
    <t>nein</t>
  </si>
  <si>
    <t>Barwert_0</t>
  </si>
  <si>
    <t>Barwert_1</t>
  </si>
  <si>
    <t>Barwert_2</t>
  </si>
  <si>
    <t>Barwert_3</t>
  </si>
  <si>
    <t>Barwert_4</t>
  </si>
  <si>
    <t>Barwert_5</t>
  </si>
  <si>
    <t>Barwert_6</t>
  </si>
  <si>
    <t>Barwert_7</t>
  </si>
  <si>
    <t>Barwert_8</t>
  </si>
  <si>
    <t>Barwert_9</t>
  </si>
  <si>
    <t>Barwert_10</t>
  </si>
  <si>
    <t>Barwert_11</t>
  </si>
  <si>
    <t>Barwert_12</t>
  </si>
  <si>
    <t>Barwert_13</t>
  </si>
  <si>
    <t>Barwert_14</t>
  </si>
  <si>
    <t>Barwert_15</t>
  </si>
  <si>
    <t>Barwert_16</t>
  </si>
  <si>
    <t>Barwert_17</t>
  </si>
  <si>
    <t>Barwert_18</t>
  </si>
  <si>
    <t>Barwert_19</t>
  </si>
  <si>
    <t>Barwert_20</t>
  </si>
  <si>
    <t>Barwert_21</t>
  </si>
  <si>
    <t>Barwert_22</t>
  </si>
  <si>
    <t>Barwert_23</t>
  </si>
  <si>
    <t>Barwert_24</t>
  </si>
  <si>
    <t>Barwert_25</t>
  </si>
  <si>
    <t>Barwert_26</t>
  </si>
  <si>
    <t>Barwert_27</t>
  </si>
  <si>
    <t>Barwert_28</t>
  </si>
  <si>
    <t>Barwert_29</t>
  </si>
  <si>
    <t>Barwert_30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</si>
</sst>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#,##0.00\ &quot;€&quot;"/>
    <numFmt numFmtId="166" formatCode="0\°"/>
    <numFmt numFmtId="167" formatCode="0.0000"/>
    <numFmt numFmtId="168" formatCode="_-* #,##0.00\ [$€-407]_-;\-* #,##0.00\ [$€-407]_-;_-* &quot;-&quot;??\ [$€-407]_-;_-@_-"/>
  </numFmts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Textkörper)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51">
    <xf numFmtId="0" fontId="0" fillId="0" borderId="0" xfId="0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43" fontId="0" fillId="0" borderId="0" xfId="1" applyFont="1"/>
    <xf numFmtId="49" fontId="4" fillId="0" borderId="0" xfId="0" applyNumberFormat="1" applyFont="1" applyAlignment="1">
      <alignment horizontal="center"/>
    </xf>
    <xf numFmtId="0" fontId="4" fillId="0" borderId="0" xfId="0" applyFont="1"/>
    <xf numFmtId="165" fontId="0" fillId="0" borderId="0" xfId="0" applyNumberFormat="1"/>
    <xf numFmtId="43" fontId="0" fillId="0" borderId="0" xfId="1" applyFont="1" applyFill="1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/>
    </xf>
    <xf numFmtId="0" fontId="6" fillId="0" borderId="0" xfId="0" applyFont="1"/>
    <xf numFmtId="0" fontId="0" fillId="2" borderId="0" xfId="0" applyFill="1"/>
    <xf numFmtId="9" fontId="0" fillId="2" borderId="0" xfId="0" applyNumberFormat="1" applyFill="1"/>
    <xf numFmtId="43" fontId="0" fillId="2" borderId="0" xfId="1" applyFont="1" applyFill="1"/>
    <xf numFmtId="43" fontId="1" fillId="2" borderId="0" xfId="1" applyFont="1" applyFill="1"/>
    <xf numFmtId="0" fontId="0" fillId="3" borderId="0" xfId="0" applyFill="1"/>
    <xf numFmtId="43" fontId="0" fillId="4" borderId="0" xfId="1" applyFont="1" applyFill="1"/>
    <xf numFmtId="166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/>
    <xf numFmtId="0" fontId="1" fillId="0" borderId="0" xfId="0" applyFont="1"/>
    <xf numFmtId="4" fontId="0" fillId="4" borderId="0" xfId="0" applyNumberFormat="1" applyFill="1"/>
    <xf numFmtId="0" fontId="2" fillId="0" borderId="0" xfId="0" applyFont="1" applyAlignment="1">
      <alignment wrapText="1"/>
    </xf>
    <xf numFmtId="167" fontId="0" fillId="0" borderId="0" xfId="0" applyNumberFormat="1"/>
    <xf numFmtId="8" fontId="0" fillId="0" borderId="0" xfId="0" applyNumberFormat="1"/>
    <xf numFmtId="168" fontId="0" fillId="4" borderId="0" xfId="0" applyNumberFormat="1" applyFill="1"/>
    <xf numFmtId="0" fontId="0" fillId="0" borderId="0" xfId="0" applyAlignment="1">
      <alignment horizontal="left" indent="1"/>
    </xf>
    <xf numFmtId="44" fontId="0" fillId="4" borderId="0" xfId="2" applyFont="1" applyFill="1"/>
    <xf numFmtId="2" fontId="0" fillId="4" borderId="0" xfId="1" applyNumberFormat="1" applyFont="1" applyFill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2" fontId="0" fillId="2" borderId="0" xfId="0" applyNumberFormat="1" applyFill="1"/>
    <xf numFmtId="167" fontId="0" fillId="4" borderId="0" xfId="0" applyNumberFormat="1" applyFill="1"/>
    <xf numFmtId="49" fontId="7" fillId="0" borderId="0" xfId="0" applyNumberFormat="1" applyFont="1" applyAlignment="1">
      <alignment horizontal="center"/>
    </xf>
    <xf numFmtId="164" fontId="1" fillId="0" borderId="0" xfId="0" applyNumberFormat="1" applyFont="1"/>
    <xf numFmtId="3" fontId="0" fillId="4" borderId="0" xfId="0" applyNumberFormat="1" applyFill="1"/>
    <xf numFmtId="3" fontId="0" fillId="0" borderId="0" xfId="0" applyNumberFormat="1"/>
    <xf numFmtId="168" fontId="0" fillId="4" borderId="0" xfId="2" applyNumberFormat="1" applyFont="1" applyFill="1"/>
    <xf numFmtId="2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2" fontId="0" fillId="0" borderId="0" xfId="0" applyNumberFormat="1"/>
    <xf numFmtId="43" fontId="1" fillId="0" borderId="0" xfId="1" applyFont="1" applyFill="1"/>
    <xf numFmtId="44" fontId="0" fillId="2" borderId="0" xfId="2" applyFont="1" applyFill="1"/>
    <xf numFmtId="44" fontId="1" fillId="2" borderId="0" xfId="2" applyFont="1" applyFill="1"/>
    <xf numFmtId="0" fontId="6" fillId="0" borderId="0" xfId="0" applyFont="1" applyAlignment="1">
      <alignment horizontal="left" indent="1"/>
    </xf>
    <xf numFmtId="0" fontId="2" fillId="4" borderId="0" xfId="0" applyFont="1" applyFill="1"/>
    <xf numFmtId="0" fontId="0" fillId="0" borderId="0" xfId="0" applyAlignment="1">
      <alignment horizontal="left" vertical="top" wrapText="1"/>
    </xf>
    <xf numFmtId="0" fontId="0" fillId="0" borderId="0" xfId="0" applyNumberFormat="1"/>
  </cellXfs>
  <cellStyles count="3">
    <cellStyle name="Komma" xfId="1" builtinId="3"/>
    <cellStyle name="Standard" xfId="0" builtinId="0"/>
    <cellStyle name="Währung" xfId="2" builtinId="4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A19F5-DB14-FD41-B8AE-100B4009EB94}">
  <dimension ref="A1:D20"/>
  <sheetViews>
    <sheetView workbookViewId="0">
      <selection activeCell="G12" sqref="G12"/>
    </sheetView>
  </sheetViews>
  <sheetFormatPr baseColWidth="10" defaultRowHeight="16" x14ac:dyDescent="0.2"/>
  <cols>
    <col min="1" max="1" width="25.33203125" customWidth="1"/>
    <col min="4" max="4" width="13.83203125" customWidth="1"/>
  </cols>
  <sheetData>
    <row r="1" spans="1:4" x14ac:dyDescent="0.2">
      <c r="A1" s="3" t="s">
        <v>230</v>
      </c>
      <c r="B1" s="3" t="s">
        <v>231</v>
      </c>
      <c r="C1" s="3" t="s">
        <v>232</v>
      </c>
      <c r="D1" s="3" t="s">
        <v>233</v>
      </c>
    </row>
    <row r="2" spans="1:4" x14ac:dyDescent="0.2">
      <c r="A2" t="s">
        <v>114</v>
      </c>
      <c r="D2" t="s">
        <v>304</v>
      </c>
    </row>
    <row r="3" spans="1:4" x14ac:dyDescent="0.2">
      <c r="A3" t="s">
        <v>70</v>
      </c>
      <c r="D3">
        <v>1</v>
      </c>
    </row>
    <row r="4" spans="1:4" x14ac:dyDescent="0.2">
      <c r="A4" t="s">
        <v>71</v>
      </c>
      <c r="D4">
        <v>2</v>
      </c>
    </row>
    <row r="5" spans="1:4" x14ac:dyDescent="0.2">
      <c r="A5" t="s">
        <v>113</v>
      </c>
      <c r="B5" t="s">
        <v>249</v>
      </c>
      <c r="D5">
        <v>100</v>
      </c>
    </row>
    <row r="6" spans="1:4" x14ac:dyDescent="0.2">
      <c r="A6" t="s">
        <v>234</v>
      </c>
      <c r="D6" t="s">
        <v>32</v>
      </c>
    </row>
    <row r="7" spans="1:4" x14ac:dyDescent="0.2">
      <c r="A7" t="s">
        <v>235</v>
      </c>
      <c r="B7" t="s">
        <v>249</v>
      </c>
      <c r="D7">
        <v>50</v>
      </c>
    </row>
    <row r="8" spans="1:4" x14ac:dyDescent="0.2">
      <c r="A8" t="s">
        <v>236</v>
      </c>
      <c r="D8" t="s">
        <v>4</v>
      </c>
    </row>
    <row r="9" spans="1:4" x14ac:dyDescent="0.2">
      <c r="A9" t="s">
        <v>237</v>
      </c>
      <c r="D9" t="s">
        <v>10</v>
      </c>
    </row>
    <row r="10" spans="1:4" x14ac:dyDescent="0.2">
      <c r="A10" t="s">
        <v>238</v>
      </c>
      <c r="B10" t="s">
        <v>249</v>
      </c>
      <c r="D10">
        <v>0</v>
      </c>
    </row>
    <row r="11" spans="1:4" x14ac:dyDescent="0.2">
      <c r="A11" t="s">
        <v>239</v>
      </c>
      <c r="D11" t="s">
        <v>4</v>
      </c>
    </row>
    <row r="12" spans="1:4" x14ac:dyDescent="0.2">
      <c r="A12" t="s">
        <v>240</v>
      </c>
      <c r="D12" t="s">
        <v>10</v>
      </c>
    </row>
    <row r="13" spans="1:4" x14ac:dyDescent="0.2">
      <c r="A13" s="11" t="s">
        <v>241</v>
      </c>
      <c r="B13" t="s">
        <v>249</v>
      </c>
      <c r="D13">
        <v>0</v>
      </c>
    </row>
    <row r="14" spans="1:4" x14ac:dyDescent="0.2">
      <c r="A14" s="11" t="s">
        <v>242</v>
      </c>
      <c r="D14" t="s">
        <v>4</v>
      </c>
    </row>
    <row r="15" spans="1:4" x14ac:dyDescent="0.2">
      <c r="A15" s="11" t="s">
        <v>243</v>
      </c>
      <c r="B15" t="s">
        <v>249</v>
      </c>
      <c r="D15">
        <v>0</v>
      </c>
    </row>
    <row r="16" spans="1:4" x14ac:dyDescent="0.2">
      <c r="A16" s="11" t="s">
        <v>244</v>
      </c>
      <c r="D16" t="s">
        <v>4</v>
      </c>
    </row>
    <row r="17" spans="1:4" x14ac:dyDescent="0.2">
      <c r="A17" s="11" t="s">
        <v>245</v>
      </c>
      <c r="D17" t="s">
        <v>305</v>
      </c>
    </row>
    <row r="18" spans="1:4" x14ac:dyDescent="0.2">
      <c r="A18" s="11" t="s">
        <v>246</v>
      </c>
      <c r="D18" t="s">
        <v>296</v>
      </c>
    </row>
    <row r="19" spans="1:4" x14ac:dyDescent="0.2">
      <c r="A19" s="11" t="s">
        <v>247</v>
      </c>
      <c r="D19" t="s">
        <v>305</v>
      </c>
    </row>
    <row r="20" spans="1:4" x14ac:dyDescent="0.2">
      <c r="A20" s="11" t="s">
        <v>248</v>
      </c>
      <c r="D20" t="s">
        <v>305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6EEE4-CC8A-8E45-BFEF-C6530A976C96}">
  <sheetPr>
    <pageSetUpPr fitToPage="1"/>
  </sheetPr>
  <dimension ref="A1:R312"/>
  <sheetViews>
    <sheetView topLeftCell="A270" zoomScale="97" workbookViewId="0">
      <selection activeCell="G278" sqref="G278"/>
    </sheetView>
  </sheetViews>
  <sheetFormatPr baseColWidth="10" defaultColWidth="11" defaultRowHeight="16" x14ac:dyDescent="0.2"/>
  <cols>
    <col min="1" max="1" width="15.83203125" customWidth="1"/>
    <col min="3" max="3" width="25.83203125" customWidth="1"/>
    <col min="4" max="4" width="15.83203125" customWidth="1"/>
    <col min="5" max="5" width="15.33203125" customWidth="1"/>
    <col min="6" max="6" width="14.5" customWidth="1"/>
    <col min="7" max="7" width="14.6640625" style="1" customWidth="1"/>
    <col min="8" max="8" width="15" customWidth="1"/>
    <col min="9" max="9" width="14.83203125" customWidth="1"/>
    <col min="10" max="10" width="12.33203125" style="4" customWidth="1"/>
    <col min="13" max="13" width="10.83203125" style="2"/>
    <col min="16" max="16" width="18.6640625" customWidth="1"/>
    <col min="17" max="17" width="0" hidden="1" customWidth="1"/>
    <col min="19" max="22" width="10.83203125" customWidth="1"/>
  </cols>
  <sheetData>
    <row r="1" spans="1:4" x14ac:dyDescent="0.2">
      <c r="A1" s="3" t="s">
        <v>230</v>
      </c>
      <c r="B1" s="3" t="s">
        <v>231</v>
      </c>
      <c r="C1" s="3" t="s">
        <v>232</v>
      </c>
      <c r="D1" s="3" t="s">
        <v>233</v>
      </c>
    </row>
    <row r="2" spans="1:4" x14ac:dyDescent="0.2">
      <c r="A2" t="s">
        <v>114</v>
      </c>
      <c r="D2" t="str">
        <f>'viktor-input-sheet'!D2</f>
        <v>Neubau</v>
      </c>
    </row>
    <row r="3" spans="1:4" x14ac:dyDescent="0.2">
      <c r="A3" t="s">
        <v>70</v>
      </c>
      <c r="D3">
        <f>'viktor-input-sheet'!D3</f>
        <v>1</v>
      </c>
    </row>
    <row r="4" spans="1:4" x14ac:dyDescent="0.2">
      <c r="A4" t="s">
        <v>71</v>
      </c>
      <c r="D4">
        <f>'viktor-input-sheet'!D4</f>
        <v>2</v>
      </c>
    </row>
    <row r="5" spans="1:4" x14ac:dyDescent="0.2">
      <c r="A5" t="s">
        <v>113</v>
      </c>
      <c r="D5">
        <f>'viktor-input-sheet'!D5</f>
        <v>100</v>
      </c>
    </row>
    <row r="6" spans="1:4" x14ac:dyDescent="0.2">
      <c r="A6" t="s">
        <v>234</v>
      </c>
      <c r="D6" t="str">
        <f>'viktor-input-sheet'!D6</f>
        <v>Erdgas</v>
      </c>
    </row>
    <row r="7" spans="1:4" x14ac:dyDescent="0.2">
      <c r="A7" t="s">
        <v>235</v>
      </c>
      <c r="D7">
        <f>'viktor-input-sheet'!D7</f>
        <v>50</v>
      </c>
    </row>
    <row r="8" spans="1:4" x14ac:dyDescent="0.2">
      <c r="A8" t="s">
        <v>236</v>
      </c>
      <c r="D8" t="str">
        <f>'viktor-input-sheet'!D8</f>
        <v>Süd</v>
      </c>
    </row>
    <row r="9" spans="1:4" x14ac:dyDescent="0.2">
      <c r="A9" t="s">
        <v>237</v>
      </c>
      <c r="D9" t="str">
        <f>'viktor-input-sheet'!D9</f>
        <v>35°</v>
      </c>
    </row>
    <row r="10" spans="1:4" x14ac:dyDescent="0.2">
      <c r="A10" t="s">
        <v>238</v>
      </c>
      <c r="D10">
        <f>'viktor-input-sheet'!D10</f>
        <v>0</v>
      </c>
    </row>
    <row r="11" spans="1:4" x14ac:dyDescent="0.2">
      <c r="A11" t="s">
        <v>239</v>
      </c>
      <c r="D11" t="str">
        <f>'viktor-input-sheet'!D11</f>
        <v>Süd</v>
      </c>
    </row>
    <row r="12" spans="1:4" x14ac:dyDescent="0.2">
      <c r="A12" t="s">
        <v>240</v>
      </c>
      <c r="D12" t="str">
        <f>'viktor-input-sheet'!D12</f>
        <v>35°</v>
      </c>
    </row>
    <row r="13" spans="1:4" x14ac:dyDescent="0.2">
      <c r="A13" s="11" t="s">
        <v>241</v>
      </c>
      <c r="D13">
        <f>'viktor-input-sheet'!D13</f>
        <v>0</v>
      </c>
    </row>
    <row r="14" spans="1:4" x14ac:dyDescent="0.2">
      <c r="A14" s="11" t="s">
        <v>242</v>
      </c>
      <c r="D14" t="str">
        <f>'viktor-input-sheet'!D14</f>
        <v>Süd</v>
      </c>
    </row>
    <row r="15" spans="1:4" x14ac:dyDescent="0.2">
      <c r="A15" s="11" t="s">
        <v>243</v>
      </c>
      <c r="D15">
        <f>'viktor-input-sheet'!D15</f>
        <v>0</v>
      </c>
    </row>
    <row r="16" spans="1:4" x14ac:dyDescent="0.2">
      <c r="A16" s="11" t="s">
        <v>244</v>
      </c>
      <c r="D16" t="str">
        <f>'viktor-input-sheet'!D16</f>
        <v>Süd</v>
      </c>
    </row>
    <row r="17" spans="1:18" x14ac:dyDescent="0.2">
      <c r="A17" s="11" t="s">
        <v>245</v>
      </c>
      <c r="D17" t="str">
        <f>'viktor-input-sheet'!D17</f>
        <v>nein</v>
      </c>
    </row>
    <row r="18" spans="1:18" x14ac:dyDescent="0.2">
      <c r="A18" s="11" t="s">
        <v>246</v>
      </c>
      <c r="D18" t="str">
        <f>'viktor-input-sheet'!D18</f>
        <v>bis 31.01.2024</v>
      </c>
    </row>
    <row r="19" spans="1:18" x14ac:dyDescent="0.2">
      <c r="A19" s="11" t="s">
        <v>247</v>
      </c>
      <c r="D19" t="str">
        <f>'viktor-input-sheet'!D19</f>
        <v>nein</v>
      </c>
    </row>
    <row r="20" spans="1:18" x14ac:dyDescent="0.2">
      <c r="A20" s="11" t="s">
        <v>248</v>
      </c>
      <c r="D20" t="str">
        <f>'viktor-input-sheet'!D20</f>
        <v>nein</v>
      </c>
    </row>
    <row r="26" spans="1:18" x14ac:dyDescent="0.2">
      <c r="A26" s="2" t="s">
        <v>198</v>
      </c>
      <c r="B26" s="3" t="s">
        <v>27</v>
      </c>
    </row>
    <row r="28" spans="1:18" x14ac:dyDescent="0.2">
      <c r="A28" s="2" t="s">
        <v>199</v>
      </c>
      <c r="B28" s="3" t="s">
        <v>28</v>
      </c>
      <c r="D28" s="12">
        <v>30</v>
      </c>
      <c r="E28" t="s">
        <v>29</v>
      </c>
      <c r="N28" s="3" t="s">
        <v>16</v>
      </c>
      <c r="O28" s="3" t="s">
        <v>17</v>
      </c>
      <c r="P28" s="3" t="s">
        <v>18</v>
      </c>
      <c r="Q28" s="19" t="s">
        <v>19</v>
      </c>
      <c r="R28" s="19" t="s">
        <v>107</v>
      </c>
    </row>
    <row r="29" spans="1:18" x14ac:dyDescent="0.2">
      <c r="A29" s="2" t="s">
        <v>200</v>
      </c>
      <c r="B29" s="3" t="s">
        <v>30</v>
      </c>
      <c r="N29" t="s">
        <v>0</v>
      </c>
      <c r="O29" s="18" t="s">
        <v>20</v>
      </c>
      <c r="P29" s="43" t="s">
        <v>8</v>
      </c>
      <c r="Q29" s="20">
        <v>20</v>
      </c>
      <c r="R29" s="20">
        <v>82.7</v>
      </c>
    </row>
    <row r="30" spans="1:18" x14ac:dyDescent="0.2">
      <c r="B30" t="s">
        <v>31</v>
      </c>
      <c r="D30" s="12">
        <v>1.8</v>
      </c>
      <c r="F30" t="s">
        <v>175</v>
      </c>
      <c r="H30" s="16" t="str">
        <f>D6</f>
        <v>Erdgas</v>
      </c>
      <c r="N30" t="s">
        <v>0</v>
      </c>
      <c r="O30" s="18" t="s">
        <v>20</v>
      </c>
      <c r="P30" s="43" t="s">
        <v>9</v>
      </c>
      <c r="Q30" s="20">
        <v>20</v>
      </c>
      <c r="R30" s="20">
        <v>64.8</v>
      </c>
    </row>
    <row r="31" spans="1:18" x14ac:dyDescent="0.2">
      <c r="B31" t="s">
        <v>32</v>
      </c>
      <c r="D31" s="12">
        <v>1.1000000000000001</v>
      </c>
      <c r="N31" t="s">
        <v>0</v>
      </c>
      <c r="O31" s="18" t="s">
        <v>20</v>
      </c>
      <c r="P31" s="43" t="s">
        <v>10</v>
      </c>
      <c r="Q31" s="20">
        <v>20</v>
      </c>
      <c r="R31" s="20">
        <v>56.3</v>
      </c>
    </row>
    <row r="32" spans="1:18" x14ac:dyDescent="0.2">
      <c r="B32" t="s">
        <v>33</v>
      </c>
      <c r="D32" s="12">
        <v>1.1000000000000001</v>
      </c>
      <c r="N32" t="s">
        <v>0</v>
      </c>
      <c r="O32" s="18" t="s">
        <v>20</v>
      </c>
      <c r="P32" s="43" t="s">
        <v>11</v>
      </c>
      <c r="Q32" s="20">
        <v>20</v>
      </c>
      <c r="R32" s="20">
        <v>48.1</v>
      </c>
    </row>
    <row r="33" spans="1:18" x14ac:dyDescent="0.2">
      <c r="A33" s="2" t="s">
        <v>201</v>
      </c>
      <c r="B33" s="3" t="s">
        <v>34</v>
      </c>
      <c r="N33" t="s">
        <v>0</v>
      </c>
      <c r="O33" s="18" t="s">
        <v>20</v>
      </c>
      <c r="P33" s="43" t="s">
        <v>12</v>
      </c>
      <c r="Q33" s="20">
        <v>20</v>
      </c>
      <c r="R33" s="20">
        <v>41</v>
      </c>
    </row>
    <row r="34" spans="1:18" x14ac:dyDescent="0.2">
      <c r="B34" t="s">
        <v>31</v>
      </c>
      <c r="D34" s="12">
        <v>560</v>
      </c>
      <c r="E34" t="s">
        <v>35</v>
      </c>
      <c r="N34" t="s">
        <v>0</v>
      </c>
      <c r="O34" s="18" t="s">
        <v>20</v>
      </c>
      <c r="P34" s="43" t="s">
        <v>13</v>
      </c>
      <c r="Q34" s="20">
        <v>20</v>
      </c>
      <c r="R34" s="20">
        <v>33.700000000000003</v>
      </c>
    </row>
    <row r="35" spans="1:18" x14ac:dyDescent="0.2">
      <c r="B35" t="s">
        <v>32</v>
      </c>
      <c r="D35" s="12">
        <v>240</v>
      </c>
      <c r="E35" t="s">
        <v>35</v>
      </c>
      <c r="N35" t="s">
        <v>0</v>
      </c>
      <c r="O35" s="18" t="s">
        <v>20</v>
      </c>
      <c r="P35" s="43" t="s">
        <v>25</v>
      </c>
      <c r="Q35" s="20">
        <v>20</v>
      </c>
      <c r="R35" s="20">
        <v>28.7</v>
      </c>
    </row>
    <row r="36" spans="1:18" x14ac:dyDescent="0.2">
      <c r="B36" t="s">
        <v>33</v>
      </c>
      <c r="D36" s="12">
        <v>310</v>
      </c>
      <c r="E36" t="s">
        <v>35</v>
      </c>
      <c r="N36" t="s">
        <v>1</v>
      </c>
      <c r="O36" s="18" t="s">
        <v>21</v>
      </c>
      <c r="P36" s="43" t="s">
        <v>8</v>
      </c>
      <c r="Q36" s="20">
        <v>20</v>
      </c>
      <c r="R36" s="20">
        <v>83.9</v>
      </c>
    </row>
    <row r="37" spans="1:18" x14ac:dyDescent="0.2">
      <c r="A37" s="2" t="s">
        <v>202</v>
      </c>
      <c r="B37" s="3" t="s">
        <v>36</v>
      </c>
      <c r="N37" t="s">
        <v>1</v>
      </c>
      <c r="O37" s="18" t="s">
        <v>21</v>
      </c>
      <c r="P37" s="43" t="s">
        <v>9</v>
      </c>
      <c r="Q37" s="20">
        <v>20</v>
      </c>
      <c r="R37" s="20">
        <v>70.400000000000006</v>
      </c>
    </row>
    <row r="38" spans="1:18" x14ac:dyDescent="0.2">
      <c r="B38" t="s">
        <v>37</v>
      </c>
      <c r="D38" s="12">
        <v>0.34960000000000002</v>
      </c>
      <c r="E38" t="s">
        <v>38</v>
      </c>
      <c r="N38" t="s">
        <v>1</v>
      </c>
      <c r="O38" s="18" t="s">
        <v>21</v>
      </c>
      <c r="P38" s="43" t="s">
        <v>10</v>
      </c>
      <c r="Q38" s="20">
        <v>20</v>
      </c>
      <c r="R38" s="20">
        <v>63.5</v>
      </c>
    </row>
    <row r="39" spans="1:18" hidden="1" x14ac:dyDescent="0.2">
      <c r="B39" t="s">
        <v>39</v>
      </c>
      <c r="D39" s="12">
        <v>0.2074</v>
      </c>
      <c r="E39" t="s">
        <v>38</v>
      </c>
      <c r="N39" t="s">
        <v>1</v>
      </c>
      <c r="O39" s="18" t="s">
        <v>21</v>
      </c>
      <c r="P39" s="43" t="s">
        <v>11</v>
      </c>
      <c r="Q39" s="20">
        <v>20</v>
      </c>
      <c r="R39" s="20">
        <v>57.3</v>
      </c>
    </row>
    <row r="40" spans="1:18" x14ac:dyDescent="0.2">
      <c r="B40" t="s">
        <v>40</v>
      </c>
      <c r="D40" s="12">
        <v>9.3399999999999997E-2</v>
      </c>
      <c r="E40" t="s">
        <v>38</v>
      </c>
      <c r="N40" t="s">
        <v>1</v>
      </c>
      <c r="O40" s="18" t="s">
        <v>21</v>
      </c>
      <c r="P40" s="43" t="s">
        <v>12</v>
      </c>
      <c r="Q40" s="20">
        <v>20</v>
      </c>
      <c r="R40" s="20">
        <v>52.1</v>
      </c>
    </row>
    <row r="41" spans="1:18" hidden="1" x14ac:dyDescent="0.2">
      <c r="B41" t="s">
        <v>41</v>
      </c>
      <c r="D41" s="12">
        <v>9.1200000000000003E-2</v>
      </c>
      <c r="E41" t="s">
        <v>38</v>
      </c>
      <c r="N41" t="s">
        <v>1</v>
      </c>
      <c r="O41" s="18" t="s">
        <v>21</v>
      </c>
      <c r="P41" s="43" t="s">
        <v>13</v>
      </c>
      <c r="Q41" s="20">
        <v>20</v>
      </c>
      <c r="R41" s="20">
        <v>45.5</v>
      </c>
    </row>
    <row r="42" spans="1:18" x14ac:dyDescent="0.2">
      <c r="B42" t="s">
        <v>42</v>
      </c>
      <c r="D42" s="12">
        <v>9.8330000000000001E-2</v>
      </c>
      <c r="E42" t="s">
        <v>38</v>
      </c>
      <c r="N42" t="s">
        <v>1</v>
      </c>
      <c r="O42" s="18" t="s">
        <v>21</v>
      </c>
      <c r="P42" s="43" t="s">
        <v>25</v>
      </c>
      <c r="Q42" s="20">
        <v>20</v>
      </c>
      <c r="R42" s="20">
        <v>37.6</v>
      </c>
    </row>
    <row r="43" spans="1:18" hidden="1" x14ac:dyDescent="0.2">
      <c r="B43" t="s">
        <v>43</v>
      </c>
      <c r="D43" s="12">
        <v>7.893E-2</v>
      </c>
      <c r="E43" t="s">
        <v>38</v>
      </c>
      <c r="N43" t="s">
        <v>2</v>
      </c>
      <c r="O43" s="18" t="s">
        <v>22</v>
      </c>
      <c r="P43" s="43" t="s">
        <v>8</v>
      </c>
      <c r="Q43" s="20">
        <v>20</v>
      </c>
      <c r="R43" s="20">
        <v>86.4</v>
      </c>
    </row>
    <row r="44" spans="1:18" ht="17" x14ac:dyDescent="0.2">
      <c r="A44" s="2" t="s">
        <v>203</v>
      </c>
      <c r="B44" s="3" t="s">
        <v>44</v>
      </c>
      <c r="F44" t="s">
        <v>131</v>
      </c>
      <c r="H44" s="32" t="str">
        <f>D18</f>
        <v>bis 31.01.2024</v>
      </c>
      <c r="N44" t="s">
        <v>2</v>
      </c>
      <c r="O44" s="18" t="s">
        <v>22</v>
      </c>
      <c r="P44" s="43" t="s">
        <v>9</v>
      </c>
      <c r="Q44" s="20">
        <v>20</v>
      </c>
      <c r="R44" s="20">
        <v>83.3</v>
      </c>
    </row>
    <row r="45" spans="1:18" x14ac:dyDescent="0.2">
      <c r="A45" s="2"/>
      <c r="B45" t="s">
        <v>130</v>
      </c>
      <c r="D45" s="12">
        <v>0.2</v>
      </c>
      <c r="E45" t="s">
        <v>109</v>
      </c>
      <c r="N45" t="s">
        <v>2</v>
      </c>
      <c r="O45" s="18" t="s">
        <v>22</v>
      </c>
      <c r="P45" s="43" t="s">
        <v>10</v>
      </c>
      <c r="Q45" s="20">
        <v>20</v>
      </c>
      <c r="R45" s="20">
        <v>80.7</v>
      </c>
    </row>
    <row r="46" spans="1:18" x14ac:dyDescent="0.2">
      <c r="A46" s="2"/>
      <c r="B46" t="s">
        <v>138</v>
      </c>
      <c r="D46" s="34">
        <f>(IF(D114&lt;10,HLOOKUP(H44,D47:I51,3,0),0)+IF(AND(D114&lt;40,D114&gt;=10),HLOOKUP(H44,D47:I51,4,0),0)+IF(AND(D114&lt;=100,D114&gt;=40),HLOOKUP(H44,D47:I51,5,0),0))/100</f>
        <v>7.0999999999999994E-2</v>
      </c>
      <c r="E46" t="s">
        <v>38</v>
      </c>
      <c r="N46" t="s">
        <v>2</v>
      </c>
      <c r="O46" s="18" t="s">
        <v>22</v>
      </c>
      <c r="P46" s="43" t="s">
        <v>11</v>
      </c>
      <c r="Q46" s="20">
        <v>20</v>
      </c>
      <c r="R46" s="20">
        <v>77.5</v>
      </c>
    </row>
    <row r="47" spans="1:18" ht="17" x14ac:dyDescent="0.2">
      <c r="A47" s="2"/>
      <c r="D47" s="31" t="s">
        <v>296</v>
      </c>
      <c r="E47" s="31" t="s">
        <v>297</v>
      </c>
      <c r="F47" s="31" t="s">
        <v>298</v>
      </c>
      <c r="G47" s="31" t="s">
        <v>299</v>
      </c>
      <c r="H47" s="31" t="s">
        <v>300</v>
      </c>
      <c r="I47" s="31" t="s">
        <v>301</v>
      </c>
      <c r="N47" t="s">
        <v>2</v>
      </c>
      <c r="O47" s="18" t="s">
        <v>22</v>
      </c>
      <c r="P47" s="43" t="s">
        <v>12</v>
      </c>
      <c r="Q47" s="20">
        <v>20</v>
      </c>
      <c r="R47" s="20">
        <v>73.599999999999994</v>
      </c>
    </row>
    <row r="48" spans="1:18" x14ac:dyDescent="0.2">
      <c r="A48" s="2"/>
      <c r="B48" t="s">
        <v>133</v>
      </c>
      <c r="C48" t="s">
        <v>137</v>
      </c>
      <c r="D48" t="s">
        <v>134</v>
      </c>
      <c r="E48" t="s">
        <v>134</v>
      </c>
      <c r="F48" t="s">
        <v>134</v>
      </c>
      <c r="G48" t="s">
        <v>134</v>
      </c>
      <c r="H48" t="s">
        <v>134</v>
      </c>
      <c r="I48" t="s">
        <v>134</v>
      </c>
      <c r="N48" t="s">
        <v>2</v>
      </c>
      <c r="O48" s="18" t="s">
        <v>22</v>
      </c>
      <c r="P48" s="43" t="s">
        <v>13</v>
      </c>
      <c r="Q48" s="20">
        <v>20</v>
      </c>
      <c r="R48" s="20">
        <v>66.599999999999994</v>
      </c>
    </row>
    <row r="49" spans="1:18" x14ac:dyDescent="0.2">
      <c r="A49" s="2"/>
      <c r="B49" t="s">
        <v>132</v>
      </c>
      <c r="C49" s="12">
        <v>8.6</v>
      </c>
      <c r="D49" s="12">
        <v>8.1999999999999993</v>
      </c>
      <c r="E49" s="33">
        <f>C49*0.99-0.4</f>
        <v>8.113999999999999</v>
      </c>
      <c r="F49" s="33">
        <f>C49*0.99^2-0.4</f>
        <v>8.0288599999999999</v>
      </c>
      <c r="G49" s="33">
        <f>C49*0.99^3-0.4</f>
        <v>7.9445713999999992</v>
      </c>
      <c r="H49" s="33">
        <f>C49*0.99^4-0.4</f>
        <v>7.8611256859999994</v>
      </c>
      <c r="I49" s="33">
        <f>C49*0.99^5-0.4</f>
        <v>7.7785144291399977</v>
      </c>
      <c r="N49" t="s">
        <v>2</v>
      </c>
      <c r="O49" s="18" t="s">
        <v>22</v>
      </c>
      <c r="P49" s="43" t="s">
        <v>25</v>
      </c>
      <c r="Q49" s="20">
        <v>20</v>
      </c>
      <c r="R49" s="20">
        <v>55.3</v>
      </c>
    </row>
    <row r="50" spans="1:18" x14ac:dyDescent="0.2">
      <c r="A50" s="2"/>
      <c r="B50" t="s">
        <v>135</v>
      </c>
      <c r="C50" s="12">
        <v>7.5</v>
      </c>
      <c r="D50" s="12">
        <v>7.1</v>
      </c>
      <c r="E50" s="33">
        <f t="shared" ref="E50:E51" si="0">C50*0.99-0.4</f>
        <v>7.0249999999999995</v>
      </c>
      <c r="F50" s="33">
        <f t="shared" ref="F50:F51" si="1">C50*0.99^2-0.4</f>
        <v>6.9507499999999993</v>
      </c>
      <c r="G50" s="33">
        <f t="shared" ref="G50:G51" si="2">C50*0.99^3-0.4</f>
        <v>6.8772424999999986</v>
      </c>
      <c r="H50" s="33">
        <f t="shared" ref="H50:H51" si="3">C50*0.99^4-0.4</f>
        <v>6.8044700749999993</v>
      </c>
      <c r="I50" s="33">
        <f t="shared" ref="I50:I51" si="4">C50*0.99^5-0.4</f>
        <v>6.7324253742499991</v>
      </c>
      <c r="N50" t="s">
        <v>3</v>
      </c>
      <c r="O50" s="18" t="s">
        <v>23</v>
      </c>
      <c r="P50" s="43" t="s">
        <v>8</v>
      </c>
      <c r="Q50" s="20">
        <v>20</v>
      </c>
      <c r="R50" s="20">
        <v>89</v>
      </c>
    </row>
    <row r="51" spans="1:18" x14ac:dyDescent="0.2">
      <c r="A51" s="2"/>
      <c r="B51" t="s">
        <v>136</v>
      </c>
      <c r="C51" s="12">
        <v>6.2</v>
      </c>
      <c r="D51" s="12">
        <v>5.8</v>
      </c>
      <c r="E51" s="33">
        <f t="shared" si="0"/>
        <v>5.7379999999999995</v>
      </c>
      <c r="F51" s="33">
        <f t="shared" si="1"/>
        <v>5.6766199999999998</v>
      </c>
      <c r="G51" s="33">
        <f t="shared" si="2"/>
        <v>5.6158537999999991</v>
      </c>
      <c r="H51" s="33">
        <f t="shared" si="3"/>
        <v>5.5556952619999995</v>
      </c>
      <c r="I51" s="33">
        <f t="shared" si="4"/>
        <v>5.4961383093799991</v>
      </c>
      <c r="N51" t="s">
        <v>3</v>
      </c>
      <c r="O51" s="18" t="s">
        <v>23</v>
      </c>
      <c r="P51" s="43" t="s">
        <v>9</v>
      </c>
      <c r="Q51" s="20">
        <v>20</v>
      </c>
      <c r="R51" s="20">
        <v>94.6</v>
      </c>
    </row>
    <row r="52" spans="1:18" x14ac:dyDescent="0.2">
      <c r="A52" s="2"/>
      <c r="B52" t="s">
        <v>139</v>
      </c>
      <c r="D52" s="12">
        <v>0.08</v>
      </c>
      <c r="E52" t="s">
        <v>38</v>
      </c>
      <c r="N52" t="s">
        <v>3</v>
      </c>
      <c r="O52" s="18" t="s">
        <v>23</v>
      </c>
      <c r="P52" s="43" t="s">
        <v>10</v>
      </c>
      <c r="Q52" s="20">
        <v>20</v>
      </c>
      <c r="R52" s="20">
        <v>94.9</v>
      </c>
    </row>
    <row r="53" spans="1:18" x14ac:dyDescent="0.2">
      <c r="N53" t="s">
        <v>3</v>
      </c>
      <c r="O53" s="18" t="s">
        <v>23</v>
      </c>
      <c r="P53" s="43" t="s">
        <v>11</v>
      </c>
      <c r="Q53" s="20">
        <v>20</v>
      </c>
      <c r="R53" s="20">
        <v>93.6</v>
      </c>
    </row>
    <row r="54" spans="1:18" x14ac:dyDescent="0.2">
      <c r="A54" s="2" t="s">
        <v>204</v>
      </c>
      <c r="B54" s="3" t="s">
        <v>141</v>
      </c>
      <c r="D54" s="13">
        <v>0.05</v>
      </c>
      <c r="N54" t="s">
        <v>3</v>
      </c>
      <c r="O54" s="18" t="s">
        <v>23</v>
      </c>
      <c r="P54" s="43" t="s">
        <v>12</v>
      </c>
      <c r="Q54" s="20">
        <v>20</v>
      </c>
      <c r="R54" s="20">
        <v>90.4</v>
      </c>
    </row>
    <row r="55" spans="1:18" x14ac:dyDescent="0.2">
      <c r="N55" t="s">
        <v>3</v>
      </c>
      <c r="O55" s="18" t="s">
        <v>23</v>
      </c>
      <c r="P55" s="43" t="s">
        <v>13</v>
      </c>
      <c r="Q55" s="20">
        <v>20</v>
      </c>
      <c r="R55" s="20">
        <v>82.8</v>
      </c>
    </row>
    <row r="56" spans="1:18" x14ac:dyDescent="0.2">
      <c r="N56" t="s">
        <v>3</v>
      </c>
      <c r="O56" s="18" t="s">
        <v>23</v>
      </c>
      <c r="P56" s="43" t="s">
        <v>25</v>
      </c>
      <c r="Q56" s="20">
        <v>20</v>
      </c>
      <c r="R56" s="20">
        <v>68.099999999999994</v>
      </c>
    </row>
    <row r="57" spans="1:18" x14ac:dyDescent="0.2">
      <c r="N57" t="s">
        <v>4</v>
      </c>
      <c r="O57" s="18" t="s">
        <v>24</v>
      </c>
      <c r="P57" s="43" t="s">
        <v>8</v>
      </c>
      <c r="Q57" s="20">
        <v>20</v>
      </c>
      <c r="R57" s="20">
        <v>90</v>
      </c>
    </row>
    <row r="58" spans="1:18" x14ac:dyDescent="0.2">
      <c r="N58" t="s">
        <v>4</v>
      </c>
      <c r="O58" s="18" t="s">
        <v>24</v>
      </c>
      <c r="P58" s="43" t="s">
        <v>9</v>
      </c>
      <c r="Q58" s="20">
        <v>20</v>
      </c>
      <c r="R58" s="20">
        <v>98.7</v>
      </c>
    </row>
    <row r="59" spans="1:18" x14ac:dyDescent="0.2">
      <c r="N59" t="s">
        <v>4</v>
      </c>
      <c r="O59" s="18" t="s">
        <v>24</v>
      </c>
      <c r="P59" s="43" t="s">
        <v>10</v>
      </c>
      <c r="Q59" s="20">
        <v>20</v>
      </c>
      <c r="R59" s="20">
        <v>100</v>
      </c>
    </row>
    <row r="60" spans="1:18" x14ac:dyDescent="0.2">
      <c r="A60" s="2" t="s">
        <v>205</v>
      </c>
      <c r="B60" s="3" t="s">
        <v>45</v>
      </c>
      <c r="D60" s="4"/>
      <c r="N60" t="s">
        <v>4</v>
      </c>
      <c r="O60" s="18" t="s">
        <v>24</v>
      </c>
      <c r="P60" s="43" t="s">
        <v>11</v>
      </c>
      <c r="Q60" s="20">
        <v>20</v>
      </c>
      <c r="R60" s="20">
        <v>99</v>
      </c>
    </row>
    <row r="61" spans="1:18" x14ac:dyDescent="0.2">
      <c r="A61" s="1"/>
      <c r="D61" s="4"/>
      <c r="N61" t="s">
        <v>4</v>
      </c>
      <c r="O61" s="18" t="s">
        <v>24</v>
      </c>
      <c r="P61" s="43" t="s">
        <v>12</v>
      </c>
      <c r="Q61" s="20">
        <v>20</v>
      </c>
      <c r="R61" s="20">
        <v>96</v>
      </c>
    </row>
    <row r="62" spans="1:18" x14ac:dyDescent="0.2">
      <c r="A62" s="2" t="s">
        <v>206</v>
      </c>
      <c r="B62" s="3" t="s">
        <v>46</v>
      </c>
      <c r="D62" s="17">
        <f>D63+D72+D82+D91</f>
        <v>7333.3333333333339</v>
      </c>
      <c r="E62" t="s">
        <v>47</v>
      </c>
      <c r="F62" s="3" t="s">
        <v>48</v>
      </c>
      <c r="I62" s="22"/>
      <c r="N62" t="s">
        <v>4</v>
      </c>
      <c r="O62" s="18" t="s">
        <v>24</v>
      </c>
      <c r="P62" s="43" t="s">
        <v>13</v>
      </c>
      <c r="Q62" s="20">
        <v>20</v>
      </c>
      <c r="R62" s="20">
        <v>87.6</v>
      </c>
    </row>
    <row r="63" spans="1:18" x14ac:dyDescent="0.2">
      <c r="A63" s="2" t="s">
        <v>148</v>
      </c>
      <c r="B63" s="3" t="s">
        <v>14</v>
      </c>
      <c r="C63" t="s">
        <v>49</v>
      </c>
      <c r="D63" s="17">
        <f>IF(G63=0,0,D64+D68*G63+D69+D70+D71)</f>
        <v>7333.3333333333339</v>
      </c>
      <c r="E63" t="s">
        <v>47</v>
      </c>
      <c r="F63" t="s">
        <v>50</v>
      </c>
      <c r="G63" s="41">
        <f>D7</f>
        <v>50</v>
      </c>
      <c r="H63" t="s">
        <v>51</v>
      </c>
      <c r="I63" s="22"/>
      <c r="N63" t="s">
        <v>4</v>
      </c>
      <c r="O63" s="18" t="s">
        <v>24</v>
      </c>
      <c r="P63" s="43" t="s">
        <v>25</v>
      </c>
      <c r="Q63" s="20">
        <v>20</v>
      </c>
      <c r="R63" s="20">
        <v>70.599999999999994</v>
      </c>
    </row>
    <row r="64" spans="1:18" x14ac:dyDescent="0.2">
      <c r="A64" s="1"/>
      <c r="B64" t="s">
        <v>52</v>
      </c>
      <c r="C64" s="1"/>
      <c r="D64" s="17">
        <f>IF(G63&gt;20,(D65+D66)*G63+D67,D65*G63+1600+D67)</f>
        <v>11333.333333333334</v>
      </c>
      <c r="E64" t="s">
        <v>47</v>
      </c>
      <c r="F64" t="s">
        <v>16</v>
      </c>
      <c r="G64" s="41" t="str">
        <f t="shared" ref="G64:G65" si="5">D8</f>
        <v>Süd</v>
      </c>
      <c r="I64" s="22"/>
      <c r="N64" t="s">
        <v>5</v>
      </c>
      <c r="O64" s="18" t="s">
        <v>11</v>
      </c>
      <c r="P64" s="43" t="s">
        <v>8</v>
      </c>
      <c r="Q64" s="20">
        <v>20</v>
      </c>
      <c r="R64" s="20">
        <v>89</v>
      </c>
    </row>
    <row r="65" spans="1:18" x14ac:dyDescent="0.2">
      <c r="A65" s="1"/>
      <c r="C65" s="10" t="s">
        <v>53</v>
      </c>
      <c r="D65" s="14">
        <v>125</v>
      </c>
      <c r="E65" t="s">
        <v>54</v>
      </c>
      <c r="F65" t="s">
        <v>18</v>
      </c>
      <c r="G65" s="41" t="str">
        <f t="shared" si="5"/>
        <v>35°</v>
      </c>
      <c r="H65" t="s">
        <v>55</v>
      </c>
      <c r="N65" t="s">
        <v>5</v>
      </c>
      <c r="O65" s="18" t="s">
        <v>11</v>
      </c>
      <c r="P65" s="43" t="s">
        <v>9</v>
      </c>
      <c r="Q65" s="20">
        <v>20</v>
      </c>
      <c r="R65" s="20">
        <v>94.6</v>
      </c>
    </row>
    <row r="66" spans="1:18" x14ac:dyDescent="0.2">
      <c r="A66" s="1"/>
      <c r="C66" s="10" t="s">
        <v>124</v>
      </c>
      <c r="D66" s="14">
        <v>80</v>
      </c>
      <c r="E66" t="s">
        <v>54</v>
      </c>
      <c r="N66" t="s">
        <v>5</v>
      </c>
      <c r="O66" s="18" t="s">
        <v>11</v>
      </c>
      <c r="P66" s="43" t="s">
        <v>10</v>
      </c>
      <c r="Q66" s="20">
        <v>20</v>
      </c>
      <c r="R66" s="20">
        <v>94.9</v>
      </c>
    </row>
    <row r="67" spans="1:18" x14ac:dyDescent="0.2">
      <c r="A67" s="1"/>
      <c r="C67" s="10" t="s">
        <v>56</v>
      </c>
      <c r="D67" s="14">
        <f>IF($D$114&lt;=3,450, IF($D$114&lt;=6,'calculation-sheet'!$L$69,IF($D$114&lt;=9,'calculation-sheet'!$L$70, IF($D$114&lt;=15,'calculation-sheet'!$L$71,2000))))</f>
        <v>1083.3333333333333</v>
      </c>
      <c r="E67" t="s">
        <v>47</v>
      </c>
      <c r="J67" t="s">
        <v>56</v>
      </c>
      <c r="N67" t="s">
        <v>5</v>
      </c>
      <c r="O67" s="18" t="s">
        <v>11</v>
      </c>
      <c r="P67" s="43" t="s">
        <v>11</v>
      </c>
      <c r="Q67" s="20">
        <v>20</v>
      </c>
      <c r="R67" s="20">
        <v>93.6</v>
      </c>
    </row>
    <row r="68" spans="1:18" x14ac:dyDescent="0.2">
      <c r="A68" s="1"/>
      <c r="B68" t="s">
        <v>154</v>
      </c>
      <c r="D68" s="14">
        <v>40</v>
      </c>
      <c r="E68" t="s">
        <v>54</v>
      </c>
      <c r="J68" t="s">
        <v>159</v>
      </c>
      <c r="L68">
        <v>450</v>
      </c>
      <c r="N68" t="s">
        <v>5</v>
      </c>
      <c r="O68" s="18" t="s">
        <v>11</v>
      </c>
      <c r="P68" s="43" t="s">
        <v>12</v>
      </c>
      <c r="Q68" s="20">
        <v>20</v>
      </c>
      <c r="R68" s="20">
        <v>90.4</v>
      </c>
    </row>
    <row r="69" spans="1:18" x14ac:dyDescent="0.2">
      <c r="A69" s="1"/>
      <c r="B69" t="s">
        <v>153</v>
      </c>
      <c r="D69" s="14">
        <v>2000</v>
      </c>
      <c r="E69" t="s">
        <v>47</v>
      </c>
      <c r="J69" t="s">
        <v>160</v>
      </c>
      <c r="L69">
        <f>500/3*'calculation-sheet'!D114-50</f>
        <v>1616.6666666666665</v>
      </c>
      <c r="N69" t="s">
        <v>5</v>
      </c>
      <c r="O69" s="18" t="s">
        <v>11</v>
      </c>
      <c r="P69" s="43" t="s">
        <v>13</v>
      </c>
      <c r="Q69" s="20">
        <v>20</v>
      </c>
      <c r="R69" s="20">
        <v>82.8</v>
      </c>
    </row>
    <row r="70" spans="1:18" x14ac:dyDescent="0.2">
      <c r="A70" s="1"/>
      <c r="B70" t="s">
        <v>57</v>
      </c>
      <c r="D70" s="14">
        <v>0</v>
      </c>
      <c r="E70" t="s">
        <v>47</v>
      </c>
      <c r="J70" t="s">
        <v>161</v>
      </c>
      <c r="L70">
        <f>50/3*'calculation-sheet'!D114+850</f>
        <v>1016.6666666666667</v>
      </c>
      <c r="N70" t="s">
        <v>5</v>
      </c>
      <c r="O70" s="18" t="s">
        <v>11</v>
      </c>
      <c r="P70" s="43" t="s">
        <v>25</v>
      </c>
      <c r="Q70" s="20">
        <v>20</v>
      </c>
      <c r="R70" s="20">
        <v>68.099999999999994</v>
      </c>
    </row>
    <row r="71" spans="1:18" x14ac:dyDescent="0.2">
      <c r="A71" s="1"/>
      <c r="B71" t="s">
        <v>58</v>
      </c>
      <c r="D71" s="15">
        <f>-IF(G124="Bestand",0,160*G63)</f>
        <v>-8000</v>
      </c>
      <c r="E71" t="s">
        <v>47</v>
      </c>
      <c r="J71" t="s">
        <v>162</v>
      </c>
      <c r="L71">
        <f>500/6*'calculation-sheet'!D114+250</f>
        <v>1083.3333333333333</v>
      </c>
      <c r="N71" t="s">
        <v>6</v>
      </c>
      <c r="O71" s="18" t="s">
        <v>25</v>
      </c>
      <c r="P71" s="43" t="s">
        <v>8</v>
      </c>
      <c r="Q71" s="20">
        <v>20</v>
      </c>
      <c r="R71" s="20">
        <v>86.4</v>
      </c>
    </row>
    <row r="72" spans="1:18" x14ac:dyDescent="0.2">
      <c r="A72" s="2" t="s">
        <v>149</v>
      </c>
      <c r="B72" s="3" t="s">
        <v>15</v>
      </c>
      <c r="C72" t="s">
        <v>49</v>
      </c>
      <c r="D72" s="17">
        <f>IF(G72=0,0,D73+D78*G72+D79+D80+D81)</f>
        <v>0</v>
      </c>
      <c r="E72" t="s">
        <v>47</v>
      </c>
      <c r="F72" t="s">
        <v>50</v>
      </c>
      <c r="G72" s="41">
        <f>D10</f>
        <v>0</v>
      </c>
      <c r="H72" t="s">
        <v>51</v>
      </c>
      <c r="J72" t="s">
        <v>163</v>
      </c>
      <c r="L72">
        <v>2000</v>
      </c>
      <c r="N72" t="s">
        <v>6</v>
      </c>
      <c r="O72" s="18" t="s">
        <v>25</v>
      </c>
      <c r="P72" s="43" t="s">
        <v>9</v>
      </c>
      <c r="Q72" s="20">
        <v>20</v>
      </c>
      <c r="R72" s="20">
        <v>83.3</v>
      </c>
    </row>
    <row r="73" spans="1:18" x14ac:dyDescent="0.2">
      <c r="A73" s="1"/>
      <c r="B73" t="s">
        <v>52</v>
      </c>
      <c r="C73" s="1"/>
      <c r="D73" s="17">
        <f>(D74+D75)*G72+D76+D77</f>
        <v>1083.3333333333333</v>
      </c>
      <c r="E73" t="s">
        <v>47</v>
      </c>
      <c r="F73" t="s">
        <v>16</v>
      </c>
      <c r="G73" s="41" t="str">
        <f t="shared" ref="G73:G74" si="6">D11</f>
        <v>Süd</v>
      </c>
      <c r="N73" t="s">
        <v>6</v>
      </c>
      <c r="O73" s="18" t="s">
        <v>25</v>
      </c>
      <c r="P73" s="43" t="s">
        <v>10</v>
      </c>
      <c r="Q73" s="20">
        <v>20</v>
      </c>
      <c r="R73" s="20">
        <v>80.7</v>
      </c>
    </row>
    <row r="74" spans="1:18" x14ac:dyDescent="0.2">
      <c r="A74" s="1"/>
      <c r="C74" s="10" t="s">
        <v>53</v>
      </c>
      <c r="D74" s="14">
        <v>480</v>
      </c>
      <c r="E74" t="s">
        <v>54</v>
      </c>
      <c r="F74" t="s">
        <v>18</v>
      </c>
      <c r="G74" s="41" t="str">
        <f t="shared" si="6"/>
        <v>35°</v>
      </c>
      <c r="H74" t="s">
        <v>55</v>
      </c>
      <c r="N74" t="s">
        <v>6</v>
      </c>
      <c r="O74" s="18" t="s">
        <v>25</v>
      </c>
      <c r="P74" s="43" t="s">
        <v>11</v>
      </c>
      <c r="Q74" s="20">
        <v>20</v>
      </c>
      <c r="R74" s="20">
        <v>77.5</v>
      </c>
    </row>
    <row r="75" spans="1:18" x14ac:dyDescent="0.2">
      <c r="A75" s="1"/>
      <c r="C75" s="10" t="s">
        <v>124</v>
      </c>
      <c r="D75" s="14">
        <v>0</v>
      </c>
      <c r="E75" t="s">
        <v>54</v>
      </c>
      <c r="N75" t="s">
        <v>6</v>
      </c>
      <c r="O75" s="18" t="s">
        <v>25</v>
      </c>
      <c r="P75" s="43" t="s">
        <v>12</v>
      </c>
      <c r="Q75" s="20">
        <v>20</v>
      </c>
      <c r="R75" s="20">
        <v>73.599999999999994</v>
      </c>
    </row>
    <row r="76" spans="1:18" x14ac:dyDescent="0.2">
      <c r="A76" s="2"/>
      <c r="C76" s="10" t="s">
        <v>56</v>
      </c>
      <c r="D76" s="14">
        <f>IF($D$114&lt;=3,450, IF($D$114&lt;=6,'calculation-sheet'!$L$69,IF($D$114&lt;=9,'calculation-sheet'!$L$70, IF($D$114&lt;=15,'calculation-sheet'!$L$71,2000))))</f>
        <v>1083.3333333333333</v>
      </c>
      <c r="E76" t="s">
        <v>47</v>
      </c>
      <c r="N76" t="s">
        <v>6</v>
      </c>
      <c r="O76" s="18" t="s">
        <v>25</v>
      </c>
      <c r="P76" s="43" t="s">
        <v>13</v>
      </c>
      <c r="Q76" s="20">
        <v>20</v>
      </c>
      <c r="R76" s="20">
        <v>66.599999999999994</v>
      </c>
    </row>
    <row r="77" spans="1:18" x14ac:dyDescent="0.2">
      <c r="A77" s="2"/>
      <c r="C77" s="10" t="s">
        <v>152</v>
      </c>
      <c r="D77" s="14">
        <f>IF(G124="Bestand",11000, 0)</f>
        <v>0</v>
      </c>
      <c r="E77" t="s">
        <v>47</v>
      </c>
      <c r="N77" t="s">
        <v>6</v>
      </c>
      <c r="O77" s="18" t="s">
        <v>25</v>
      </c>
      <c r="P77" s="43" t="s">
        <v>25</v>
      </c>
      <c r="Q77" s="20">
        <v>20</v>
      </c>
      <c r="R77" s="20">
        <v>55.3</v>
      </c>
    </row>
    <row r="78" spans="1:18" x14ac:dyDescent="0.2">
      <c r="A78" s="1"/>
      <c r="B78" t="s">
        <v>154</v>
      </c>
      <c r="D78" s="14">
        <v>65</v>
      </c>
      <c r="E78" t="s">
        <v>54</v>
      </c>
      <c r="N78" t="s">
        <v>7</v>
      </c>
      <c r="O78" s="18" t="s">
        <v>26</v>
      </c>
      <c r="P78" s="43" t="s">
        <v>8</v>
      </c>
      <c r="Q78" s="20">
        <v>20</v>
      </c>
      <c r="R78" s="20">
        <v>83.9</v>
      </c>
    </row>
    <row r="79" spans="1:18" x14ac:dyDescent="0.2">
      <c r="A79" s="1"/>
      <c r="B79" t="s">
        <v>153</v>
      </c>
      <c r="D79" s="14">
        <f>2000+IF(G124="Bestand",3000,0)</f>
        <v>2000</v>
      </c>
      <c r="E79" t="s">
        <v>47</v>
      </c>
      <c r="N79" t="s">
        <v>7</v>
      </c>
      <c r="O79" s="18" t="s">
        <v>26</v>
      </c>
      <c r="P79" s="43" t="s">
        <v>9</v>
      </c>
      <c r="Q79" s="20">
        <v>20</v>
      </c>
      <c r="R79" s="20">
        <v>70.400000000000006</v>
      </c>
    </row>
    <row r="80" spans="1:18" x14ac:dyDescent="0.2">
      <c r="A80" s="1"/>
      <c r="B80" t="s">
        <v>57</v>
      </c>
      <c r="D80" s="14">
        <f>(D73+D79+D78*G72)*10/90</f>
        <v>342.59259259259255</v>
      </c>
      <c r="E80" t="s">
        <v>47</v>
      </c>
      <c r="N80" t="s">
        <v>7</v>
      </c>
      <c r="O80" s="18" t="s">
        <v>26</v>
      </c>
      <c r="P80" s="43" t="s">
        <v>10</v>
      </c>
      <c r="Q80" s="20">
        <v>20</v>
      </c>
      <c r="R80" s="20">
        <v>63.5</v>
      </c>
    </row>
    <row r="81" spans="1:18" x14ac:dyDescent="0.2">
      <c r="A81" s="1"/>
      <c r="B81" t="s">
        <v>58</v>
      </c>
      <c r="D81" s="15">
        <f>-IF(G124="Bestand",0,160*G72)</f>
        <v>0</v>
      </c>
      <c r="E81" t="s">
        <v>47</v>
      </c>
      <c r="N81" t="s">
        <v>7</v>
      </c>
      <c r="O81" s="18" t="s">
        <v>26</v>
      </c>
      <c r="P81" s="43" t="s">
        <v>11</v>
      </c>
      <c r="Q81" s="20">
        <v>20</v>
      </c>
      <c r="R81" s="20">
        <v>57.3</v>
      </c>
    </row>
    <row r="82" spans="1:18" x14ac:dyDescent="0.2">
      <c r="A82" s="2" t="s">
        <v>150</v>
      </c>
      <c r="B82" s="3" t="s">
        <v>14</v>
      </c>
      <c r="C82" t="s">
        <v>59</v>
      </c>
      <c r="D82" s="17">
        <f>IF(G82=0,0,D83+D87*G82+D88+D89+D90)</f>
        <v>0</v>
      </c>
      <c r="E82" t="s">
        <v>47</v>
      </c>
      <c r="F82" t="s">
        <v>50</v>
      </c>
      <c r="G82" s="41">
        <f>D13</f>
        <v>0</v>
      </c>
      <c r="H82" t="s">
        <v>51</v>
      </c>
      <c r="N82" t="s">
        <v>7</v>
      </c>
      <c r="O82" s="18" t="s">
        <v>26</v>
      </c>
      <c r="P82" s="43" t="s">
        <v>12</v>
      </c>
      <c r="Q82" s="20">
        <v>20</v>
      </c>
      <c r="R82" s="20">
        <v>52.1</v>
      </c>
    </row>
    <row r="83" spans="1:18" x14ac:dyDescent="0.2">
      <c r="A83" s="1"/>
      <c r="B83" t="s">
        <v>52</v>
      </c>
      <c r="C83" s="1"/>
      <c r="D83" s="17">
        <f>IF(G82&gt;20,(D84+D85)*G82+D86,D84*G82 + 3200 + D86)</f>
        <v>4283.333333333333</v>
      </c>
      <c r="E83" t="s">
        <v>47</v>
      </c>
      <c r="F83" t="s">
        <v>16</v>
      </c>
      <c r="G83" s="41" t="str">
        <f>D14</f>
        <v>Süd</v>
      </c>
      <c r="N83" t="s">
        <v>7</v>
      </c>
      <c r="O83" s="18" t="s">
        <v>26</v>
      </c>
      <c r="P83" s="43" t="s">
        <v>13</v>
      </c>
      <c r="Q83" s="20">
        <v>20</v>
      </c>
      <c r="R83" s="20">
        <v>45.5</v>
      </c>
    </row>
    <row r="84" spans="1:18" x14ac:dyDescent="0.2">
      <c r="A84" s="1"/>
      <c r="C84" s="10" t="s">
        <v>53</v>
      </c>
      <c r="D84" s="14">
        <v>250</v>
      </c>
      <c r="E84" t="s">
        <v>54</v>
      </c>
      <c r="F84" t="s">
        <v>18</v>
      </c>
      <c r="G84" s="40" t="s">
        <v>25</v>
      </c>
      <c r="H84" t="s">
        <v>55</v>
      </c>
      <c r="N84" t="s">
        <v>7</v>
      </c>
      <c r="O84" s="18" t="s">
        <v>26</v>
      </c>
      <c r="P84" s="43" t="s">
        <v>25</v>
      </c>
      <c r="Q84" s="20">
        <v>20</v>
      </c>
      <c r="R84" s="20">
        <v>37.6</v>
      </c>
    </row>
    <row r="85" spans="1:18" x14ac:dyDescent="0.2">
      <c r="A85" s="1"/>
      <c r="C85" s="10" t="s">
        <v>124</v>
      </c>
      <c r="D85" s="14">
        <v>160</v>
      </c>
      <c r="E85" t="s">
        <v>54</v>
      </c>
    </row>
    <row r="86" spans="1:18" x14ac:dyDescent="0.2">
      <c r="A86" s="1"/>
      <c r="C86" s="10" t="s">
        <v>56</v>
      </c>
      <c r="D86" s="14">
        <f>IF($D$114&lt;=3,450, IF($D$114&lt;=6,'calculation-sheet'!$L$69,IF($D$114&lt;=9,'calculation-sheet'!$L$70, IF($D$114&lt;=15,'calculation-sheet'!$L$71,2000))))</f>
        <v>1083.3333333333333</v>
      </c>
      <c r="E86" t="s">
        <v>47</v>
      </c>
    </row>
    <row r="87" spans="1:18" x14ac:dyDescent="0.2">
      <c r="A87" s="1"/>
      <c r="B87" t="s">
        <v>154</v>
      </c>
      <c r="D87" s="14">
        <v>80</v>
      </c>
      <c r="E87" t="s">
        <v>54</v>
      </c>
    </row>
    <row r="88" spans="1:18" x14ac:dyDescent="0.2">
      <c r="A88" s="1"/>
      <c r="B88" t="s">
        <v>153</v>
      </c>
      <c r="D88" s="14">
        <v>2000</v>
      </c>
      <c r="E88" t="s">
        <v>47</v>
      </c>
    </row>
    <row r="89" spans="1:18" x14ac:dyDescent="0.2">
      <c r="A89" s="1"/>
      <c r="B89" t="s">
        <v>57</v>
      </c>
      <c r="D89" s="14">
        <v>0</v>
      </c>
      <c r="E89" t="s">
        <v>47</v>
      </c>
    </row>
    <row r="90" spans="1:18" x14ac:dyDescent="0.2">
      <c r="A90" s="1"/>
      <c r="B90" t="s">
        <v>58</v>
      </c>
      <c r="D90" s="15">
        <f>-IF(G124="Bestand",0,190*G82)</f>
        <v>0</v>
      </c>
      <c r="E90" t="s">
        <v>47</v>
      </c>
    </row>
    <row r="91" spans="1:18" x14ac:dyDescent="0.2">
      <c r="A91" s="2" t="s">
        <v>151</v>
      </c>
      <c r="B91" s="3" t="s">
        <v>15</v>
      </c>
      <c r="C91" t="s">
        <v>59</v>
      </c>
      <c r="D91" s="17">
        <f>IF(G91=0,0,D92+D97*G91+D98+D99+D100)</f>
        <v>0</v>
      </c>
      <c r="E91" t="s">
        <v>47</v>
      </c>
      <c r="F91" s="11" t="s">
        <v>50</v>
      </c>
      <c r="G91" s="42">
        <f>D15</f>
        <v>0</v>
      </c>
      <c r="H91" s="11" t="s">
        <v>51</v>
      </c>
    </row>
    <row r="92" spans="1:18" x14ac:dyDescent="0.2">
      <c r="A92" s="1"/>
      <c r="B92" t="s">
        <v>52</v>
      </c>
      <c r="C92" s="1"/>
      <c r="D92" s="17">
        <f>(D93+D94)*G91+D95+D96</f>
        <v>1083.3333333333333</v>
      </c>
      <c r="E92" t="s">
        <v>47</v>
      </c>
      <c r="F92" s="11" t="s">
        <v>16</v>
      </c>
      <c r="G92" s="42" t="str">
        <f>D16</f>
        <v>Süd</v>
      </c>
      <c r="H92" s="11"/>
    </row>
    <row r="93" spans="1:18" x14ac:dyDescent="0.2">
      <c r="A93" s="1"/>
      <c r="C93" s="10" t="s">
        <v>53</v>
      </c>
      <c r="D93" s="14">
        <v>750</v>
      </c>
      <c r="E93" t="s">
        <v>54</v>
      </c>
      <c r="F93" s="11" t="s">
        <v>18</v>
      </c>
      <c r="G93" s="40" t="s">
        <v>25</v>
      </c>
      <c r="H93" s="11" t="s">
        <v>55</v>
      </c>
    </row>
    <row r="94" spans="1:18" x14ac:dyDescent="0.2">
      <c r="A94" s="1"/>
      <c r="C94" s="10" t="s">
        <v>124</v>
      </c>
      <c r="D94" s="14">
        <v>0</v>
      </c>
      <c r="E94" t="s">
        <v>54</v>
      </c>
    </row>
    <row r="95" spans="1:18" x14ac:dyDescent="0.2">
      <c r="A95" s="2"/>
      <c r="C95" s="10" t="s">
        <v>56</v>
      </c>
      <c r="D95" s="14">
        <f>IF($D$114&lt;=3,450, IF($D$114&lt;=6,'calculation-sheet'!$L$69,IF($D$114&lt;=9,'calculation-sheet'!$L$70, IF($D$114&lt;=15,'calculation-sheet'!$L$71,2000))))</f>
        <v>1083.3333333333333</v>
      </c>
      <c r="E95" t="s">
        <v>47</v>
      </c>
    </row>
    <row r="96" spans="1:18" x14ac:dyDescent="0.2">
      <c r="A96" s="2"/>
      <c r="C96" s="10" t="s">
        <v>152</v>
      </c>
      <c r="D96" s="14">
        <f>IF(G124="Bestand",11000, 0)</f>
        <v>0</v>
      </c>
      <c r="E96" t="s">
        <v>47</v>
      </c>
    </row>
    <row r="97" spans="1:7" x14ac:dyDescent="0.2">
      <c r="A97" s="1"/>
      <c r="B97" t="s">
        <v>154</v>
      </c>
      <c r="D97" s="14">
        <v>130</v>
      </c>
      <c r="E97" t="s">
        <v>54</v>
      </c>
    </row>
    <row r="98" spans="1:7" x14ac:dyDescent="0.2">
      <c r="A98" s="1"/>
      <c r="B98" t="s">
        <v>153</v>
      </c>
      <c r="D98" s="14">
        <f>2000+IF(G124="Bestand",3000,0)</f>
        <v>2000</v>
      </c>
      <c r="E98" t="s">
        <v>47</v>
      </c>
    </row>
    <row r="99" spans="1:7" x14ac:dyDescent="0.2">
      <c r="A99" s="1"/>
      <c r="B99" t="s">
        <v>57</v>
      </c>
      <c r="D99" s="14">
        <f>(D92+D98+D97*G91)*10/90</f>
        <v>342.59259259259255</v>
      </c>
      <c r="E99" t="s">
        <v>47</v>
      </c>
    </row>
    <row r="100" spans="1:7" x14ac:dyDescent="0.2">
      <c r="A100" s="1"/>
      <c r="B100" t="s">
        <v>58</v>
      </c>
      <c r="D100" s="15">
        <f>-IF(G124="Bestand",0,190*G91)</f>
        <v>0</v>
      </c>
      <c r="E100" t="s">
        <v>47</v>
      </c>
    </row>
    <row r="101" spans="1:7" x14ac:dyDescent="0.2">
      <c r="A101" s="1"/>
      <c r="D101" s="8"/>
    </row>
    <row r="102" spans="1:7" x14ac:dyDescent="0.2">
      <c r="A102" s="1"/>
      <c r="D102" s="4"/>
    </row>
    <row r="103" spans="1:7" x14ac:dyDescent="0.2">
      <c r="A103" s="2" t="s">
        <v>207</v>
      </c>
      <c r="B103" s="3" t="s">
        <v>60</v>
      </c>
      <c r="D103" s="44"/>
      <c r="F103" s="36"/>
      <c r="G103" s="22"/>
    </row>
    <row r="104" spans="1:7" x14ac:dyDescent="0.2">
      <c r="A104" s="1" t="s">
        <v>203</v>
      </c>
      <c r="B104" t="s">
        <v>140</v>
      </c>
      <c r="D104" s="14">
        <v>100</v>
      </c>
      <c r="E104" t="s">
        <v>61</v>
      </c>
    </row>
    <row r="105" spans="1:7" ht="37" customHeight="1" x14ac:dyDescent="0.2">
      <c r="A105" s="1" t="s">
        <v>208</v>
      </c>
      <c r="B105" s="49" t="s">
        <v>62</v>
      </c>
      <c r="C105" s="49"/>
      <c r="D105" s="12">
        <v>2</v>
      </c>
      <c r="E105" s="9" t="s">
        <v>126</v>
      </c>
      <c r="F105" t="s">
        <v>127</v>
      </c>
    </row>
    <row r="106" spans="1:7" ht="37" customHeight="1" x14ac:dyDescent="0.2">
      <c r="A106" s="1" t="s">
        <v>209</v>
      </c>
      <c r="B106" s="49" t="s">
        <v>63</v>
      </c>
      <c r="C106" s="49"/>
      <c r="D106" s="14">
        <f>IF(D114&gt;11,D114*18,200)</f>
        <v>200</v>
      </c>
      <c r="E106" t="s">
        <v>185</v>
      </c>
      <c r="F106" t="s">
        <v>125</v>
      </c>
      <c r="G106" s="35"/>
    </row>
    <row r="107" spans="1:7" x14ac:dyDescent="0.2">
      <c r="A107" s="1" t="s">
        <v>210</v>
      </c>
      <c r="B107" t="s">
        <v>64</v>
      </c>
      <c r="D107" s="14">
        <f>D67</f>
        <v>1083.3333333333333</v>
      </c>
      <c r="E107" t="s">
        <v>182</v>
      </c>
      <c r="F107" t="s">
        <v>128</v>
      </c>
    </row>
    <row r="108" spans="1:7" x14ac:dyDescent="0.2">
      <c r="A108" s="1"/>
      <c r="D108" s="8"/>
    </row>
    <row r="109" spans="1:7" x14ac:dyDescent="0.2">
      <c r="A109" s="1"/>
      <c r="D109" s="8"/>
    </row>
    <row r="110" spans="1:7" x14ac:dyDescent="0.2">
      <c r="A110" s="1"/>
      <c r="D110" s="4"/>
    </row>
    <row r="111" spans="1:7" x14ac:dyDescent="0.2">
      <c r="A111" s="2" t="s">
        <v>211</v>
      </c>
      <c r="B111" s="3" t="s">
        <v>65</v>
      </c>
      <c r="D111" s="4"/>
    </row>
    <row r="112" spans="1:7" x14ac:dyDescent="0.2">
      <c r="A112" s="2" t="s">
        <v>212</v>
      </c>
      <c r="B112" s="3" t="s">
        <v>66</v>
      </c>
      <c r="D112" s="4"/>
    </row>
    <row r="113" spans="1:8" x14ac:dyDescent="0.2">
      <c r="A113" s="1"/>
      <c r="B113" t="s">
        <v>67</v>
      </c>
      <c r="C113" t="s">
        <v>68</v>
      </c>
      <c r="D113" s="30">
        <f>G63+G72+G82+G91</f>
        <v>50</v>
      </c>
      <c r="E113" t="s">
        <v>51</v>
      </c>
    </row>
    <row r="114" spans="1:8" x14ac:dyDescent="0.2">
      <c r="A114" s="1"/>
      <c r="D114" s="30">
        <f>D113*D45</f>
        <v>10</v>
      </c>
      <c r="E114" t="s">
        <v>129</v>
      </c>
    </row>
    <row r="115" spans="1:8" x14ac:dyDescent="0.2">
      <c r="A115" s="2" t="s">
        <v>213</v>
      </c>
      <c r="B115" s="3" t="s">
        <v>69</v>
      </c>
      <c r="D115" s="4"/>
    </row>
    <row r="116" spans="1:8" x14ac:dyDescent="0.2">
      <c r="A116" s="2"/>
      <c r="B116" t="s">
        <v>214</v>
      </c>
      <c r="D116" s="4"/>
    </row>
    <row r="117" spans="1:8" x14ac:dyDescent="0.2">
      <c r="B117" t="s">
        <v>155</v>
      </c>
      <c r="D117" s="14">
        <v>1000</v>
      </c>
      <c r="E117" t="s">
        <v>108</v>
      </c>
    </row>
    <row r="118" spans="1:8" x14ac:dyDescent="0.2">
      <c r="A118" s="1"/>
      <c r="B118" t="s">
        <v>110</v>
      </c>
      <c r="D118" s="12">
        <v>0.2</v>
      </c>
      <c r="E118" t="s">
        <v>109</v>
      </c>
    </row>
    <row r="119" spans="1:8" x14ac:dyDescent="0.2">
      <c r="A119" s="1"/>
      <c r="B119" t="s">
        <v>156</v>
      </c>
      <c r="D119" s="33">
        <v>710</v>
      </c>
      <c r="E119" t="s">
        <v>115</v>
      </c>
    </row>
    <row r="120" spans="1:8" x14ac:dyDescent="0.2">
      <c r="A120" s="1"/>
      <c r="D120" s="4"/>
    </row>
    <row r="121" spans="1:8" x14ac:dyDescent="0.2">
      <c r="A121" s="2" t="s">
        <v>215</v>
      </c>
      <c r="B121" s="3" t="s">
        <v>142</v>
      </c>
      <c r="D121" s="4"/>
    </row>
    <row r="122" spans="1:8" x14ac:dyDescent="0.2">
      <c r="A122" s="9" t="s">
        <v>216</v>
      </c>
      <c r="B122" t="s">
        <v>217</v>
      </c>
      <c r="E122" s="22"/>
      <c r="F122" t="s">
        <v>70</v>
      </c>
      <c r="G122" s="16">
        <f>D3</f>
        <v>1</v>
      </c>
    </row>
    <row r="123" spans="1:8" x14ac:dyDescent="0.2">
      <c r="A123" s="9"/>
      <c r="B123" t="s">
        <v>116</v>
      </c>
      <c r="D123" s="12">
        <v>45</v>
      </c>
      <c r="E123" t="s">
        <v>115</v>
      </c>
      <c r="F123" t="s">
        <v>71</v>
      </c>
      <c r="G123" s="16">
        <f>D4</f>
        <v>2</v>
      </c>
      <c r="H123" t="s">
        <v>72</v>
      </c>
    </row>
    <row r="124" spans="1:8" x14ac:dyDescent="0.2">
      <c r="A124" s="9"/>
      <c r="B124" t="s">
        <v>117</v>
      </c>
      <c r="D124" s="12">
        <v>100</v>
      </c>
      <c r="E124" t="s">
        <v>115</v>
      </c>
      <c r="F124" t="s">
        <v>114</v>
      </c>
      <c r="G124" s="16" t="str">
        <f>D2</f>
        <v>Neubau</v>
      </c>
      <c r="H124" t="s">
        <v>145</v>
      </c>
    </row>
    <row r="125" spans="1:8" x14ac:dyDescent="0.2">
      <c r="A125" s="9"/>
      <c r="D125" s="23">
        <f>IF(G124="Neubau",G125*D123,0)+IF(G124="Bestand",G125*D124,0)</f>
        <v>4500</v>
      </c>
      <c r="E125" t="s">
        <v>73</v>
      </c>
      <c r="F125" t="s">
        <v>113</v>
      </c>
      <c r="G125" s="16">
        <f>D5</f>
        <v>100</v>
      </c>
      <c r="H125" t="s">
        <v>51</v>
      </c>
    </row>
    <row r="126" spans="1:8" x14ac:dyDescent="0.2">
      <c r="A126" s="9"/>
    </row>
    <row r="127" spans="1:8" x14ac:dyDescent="0.2">
      <c r="A127" s="9" t="s">
        <v>218</v>
      </c>
      <c r="B127" t="s">
        <v>106</v>
      </c>
      <c r="D127" s="21">
        <f>IF(G122&gt;2,G122*C131,G123*C129)</f>
        <v>1000</v>
      </c>
      <c r="E127" t="s">
        <v>73</v>
      </c>
      <c r="G127"/>
    </row>
    <row r="128" spans="1:8" x14ac:dyDescent="0.2">
      <c r="A128" s="9"/>
      <c r="B128" t="s">
        <v>74</v>
      </c>
    </row>
    <row r="129" spans="1:7" x14ac:dyDescent="0.2">
      <c r="A129" s="9"/>
      <c r="C129" s="12">
        <v>500</v>
      </c>
      <c r="D129" t="s">
        <v>75</v>
      </c>
    </row>
    <row r="130" spans="1:7" x14ac:dyDescent="0.2">
      <c r="A130" s="9"/>
      <c r="B130" t="s">
        <v>76</v>
      </c>
    </row>
    <row r="131" spans="1:7" x14ac:dyDescent="0.2">
      <c r="A131" s="9"/>
      <c r="C131" s="12">
        <v>1000</v>
      </c>
      <c r="D131" t="s">
        <v>77</v>
      </c>
      <c r="G131"/>
    </row>
    <row r="132" spans="1:7" x14ac:dyDescent="0.2">
      <c r="A132" s="9"/>
      <c r="G132"/>
    </row>
    <row r="133" spans="1:7" x14ac:dyDescent="0.2">
      <c r="A133" s="9" t="s">
        <v>219</v>
      </c>
      <c r="B133" t="s">
        <v>220</v>
      </c>
      <c r="D133" s="21">
        <f>IF(G122&gt;2,G122*C142,IF(G123=B135,C135,0)+IF(G123=B136,C136,0)+IF(G123=B137,C137,0)+IF(G123=B138,C138,0)+IF(G123=B139,C139,0)+IF(G123=B140,C140,0))</f>
        <v>4040</v>
      </c>
      <c r="E133" t="s">
        <v>73</v>
      </c>
    </row>
    <row r="134" spans="1:7" x14ac:dyDescent="0.2">
      <c r="B134" t="s">
        <v>78</v>
      </c>
    </row>
    <row r="135" spans="1:7" x14ac:dyDescent="0.2">
      <c r="B135">
        <v>1</v>
      </c>
      <c r="C135" s="12">
        <v>2350</v>
      </c>
      <c r="D135" t="s">
        <v>73</v>
      </c>
    </row>
    <row r="136" spans="1:7" x14ac:dyDescent="0.2">
      <c r="B136">
        <v>2</v>
      </c>
      <c r="C136" s="12">
        <v>4040</v>
      </c>
      <c r="D136" t="s">
        <v>73</v>
      </c>
      <c r="G136"/>
    </row>
    <row r="137" spans="1:7" x14ac:dyDescent="0.2">
      <c r="B137">
        <v>3</v>
      </c>
      <c r="C137" s="12">
        <f>1650*3</f>
        <v>4950</v>
      </c>
      <c r="D137" t="s">
        <v>73</v>
      </c>
      <c r="G137"/>
    </row>
    <row r="138" spans="1:7" x14ac:dyDescent="0.2">
      <c r="B138">
        <v>4</v>
      </c>
      <c r="C138" s="12">
        <f>1500*4</f>
        <v>6000</v>
      </c>
      <c r="D138" t="s">
        <v>73</v>
      </c>
      <c r="G138"/>
    </row>
    <row r="139" spans="1:7" x14ac:dyDescent="0.2">
      <c r="B139">
        <v>5</v>
      </c>
      <c r="C139" s="12">
        <f>1400*5</f>
        <v>7000</v>
      </c>
      <c r="D139" t="s">
        <v>73</v>
      </c>
      <c r="G139"/>
    </row>
    <row r="140" spans="1:7" x14ac:dyDescent="0.2">
      <c r="B140">
        <v>6</v>
      </c>
      <c r="C140" s="12">
        <f>1350*6</f>
        <v>8100</v>
      </c>
      <c r="D140" t="s">
        <v>73</v>
      </c>
      <c r="G140"/>
    </row>
    <row r="141" spans="1:7" ht="31" customHeight="1" x14ac:dyDescent="0.2">
      <c r="B141" t="s">
        <v>79</v>
      </c>
      <c r="G141"/>
    </row>
    <row r="142" spans="1:7" ht="30" customHeight="1" x14ac:dyDescent="0.2">
      <c r="B142" t="s">
        <v>80</v>
      </c>
      <c r="C142" s="12">
        <v>3000</v>
      </c>
      <c r="D142" t="s">
        <v>73</v>
      </c>
      <c r="G142"/>
    </row>
    <row r="143" spans="1:7" x14ac:dyDescent="0.2">
      <c r="B143" t="s">
        <v>81</v>
      </c>
      <c r="C143" s="12">
        <v>6000</v>
      </c>
      <c r="D143" t="s">
        <v>73</v>
      </c>
      <c r="G143"/>
    </row>
    <row r="144" spans="1:7" x14ac:dyDescent="0.2">
      <c r="B144" t="s">
        <v>82</v>
      </c>
      <c r="C144" s="12">
        <v>9000</v>
      </c>
      <c r="D144" t="s">
        <v>73</v>
      </c>
      <c r="G144"/>
    </row>
    <row r="145" spans="1:8" x14ac:dyDescent="0.2">
      <c r="B145" t="s">
        <v>83</v>
      </c>
      <c r="C145" s="12">
        <v>12000</v>
      </c>
      <c r="D145" t="s">
        <v>73</v>
      </c>
      <c r="G145"/>
    </row>
    <row r="146" spans="1:8" x14ac:dyDescent="0.2">
      <c r="B146" t="s">
        <v>84</v>
      </c>
      <c r="C146" s="12">
        <v>15000</v>
      </c>
      <c r="D146" t="s">
        <v>73</v>
      </c>
      <c r="G146"/>
    </row>
    <row r="147" spans="1:8" x14ac:dyDescent="0.2">
      <c r="B147" t="s">
        <v>85</v>
      </c>
      <c r="C147" s="12">
        <v>18000</v>
      </c>
      <c r="D147" t="s">
        <v>73</v>
      </c>
      <c r="G147"/>
    </row>
    <row r="148" spans="1:8" x14ac:dyDescent="0.2">
      <c r="B148" t="s">
        <v>86</v>
      </c>
      <c r="C148" s="12">
        <v>21000</v>
      </c>
      <c r="D148" t="s">
        <v>73</v>
      </c>
      <c r="G148"/>
    </row>
    <row r="149" spans="1:8" x14ac:dyDescent="0.2">
      <c r="B149" t="s">
        <v>87</v>
      </c>
      <c r="C149" s="12">
        <v>24000</v>
      </c>
      <c r="D149" t="s">
        <v>73</v>
      </c>
      <c r="G149"/>
    </row>
    <row r="150" spans="1:8" x14ac:dyDescent="0.2">
      <c r="B150" t="s">
        <v>88</v>
      </c>
      <c r="C150" s="12">
        <v>27000</v>
      </c>
      <c r="D150" t="s">
        <v>73</v>
      </c>
      <c r="G150"/>
    </row>
    <row r="151" spans="1:8" x14ac:dyDescent="0.2">
      <c r="B151" t="s">
        <v>89</v>
      </c>
      <c r="C151" s="12">
        <v>30000</v>
      </c>
      <c r="D151" t="s">
        <v>73</v>
      </c>
      <c r="G151"/>
    </row>
    <row r="152" spans="1:8" x14ac:dyDescent="0.2">
      <c r="G152"/>
    </row>
    <row r="153" spans="1:8" x14ac:dyDescent="0.2">
      <c r="A153" s="9"/>
      <c r="G153"/>
    </row>
    <row r="154" spans="1:8" x14ac:dyDescent="0.2">
      <c r="A154" s="9"/>
      <c r="G154"/>
    </row>
    <row r="155" spans="1:8" x14ac:dyDescent="0.2">
      <c r="A155" s="9" t="s">
        <v>221</v>
      </c>
      <c r="B155" t="s">
        <v>143</v>
      </c>
      <c r="G155"/>
    </row>
    <row r="156" spans="1:8" x14ac:dyDescent="0.2">
      <c r="A156" s="9"/>
      <c r="B156" t="s">
        <v>144</v>
      </c>
      <c r="D156" s="13">
        <f>IF(H156="ja", 30%+D158,30%)</f>
        <v>0.3</v>
      </c>
      <c r="F156" t="s">
        <v>183</v>
      </c>
      <c r="G156"/>
      <c r="H156" s="16" t="str">
        <f>D17</f>
        <v>nein</v>
      </c>
    </row>
    <row r="157" spans="1:8" x14ac:dyDescent="0.2">
      <c r="G157"/>
    </row>
    <row r="158" spans="1:8" x14ac:dyDescent="0.2">
      <c r="B158" t="s">
        <v>184</v>
      </c>
      <c r="D158" s="13">
        <v>0.3</v>
      </c>
      <c r="G158"/>
    </row>
    <row r="159" spans="1:8" x14ac:dyDescent="0.2">
      <c r="G159"/>
    </row>
    <row r="160" spans="1:8" x14ac:dyDescent="0.2">
      <c r="B160" t="s">
        <v>186</v>
      </c>
      <c r="D160" s="45">
        <f>IF(D114&lt;15,5000,13000)</f>
        <v>5000</v>
      </c>
      <c r="G160"/>
    </row>
    <row r="163" spans="1:13" x14ac:dyDescent="0.2">
      <c r="A163" s="1" t="s">
        <v>227</v>
      </c>
      <c r="B163" t="s">
        <v>190</v>
      </c>
      <c r="F163" t="s">
        <v>191</v>
      </c>
      <c r="H163" s="16" t="str">
        <f>D19</f>
        <v>nein</v>
      </c>
    </row>
    <row r="164" spans="1:13" x14ac:dyDescent="0.2">
      <c r="B164" t="s">
        <v>193</v>
      </c>
      <c r="D164" s="12" t="str">
        <f>IF(AND(H156="ja",H163="ja",H164="ja"),"erfüllt","keine Förderung")</f>
        <v>keine Förderung</v>
      </c>
      <c r="F164" t="s">
        <v>192</v>
      </c>
      <c r="H164" s="16" t="str">
        <f>D20</f>
        <v>nein</v>
      </c>
    </row>
    <row r="166" spans="1:13" x14ac:dyDescent="0.2">
      <c r="B166" t="s">
        <v>194</v>
      </c>
      <c r="D166" s="46">
        <f>-(600+IF(D114&gt;10,6000,600*D114)+IF(D114&gt;15,3000,250*8))</f>
        <v>-8600</v>
      </c>
    </row>
    <row r="168" spans="1:13" x14ac:dyDescent="0.2">
      <c r="B168" t="s">
        <v>195</v>
      </c>
      <c r="D168" s="45">
        <v>2000</v>
      </c>
    </row>
    <row r="171" spans="1:13" x14ac:dyDescent="0.2">
      <c r="A171" s="2" t="s">
        <v>222</v>
      </c>
      <c r="B171" s="3" t="s">
        <v>90</v>
      </c>
      <c r="G171"/>
      <c r="J171"/>
      <c r="M171"/>
    </row>
    <row r="172" spans="1:13" x14ac:dyDescent="0.2">
      <c r="A172" s="2"/>
      <c r="G172"/>
      <c r="J172"/>
      <c r="M172"/>
    </row>
    <row r="173" spans="1:13" x14ac:dyDescent="0.2">
      <c r="A173" s="2" t="s">
        <v>223</v>
      </c>
      <c r="B173" s="3" t="s">
        <v>91</v>
      </c>
      <c r="G173"/>
      <c r="J173"/>
      <c r="M173"/>
    </row>
    <row r="174" spans="1:13" x14ac:dyDescent="0.2">
      <c r="A174" s="2"/>
      <c r="B174" t="s">
        <v>111</v>
      </c>
      <c r="G174"/>
      <c r="J174"/>
      <c r="M174"/>
    </row>
    <row r="175" spans="1:13" x14ac:dyDescent="0.2">
      <c r="A175" s="2"/>
      <c r="B175" t="s">
        <v>112</v>
      </c>
      <c r="G175"/>
      <c r="J175"/>
      <c r="M175"/>
    </row>
    <row r="176" spans="1:13" x14ac:dyDescent="0.2">
      <c r="A176" s="2"/>
      <c r="B176" s="3"/>
      <c r="G176"/>
      <c r="J176"/>
      <c r="M176"/>
    </row>
    <row r="177" spans="1:13" x14ac:dyDescent="0.2">
      <c r="A177" s="2"/>
      <c r="B177" t="s">
        <v>92</v>
      </c>
      <c r="G177"/>
      <c r="J177"/>
      <c r="M177"/>
    </row>
    <row r="178" spans="1:13" x14ac:dyDescent="0.2">
      <c r="A178" s="2"/>
      <c r="G178"/>
      <c r="J178"/>
      <c r="M178"/>
    </row>
    <row r="179" spans="1:13" x14ac:dyDescent="0.2">
      <c r="A179" s="2"/>
      <c r="B179" t="s">
        <v>164</v>
      </c>
      <c r="E179" s="23" cm="1">
        <f t="array" ref="E179">VLOOKUP('calculation-sheet'!G64&amp;'calculation-sheet'!G65,CHOOSE({1,2},N28:N84&amp;P28:P84,R28:R84),2,0)/100*$D$117*$D$118*G63+VLOOKUP(G83&amp;G84,CHOOSE({1,2},N28:N84&amp;P28:P84,R28:R84),2,0)/100*'calculation-sheet'!$D$117*'calculation-sheet'!$D$118*'calculation-sheet'!G82</f>
        <v>10000</v>
      </c>
      <c r="F179" t="s">
        <v>93</v>
      </c>
      <c r="G179"/>
      <c r="J179"/>
      <c r="M179"/>
    </row>
    <row r="180" spans="1:13" x14ac:dyDescent="0.2">
      <c r="A180" s="2"/>
      <c r="B180" t="s">
        <v>165</v>
      </c>
      <c r="E180" s="23">
        <f>E181+E182</f>
        <v>0</v>
      </c>
      <c r="F180" t="s">
        <v>93</v>
      </c>
      <c r="G180"/>
      <c r="J180"/>
      <c r="M180"/>
    </row>
    <row r="181" spans="1:13" x14ac:dyDescent="0.2">
      <c r="A181" s="2"/>
      <c r="C181" t="s">
        <v>94</v>
      </c>
      <c r="E181" s="23" cm="1">
        <f t="array" ref="E181">VLOOKUP(G73&amp;G74,CHOOSE({1,2},N28:N84&amp;P28:P84,R28:R84),2,0)/100*'calculation-sheet'!G72*'calculation-sheet'!D119+VLOOKUP(G92&amp;G93,CHOOSE({1,2},N28:N84&amp;P28:P84,R28:R84),2,0)/100*G91*D119</f>
        <v>0</v>
      </c>
      <c r="F181" t="s">
        <v>93</v>
      </c>
      <c r="G181"/>
      <c r="J181"/>
      <c r="M181"/>
    </row>
    <row r="182" spans="1:13" x14ac:dyDescent="0.2">
      <c r="A182" s="2"/>
      <c r="C182" t="s">
        <v>95</v>
      </c>
      <c r="E182" s="23" cm="1">
        <f t="array" ref="E182">VLOOKUP(G73&amp;G74,CHOOSE({1,2},N28:N84&amp;P28:P84,R28:R84),2,0)/100*D117*D118*G72+VLOOKUP(G92&amp;G93,CHOOSE({1,2},N28:N84&amp;P28:P84,R28:R84),2,0)/100*D117*D118*G91</f>
        <v>0</v>
      </c>
      <c r="F182" t="s">
        <v>93</v>
      </c>
      <c r="G182"/>
      <c r="J182"/>
      <c r="M182"/>
    </row>
    <row r="183" spans="1:13" x14ac:dyDescent="0.2">
      <c r="A183" s="2"/>
      <c r="G183"/>
      <c r="J183"/>
      <c r="M183"/>
    </row>
    <row r="184" spans="1:13" x14ac:dyDescent="0.2">
      <c r="A184" s="2"/>
      <c r="G184"/>
      <c r="J184"/>
      <c r="M184"/>
    </row>
    <row r="185" spans="1:13" x14ac:dyDescent="0.2">
      <c r="A185" s="2"/>
      <c r="G185"/>
      <c r="J185"/>
      <c r="M185"/>
    </row>
    <row r="186" spans="1:13" x14ac:dyDescent="0.2">
      <c r="A186" s="2"/>
      <c r="G186"/>
      <c r="J186"/>
      <c r="M186"/>
    </row>
    <row r="187" spans="1:13" x14ac:dyDescent="0.2">
      <c r="A187" s="2"/>
      <c r="G187"/>
      <c r="J187"/>
      <c r="M187"/>
    </row>
    <row r="188" spans="1:13" x14ac:dyDescent="0.2">
      <c r="A188" s="2" t="s">
        <v>224</v>
      </c>
      <c r="B188" s="3" t="s">
        <v>96</v>
      </c>
      <c r="G188"/>
      <c r="J188"/>
      <c r="M188"/>
    </row>
    <row r="189" spans="1:13" x14ac:dyDescent="0.2">
      <c r="A189" s="2"/>
      <c r="G189"/>
      <c r="J189"/>
      <c r="M189"/>
    </row>
    <row r="190" spans="1:13" x14ac:dyDescent="0.2">
      <c r="A190" s="2"/>
      <c r="B190" s="11" t="s">
        <v>176</v>
      </c>
      <c r="E190" s="37">
        <f>E191+E192</f>
        <v>9540</v>
      </c>
      <c r="F190" t="s">
        <v>93</v>
      </c>
      <c r="G190"/>
      <c r="J190"/>
      <c r="M190"/>
    </row>
    <row r="191" spans="1:13" x14ac:dyDescent="0.2">
      <c r="A191" s="2"/>
      <c r="B191" s="47" t="s">
        <v>196</v>
      </c>
      <c r="E191" s="37">
        <f>D133</f>
        <v>4040</v>
      </c>
      <c r="F191" t="s">
        <v>93</v>
      </c>
      <c r="G191"/>
      <c r="J191"/>
      <c r="M191"/>
    </row>
    <row r="192" spans="1:13" x14ac:dyDescent="0.2">
      <c r="A192" s="2"/>
      <c r="B192" s="47" t="s">
        <v>197</v>
      </c>
      <c r="E192" s="37">
        <f>D127+D125</f>
        <v>5500</v>
      </c>
      <c r="F192" t="s">
        <v>93</v>
      </c>
      <c r="G192"/>
      <c r="J192"/>
      <c r="M192"/>
    </row>
    <row r="193" spans="1:13" x14ac:dyDescent="0.2">
      <c r="A193" s="2"/>
      <c r="B193" s="11"/>
      <c r="E193" s="38"/>
      <c r="G193"/>
      <c r="J193"/>
      <c r="M193"/>
    </row>
    <row r="194" spans="1:13" x14ac:dyDescent="0.2">
      <c r="A194" s="2"/>
      <c r="G194"/>
      <c r="J194"/>
      <c r="M194"/>
    </row>
    <row r="195" spans="1:13" x14ac:dyDescent="0.2">
      <c r="A195" s="2"/>
      <c r="B195" t="s">
        <v>118</v>
      </c>
      <c r="E195" s="13">
        <f>D156</f>
        <v>0.3</v>
      </c>
      <c r="F195" s="22"/>
      <c r="G195"/>
      <c r="J195"/>
      <c r="M195"/>
    </row>
    <row r="196" spans="1:13" x14ac:dyDescent="0.2">
      <c r="A196" s="2"/>
      <c r="B196" t="s">
        <v>119</v>
      </c>
      <c r="E196" s="23">
        <f>IF(E179*E195+E182*E195&gt;E191,E191,E179*E195+E182*E195)</f>
        <v>3000</v>
      </c>
      <c r="F196" t="s">
        <v>93</v>
      </c>
      <c r="G196"/>
      <c r="J196"/>
      <c r="M196"/>
    </row>
    <row r="197" spans="1:13" x14ac:dyDescent="0.2">
      <c r="A197" s="2"/>
      <c r="B197" t="s">
        <v>120</v>
      </c>
      <c r="E197" s="23">
        <f>E179+E182-E196</f>
        <v>7000</v>
      </c>
      <c r="F197" t="s">
        <v>93</v>
      </c>
      <c r="G197"/>
      <c r="J197"/>
      <c r="M197"/>
    </row>
    <row r="198" spans="1:13" x14ac:dyDescent="0.2">
      <c r="A198" s="2"/>
      <c r="B198" t="s">
        <v>170</v>
      </c>
      <c r="E198" s="23">
        <f>IF(E181*0.6&gt;E192,E192,E181*0.6)</f>
        <v>0</v>
      </c>
      <c r="F198" t="s">
        <v>93</v>
      </c>
      <c r="G198" t="s">
        <v>303</v>
      </c>
      <c r="J198"/>
      <c r="M198"/>
    </row>
    <row r="199" spans="1:13" x14ac:dyDescent="0.2">
      <c r="A199" s="2"/>
      <c r="G199"/>
      <c r="J199"/>
      <c r="M199"/>
    </row>
    <row r="200" spans="1:13" x14ac:dyDescent="0.2">
      <c r="A200" s="5" t="s">
        <v>225</v>
      </c>
      <c r="B200" s="6" t="s">
        <v>97</v>
      </c>
      <c r="G200"/>
      <c r="J200"/>
      <c r="M200"/>
    </row>
    <row r="201" spans="1:13" x14ac:dyDescent="0.2">
      <c r="A201" s="5"/>
      <c r="B201" t="s">
        <v>177</v>
      </c>
      <c r="E201" s="37">
        <f>E191*D30+E192*D31</f>
        <v>13322</v>
      </c>
      <c r="F201" t="s">
        <v>93</v>
      </c>
      <c r="G201"/>
      <c r="I201" t="s">
        <v>166</v>
      </c>
      <c r="J201" t="s">
        <v>98</v>
      </c>
      <c r="M201"/>
    </row>
    <row r="202" spans="1:13" x14ac:dyDescent="0.2">
      <c r="A202" s="5"/>
      <c r="B202" s="11" t="s">
        <v>178</v>
      </c>
      <c r="E202" s="37">
        <f>(IF(H30="Heizöl",D36,D35)*E192+D34*E191)/1000</f>
        <v>3582.4</v>
      </c>
      <c r="F202" t="s">
        <v>174</v>
      </c>
      <c r="G202"/>
      <c r="H202" t="s">
        <v>179</v>
      </c>
      <c r="I202" s="38">
        <f>E202</f>
        <v>3582.4</v>
      </c>
      <c r="J202" s="38">
        <f>E201</f>
        <v>13322</v>
      </c>
      <c r="K202" t="s">
        <v>179</v>
      </c>
      <c r="M202"/>
    </row>
    <row r="203" spans="1:13" x14ac:dyDescent="0.2">
      <c r="A203" s="5"/>
      <c r="B203" s="6"/>
      <c r="E203" s="38"/>
      <c r="G203"/>
      <c r="H203" t="s">
        <v>180</v>
      </c>
      <c r="I203" s="38">
        <f>E202-E210</f>
        <v>1902.4</v>
      </c>
      <c r="J203" s="38">
        <f>IF(E201-E204&lt;0,0,E201-E204)</f>
        <v>6050</v>
      </c>
      <c r="K203" t="s">
        <v>180</v>
      </c>
      <c r="M203"/>
    </row>
    <row r="204" spans="1:13" x14ac:dyDescent="0.2">
      <c r="A204" s="2"/>
      <c r="B204" t="s">
        <v>173</v>
      </c>
      <c r="E204" s="37">
        <f>SUM(E205:E207)</f>
        <v>7272</v>
      </c>
      <c r="F204" t="s">
        <v>93</v>
      </c>
      <c r="G204"/>
      <c r="J204"/>
      <c r="M204"/>
    </row>
    <row r="205" spans="1:13" x14ac:dyDescent="0.2">
      <c r="A205" s="2"/>
      <c r="B205" s="28" t="s">
        <v>171</v>
      </c>
      <c r="E205" s="37">
        <f>IF(E191&lt;E196,E196*D30,E191*D30)</f>
        <v>7272</v>
      </c>
      <c r="F205" t="s">
        <v>93</v>
      </c>
      <c r="G205"/>
      <c r="J205"/>
      <c r="M205"/>
    </row>
    <row r="206" spans="1:13" x14ac:dyDescent="0.2">
      <c r="A206" s="2"/>
      <c r="B206" s="28" t="s">
        <v>168</v>
      </c>
      <c r="E206" s="37">
        <f>IF(H30="Erdgas",IF(E192&lt;E198,E192*D31,E198*D31),0)</f>
        <v>0</v>
      </c>
      <c r="F206" t="s">
        <v>93</v>
      </c>
      <c r="G206"/>
      <c r="J206"/>
      <c r="M206"/>
    </row>
    <row r="207" spans="1:13" x14ac:dyDescent="0.2">
      <c r="A207" s="2"/>
      <c r="B207" s="28" t="s">
        <v>169</v>
      </c>
      <c r="E207" s="37">
        <f>IF(H30="Heizöl",IF(E192&lt;E198,E192*D32,E198*D32),0)</f>
        <v>0</v>
      </c>
      <c r="F207" t="s">
        <v>93</v>
      </c>
      <c r="G207"/>
      <c r="J207"/>
      <c r="M207"/>
    </row>
    <row r="208" spans="1:13" x14ac:dyDescent="0.2">
      <c r="A208" s="2"/>
      <c r="B208" s="28"/>
      <c r="E208" s="38"/>
      <c r="G208"/>
      <c r="J208"/>
      <c r="M208"/>
    </row>
    <row r="209" spans="1:13" x14ac:dyDescent="0.2">
      <c r="A209" s="2"/>
      <c r="E209" s="38"/>
      <c r="G209"/>
      <c r="J209"/>
      <c r="M209"/>
    </row>
    <row r="210" spans="1:13" x14ac:dyDescent="0.2">
      <c r="A210" s="2"/>
      <c r="B210" t="s">
        <v>172</v>
      </c>
      <c r="E210" s="37">
        <f>SUM(E211:E213)</f>
        <v>1680</v>
      </c>
      <c r="F210" t="s">
        <v>174</v>
      </c>
      <c r="G210"/>
      <c r="J210"/>
      <c r="M210"/>
    </row>
    <row r="211" spans="1:13" x14ac:dyDescent="0.2">
      <c r="A211" s="2"/>
      <c r="B211" s="28" t="s">
        <v>167</v>
      </c>
      <c r="E211" s="37">
        <f>IF(E191&lt;E196,E191*D34,E196*D34)/1000</f>
        <v>1680</v>
      </c>
      <c r="F211" t="s">
        <v>174</v>
      </c>
      <c r="G211"/>
      <c r="J211"/>
      <c r="M211"/>
    </row>
    <row r="212" spans="1:13" x14ac:dyDescent="0.2">
      <c r="A212" s="2"/>
      <c r="B212" s="28" t="s">
        <v>168</v>
      </c>
      <c r="E212" s="37">
        <f>IF(H30="Erdgas",IF(E192&lt;E198,E192*D35,E198*D35)/1000,0)</f>
        <v>0</v>
      </c>
      <c r="F212" t="s">
        <v>174</v>
      </c>
      <c r="G212"/>
      <c r="J212"/>
      <c r="M212"/>
    </row>
    <row r="213" spans="1:13" x14ac:dyDescent="0.2">
      <c r="A213" s="2"/>
      <c r="B213" s="28" t="s">
        <v>169</v>
      </c>
      <c r="E213" s="37">
        <f>IF(H30="Heizöl",IF(E192&lt;E198,E192*D36,E198*D36)/1000,0)</f>
        <v>0</v>
      </c>
      <c r="F213" t="s">
        <v>174</v>
      </c>
      <c r="G213"/>
      <c r="J213"/>
      <c r="M213"/>
    </row>
    <row r="214" spans="1:13" x14ac:dyDescent="0.2">
      <c r="A214" s="2"/>
      <c r="E214" s="38"/>
      <c r="G214"/>
      <c r="J214"/>
      <c r="M214"/>
    </row>
    <row r="215" spans="1:13" x14ac:dyDescent="0.2">
      <c r="A215" s="2"/>
      <c r="B215" t="s">
        <v>99</v>
      </c>
      <c r="G215"/>
      <c r="J215"/>
      <c r="M215"/>
    </row>
    <row r="216" spans="1:13" x14ac:dyDescent="0.2">
      <c r="A216" s="2"/>
      <c r="G216"/>
      <c r="J216"/>
      <c r="M216"/>
    </row>
    <row r="217" spans="1:13" x14ac:dyDescent="0.2">
      <c r="A217" s="5" t="s">
        <v>226</v>
      </c>
      <c r="B217" s="6" t="s">
        <v>100</v>
      </c>
      <c r="G217"/>
      <c r="J217"/>
      <c r="M217"/>
    </row>
    <row r="218" spans="1:13" x14ac:dyDescent="0.2">
      <c r="A218" s="2"/>
      <c r="G218"/>
      <c r="H218" t="s">
        <v>229</v>
      </c>
      <c r="J218"/>
      <c r="M218"/>
    </row>
    <row r="219" spans="1:13" x14ac:dyDescent="0.2">
      <c r="B219" t="s">
        <v>146</v>
      </c>
      <c r="E219" s="27">
        <f>E197*D46</f>
        <v>496.99999999999994</v>
      </c>
      <c r="G219"/>
      <c r="H219" s="9" t="s">
        <v>228</v>
      </c>
      <c r="I219" t="s">
        <v>158</v>
      </c>
      <c r="J219"/>
      <c r="M219"/>
    </row>
    <row r="220" spans="1:13" x14ac:dyDescent="0.2">
      <c r="B220" t="s">
        <v>147</v>
      </c>
      <c r="E220" s="27">
        <f>E197*D52</f>
        <v>560</v>
      </c>
      <c r="G220"/>
      <c r="J220"/>
      <c r="M220"/>
    </row>
    <row r="221" spans="1:13" x14ac:dyDescent="0.2">
      <c r="B221" t="s">
        <v>123</v>
      </c>
      <c r="E221" s="27">
        <f>E196*D38</f>
        <v>1048.8</v>
      </c>
      <c r="G221"/>
      <c r="J221"/>
      <c r="M221"/>
    </row>
    <row r="222" spans="1:13" x14ac:dyDescent="0.2">
      <c r="B222" t="s">
        <v>157</v>
      </c>
      <c r="E222" s="27">
        <f>IF(H30="Heizöl",E198*D42,E198*D40)</f>
        <v>0</v>
      </c>
      <c r="G222"/>
      <c r="J222"/>
      <c r="M222"/>
    </row>
    <row r="223" spans="1:13" x14ac:dyDescent="0.2">
      <c r="B223" t="s">
        <v>181</v>
      </c>
      <c r="E223" s="29">
        <f>D104</f>
        <v>100</v>
      </c>
      <c r="G223"/>
      <c r="J223"/>
      <c r="M223"/>
    </row>
    <row r="224" spans="1:13" x14ac:dyDescent="0.2">
      <c r="B224" t="s">
        <v>187</v>
      </c>
      <c r="E224" s="29">
        <f>D105*D113</f>
        <v>100</v>
      </c>
      <c r="G224"/>
      <c r="J224"/>
      <c r="M224"/>
    </row>
    <row r="225" spans="1:13" x14ac:dyDescent="0.2">
      <c r="B225" t="s">
        <v>188</v>
      </c>
      <c r="E225" s="29">
        <f>D106</f>
        <v>200</v>
      </c>
      <c r="G225"/>
      <c r="J225"/>
      <c r="M225"/>
    </row>
    <row r="226" spans="1:13" x14ac:dyDescent="0.2">
      <c r="B226" t="s">
        <v>189</v>
      </c>
      <c r="E226" s="39">
        <f>D107</f>
        <v>1083.3333333333333</v>
      </c>
      <c r="G226"/>
      <c r="J226"/>
      <c r="M226"/>
    </row>
    <row r="227" spans="1:13" x14ac:dyDescent="0.2">
      <c r="G227"/>
      <c r="J227"/>
      <c r="M227"/>
    </row>
    <row r="228" spans="1:13" x14ac:dyDescent="0.2">
      <c r="G228"/>
      <c r="J228"/>
      <c r="M228"/>
    </row>
    <row r="229" spans="1:13" ht="34" x14ac:dyDescent="0.2">
      <c r="A229" s="3" t="s">
        <v>101</v>
      </c>
      <c r="B229" s="24" t="s">
        <v>121</v>
      </c>
      <c r="C229" s="24" t="s">
        <v>122</v>
      </c>
      <c r="D229" s="3" t="s">
        <v>102</v>
      </c>
      <c r="E229" s="3" t="s">
        <v>103</v>
      </c>
      <c r="F229" s="24" t="s">
        <v>104</v>
      </c>
      <c r="G229" s="24" t="s">
        <v>105</v>
      </c>
      <c r="J229"/>
      <c r="M229"/>
    </row>
    <row r="230" spans="1:13" x14ac:dyDescent="0.2">
      <c r="A230">
        <v>0</v>
      </c>
      <c r="B230" s="7">
        <v>0</v>
      </c>
      <c r="C230" s="7">
        <f>D62+IF(H156="ja",D160,0)+IF(D164="ja",D166+D168,0)</f>
        <v>7333.3333333333339</v>
      </c>
      <c r="D230" s="7">
        <f t="shared" ref="D230:D260" si="7">B230-C230</f>
        <v>-7333.3333333333339</v>
      </c>
      <c r="E230" s="25">
        <f>1/((1+$D$54)^A230)</f>
        <v>1</v>
      </c>
      <c r="F230" s="26">
        <f>D230*E230</f>
        <v>-7333.3333333333339</v>
      </c>
      <c r="G230" s="26">
        <f>F230</f>
        <v>-7333.3333333333339</v>
      </c>
      <c r="J230"/>
      <c r="M230"/>
    </row>
    <row r="231" spans="1:13" x14ac:dyDescent="0.2">
      <c r="A231">
        <v>1</v>
      </c>
      <c r="B231" s="7">
        <f>$E$219+$E$221+$E$222</f>
        <v>1545.8</v>
      </c>
      <c r="C231" s="7">
        <f>$E$223+IF(ISEVEN(A231),$E$224,0)</f>
        <v>100</v>
      </c>
      <c r="D231" s="7">
        <f t="shared" si="7"/>
        <v>1445.8</v>
      </c>
      <c r="E231" s="25">
        <f t="shared" ref="E231:E260" si="8">1/((1+$D$54)^A231)</f>
        <v>0.95238095238095233</v>
      </c>
      <c r="F231" s="26">
        <f>D231*E231</f>
        <v>1376.9523809523807</v>
      </c>
      <c r="G231" s="26">
        <f>F231+G230</f>
        <v>-5956.3809523809532</v>
      </c>
      <c r="J231"/>
      <c r="M231"/>
    </row>
    <row r="232" spans="1:13" x14ac:dyDescent="0.2">
      <c r="A232">
        <v>2</v>
      </c>
      <c r="B232" s="7">
        <f>($E$219+$E$221+$E$222)*(100-0.4*(A232-1))/100</f>
        <v>1539.6168</v>
      </c>
      <c r="C232" s="7">
        <f t="shared" ref="C232:C259" si="9">$E$223+IF(ISEVEN(A232),$E$224,0)</f>
        <v>200</v>
      </c>
      <c r="D232" s="7">
        <f t="shared" si="7"/>
        <v>1339.6168</v>
      </c>
      <c r="E232" s="25">
        <f t="shared" si="8"/>
        <v>0.90702947845804982</v>
      </c>
      <c r="F232" s="26">
        <f t="shared" ref="F232:F260" si="10">D232*E232</f>
        <v>1215.0719274376415</v>
      </c>
      <c r="G232" s="26">
        <f>G231+F232</f>
        <v>-4741.3090249433117</v>
      </c>
      <c r="J232"/>
      <c r="M232"/>
    </row>
    <row r="233" spans="1:13" x14ac:dyDescent="0.2">
      <c r="A233">
        <v>3</v>
      </c>
      <c r="B233" s="7">
        <f t="shared" ref="B233:B248" si="11">($E$219+$E$221+$E$222)*(100-0.4*(A233-1))/100</f>
        <v>1533.4335999999998</v>
      </c>
      <c r="C233" s="7">
        <f>$E$223+IF(ISEVEN(A233),$E$224,0)+E225</f>
        <v>300</v>
      </c>
      <c r="D233" s="7">
        <f t="shared" si="7"/>
        <v>1233.4335999999998</v>
      </c>
      <c r="E233" s="25">
        <f t="shared" si="8"/>
        <v>0.86383759853147601</v>
      </c>
      <c r="F233" s="26">
        <f t="shared" si="10"/>
        <v>1065.4863189720331</v>
      </c>
      <c r="G233" s="26">
        <f>G232+F233</f>
        <v>-3675.8227059712785</v>
      </c>
      <c r="J233"/>
      <c r="M233"/>
    </row>
    <row r="234" spans="1:13" x14ac:dyDescent="0.2">
      <c r="A234">
        <v>4</v>
      </c>
      <c r="B234" s="7">
        <f t="shared" si="11"/>
        <v>1527.2503999999999</v>
      </c>
      <c r="C234" s="7">
        <f t="shared" si="9"/>
        <v>200</v>
      </c>
      <c r="D234" s="7">
        <f t="shared" si="7"/>
        <v>1327.2503999999999</v>
      </c>
      <c r="E234" s="25">
        <f t="shared" si="8"/>
        <v>0.82270247479188197</v>
      </c>
      <c r="F234" s="26">
        <f t="shared" si="10"/>
        <v>1091.9321887485153</v>
      </c>
      <c r="G234" s="26">
        <f t="shared" ref="G234:G260" si="12">G233+F234</f>
        <v>-2583.8905172227633</v>
      </c>
      <c r="J234"/>
      <c r="M234"/>
    </row>
    <row r="235" spans="1:13" x14ac:dyDescent="0.2">
      <c r="A235">
        <v>5</v>
      </c>
      <c r="B235" s="7">
        <f t="shared" si="11"/>
        <v>1521.0672</v>
      </c>
      <c r="C235" s="7">
        <f t="shared" si="9"/>
        <v>100</v>
      </c>
      <c r="D235" s="7">
        <f t="shared" si="7"/>
        <v>1421.0672</v>
      </c>
      <c r="E235" s="25">
        <f t="shared" si="8"/>
        <v>0.78352616646845896</v>
      </c>
      <c r="F235" s="26">
        <f t="shared" si="10"/>
        <v>1113.4433355100668</v>
      </c>
      <c r="G235" s="26">
        <f t="shared" si="12"/>
        <v>-1470.4471817126964</v>
      </c>
      <c r="J235"/>
      <c r="M235"/>
    </row>
    <row r="236" spans="1:13" x14ac:dyDescent="0.2">
      <c r="A236">
        <v>6</v>
      </c>
      <c r="B236" s="7">
        <f t="shared" si="11"/>
        <v>1514.884</v>
      </c>
      <c r="C236" s="7">
        <f>$E$223+IF(ISEVEN(A236),$E$224,0)+E225</f>
        <v>400</v>
      </c>
      <c r="D236" s="7">
        <f t="shared" si="7"/>
        <v>1114.884</v>
      </c>
      <c r="E236" s="25">
        <f t="shared" si="8"/>
        <v>0.74621539663662761</v>
      </c>
      <c r="F236" s="26">
        <f t="shared" si="10"/>
        <v>831.94360626382991</v>
      </c>
      <c r="G236" s="26">
        <f t="shared" si="12"/>
        <v>-638.50357544886651</v>
      </c>
      <c r="J236"/>
      <c r="M236"/>
    </row>
    <row r="237" spans="1:13" x14ac:dyDescent="0.2">
      <c r="A237">
        <v>7</v>
      </c>
      <c r="B237" s="7">
        <f t="shared" si="11"/>
        <v>1508.7007999999998</v>
      </c>
      <c r="C237" s="7">
        <f t="shared" si="9"/>
        <v>100</v>
      </c>
      <c r="D237" s="7">
        <f t="shared" si="7"/>
        <v>1408.7007999999998</v>
      </c>
      <c r="E237" s="25">
        <f t="shared" si="8"/>
        <v>0.71068133013012147</v>
      </c>
      <c r="F237" s="26">
        <f t="shared" si="10"/>
        <v>1001.1373582993662</v>
      </c>
      <c r="G237" s="26">
        <f t="shared" si="12"/>
        <v>362.63378285049964</v>
      </c>
      <c r="J237"/>
      <c r="M237"/>
    </row>
    <row r="238" spans="1:13" x14ac:dyDescent="0.2">
      <c r="A238">
        <v>8</v>
      </c>
      <c r="B238" s="7">
        <f t="shared" si="11"/>
        <v>1502.5176000000001</v>
      </c>
      <c r="C238" s="7">
        <f t="shared" si="9"/>
        <v>200</v>
      </c>
      <c r="D238" s="7">
        <f t="shared" si="7"/>
        <v>1302.5176000000001</v>
      </c>
      <c r="E238" s="25">
        <f t="shared" si="8"/>
        <v>0.67683936202868722</v>
      </c>
      <c r="F238" s="26">
        <f t="shared" si="10"/>
        <v>881.59518141513695</v>
      </c>
      <c r="G238" s="26">
        <f t="shared" si="12"/>
        <v>1244.2289642656365</v>
      </c>
      <c r="J238"/>
      <c r="M238"/>
    </row>
    <row r="239" spans="1:13" x14ac:dyDescent="0.2">
      <c r="A239">
        <v>9</v>
      </c>
      <c r="B239" s="7">
        <f t="shared" si="11"/>
        <v>1496.3344</v>
      </c>
      <c r="C239" s="7">
        <f>$E$223+IF(ISEVEN(A239),$E$224,0)+E225</f>
        <v>300</v>
      </c>
      <c r="D239" s="7">
        <f t="shared" si="7"/>
        <v>1196.3344</v>
      </c>
      <c r="E239" s="25">
        <f t="shared" si="8"/>
        <v>0.64460891621779726</v>
      </c>
      <c r="F239" s="26">
        <f t="shared" si="10"/>
        <v>771.16782101806871</v>
      </c>
      <c r="G239" s="26">
        <f t="shared" si="12"/>
        <v>2015.3967852837052</v>
      </c>
      <c r="J239"/>
      <c r="M239"/>
    </row>
    <row r="240" spans="1:13" x14ac:dyDescent="0.2">
      <c r="A240">
        <v>10</v>
      </c>
      <c r="B240" s="7">
        <f t="shared" si="11"/>
        <v>1490.1512</v>
      </c>
      <c r="C240" s="7">
        <f t="shared" si="9"/>
        <v>200</v>
      </c>
      <c r="D240" s="7">
        <f t="shared" si="7"/>
        <v>1290.1512</v>
      </c>
      <c r="E240" s="25">
        <f t="shared" si="8"/>
        <v>0.61391325354075932</v>
      </c>
      <c r="F240" s="26">
        <f t="shared" si="10"/>
        <v>792.04092075151493</v>
      </c>
      <c r="G240" s="26">
        <f t="shared" si="12"/>
        <v>2807.4377060352199</v>
      </c>
      <c r="J240"/>
      <c r="M240"/>
    </row>
    <row r="241" spans="1:13" x14ac:dyDescent="0.2">
      <c r="A241">
        <v>11</v>
      </c>
      <c r="B241" s="7">
        <f t="shared" si="11"/>
        <v>1483.9679999999998</v>
      </c>
      <c r="C241" s="7">
        <f t="shared" si="9"/>
        <v>100</v>
      </c>
      <c r="D241" s="7">
        <f t="shared" si="7"/>
        <v>1383.9679999999998</v>
      </c>
      <c r="E241" s="25">
        <f t="shared" si="8"/>
        <v>0.5846792890864374</v>
      </c>
      <c r="F241" s="26">
        <f t="shared" si="10"/>
        <v>809.17742635837851</v>
      </c>
      <c r="G241" s="26">
        <f t="shared" si="12"/>
        <v>3616.6151323935983</v>
      </c>
      <c r="J241"/>
      <c r="M241"/>
    </row>
    <row r="242" spans="1:13" x14ac:dyDescent="0.2">
      <c r="A242">
        <v>12</v>
      </c>
      <c r="B242" s="7">
        <f t="shared" si="11"/>
        <v>1477.7847999999999</v>
      </c>
      <c r="C242" s="7">
        <f>$E$223+IF(ISEVEN(A242),$E$224,0)+E225</f>
        <v>400</v>
      </c>
      <c r="D242" s="7">
        <f t="shared" si="7"/>
        <v>1077.7847999999999</v>
      </c>
      <c r="E242" s="25">
        <f t="shared" si="8"/>
        <v>0.5568374181775595</v>
      </c>
      <c r="F242" s="26">
        <f t="shared" si="10"/>
        <v>600.15090538301729</v>
      </c>
      <c r="G242" s="26">
        <f t="shared" si="12"/>
        <v>4216.7660377766151</v>
      </c>
      <c r="J242"/>
      <c r="M242"/>
    </row>
    <row r="243" spans="1:13" x14ac:dyDescent="0.2">
      <c r="A243">
        <v>13</v>
      </c>
      <c r="B243" s="7">
        <f t="shared" si="11"/>
        <v>1471.6016</v>
      </c>
      <c r="C243" s="7">
        <f>$E$223+IF(ISEVEN(A243),$E$224,0)+E226</f>
        <v>1183.3333333333333</v>
      </c>
      <c r="D243" s="7">
        <f t="shared" si="7"/>
        <v>288.2682666666667</v>
      </c>
      <c r="E243" s="25">
        <f t="shared" si="8"/>
        <v>0.53032135064529462</v>
      </c>
      <c r="F243" s="26">
        <f t="shared" si="10"/>
        <v>152.87481652684465</v>
      </c>
      <c r="G243" s="26">
        <f t="shared" si="12"/>
        <v>4369.6408543034595</v>
      </c>
      <c r="J243"/>
      <c r="M243"/>
    </row>
    <row r="244" spans="1:13" x14ac:dyDescent="0.2">
      <c r="A244">
        <v>14</v>
      </c>
      <c r="B244" s="7">
        <f t="shared" si="11"/>
        <v>1465.4184</v>
      </c>
      <c r="C244" s="7">
        <f t="shared" si="9"/>
        <v>200</v>
      </c>
      <c r="D244" s="7">
        <f t="shared" si="7"/>
        <v>1265.4184</v>
      </c>
      <c r="E244" s="25">
        <f t="shared" si="8"/>
        <v>0.50506795299551888</v>
      </c>
      <c r="F244" s="26">
        <f t="shared" si="10"/>
        <v>639.12228097086472</v>
      </c>
      <c r="G244" s="26">
        <f t="shared" si="12"/>
        <v>5008.7631352743247</v>
      </c>
      <c r="J244"/>
      <c r="M244"/>
    </row>
    <row r="245" spans="1:13" x14ac:dyDescent="0.2">
      <c r="A245">
        <v>15</v>
      </c>
      <c r="B245" s="7">
        <f t="shared" si="11"/>
        <v>1459.2352000000001</v>
      </c>
      <c r="C245" s="7">
        <f>$E$223+IF(ISEVEN(A245),$E$224,0)+E225</f>
        <v>300</v>
      </c>
      <c r="D245" s="7">
        <f t="shared" si="7"/>
        <v>1159.2352000000001</v>
      </c>
      <c r="E245" s="25">
        <f t="shared" si="8"/>
        <v>0.48101709809097021</v>
      </c>
      <c r="F245" s="26">
        <f t="shared" si="10"/>
        <v>557.61195190890555</v>
      </c>
      <c r="G245" s="26">
        <f t="shared" si="12"/>
        <v>5566.3750871832299</v>
      </c>
      <c r="J245"/>
      <c r="M245"/>
    </row>
    <row r="246" spans="1:13" x14ac:dyDescent="0.2">
      <c r="A246">
        <v>16</v>
      </c>
      <c r="B246" s="7">
        <f t="shared" si="11"/>
        <v>1453.0519999999999</v>
      </c>
      <c r="C246" s="7">
        <f t="shared" si="9"/>
        <v>200</v>
      </c>
      <c r="D246" s="7">
        <f t="shared" si="7"/>
        <v>1253.0519999999999</v>
      </c>
      <c r="E246" s="25">
        <f t="shared" si="8"/>
        <v>0.45811152199140021</v>
      </c>
      <c r="F246" s="26">
        <f t="shared" si="10"/>
        <v>574.03755885436794</v>
      </c>
      <c r="G246" s="26">
        <f t="shared" si="12"/>
        <v>6140.4126460375974</v>
      </c>
      <c r="J246"/>
      <c r="M246"/>
    </row>
    <row r="247" spans="1:13" x14ac:dyDescent="0.2">
      <c r="A247">
        <v>17</v>
      </c>
      <c r="B247" s="7">
        <f t="shared" si="11"/>
        <v>1446.8687999999997</v>
      </c>
      <c r="C247" s="7">
        <f t="shared" si="9"/>
        <v>100</v>
      </c>
      <c r="D247" s="7">
        <f t="shared" si="7"/>
        <v>1346.8687999999997</v>
      </c>
      <c r="E247" s="25">
        <f t="shared" si="8"/>
        <v>0.43629668761085727</v>
      </c>
      <c r="F247" s="26">
        <f t="shared" si="10"/>
        <v>587.63439608641011</v>
      </c>
      <c r="G247" s="26">
        <f t="shared" si="12"/>
        <v>6728.0470421240079</v>
      </c>
      <c r="J247"/>
      <c r="M247"/>
    </row>
    <row r="248" spans="1:13" x14ac:dyDescent="0.2">
      <c r="A248">
        <v>18</v>
      </c>
      <c r="B248" s="7">
        <f t="shared" si="11"/>
        <v>1440.6856</v>
      </c>
      <c r="C248" s="7">
        <f>$E$223+IF(ISEVEN(A248),$E$224,0)+E225</f>
        <v>400</v>
      </c>
      <c r="D248" s="7">
        <f t="shared" si="7"/>
        <v>1040.6856</v>
      </c>
      <c r="E248" s="25">
        <f t="shared" si="8"/>
        <v>0.41552065486748313</v>
      </c>
      <c r="F248" s="26">
        <f t="shared" si="10"/>
        <v>432.42636202315958</v>
      </c>
      <c r="G248" s="26">
        <f t="shared" si="12"/>
        <v>7160.4734041471675</v>
      </c>
      <c r="J248"/>
      <c r="M248"/>
    </row>
    <row r="249" spans="1:13" x14ac:dyDescent="0.2">
      <c r="A249">
        <v>19</v>
      </c>
      <c r="B249" s="7">
        <f>($E$219+$E$221+$E$222)*(100-0.4*(A249-1))/100</f>
        <v>1434.5023999999999</v>
      </c>
      <c r="C249" s="7">
        <f t="shared" si="9"/>
        <v>100</v>
      </c>
      <c r="D249" s="7">
        <f t="shared" si="7"/>
        <v>1334.5023999999999</v>
      </c>
      <c r="E249" s="25">
        <f t="shared" si="8"/>
        <v>0.39573395701665059</v>
      </c>
      <c r="F249" s="26">
        <f t="shared" si="10"/>
        <v>528.10791540021705</v>
      </c>
      <c r="G249" s="26">
        <f>G248+F249</f>
        <v>7688.5813195473847</v>
      </c>
      <c r="J249"/>
      <c r="M249"/>
    </row>
    <row r="250" spans="1:13" x14ac:dyDescent="0.2">
      <c r="A250">
        <v>20</v>
      </c>
      <c r="B250" s="7">
        <f>($E$219+$E$221+$E$222)*(100-0.4*(A250-1))/100</f>
        <v>1428.3192000000001</v>
      </c>
      <c r="C250" s="7">
        <f t="shared" si="9"/>
        <v>200</v>
      </c>
      <c r="D250" s="7">
        <f t="shared" si="7"/>
        <v>1228.3192000000001</v>
      </c>
      <c r="E250" s="25">
        <f t="shared" si="8"/>
        <v>0.37688948287300061</v>
      </c>
      <c r="F250" s="26">
        <f>D250*E250</f>
        <v>462.94058809097788</v>
      </c>
      <c r="G250" s="26">
        <f t="shared" si="12"/>
        <v>8151.5219076383628</v>
      </c>
      <c r="J250"/>
      <c r="M250"/>
    </row>
    <row r="251" spans="1:13" x14ac:dyDescent="0.2">
      <c r="A251">
        <v>21</v>
      </c>
      <c r="B251" s="7">
        <f>($E$220+$E$221+$E$222)*(100-0.4*(A251-1))/100</f>
        <v>1480.096</v>
      </c>
      <c r="C251" s="7">
        <f>$E$223+IF(ISEVEN(A251),$E$224,0)+E225</f>
        <v>300</v>
      </c>
      <c r="D251" s="7">
        <f t="shared" si="7"/>
        <v>1180.096</v>
      </c>
      <c r="E251" s="25">
        <f t="shared" si="8"/>
        <v>0.35894236464095297</v>
      </c>
      <c r="F251" s="26">
        <f t="shared" si="10"/>
        <v>423.58644874333004</v>
      </c>
      <c r="G251" s="26">
        <f t="shared" si="12"/>
        <v>8575.1083563816937</v>
      </c>
      <c r="J251"/>
      <c r="M251"/>
    </row>
    <row r="252" spans="1:13" x14ac:dyDescent="0.2">
      <c r="A252">
        <v>22</v>
      </c>
      <c r="B252" s="7">
        <f t="shared" ref="B252:B260" si="13">($E$220+$E$221+$E$222)*(100-0.4*(A252-1))/100</f>
        <v>1473.6607999999999</v>
      </c>
      <c r="C252" s="7">
        <f t="shared" si="9"/>
        <v>200</v>
      </c>
      <c r="D252" s="7">
        <f t="shared" si="7"/>
        <v>1273.6607999999999</v>
      </c>
      <c r="E252" s="25">
        <f t="shared" si="8"/>
        <v>0.3418498710866219</v>
      </c>
      <c r="F252" s="26">
        <f t="shared" si="10"/>
        <v>435.40078028808369</v>
      </c>
      <c r="G252" s="26">
        <f t="shared" si="12"/>
        <v>9010.5091366697779</v>
      </c>
      <c r="J252"/>
      <c r="M252"/>
    </row>
    <row r="253" spans="1:13" x14ac:dyDescent="0.2">
      <c r="A253">
        <v>23</v>
      </c>
      <c r="B253" s="7">
        <f t="shared" si="13"/>
        <v>1467.2256</v>
      </c>
      <c r="C253" s="7">
        <f t="shared" si="9"/>
        <v>100</v>
      </c>
      <c r="D253" s="7">
        <f t="shared" si="7"/>
        <v>1367.2256</v>
      </c>
      <c r="E253" s="25">
        <f t="shared" si="8"/>
        <v>0.32557130579678267</v>
      </c>
      <c r="F253" s="26">
        <f t="shared" si="10"/>
        <v>445.12942391078968</v>
      </c>
      <c r="G253" s="26">
        <f t="shared" si="12"/>
        <v>9455.6385605805681</v>
      </c>
      <c r="J253"/>
      <c r="M253"/>
    </row>
    <row r="254" spans="1:13" x14ac:dyDescent="0.2">
      <c r="A254">
        <v>24</v>
      </c>
      <c r="B254" s="7">
        <f t="shared" si="13"/>
        <v>1460.7903999999999</v>
      </c>
      <c r="C254" s="7">
        <f>$E$223+IF(ISEVEN(A254),$E$224,0)+E225</f>
        <v>400</v>
      </c>
      <c r="D254" s="7">
        <f t="shared" si="7"/>
        <v>1060.7903999999999</v>
      </c>
      <c r="E254" s="25">
        <f t="shared" si="8"/>
        <v>0.31006791028265024</v>
      </c>
      <c r="F254" s="26">
        <f t="shared" si="10"/>
        <v>328.91706257589664</v>
      </c>
      <c r="G254" s="26">
        <f t="shared" si="12"/>
        <v>9784.5556231564642</v>
      </c>
      <c r="J254"/>
      <c r="M254"/>
    </row>
    <row r="255" spans="1:13" x14ac:dyDescent="0.2">
      <c r="A255">
        <v>25</v>
      </c>
      <c r="B255" s="7">
        <f t="shared" si="13"/>
        <v>1454.3552000000002</v>
      </c>
      <c r="C255" s="7">
        <f>$E$223+IF(ISEVEN(A255),$E$224,0)+E226</f>
        <v>1183.3333333333333</v>
      </c>
      <c r="D255" s="7">
        <f t="shared" si="7"/>
        <v>271.02186666666694</v>
      </c>
      <c r="E255" s="25">
        <f t="shared" si="8"/>
        <v>0.29530277169776209</v>
      </c>
      <c r="F255" s="26">
        <f t="shared" si="10"/>
        <v>80.033508417368068</v>
      </c>
      <c r="G255" s="26">
        <f t="shared" si="12"/>
        <v>9864.5891315738318</v>
      </c>
      <c r="J255"/>
      <c r="M255"/>
    </row>
    <row r="256" spans="1:13" x14ac:dyDescent="0.2">
      <c r="A256">
        <v>26</v>
      </c>
      <c r="B256" s="7">
        <f t="shared" si="13"/>
        <v>1447.92</v>
      </c>
      <c r="C256" s="7">
        <f t="shared" si="9"/>
        <v>200</v>
      </c>
      <c r="D256" s="7">
        <f t="shared" si="7"/>
        <v>1247.92</v>
      </c>
      <c r="E256" s="25">
        <f t="shared" si="8"/>
        <v>0.28124073495024959</v>
      </c>
      <c r="F256" s="26">
        <f t="shared" si="10"/>
        <v>350.96593795911548</v>
      </c>
      <c r="G256" s="26">
        <f t="shared" si="12"/>
        <v>10215.555069532948</v>
      </c>
      <c r="J256"/>
      <c r="M256"/>
    </row>
    <row r="257" spans="1:13" x14ac:dyDescent="0.2">
      <c r="A257">
        <v>27</v>
      </c>
      <c r="B257" s="7">
        <f t="shared" si="13"/>
        <v>1441.4847999999997</v>
      </c>
      <c r="C257" s="7">
        <f>$E$223+IF(ISEVEN(A257),$E$224,0)+E225</f>
        <v>300</v>
      </c>
      <c r="D257" s="7">
        <f t="shared" si="7"/>
        <v>1141.4847999999997</v>
      </c>
      <c r="E257" s="25">
        <f t="shared" si="8"/>
        <v>0.2678483190002377</v>
      </c>
      <c r="F257" s="26">
        <f t="shared" si="10"/>
        <v>305.74478484432245</v>
      </c>
      <c r="G257" s="26">
        <f t="shared" si="12"/>
        <v>10521.29985437727</v>
      </c>
      <c r="I257" s="3" t="s">
        <v>295</v>
      </c>
      <c r="J257" s="3"/>
      <c r="K257" s="48">
        <f>IF(G230&gt;0,A230,IF(G231&gt;0,A231,IF(G232&gt;0,A232,IF(G233&gt;0,A233,IF(G234&gt;0,A234,IF(G235&gt;0,A235,IF(G236&gt;0,A236,IF(G237&gt;0,A237,IF(G238&gt;0,A238, IF(G239&gt;0,A239, IF(G240&gt;0,A240,IF(G241&gt;0,A241,IF(G242&gt;0,763,IF(G243&gt;0,A243,IF(G244&gt;0,A244,IF(G245&gt;0,A245,IF(G246&gt;0,A246,IF(G247&gt;0,A247,IF(G248&gt;0,A248, IF(G249&gt;0,A249, IF(G250&gt;0,A250,IF(G251&gt;0,A251,IF(G252&gt;0,A252,IF(G253&gt;0,A253,IF(G254&gt;0,A254,IF(G255&gt;0,A255,IF(G256&gt;0,A256,IF(G257&gt;0,A257,IF(G258&gt;0,A258, IF(G259&gt;0,A259, IF(G260&gt;0,A260, 0)))))))))))))))))))))))))))))))</f>
        <v>7</v>
      </c>
      <c r="M257"/>
    </row>
    <row r="258" spans="1:13" x14ac:dyDescent="0.2">
      <c r="A258">
        <v>28</v>
      </c>
      <c r="B258" s="7">
        <f t="shared" si="13"/>
        <v>1435.0495999999998</v>
      </c>
      <c r="C258" s="7">
        <f t="shared" si="9"/>
        <v>200</v>
      </c>
      <c r="D258" s="7">
        <f t="shared" si="7"/>
        <v>1235.0495999999998</v>
      </c>
      <c r="E258" s="25">
        <f t="shared" si="8"/>
        <v>0.25509363714308358</v>
      </c>
      <c r="F258" s="26">
        <f t="shared" si="10"/>
        <v>315.0532945161105</v>
      </c>
      <c r="G258" s="26">
        <f t="shared" si="12"/>
        <v>10836.35314889338</v>
      </c>
      <c r="I258" s="3"/>
      <c r="J258" s="3"/>
      <c r="K258" s="3"/>
      <c r="M258"/>
    </row>
    <row r="259" spans="1:13" x14ac:dyDescent="0.2">
      <c r="A259">
        <v>29</v>
      </c>
      <c r="B259" s="7">
        <f t="shared" si="13"/>
        <v>1428.6143999999999</v>
      </c>
      <c r="C259" s="7">
        <f t="shared" si="9"/>
        <v>100</v>
      </c>
      <c r="D259" s="7">
        <f t="shared" si="7"/>
        <v>1328.6143999999999</v>
      </c>
      <c r="E259" s="25">
        <f t="shared" si="8"/>
        <v>0.24294632108865097</v>
      </c>
      <c r="F259" s="26">
        <f t="shared" si="10"/>
        <v>322.78198062540531</v>
      </c>
      <c r="G259" s="26">
        <f t="shared" si="12"/>
        <v>11159.135129518785</v>
      </c>
      <c r="J259"/>
      <c r="M259"/>
    </row>
    <row r="260" spans="1:13" x14ac:dyDescent="0.2">
      <c r="A260">
        <v>30</v>
      </c>
      <c r="B260" s="7">
        <f t="shared" si="13"/>
        <v>1422.1792</v>
      </c>
      <c r="C260" s="7">
        <f>$E$223+IF(ISEVEN(A260),$E$224,0)+E225</f>
        <v>400</v>
      </c>
      <c r="D260" s="7">
        <f t="shared" si="7"/>
        <v>1022.1792</v>
      </c>
      <c r="E260" s="25">
        <f t="shared" si="8"/>
        <v>0.23137744865585813</v>
      </c>
      <c r="F260" s="26">
        <f t="shared" si="10"/>
        <v>236.50921536508613</v>
      </c>
      <c r="G260" s="26">
        <f t="shared" si="12"/>
        <v>11395.644344883871</v>
      </c>
      <c r="J260"/>
      <c r="M260"/>
    </row>
    <row r="261" spans="1:13" x14ac:dyDescent="0.2">
      <c r="G261"/>
      <c r="J261"/>
      <c r="M261"/>
    </row>
    <row r="262" spans="1:13" x14ac:dyDescent="0.2">
      <c r="G262"/>
      <c r="J262"/>
      <c r="M262"/>
    </row>
    <row r="264" spans="1:13" x14ac:dyDescent="0.2">
      <c r="A264" t="s">
        <v>302</v>
      </c>
      <c r="D264" s="38">
        <f>E179</f>
        <v>10000</v>
      </c>
    </row>
    <row r="265" spans="1:13" x14ac:dyDescent="0.2">
      <c r="A265" t="s">
        <v>250</v>
      </c>
      <c r="D265" s="38">
        <f>E180</f>
        <v>0</v>
      </c>
    </row>
    <row r="266" spans="1:13" x14ac:dyDescent="0.2">
      <c r="A266" t="s">
        <v>251</v>
      </c>
      <c r="D266" s="38">
        <f>E182</f>
        <v>0</v>
      </c>
    </row>
    <row r="267" spans="1:13" x14ac:dyDescent="0.2">
      <c r="A267" t="s">
        <v>252</v>
      </c>
      <c r="D267" s="38">
        <f>E181</f>
        <v>0</v>
      </c>
    </row>
    <row r="268" spans="1:13" x14ac:dyDescent="0.2">
      <c r="A268" t="s">
        <v>253</v>
      </c>
      <c r="D268" s="38">
        <f>D125</f>
        <v>4500</v>
      </c>
    </row>
    <row r="269" spans="1:13" x14ac:dyDescent="0.2">
      <c r="A269" t="s">
        <v>254</v>
      </c>
      <c r="D269" s="38">
        <f>D127</f>
        <v>1000</v>
      </c>
    </row>
    <row r="270" spans="1:13" x14ac:dyDescent="0.2">
      <c r="A270" t="s">
        <v>255</v>
      </c>
      <c r="D270" s="38">
        <f>E191</f>
        <v>4040</v>
      </c>
    </row>
    <row r="271" spans="1:13" x14ac:dyDescent="0.2">
      <c r="A271" t="s">
        <v>256</v>
      </c>
      <c r="D271" s="38">
        <f>E190</f>
        <v>9540</v>
      </c>
    </row>
    <row r="272" spans="1:13" x14ac:dyDescent="0.2">
      <c r="A272" t="s">
        <v>257</v>
      </c>
      <c r="D272" s="38">
        <f>E196</f>
        <v>3000</v>
      </c>
    </row>
    <row r="273" spans="1:4" x14ac:dyDescent="0.2">
      <c r="A273" t="s">
        <v>258</v>
      </c>
      <c r="D273" s="38">
        <f>E197</f>
        <v>7000</v>
      </c>
    </row>
    <row r="274" spans="1:4" x14ac:dyDescent="0.2">
      <c r="A274" t="s">
        <v>259</v>
      </c>
      <c r="D274" s="38">
        <f>E198</f>
        <v>0</v>
      </c>
    </row>
    <row r="275" spans="1:4" x14ac:dyDescent="0.2">
      <c r="A275" t="s">
        <v>260</v>
      </c>
      <c r="D275" s="38">
        <f>E201</f>
        <v>13322</v>
      </c>
    </row>
    <row r="276" spans="1:4" x14ac:dyDescent="0.2">
      <c r="A276" t="s">
        <v>261</v>
      </c>
      <c r="D276" s="38">
        <f>J203</f>
        <v>6050</v>
      </c>
    </row>
    <row r="277" spans="1:4" x14ac:dyDescent="0.2">
      <c r="A277" t="s">
        <v>262</v>
      </c>
      <c r="D277" s="38">
        <f>E202</f>
        <v>3582.4</v>
      </c>
    </row>
    <row r="278" spans="1:4" x14ac:dyDescent="0.2">
      <c r="A278" s="3" t="s">
        <v>230</v>
      </c>
      <c r="B278" s="3"/>
      <c r="C278" s="3" t="s">
        <v>232</v>
      </c>
      <c r="D278" s="3" t="s">
        <v>233</v>
      </c>
    </row>
    <row r="279" spans="1:4" x14ac:dyDescent="0.2">
      <c r="A279" t="s">
        <v>263</v>
      </c>
      <c r="D279" s="50">
        <f>I203</f>
        <v>1902.4</v>
      </c>
    </row>
    <row r="280" spans="1:4" x14ac:dyDescent="0.2">
      <c r="A280" t="s">
        <v>264</v>
      </c>
      <c r="D280" s="50">
        <f>G230</f>
        <v>-7333.3333333333339</v>
      </c>
    </row>
    <row r="281" spans="1:4" x14ac:dyDescent="0.2">
      <c r="A281" t="s">
        <v>265</v>
      </c>
      <c r="D281" s="50">
        <f t="shared" ref="D281:D310" si="14">G231</f>
        <v>-5956.3809523809532</v>
      </c>
    </row>
    <row r="282" spans="1:4" x14ac:dyDescent="0.2">
      <c r="A282" t="s">
        <v>266</v>
      </c>
      <c r="D282" s="50">
        <f t="shared" si="14"/>
        <v>-4741.3090249433117</v>
      </c>
    </row>
    <row r="283" spans="1:4" x14ac:dyDescent="0.2">
      <c r="A283" t="s">
        <v>267</v>
      </c>
      <c r="D283" s="50">
        <f t="shared" si="14"/>
        <v>-3675.8227059712785</v>
      </c>
    </row>
    <row r="284" spans="1:4" x14ac:dyDescent="0.2">
      <c r="A284" t="s">
        <v>268</v>
      </c>
      <c r="D284" s="50">
        <f t="shared" si="14"/>
        <v>-2583.8905172227633</v>
      </c>
    </row>
    <row r="285" spans="1:4" x14ac:dyDescent="0.2">
      <c r="A285" t="s">
        <v>269</v>
      </c>
      <c r="D285" s="50">
        <f t="shared" si="14"/>
        <v>-1470.4471817126964</v>
      </c>
    </row>
    <row r="286" spans="1:4" x14ac:dyDescent="0.2">
      <c r="A286" t="s">
        <v>270</v>
      </c>
      <c r="D286" s="50">
        <f t="shared" si="14"/>
        <v>-638.50357544886651</v>
      </c>
    </row>
    <row r="287" spans="1:4" x14ac:dyDescent="0.2">
      <c r="A287" t="s">
        <v>271</v>
      </c>
      <c r="D287" s="50">
        <f t="shared" si="14"/>
        <v>362.63378285049964</v>
      </c>
    </row>
    <row r="288" spans="1:4" x14ac:dyDescent="0.2">
      <c r="A288" t="s">
        <v>272</v>
      </c>
      <c r="D288" s="50">
        <f t="shared" si="14"/>
        <v>1244.2289642656365</v>
      </c>
    </row>
    <row r="289" spans="1:4" x14ac:dyDescent="0.2">
      <c r="A289" t="s">
        <v>273</v>
      </c>
      <c r="D289" s="50">
        <f t="shared" si="14"/>
        <v>2015.3967852837052</v>
      </c>
    </row>
    <row r="290" spans="1:4" x14ac:dyDescent="0.2">
      <c r="A290" t="s">
        <v>274</v>
      </c>
      <c r="D290" s="50">
        <f t="shared" si="14"/>
        <v>2807.4377060352199</v>
      </c>
    </row>
    <row r="291" spans="1:4" x14ac:dyDescent="0.2">
      <c r="A291" t="s">
        <v>275</v>
      </c>
      <c r="D291" s="50">
        <f t="shared" si="14"/>
        <v>3616.6151323935983</v>
      </c>
    </row>
    <row r="292" spans="1:4" x14ac:dyDescent="0.2">
      <c r="A292" t="s">
        <v>276</v>
      </c>
      <c r="D292" s="50">
        <f t="shared" si="14"/>
        <v>4216.7660377766151</v>
      </c>
    </row>
    <row r="293" spans="1:4" x14ac:dyDescent="0.2">
      <c r="A293" t="s">
        <v>277</v>
      </c>
      <c r="D293" s="50">
        <f t="shared" si="14"/>
        <v>4369.6408543034595</v>
      </c>
    </row>
    <row r="294" spans="1:4" x14ac:dyDescent="0.2">
      <c r="A294" t="s">
        <v>278</v>
      </c>
      <c r="D294" s="50">
        <f t="shared" si="14"/>
        <v>5008.7631352743247</v>
      </c>
    </row>
    <row r="295" spans="1:4" x14ac:dyDescent="0.2">
      <c r="A295" t="s">
        <v>279</v>
      </c>
      <c r="D295" s="50">
        <f t="shared" si="14"/>
        <v>5566.3750871832299</v>
      </c>
    </row>
    <row r="296" spans="1:4" x14ac:dyDescent="0.2">
      <c r="A296" t="s">
        <v>280</v>
      </c>
      <c r="D296" s="50">
        <f t="shared" si="14"/>
        <v>6140.4126460375974</v>
      </c>
    </row>
    <row r="297" spans="1:4" x14ac:dyDescent="0.2">
      <c r="A297" t="s">
        <v>281</v>
      </c>
      <c r="D297" s="50">
        <f t="shared" si="14"/>
        <v>6728.0470421240079</v>
      </c>
    </row>
    <row r="298" spans="1:4" x14ac:dyDescent="0.2">
      <c r="A298" t="s">
        <v>282</v>
      </c>
      <c r="D298" s="50">
        <f t="shared" si="14"/>
        <v>7160.4734041471675</v>
      </c>
    </row>
    <row r="299" spans="1:4" x14ac:dyDescent="0.2">
      <c r="A299" t="s">
        <v>283</v>
      </c>
      <c r="D299" s="50">
        <f t="shared" si="14"/>
        <v>7688.5813195473847</v>
      </c>
    </row>
    <row r="300" spans="1:4" x14ac:dyDescent="0.2">
      <c r="A300" t="s">
        <v>284</v>
      </c>
      <c r="D300" s="50">
        <f t="shared" si="14"/>
        <v>8151.5219076383628</v>
      </c>
    </row>
    <row r="301" spans="1:4" x14ac:dyDescent="0.2">
      <c r="A301" t="s">
        <v>285</v>
      </c>
      <c r="D301" s="50">
        <f t="shared" si="14"/>
        <v>8575.1083563816937</v>
      </c>
    </row>
    <row r="302" spans="1:4" x14ac:dyDescent="0.2">
      <c r="A302" t="s">
        <v>286</v>
      </c>
      <c r="D302" s="50">
        <f t="shared" si="14"/>
        <v>9010.5091366697779</v>
      </c>
    </row>
    <row r="303" spans="1:4" x14ac:dyDescent="0.2">
      <c r="A303" t="s">
        <v>287</v>
      </c>
      <c r="D303" s="50">
        <f t="shared" si="14"/>
        <v>9455.6385605805681</v>
      </c>
    </row>
    <row r="304" spans="1:4" x14ac:dyDescent="0.2">
      <c r="A304" t="s">
        <v>288</v>
      </c>
      <c r="D304" s="50">
        <f t="shared" si="14"/>
        <v>9784.5556231564642</v>
      </c>
    </row>
    <row r="305" spans="1:4" x14ac:dyDescent="0.2">
      <c r="A305" t="s">
        <v>289</v>
      </c>
      <c r="D305" s="50">
        <f t="shared" si="14"/>
        <v>9864.5891315738318</v>
      </c>
    </row>
    <row r="306" spans="1:4" x14ac:dyDescent="0.2">
      <c r="A306" t="s">
        <v>290</v>
      </c>
      <c r="D306" s="50">
        <f t="shared" si="14"/>
        <v>10215.555069532948</v>
      </c>
    </row>
    <row r="307" spans="1:4" x14ac:dyDescent="0.2">
      <c r="A307" t="s">
        <v>291</v>
      </c>
      <c r="D307" s="50">
        <f t="shared" si="14"/>
        <v>10521.29985437727</v>
      </c>
    </row>
    <row r="308" spans="1:4" x14ac:dyDescent="0.2">
      <c r="A308" t="s">
        <v>292</v>
      </c>
      <c r="D308" s="50">
        <f t="shared" si="14"/>
        <v>10836.35314889338</v>
      </c>
    </row>
    <row r="309" spans="1:4" x14ac:dyDescent="0.2">
      <c r="A309" t="s">
        <v>293</v>
      </c>
      <c r="D309" s="50">
        <f t="shared" si="14"/>
        <v>11159.135129518785</v>
      </c>
    </row>
    <row r="310" spans="1:4" x14ac:dyDescent="0.2">
      <c r="A310" t="s">
        <v>294</v>
      </c>
      <c r="D310" s="50">
        <f t="shared" si="14"/>
        <v>11395.644344883871</v>
      </c>
    </row>
    <row r="311" spans="1:4" x14ac:dyDescent="0.2">
      <c r="A311" t="s">
        <v>46</v>
      </c>
      <c r="D311" s="50">
        <f>C230</f>
        <v>7333.3333333333339</v>
      </c>
    </row>
    <row r="312" spans="1:4" x14ac:dyDescent="0.2">
      <c r="A312" t="s">
        <v>295</v>
      </c>
      <c r="D312" s="50">
        <f>K257</f>
        <v>7</v>
      </c>
    </row>
  </sheetData>
  <mergeCells count="2">
    <mergeCell ref="B105:C105"/>
    <mergeCell ref="B106:C106"/>
  </mergeCells>
  <phoneticPr fontId="5" type="noConversion"/>
  <conditionalFormatting sqref="G230:G260">
    <cfRule type="cellIs" dxfId="0" priority="1" operator="greaterThan">
      <formula>0</formula>
    </cfRule>
  </conditionalFormatting>
  <pageMargins left="0.7" right="0.7" top="0.78740157499999996" bottom="0.78740157499999996" header="0.3" footer="0.3"/>
  <pageSetup paperSize="9" scale="52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4FB3-0E2B-2E44-8A34-6E570F9AA6DE}">
  <dimension ref="A1:T34"/>
  <sheetViews>
    <sheetView tabSelected="1" workbookViewId="0">
      <selection activeCell="D28" sqref="D28"/>
    </sheetView>
  </sheetViews>
  <sheetFormatPr baseColWidth="10" defaultRowHeight="16" x14ac:dyDescent="0.2"/>
  <cols>
    <col min="1" max="1" width="35.33203125" customWidth="1"/>
    <col min="4" max="5" width="11.33203125" bestFit="1" customWidth="1"/>
    <col min="16" max="16" width="11.33203125" bestFit="1" customWidth="1"/>
  </cols>
  <sheetData>
    <row r="1" spans="1:20" x14ac:dyDescent="0.2">
      <c r="A1" s="3" t="s">
        <v>230</v>
      </c>
      <c r="B1" s="3" t="s">
        <v>231</v>
      </c>
      <c r="C1" s="3" t="s">
        <v>232</v>
      </c>
      <c r="D1" s="3" t="s">
        <v>233</v>
      </c>
    </row>
    <row r="2" spans="1:20" x14ac:dyDescent="0.2">
      <c r="A2" t="s">
        <v>306</v>
      </c>
      <c r="B2" t="s">
        <v>47</v>
      </c>
      <c r="D2" s="38">
        <f>'calculation-sheet'!$D280</f>
        <v>-7333.3333333333339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43"/>
      <c r="Q2" s="43"/>
      <c r="R2" s="43"/>
      <c r="S2" s="43"/>
      <c r="T2" s="26"/>
    </row>
    <row r="3" spans="1:20" x14ac:dyDescent="0.2">
      <c r="A3" t="s">
        <v>307</v>
      </c>
      <c r="B3" t="s">
        <v>47</v>
      </c>
      <c r="D3" s="38">
        <f>'calculation-sheet'!D281</f>
        <v>-5956.3809523809532</v>
      </c>
    </row>
    <row r="4" spans="1:20" x14ac:dyDescent="0.2">
      <c r="A4" t="s">
        <v>308</v>
      </c>
      <c r="B4" t="s">
        <v>47</v>
      </c>
      <c r="D4" s="38">
        <f>'calculation-sheet'!D282</f>
        <v>-4741.3090249433117</v>
      </c>
    </row>
    <row r="5" spans="1:20" x14ac:dyDescent="0.2">
      <c r="A5" t="s">
        <v>309</v>
      </c>
      <c r="B5" t="s">
        <v>47</v>
      </c>
      <c r="D5" s="38">
        <f>'calculation-sheet'!D283</f>
        <v>-3675.8227059712785</v>
      </c>
    </row>
    <row r="6" spans="1:20" x14ac:dyDescent="0.2">
      <c r="A6" t="s">
        <v>310</v>
      </c>
      <c r="B6" t="s">
        <v>47</v>
      </c>
      <c r="D6" s="38">
        <f>'calculation-sheet'!D284</f>
        <v>-2583.8905172227633</v>
      </c>
    </row>
    <row r="7" spans="1:20" x14ac:dyDescent="0.2">
      <c r="A7" t="s">
        <v>311</v>
      </c>
      <c r="B7" t="s">
        <v>47</v>
      </c>
      <c r="D7" s="38">
        <f>'calculation-sheet'!D285</f>
        <v>-1470.4471817126964</v>
      </c>
    </row>
    <row r="8" spans="1:20" x14ac:dyDescent="0.2">
      <c r="A8" t="s">
        <v>312</v>
      </c>
      <c r="B8" t="s">
        <v>47</v>
      </c>
      <c r="D8" s="38">
        <f>'calculation-sheet'!D286</f>
        <v>-638.50357544886651</v>
      </c>
    </row>
    <row r="9" spans="1:20" x14ac:dyDescent="0.2">
      <c r="A9" t="s">
        <v>313</v>
      </c>
      <c r="B9" t="s">
        <v>47</v>
      </c>
      <c r="D9" s="38">
        <f>'calculation-sheet'!D287</f>
        <v>362.63378285049964</v>
      </c>
    </row>
    <row r="10" spans="1:20" x14ac:dyDescent="0.2">
      <c r="A10" t="s">
        <v>314</v>
      </c>
      <c r="B10" t="s">
        <v>47</v>
      </c>
      <c r="D10" s="38">
        <f>'calculation-sheet'!D288</f>
        <v>1244.2289642656365</v>
      </c>
    </row>
    <row r="11" spans="1:20" x14ac:dyDescent="0.2">
      <c r="A11" t="s">
        <v>315</v>
      </c>
      <c r="B11" t="s">
        <v>47</v>
      </c>
      <c r="D11" s="38">
        <f>'calculation-sheet'!D289</f>
        <v>2015.3967852837052</v>
      </c>
    </row>
    <row r="12" spans="1:20" x14ac:dyDescent="0.2">
      <c r="A12" t="s">
        <v>316</v>
      </c>
      <c r="B12" t="s">
        <v>47</v>
      </c>
      <c r="D12" s="38">
        <f>'calculation-sheet'!D290</f>
        <v>2807.4377060352199</v>
      </c>
    </row>
    <row r="13" spans="1:20" x14ac:dyDescent="0.2">
      <c r="A13" t="s">
        <v>317</v>
      </c>
      <c r="B13" t="s">
        <v>47</v>
      </c>
      <c r="D13" s="38">
        <f>'calculation-sheet'!D291</f>
        <v>3616.6151323935983</v>
      </c>
    </row>
    <row r="14" spans="1:20" x14ac:dyDescent="0.2">
      <c r="A14" t="s">
        <v>318</v>
      </c>
      <c r="B14" t="s">
        <v>47</v>
      </c>
      <c r="D14" s="38">
        <f>'calculation-sheet'!D292</f>
        <v>4216.7660377766151</v>
      </c>
    </row>
    <row r="15" spans="1:20" x14ac:dyDescent="0.2">
      <c r="A15" t="s">
        <v>319</v>
      </c>
      <c r="B15" t="s">
        <v>47</v>
      </c>
      <c r="D15" s="38">
        <f>'calculation-sheet'!D293</f>
        <v>4369.6408543034595</v>
      </c>
    </row>
    <row r="16" spans="1:20" x14ac:dyDescent="0.2">
      <c r="A16" t="s">
        <v>320</v>
      </c>
      <c r="B16" t="s">
        <v>47</v>
      </c>
      <c r="D16" s="38">
        <f>'calculation-sheet'!D294</f>
        <v>5008.7631352743247</v>
      </c>
    </row>
    <row r="17" spans="1:4" x14ac:dyDescent="0.2">
      <c r="A17" t="s">
        <v>321</v>
      </c>
      <c r="B17" t="s">
        <v>47</v>
      </c>
      <c r="D17" s="38">
        <f>'calculation-sheet'!D295</f>
        <v>5566.3750871832299</v>
      </c>
    </row>
    <row r="18" spans="1:4" x14ac:dyDescent="0.2">
      <c r="A18" t="s">
        <v>322</v>
      </c>
      <c r="B18" t="s">
        <v>47</v>
      </c>
      <c r="D18" s="38">
        <f>'calculation-sheet'!D296</f>
        <v>6140.4126460375974</v>
      </c>
    </row>
    <row r="19" spans="1:4" x14ac:dyDescent="0.2">
      <c r="A19" t="s">
        <v>323</v>
      </c>
      <c r="B19" t="s">
        <v>47</v>
      </c>
      <c r="D19" s="38">
        <f>'calculation-sheet'!D297</f>
        <v>6728.0470421240079</v>
      </c>
    </row>
    <row r="20" spans="1:4" x14ac:dyDescent="0.2">
      <c r="A20" t="s">
        <v>324</v>
      </c>
      <c r="B20" t="s">
        <v>47</v>
      </c>
      <c r="D20" s="38">
        <f>'calculation-sheet'!D298</f>
        <v>7160.4734041471675</v>
      </c>
    </row>
    <row r="21" spans="1:4" x14ac:dyDescent="0.2">
      <c r="A21" t="s">
        <v>325</v>
      </c>
      <c r="B21" t="s">
        <v>47</v>
      </c>
      <c r="D21" s="38">
        <f>'calculation-sheet'!D299</f>
        <v>7688.5813195473847</v>
      </c>
    </row>
    <row r="22" spans="1:4" x14ac:dyDescent="0.2">
      <c r="A22" t="s">
        <v>326</v>
      </c>
      <c r="B22" t="s">
        <v>47</v>
      </c>
      <c r="D22" s="38">
        <f>'calculation-sheet'!D300</f>
        <v>8151.5219076383628</v>
      </c>
    </row>
    <row r="23" spans="1:4" x14ac:dyDescent="0.2">
      <c r="A23" t="s">
        <v>327</v>
      </c>
      <c r="B23" t="s">
        <v>47</v>
      </c>
      <c r="D23" s="38">
        <f>'calculation-sheet'!D301</f>
        <v>8575.1083563816937</v>
      </c>
    </row>
    <row r="24" spans="1:4" x14ac:dyDescent="0.2">
      <c r="A24" t="s">
        <v>328</v>
      </c>
      <c r="B24" t="s">
        <v>47</v>
      </c>
      <c r="D24" s="38">
        <f>'calculation-sheet'!D302</f>
        <v>9010.5091366697779</v>
      </c>
    </row>
    <row r="25" spans="1:4" x14ac:dyDescent="0.2">
      <c r="A25" t="s">
        <v>329</v>
      </c>
      <c r="B25" t="s">
        <v>47</v>
      </c>
      <c r="D25" s="38">
        <f>'calculation-sheet'!D303</f>
        <v>9455.6385605805681</v>
      </c>
    </row>
    <row r="26" spans="1:4" x14ac:dyDescent="0.2">
      <c r="A26" t="s">
        <v>330</v>
      </c>
      <c r="B26" t="s">
        <v>47</v>
      </c>
      <c r="D26" s="38">
        <f>'calculation-sheet'!D304</f>
        <v>9784.5556231564642</v>
      </c>
    </row>
    <row r="27" spans="1:4" x14ac:dyDescent="0.2">
      <c r="A27" t="s">
        <v>331</v>
      </c>
      <c r="B27" t="s">
        <v>47</v>
      </c>
      <c r="D27" s="38">
        <f>'calculation-sheet'!D305</f>
        <v>9864.5891315738318</v>
      </c>
    </row>
    <row r="28" spans="1:4" x14ac:dyDescent="0.2">
      <c r="A28" t="s">
        <v>332</v>
      </c>
      <c r="B28" t="s">
        <v>47</v>
      </c>
      <c r="D28" s="38">
        <f>'calculation-sheet'!D306</f>
        <v>10215.555069532948</v>
      </c>
    </row>
    <row r="29" spans="1:4" x14ac:dyDescent="0.2">
      <c r="A29" t="s">
        <v>333</v>
      </c>
      <c r="B29" t="s">
        <v>47</v>
      </c>
      <c r="D29" s="38">
        <f>'calculation-sheet'!D307</f>
        <v>10521.29985437727</v>
      </c>
    </row>
    <row r="30" spans="1:4" x14ac:dyDescent="0.2">
      <c r="A30" t="s">
        <v>334</v>
      </c>
      <c r="B30" t="s">
        <v>47</v>
      </c>
      <c r="D30" s="38">
        <f>'calculation-sheet'!D308</f>
        <v>10836.35314889338</v>
      </c>
    </row>
    <row r="31" spans="1:4" x14ac:dyDescent="0.2">
      <c r="A31" t="s">
        <v>335</v>
      </c>
      <c r="B31" t="s">
        <v>47</v>
      </c>
      <c r="D31" s="38">
        <f>'calculation-sheet'!D309</f>
        <v>11159.135129518785</v>
      </c>
    </row>
    <row r="32" spans="1:4" x14ac:dyDescent="0.2">
      <c r="A32" t="s">
        <v>336</v>
      </c>
      <c r="B32" t="s">
        <v>47</v>
      </c>
      <c r="D32" s="38">
        <f>'calculation-sheet'!D310</f>
        <v>11395.644344883871</v>
      </c>
    </row>
    <row r="33" spans="1:4" x14ac:dyDescent="0.2">
      <c r="A33" t="s">
        <v>46</v>
      </c>
      <c r="B33" t="s">
        <v>47</v>
      </c>
      <c r="D33" s="38">
        <f>'calculation-sheet'!D311</f>
        <v>7333.3333333333339</v>
      </c>
    </row>
    <row r="34" spans="1:4" x14ac:dyDescent="0.2">
      <c r="A34" t="s">
        <v>295</v>
      </c>
      <c r="B34" t="s">
        <v>29</v>
      </c>
      <c r="D34" s="38">
        <f>'calculation-sheet'!D312</f>
        <v>7</v>
      </c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viktor-input-sheet</vt:lpstr>
      <vt:lpstr>calculation-sheet</vt:lpstr>
      <vt:lpstr>viktor-output-sheet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Nane Becher</cp:lastModifiedBy>
  <cp:revision/>
  <cp:lastPrinted>2023-09-22T09:09:13Z</cp:lastPrinted>
  <dcterms:created xsi:type="dcterms:W3CDTF">2023-06-08T19:52:49Z</dcterms:created>
  <dcterms:modified xsi:type="dcterms:W3CDTF">2023-10-04T17:44:08Z</dcterms:modified>
  <cp:category/>
  <cp:contentStatus/>
</cp:coreProperties>
</file>