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9A01457F-946A-B54B-BCFF-1FE3EB84C84E}" xr6:coauthVersionLast="47" xr6:coauthVersionMax="47" xr10:uidLastSave="{00000000-0000-0000-0000-000000000000}"/>
  <bookViews>
    <workbookView xWindow="25600" yWindow="0" windowWidth="38400" windowHeight="21600" activeTab="5" xr2:uid="{10AE25AE-CBB9-6C48-A0BD-F3B6274A0E75}"/>
  </bookViews>
  <sheets>
    <sheet name="viktor-input-sheet" sheetId="10" r:id="rId1"/>
    <sheet name="Hilfstabelle" sheetId="7" r:id="rId2"/>
    <sheet name="Solareerträge" sheetId="9" r:id="rId3"/>
    <sheet name="Eingangsparameter" sheetId="6" r:id="rId4"/>
    <sheet name="Ausgabekennzahlen" sheetId="8" r:id="rId5"/>
    <sheet name="viktor-output-sheet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1" l="1"/>
  <c r="E10" i="8" a="1"/>
  <c r="E10" i="8" s="1"/>
  <c r="H141" i="6"/>
  <c r="H140" i="6"/>
  <c r="H133" i="6"/>
  <c r="G69" i="6"/>
  <c r="G68" i="6"/>
  <c r="G60" i="6"/>
  <c r="G59" i="6"/>
  <c r="G50" i="6"/>
  <c r="G51" i="6"/>
  <c r="G49" i="6"/>
  <c r="H7" i="6"/>
  <c r="G102" i="6"/>
  <c r="G101" i="6"/>
  <c r="G100" i="6"/>
  <c r="G99" i="6"/>
  <c r="G41" i="6"/>
  <c r="G42" i="6"/>
  <c r="G40" i="6"/>
  <c r="H21" i="6"/>
  <c r="E44" i="8" l="1"/>
  <c r="E38" i="8"/>
  <c r="D141" i="6" l="1"/>
  <c r="E54" i="8"/>
  <c r="D77" i="6"/>
  <c r="D67" i="6"/>
  <c r="D58" i="6"/>
  <c r="D48" i="6"/>
  <c r="D75" i="6"/>
  <c r="D56" i="6"/>
  <c r="D133" i="6" l="1"/>
  <c r="E12" i="8" a="1"/>
  <c r="E12" i="8" s="1"/>
  <c r="E13" i="8" a="1"/>
  <c r="E13" i="8" s="1"/>
  <c r="D73" i="6"/>
  <c r="D54" i="6"/>
  <c r="E11" i="8" l="1"/>
  <c r="E26" i="8"/>
  <c r="D68" i="6"/>
  <c r="E87" i="8" l="1"/>
  <c r="E88" i="8"/>
  <c r="E89" i="8"/>
  <c r="E90" i="8"/>
  <c r="E91" i="8"/>
  <c r="I28" i="6"/>
  <c r="H28" i="6"/>
  <c r="G28" i="6"/>
  <c r="F28" i="6"/>
  <c r="E28" i="6"/>
  <c r="I27" i="6"/>
  <c r="H27" i="6"/>
  <c r="G27" i="6"/>
  <c r="F27" i="6"/>
  <c r="E27" i="6"/>
  <c r="I26" i="6"/>
  <c r="H26" i="6"/>
  <c r="G26" i="6"/>
  <c r="F26" i="6"/>
  <c r="E26" i="6"/>
  <c r="E61" i="8" l="1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62" i="8"/>
  <c r="D102" i="6"/>
  <c r="D104" i="6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5" i="9"/>
  <c r="E23" i="8" l="1"/>
  <c r="D90" i="6"/>
  <c r="E29" i="8" l="1"/>
  <c r="E37" i="8"/>
  <c r="E55" i="8"/>
  <c r="D91" i="6"/>
  <c r="C117" i="6"/>
  <c r="C116" i="6"/>
  <c r="C115" i="6"/>
  <c r="C114" i="6"/>
  <c r="E53" i="8" l="1"/>
  <c r="E43" i="8"/>
  <c r="D83" i="6"/>
  <c r="E56" i="8" s="1"/>
  <c r="C91" i="8" s="1"/>
  <c r="D137" i="6"/>
  <c r="D143" i="6"/>
  <c r="C78" i="8"/>
  <c r="C84" i="8"/>
  <c r="C72" i="8"/>
  <c r="C68" i="8"/>
  <c r="C62" i="8"/>
  <c r="C66" i="8"/>
  <c r="C80" i="8"/>
  <c r="C90" i="8"/>
  <c r="D23" i="6"/>
  <c r="C32" i="7"/>
  <c r="C31" i="7"/>
  <c r="C30" i="7"/>
  <c r="D72" i="6" s="1"/>
  <c r="D69" i="6" s="1"/>
  <c r="D76" i="6" s="1"/>
  <c r="C75" i="8"/>
  <c r="C87" i="8"/>
  <c r="C89" i="8"/>
  <c r="C83" i="8"/>
  <c r="C65" i="8"/>
  <c r="C81" i="8"/>
  <c r="C77" i="8"/>
  <c r="C71" i="8"/>
  <c r="C69" i="8"/>
  <c r="C63" i="8"/>
  <c r="D110" i="6"/>
  <c r="E32" i="8" s="1"/>
  <c r="C85" i="8" l="1"/>
  <c r="C67" i="8"/>
  <c r="E33" i="8"/>
  <c r="E22" i="8"/>
  <c r="E27" i="8" s="1"/>
  <c r="C79" i="8"/>
  <c r="C73" i="8"/>
  <c r="C88" i="8"/>
  <c r="C70" i="8"/>
  <c r="C64" i="8"/>
  <c r="C82" i="8"/>
  <c r="C76" i="8"/>
  <c r="D53" i="6"/>
  <c r="D50" i="6" s="1"/>
  <c r="D57" i="6" s="1"/>
  <c r="D49" i="6" s="1"/>
  <c r="E21" i="8"/>
  <c r="D44" i="6"/>
  <c r="D41" i="6" s="1"/>
  <c r="D40" i="6" s="1"/>
  <c r="D63" i="6"/>
  <c r="E36" i="8" l="1"/>
  <c r="E35" i="8" s="1"/>
  <c r="J34" i="8" s="1"/>
  <c r="E28" i="8"/>
  <c r="E52" i="8"/>
  <c r="E42" i="8"/>
  <c r="E41" i="8" s="1"/>
  <c r="I34" i="8" s="1"/>
  <c r="J33" i="8"/>
  <c r="I33" i="8"/>
  <c r="D60" i="6"/>
  <c r="D59" i="6" s="1"/>
  <c r="D39" i="6" s="1"/>
  <c r="C61" i="8" s="1"/>
  <c r="D84" i="6"/>
  <c r="E51" i="8" l="1"/>
  <c r="E50" i="8"/>
  <c r="E57" i="8"/>
  <c r="C86" i="8" s="1"/>
  <c r="D61" i="8"/>
  <c r="F61" i="8" s="1"/>
  <c r="G61" i="8" s="1"/>
  <c r="B62" i="8" l="1"/>
  <c r="B73" i="8"/>
  <c r="B66" i="8"/>
  <c r="B67" i="8"/>
  <c r="B63" i="8"/>
  <c r="B79" i="8"/>
  <c r="B80" i="8"/>
  <c r="B65" i="8"/>
  <c r="B75" i="8"/>
  <c r="B64" i="8"/>
  <c r="B76" i="8"/>
  <c r="B78" i="8"/>
  <c r="B81" i="8"/>
  <c r="B70" i="8"/>
  <c r="B77" i="8"/>
  <c r="B71" i="8"/>
  <c r="B72" i="8"/>
  <c r="B68" i="8"/>
  <c r="B69" i="8"/>
  <c r="B74" i="8"/>
  <c r="D15" i="11" s="1"/>
  <c r="B90" i="8"/>
  <c r="B86" i="8"/>
  <c r="B87" i="8"/>
  <c r="B82" i="8"/>
  <c r="B83" i="8"/>
  <c r="B88" i="8"/>
  <c r="B89" i="8"/>
  <c r="B84" i="8"/>
  <c r="B85" i="8"/>
  <c r="B91" i="8"/>
  <c r="C74" i="8"/>
  <c r="D84" i="8" l="1"/>
  <c r="F84" i="8" s="1"/>
  <c r="D25" i="11"/>
  <c r="D82" i="8"/>
  <c r="F82" i="8" s="1"/>
  <c r="D23" i="11"/>
  <c r="D71" i="8"/>
  <c r="F71" i="8" s="1"/>
  <c r="D12" i="11"/>
  <c r="D78" i="8"/>
  <c r="F78" i="8" s="1"/>
  <c r="D19" i="11"/>
  <c r="D65" i="8"/>
  <c r="F65" i="8" s="1"/>
  <c r="D6" i="11"/>
  <c r="D67" i="8"/>
  <c r="F67" i="8" s="1"/>
  <c r="D8" i="11"/>
  <c r="D89" i="8"/>
  <c r="F89" i="8" s="1"/>
  <c r="D30" i="11"/>
  <c r="D87" i="8"/>
  <c r="F87" i="8" s="1"/>
  <c r="D28" i="11"/>
  <c r="D69" i="8"/>
  <c r="F69" i="8" s="1"/>
  <c r="D10" i="11"/>
  <c r="D77" i="8"/>
  <c r="F77" i="8" s="1"/>
  <c r="D18" i="11"/>
  <c r="D76" i="8"/>
  <c r="F76" i="8" s="1"/>
  <c r="D17" i="11"/>
  <c r="D80" i="8"/>
  <c r="F80" i="8" s="1"/>
  <c r="D21" i="11"/>
  <c r="D66" i="8"/>
  <c r="F66" i="8" s="1"/>
  <c r="D7" i="11"/>
  <c r="D91" i="8"/>
  <c r="F91" i="8" s="1"/>
  <c r="D32" i="11"/>
  <c r="D86" i="8"/>
  <c r="F86" i="8" s="1"/>
  <c r="D27" i="11"/>
  <c r="D70" i="8"/>
  <c r="F70" i="8" s="1"/>
  <c r="D11" i="11"/>
  <c r="D64" i="8"/>
  <c r="F64" i="8" s="1"/>
  <c r="D5" i="11"/>
  <c r="D79" i="8"/>
  <c r="F79" i="8" s="1"/>
  <c r="D20" i="11"/>
  <c r="D73" i="8"/>
  <c r="F73" i="8" s="1"/>
  <c r="D14" i="11"/>
  <c r="D88" i="8"/>
  <c r="F88" i="8" s="1"/>
  <c r="D29" i="11"/>
  <c r="D68" i="8"/>
  <c r="F68" i="8" s="1"/>
  <c r="D9" i="11"/>
  <c r="D85" i="8"/>
  <c r="F85" i="8" s="1"/>
  <c r="D26" i="11"/>
  <c r="D83" i="8"/>
  <c r="F83" i="8" s="1"/>
  <c r="D24" i="11"/>
  <c r="D90" i="8"/>
  <c r="F90" i="8" s="1"/>
  <c r="D31" i="11"/>
  <c r="D72" i="8"/>
  <c r="F72" i="8" s="1"/>
  <c r="D13" i="11"/>
  <c r="D81" i="8"/>
  <c r="F81" i="8" s="1"/>
  <c r="D22" i="11"/>
  <c r="D75" i="8"/>
  <c r="F75" i="8" s="1"/>
  <c r="D16" i="11"/>
  <c r="D63" i="8"/>
  <c r="F63" i="8" s="1"/>
  <c r="D4" i="11"/>
  <c r="D62" i="8"/>
  <c r="F62" i="8" s="1"/>
  <c r="G62" i="8" s="1"/>
  <c r="D3" i="11"/>
  <c r="D74" i="8"/>
  <c r="F74" i="8" s="1"/>
  <c r="G63" i="8" l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<sst xmlns="http://schemas.openxmlformats.org/spreadsheetml/2006/main" count="647" uniqueCount="317">
  <si>
    <t>Mögliche Ausrichtungen</t>
  </si>
  <si>
    <t>Nord</t>
  </si>
  <si>
    <t>N</t>
  </si>
  <si>
    <t>Nord-Ost</t>
  </si>
  <si>
    <t>NO</t>
  </si>
  <si>
    <t>Ost</t>
  </si>
  <si>
    <t>O</t>
  </si>
  <si>
    <t>Süd-Ost</t>
  </si>
  <si>
    <t>SO</t>
  </si>
  <si>
    <t>Süd</t>
  </si>
  <si>
    <t>S</t>
  </si>
  <si>
    <t>Süd-West</t>
  </si>
  <si>
    <t>SW</t>
  </si>
  <si>
    <t>West</t>
  </si>
  <si>
    <t>W</t>
  </si>
  <si>
    <t>Nord-West</t>
  </si>
  <si>
    <t>NW</t>
  </si>
  <si>
    <t>Mögliche Neigungen</t>
  </si>
  <si>
    <t>0-5°</t>
  </si>
  <si>
    <t>nicht möglich</t>
  </si>
  <si>
    <t>5°-20°</t>
  </si>
  <si>
    <t>5°</t>
  </si>
  <si>
    <t>20°-30°</t>
  </si>
  <si>
    <t>25°</t>
  </si>
  <si>
    <t>30°-40°</t>
  </si>
  <si>
    <t>35°</t>
  </si>
  <si>
    <t>40°-50°</t>
  </si>
  <si>
    <t>45°</t>
  </si>
  <si>
    <t>50°-60°</t>
  </si>
  <si>
    <t>55°</t>
  </si>
  <si>
    <t>60°-75°</t>
  </si>
  <si>
    <t>70°</t>
  </si>
  <si>
    <t>Solarerträge</t>
  </si>
  <si>
    <t>BIPV</t>
  </si>
  <si>
    <t>BIPVT</t>
  </si>
  <si>
    <t>Ausrichtung</t>
  </si>
  <si>
    <t>Azimutwinkel</t>
  </si>
  <si>
    <t>Neigung</t>
  </si>
  <si>
    <t xml:space="preserve">Fläche </t>
  </si>
  <si>
    <t>Stromproduktion (kWh/ Jahr)</t>
  </si>
  <si>
    <t>Produktion thermische Energie</t>
  </si>
  <si>
    <t>180°</t>
  </si>
  <si>
    <t>225°</t>
  </si>
  <si>
    <t>270°</t>
  </si>
  <si>
    <t>315°</t>
  </si>
  <si>
    <t>0°</t>
  </si>
  <si>
    <t>90°</t>
  </si>
  <si>
    <t>135°</t>
  </si>
  <si>
    <t>Projektübergreifende Eingangsparameter</t>
  </si>
  <si>
    <t>Zeitraum</t>
  </si>
  <si>
    <t>Jahre</t>
  </si>
  <si>
    <t>Primärenergiefaktoren</t>
  </si>
  <si>
    <t>Netzstrom</t>
  </si>
  <si>
    <t>Erdgas</t>
  </si>
  <si>
    <t>Heizöl</t>
  </si>
  <si>
    <t>Emissionsfaktoren</t>
  </si>
  <si>
    <t>g/kWh</t>
  </si>
  <si>
    <t>Vergleichkaufpreise</t>
  </si>
  <si>
    <t>Netzstrom Haushalte</t>
  </si>
  <si>
    <t>€/kWh</t>
  </si>
  <si>
    <t>Netzstrom Nicht-Haushalte</t>
  </si>
  <si>
    <t>Erdgas Haushalte</t>
  </si>
  <si>
    <t>Erdgas Nicht-Haushalte</t>
  </si>
  <si>
    <t>Heizöl Haushalte</t>
  </si>
  <si>
    <t>Heizöl Nicht-Haushalte</t>
  </si>
  <si>
    <t>Staatliche Förderungen</t>
  </si>
  <si>
    <t>Projektspezifische Eingangsparameter</t>
  </si>
  <si>
    <t>Investitionskosten</t>
  </si>
  <si>
    <t>€</t>
  </si>
  <si>
    <t xml:space="preserve">5.2.3.1 Anlagenflächen  </t>
  </si>
  <si>
    <t>Dachintegriert</t>
  </si>
  <si>
    <t>Fläche</t>
  </si>
  <si>
    <t>m2</t>
  </si>
  <si>
    <t>Komponenten</t>
  </si>
  <si>
    <t>Module</t>
  </si>
  <si>
    <t>€/ m2</t>
  </si>
  <si>
    <t>°</t>
  </si>
  <si>
    <t>Wechselrichter</t>
  </si>
  <si>
    <t>Planung und Auslegung</t>
  </si>
  <si>
    <t>Einsparungen</t>
  </si>
  <si>
    <t>Fassadenintegriert</t>
  </si>
  <si>
    <t xml:space="preserve">laufende Kosten </t>
  </si>
  <si>
    <t>€/a</t>
  </si>
  <si>
    <t>Wartungskosten Module und Unterkonstruktion</t>
  </si>
  <si>
    <t>Wartungskosten Verkabelung und Wechselrichter</t>
  </si>
  <si>
    <t>Instandsetzung</t>
  </si>
  <si>
    <t>Energieertrag</t>
  </si>
  <si>
    <t>Anlagenfläche</t>
  </si>
  <si>
    <t>s.o.</t>
  </si>
  <si>
    <t>Gesamt</t>
  </si>
  <si>
    <t>Solare Einstrahlung</t>
  </si>
  <si>
    <t>Anzahl WE</t>
  </si>
  <si>
    <t>Anzahl Personen</t>
  </si>
  <si>
    <t>nur für WE&lt;=2 erforderlich</t>
  </si>
  <si>
    <t>kWh</t>
  </si>
  <si>
    <t>Einfamilienhaus (bis zu 2 WE)</t>
  </si>
  <si>
    <t>kWh/ Person</t>
  </si>
  <si>
    <t>Mehrfamilienhaus (&gt; 2 WE)</t>
  </si>
  <si>
    <t>kWh/WE</t>
  </si>
  <si>
    <t>Einfamilienhaus Personen (bis zu 2 WE)</t>
  </si>
  <si>
    <t>Mehrfamilienhaus Wohneinheiten</t>
  </si>
  <si>
    <t>1 WE</t>
  </si>
  <si>
    <t>2 WE</t>
  </si>
  <si>
    <t>3 WE</t>
  </si>
  <si>
    <t>4 WE</t>
  </si>
  <si>
    <t>5 WE</t>
  </si>
  <si>
    <t>6 WE</t>
  </si>
  <si>
    <t>7 WE</t>
  </si>
  <si>
    <t>8 WE</t>
  </si>
  <si>
    <t>9 WE</t>
  </si>
  <si>
    <t>10 WE</t>
  </si>
  <si>
    <t>Ausgangskennzahlen</t>
  </si>
  <si>
    <t>Solarertrag</t>
  </si>
  <si>
    <t xml:space="preserve">spezifischer Kollektorjahresertrag </t>
  </si>
  <si>
    <t>kWh/a</t>
  </si>
  <si>
    <t>Anteil thermisch</t>
  </si>
  <si>
    <t>Anteil elektrisch</t>
  </si>
  <si>
    <t>energiebezogene Kennzahlen</t>
  </si>
  <si>
    <t>ökologische Kennzahlen</t>
  </si>
  <si>
    <t>Primärenergieverbrauch</t>
  </si>
  <si>
    <t>ggf. Einsparung gegenüber Vergleichssystem</t>
  </si>
  <si>
    <t>wirtschaftliche Kennzahlen</t>
  </si>
  <si>
    <t>Zeit [Jahre]</t>
  </si>
  <si>
    <t>R(t)=E(t)-A(t)</t>
  </si>
  <si>
    <t>1/((1+i)^t)</t>
  </si>
  <si>
    <t>Barwert im Jahr t</t>
  </si>
  <si>
    <t>kumulierter Barwert</t>
  </si>
  <si>
    <t>Jahresenergiebedarf Trinkwassererwärmung</t>
  </si>
  <si>
    <t>Anteil Stromproduktion vom Optimum</t>
  </si>
  <si>
    <t xml:space="preserve">spezifischer Jährlicher Ertrag </t>
  </si>
  <si>
    <t>kWh/kWpeak</t>
  </si>
  <si>
    <t>Leistung Module</t>
  </si>
  <si>
    <t>kWpeak/m2</t>
  </si>
  <si>
    <t>Leistung je m2 Modulfläche</t>
  </si>
  <si>
    <t>Der jährliche Ertrag einer Anlage lässt sich auch über die Solarkataster der jeweiligen Bundesländer genauer ermitteln</t>
  </si>
  <si>
    <t xml:space="preserve">In dieser Arbeit wird der Solarertrag durch deutschen Durchschnittswert des spezifischen jährlichen Ertrags berechnet. </t>
  </si>
  <si>
    <t>&gt;75° Fassade</t>
  </si>
  <si>
    <t>Wohnfläche</t>
  </si>
  <si>
    <t>Neubau</t>
  </si>
  <si>
    <t>Bestand</t>
  </si>
  <si>
    <t>Gebäudeart</t>
  </si>
  <si>
    <t>kWh/m2</t>
  </si>
  <si>
    <t>spezifischer Heizwärmebedarf Neubaugebäude</t>
  </si>
  <si>
    <t>spezifischer Heizwärmebedarf Bestandsgebäude</t>
  </si>
  <si>
    <t>nutzbarer Eigenanteil am jährlichen Ertrag</t>
  </si>
  <si>
    <t>jährlich nutzbare Energie elektrisch</t>
  </si>
  <si>
    <t>jährlich Eingespeiste Energie</t>
  </si>
  <si>
    <t>Ertrag im Jahr t E(t)</t>
  </si>
  <si>
    <t>Ausgabe im Jahr t A(t)</t>
  </si>
  <si>
    <t>jährliche Einsparung durch nicht erforderlichen Strom</t>
  </si>
  <si>
    <t>Unterkonstruktion und Zubehör</t>
  </si>
  <si>
    <t>Mindestkosten bei Unterkonstruktion und Zubehör bei 1000€ bzw. 1500€ für fassadenintegriert</t>
  </si>
  <si>
    <t>Mindestkosten für Installation !!</t>
  </si>
  <si>
    <t>durch Elektriker</t>
  </si>
  <si>
    <t>€/m2/2a</t>
  </si>
  <si>
    <t xml:space="preserve">Reinigung und Sichtprüfung der Module </t>
  </si>
  <si>
    <t>Wechselrichter nach 12 Jahren (5.1.1)</t>
  </si>
  <si>
    <t>kWpeak</t>
  </si>
  <si>
    <t>Flächenleistung der Modul</t>
  </si>
  <si>
    <t>Inbetreibnahme der Anlage</t>
  </si>
  <si>
    <t>&lt; 10 kWp</t>
  </si>
  <si>
    <t>Größe</t>
  </si>
  <si>
    <t>Vergütung ct/kWh</t>
  </si>
  <si>
    <t>&lt; 40 kWp</t>
  </si>
  <si>
    <t>&lt; 100 kWp</t>
  </si>
  <si>
    <t>anzulegender Wert</t>
  </si>
  <si>
    <t>Einspeisevergütung ersten 20 Jahre</t>
  </si>
  <si>
    <t>Einspeisevergütung nach 20 Jahre</t>
  </si>
  <si>
    <t>Kosten für Stromzähler</t>
  </si>
  <si>
    <t>Kalkulationszinssatz</t>
  </si>
  <si>
    <t>Jahresenergiebedarf</t>
  </si>
  <si>
    <t>Lastmanagementpotentiale</t>
  </si>
  <si>
    <t>nutzbarer Eigenanteil am jährlichen Stromertrag</t>
  </si>
  <si>
    <t xml:space="preserve">Neubau auch bei Kernsanierungen </t>
  </si>
  <si>
    <t>jährlicher Ertrag durch eingespeisten Strom (Jahr 1-20)</t>
  </si>
  <si>
    <t>jährlicher Ertrag durch eingespeisten Strom (Jahr 20-30)</t>
  </si>
  <si>
    <t>a</t>
  </si>
  <si>
    <t>b</t>
  </si>
  <si>
    <t>c</t>
  </si>
  <si>
    <t>d</t>
  </si>
  <si>
    <t>Wärmepumpe</t>
  </si>
  <si>
    <t>Installation pauschal</t>
  </si>
  <si>
    <t>Installation je m2</t>
  </si>
  <si>
    <t>spezifischer jährlicher Ertrag Deutschland PV</t>
  </si>
  <si>
    <t>solathermischer jährlicher Ertrag Deutschland</t>
  </si>
  <si>
    <t>jährliche Einsparung durch nicht erforderliche Wärme</t>
  </si>
  <si>
    <t>der Wirkungsgrad der Module lässt über die Zeit nach, daher nach 30 Jahren 87%, linear aufteilen. Jedes Jahr 0,4% (0,4333333) weniger Erträge</t>
  </si>
  <si>
    <t>1-3 kWp</t>
  </si>
  <si>
    <t>3-6 kWp</t>
  </si>
  <si>
    <t>6-9 kWp</t>
  </si>
  <si>
    <t>9-15 kWp</t>
  </si>
  <si>
    <t>15-100 kWp</t>
  </si>
  <si>
    <t>jährlicher Energieeintrag BIPV (elektrisch)</t>
  </si>
  <si>
    <t>jährlicher Energieeintrag BIPVT</t>
  </si>
  <si>
    <t>CO2-Äquivalent</t>
  </si>
  <si>
    <t>für Strom eingespart</t>
  </si>
  <si>
    <t>für Erdgas eingespart</t>
  </si>
  <si>
    <t>für Heizöl eingespart</t>
  </si>
  <si>
    <t>jährlich nutzbare Energie thermisch</t>
  </si>
  <si>
    <t xml:space="preserve">für Strom eingespart </t>
  </si>
  <si>
    <t>CO2-Äquivalent Gesamt eingespart</t>
  </si>
  <si>
    <t>Primärenergieverbrauch Gesamt eingespart</t>
  </si>
  <si>
    <t>kg/a</t>
  </si>
  <si>
    <t>Vorheriger Wärmeerzeuger oder Vergleichsystem</t>
  </si>
  <si>
    <t>Jahresenergieverbrauch Gesamt</t>
  </si>
  <si>
    <t>Primärenergieverbrauch Gesamt Vergleichsystem</t>
  </si>
  <si>
    <t>CO2-Äquivalent Gesamt Vergleichsystem</t>
  </si>
  <si>
    <t>Ohne BIPV(T)</t>
  </si>
  <si>
    <t>Mit BIPV(T)</t>
  </si>
  <si>
    <t xml:space="preserve">laufende Kosten jährlich </t>
  </si>
  <si>
    <t>€/ 12a</t>
  </si>
  <si>
    <t>Sanierung</t>
  </si>
  <si>
    <t>ja</t>
  </si>
  <si>
    <t>nein</t>
  </si>
  <si>
    <t>Soll ein Speicher verbaut werden?</t>
  </si>
  <si>
    <t>erhöht den nutzbaren Anteil um</t>
  </si>
  <si>
    <t>€/3a</t>
  </si>
  <si>
    <t>Investitionskosten für einen Speicher</t>
  </si>
  <si>
    <t>laufende Kosten alle 2 Jahre</t>
  </si>
  <si>
    <t>laufende Kosten alle 3 Jahre</t>
  </si>
  <si>
    <t>Austausch Wechselrichter alle 12 Jahre</t>
  </si>
  <si>
    <t xml:space="preserve">bestehende Förderungsmöglichkeiten </t>
  </si>
  <si>
    <t>Ist eine im Haushalt lebende Person in Besitz eines Elektroautos?</t>
  </si>
  <si>
    <t>Soll eine Ladesäule verbaut werden?</t>
  </si>
  <si>
    <t>KfW Förderprogramm 442</t>
  </si>
  <si>
    <t>Förderhöhe</t>
  </si>
  <si>
    <t>Kosten für die Ladestation</t>
  </si>
  <si>
    <t>für Strom</t>
  </si>
  <si>
    <t>für Wärme + TWW</t>
  </si>
  <si>
    <t>6.1</t>
  </si>
  <si>
    <t>6.1.1</t>
  </si>
  <si>
    <t>6.1.2</t>
  </si>
  <si>
    <t>6.1.3</t>
  </si>
  <si>
    <t>6.1.4</t>
  </si>
  <si>
    <t>6.1.5</t>
  </si>
  <si>
    <t>6.1.6</t>
  </si>
  <si>
    <t>6.2</t>
  </si>
  <si>
    <t>6.2.1</t>
  </si>
  <si>
    <t>6.2.2</t>
  </si>
  <si>
    <t>6.2.2.1</t>
  </si>
  <si>
    <t>6.2.2.2</t>
  </si>
  <si>
    <t>6.2.2.3</t>
  </si>
  <si>
    <t>6.2.3</t>
  </si>
  <si>
    <t>6.2.3.1</t>
  </si>
  <si>
    <t>6.2.3.2</t>
  </si>
  <si>
    <t>siehe auch Tabellenblatt Solarerträge</t>
  </si>
  <si>
    <t>6.2.4</t>
  </si>
  <si>
    <t>6.2.4.1</t>
  </si>
  <si>
    <t>Jahresenergiebedarf Wärme</t>
  </si>
  <si>
    <t>6.2.4.2</t>
  </si>
  <si>
    <t>6.2.4.3</t>
  </si>
  <si>
    <t>Jahresenergiebedarf Strom</t>
  </si>
  <si>
    <t>6.2.4.4</t>
  </si>
  <si>
    <t>6.3</t>
  </si>
  <si>
    <t>6.3.1</t>
  </si>
  <si>
    <t>6.3.2</t>
  </si>
  <si>
    <t>6.3.3</t>
  </si>
  <si>
    <t>6.3.4</t>
  </si>
  <si>
    <t>6.4.1</t>
  </si>
  <si>
    <t>6.3.4.3</t>
  </si>
  <si>
    <t>INFO</t>
  </si>
  <si>
    <t>Parameters</t>
  </si>
  <si>
    <t>Units</t>
  </si>
  <si>
    <t>Comment</t>
  </si>
  <si>
    <t>Value</t>
  </si>
  <si>
    <t>aktuelle Wärmeerzeugung</t>
  </si>
  <si>
    <t>Fläche der PV-Anlage (1)</t>
  </si>
  <si>
    <t>Ausrichtung der Fläche (1)</t>
  </si>
  <si>
    <t>Neigung der Fläche (1)</t>
  </si>
  <si>
    <t>Fläche der PVT-Anlage (2)</t>
  </si>
  <si>
    <t>Ausrichtung der Fläche (2)</t>
  </si>
  <si>
    <t>Neigung der Fläche (2)</t>
  </si>
  <si>
    <t>Fläche der PV-Anlage (3)</t>
  </si>
  <si>
    <t>Ausrichtung der Fläche (3)</t>
  </si>
  <si>
    <t>Fläche der PVT-Anlage (4)</t>
  </si>
  <si>
    <t>Ausrichtung der Fläche (4)</t>
  </si>
  <si>
    <t>Stromspeicher</t>
  </si>
  <si>
    <t>Inbetriebnahme-Zeitpunkt</t>
  </si>
  <si>
    <t>Elektroauto</t>
  </si>
  <si>
    <t>Ladesäule</t>
  </si>
  <si>
    <t>bis 31.01.2024</t>
  </si>
  <si>
    <t>ab 01.02.2024</t>
  </si>
  <si>
    <t>ab 01.08.2024</t>
  </si>
  <si>
    <t>ab 01.02.2025</t>
  </si>
  <si>
    <t>ab 01.08.2025</t>
  </si>
  <si>
    <t>ab 01.02.2026</t>
  </si>
  <si>
    <t>Barwert_0</t>
  </si>
  <si>
    <t>Barwert_1</t>
  </si>
  <si>
    <t>Barwert_2</t>
  </si>
  <si>
    <t>Barwert_3</t>
  </si>
  <si>
    <t>Barwert_4</t>
  </si>
  <si>
    <t>Barwert_5</t>
  </si>
  <si>
    <t>Barwert_6</t>
  </si>
  <si>
    <t>Barwert_7</t>
  </si>
  <si>
    <t>Barwert_8</t>
  </si>
  <si>
    <t>Barwert_9</t>
  </si>
  <si>
    <t>Barwert_10</t>
  </si>
  <si>
    <t>Barwert_11</t>
  </si>
  <si>
    <t>Barwert_12</t>
  </si>
  <si>
    <t>Barwert_13</t>
  </si>
  <si>
    <t>Barwert_14</t>
  </si>
  <si>
    <t>Barwert_15</t>
  </si>
  <si>
    <t>Barwert_16</t>
  </si>
  <si>
    <t>Barwert_17</t>
  </si>
  <si>
    <t>Barwert_18</t>
  </si>
  <si>
    <t>Barwert_19</t>
  </si>
  <si>
    <t>Barwert_20</t>
  </si>
  <si>
    <t>Barwert_21</t>
  </si>
  <si>
    <t>Barwert_22</t>
  </si>
  <si>
    <t>Barwert_23</t>
  </si>
  <si>
    <t>Barwert_24</t>
  </si>
  <si>
    <t>Barwert_25</t>
  </si>
  <si>
    <t>Barwert_26</t>
  </si>
  <si>
    <t>Barwert_27</t>
  </si>
  <si>
    <t>Barwert_28</t>
  </si>
  <si>
    <t>Barwert_29</t>
  </si>
  <si>
    <t>Barwert_30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</si>
</sst>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  <numFmt numFmtId="166" formatCode="0\°"/>
    <numFmt numFmtId="167" formatCode="0.0000"/>
    <numFmt numFmtId="168" formatCode="_-* #,##0.00\ [$€-407]_-;\-* #,##0.00\ [$€-407]_-;_-* &quot;-&quot;??\ [$€-407]_-;_-@_-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3" fontId="0" fillId="0" borderId="0" xfId="1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165" fontId="0" fillId="0" borderId="0" xfId="0" applyNumberFormat="1"/>
    <xf numFmtId="43" fontId="0" fillId="0" borderId="0" xfId="1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6" fillId="0" borderId="0" xfId="0" applyFont="1"/>
    <xf numFmtId="0" fontId="0" fillId="2" borderId="0" xfId="0" applyFill="1"/>
    <xf numFmtId="9" fontId="0" fillId="2" borderId="0" xfId="0" applyNumberFormat="1" applyFill="1"/>
    <xf numFmtId="43" fontId="0" fillId="2" borderId="0" xfId="1" applyFont="1" applyFill="1"/>
    <xf numFmtId="43" fontId="1" fillId="2" borderId="0" xfId="1" applyFont="1" applyFill="1"/>
    <xf numFmtId="0" fontId="0" fillId="3" borderId="0" xfId="0" applyFill="1"/>
    <xf numFmtId="43" fontId="0" fillId="4" borderId="0" xfId="1" applyFont="1" applyFill="1"/>
    <xf numFmtId="16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1" fillId="0" borderId="0" xfId="0" applyFont="1"/>
    <xf numFmtId="4" fontId="0" fillId="4" borderId="0" xfId="0" applyNumberFormat="1" applyFill="1"/>
    <xf numFmtId="0" fontId="2" fillId="0" borderId="0" xfId="0" applyFont="1" applyAlignment="1">
      <alignment wrapText="1"/>
    </xf>
    <xf numFmtId="167" fontId="0" fillId="0" borderId="0" xfId="0" applyNumberFormat="1"/>
    <xf numFmtId="8" fontId="0" fillId="0" borderId="0" xfId="0" applyNumberFormat="1"/>
    <xf numFmtId="168" fontId="0" fillId="4" borderId="0" xfId="0" applyNumberFormat="1" applyFill="1"/>
    <xf numFmtId="0" fontId="0" fillId="0" borderId="0" xfId="0" applyAlignment="1">
      <alignment horizontal="left" indent="1"/>
    </xf>
    <xf numFmtId="44" fontId="0" fillId="4" borderId="0" xfId="2" applyFont="1" applyFill="1"/>
    <xf numFmtId="2" fontId="0" fillId="4" borderId="0" xfId="1" applyNumberFormat="1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2" fontId="0" fillId="2" borderId="0" xfId="0" applyNumberFormat="1" applyFill="1"/>
    <xf numFmtId="167" fontId="0" fillId="4" borderId="0" xfId="0" applyNumberFormat="1" applyFill="1"/>
    <xf numFmtId="49" fontId="7" fillId="0" borderId="0" xfId="0" applyNumberFormat="1" applyFont="1" applyAlignment="1">
      <alignment horizontal="center"/>
    </xf>
    <xf numFmtId="164" fontId="1" fillId="0" borderId="0" xfId="0" applyNumberFormat="1" applyFont="1"/>
    <xf numFmtId="3" fontId="0" fillId="4" borderId="0" xfId="0" applyNumberFormat="1" applyFill="1"/>
    <xf numFmtId="3" fontId="0" fillId="0" borderId="0" xfId="0" applyNumberFormat="1"/>
    <xf numFmtId="168" fontId="0" fillId="4" borderId="0" xfId="2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0" fillId="0" borderId="0" xfId="0" applyNumberFormat="1"/>
    <xf numFmtId="43" fontId="1" fillId="0" borderId="0" xfId="1" applyFont="1" applyFill="1"/>
    <xf numFmtId="44" fontId="0" fillId="2" borderId="0" xfId="2" applyFont="1" applyFill="1"/>
    <xf numFmtId="44" fontId="1" fillId="2" borderId="0" xfId="2" applyFont="1" applyFill="1"/>
    <xf numFmtId="0" fontId="6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</cellXfs>
  <cellStyles count="3">
    <cellStyle name="Komma" xfId="1" builtinId="3"/>
    <cellStyle name="Standard" xfId="0" builtinId="0"/>
    <cellStyle name="Währung" xfId="2" builtin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35B1-52B6-DC41-A3A7-A467B7C85F43}">
  <dimension ref="A1:D20"/>
  <sheetViews>
    <sheetView workbookViewId="0">
      <selection activeCell="D19" sqref="D19"/>
    </sheetView>
  </sheetViews>
  <sheetFormatPr baseColWidth="10" defaultRowHeight="16" x14ac:dyDescent="0.2"/>
  <cols>
    <col min="1" max="1" width="26" customWidth="1"/>
  </cols>
  <sheetData>
    <row r="1" spans="1:4" x14ac:dyDescent="0.2">
      <c r="A1" t="s">
        <v>261</v>
      </c>
      <c r="B1" t="s">
        <v>262</v>
      </c>
      <c r="C1" t="s">
        <v>263</v>
      </c>
      <c r="D1" t="s">
        <v>264</v>
      </c>
    </row>
    <row r="2" spans="1:4" x14ac:dyDescent="0.2">
      <c r="A2" t="s">
        <v>140</v>
      </c>
    </row>
    <row r="3" spans="1:4" x14ac:dyDescent="0.2">
      <c r="A3" t="s">
        <v>91</v>
      </c>
    </row>
    <row r="4" spans="1:4" x14ac:dyDescent="0.2">
      <c r="A4" t="s">
        <v>92</v>
      </c>
    </row>
    <row r="5" spans="1:4" x14ac:dyDescent="0.2">
      <c r="A5" t="s">
        <v>137</v>
      </c>
    </row>
    <row r="6" spans="1:4" x14ac:dyDescent="0.2">
      <c r="A6" t="s">
        <v>265</v>
      </c>
    </row>
    <row r="7" spans="1:4" x14ac:dyDescent="0.2">
      <c r="A7" t="s">
        <v>266</v>
      </c>
      <c r="D7">
        <v>0</v>
      </c>
    </row>
    <row r="8" spans="1:4" x14ac:dyDescent="0.2">
      <c r="A8" t="s">
        <v>267</v>
      </c>
      <c r="D8" t="s">
        <v>9</v>
      </c>
    </row>
    <row r="9" spans="1:4" x14ac:dyDescent="0.2">
      <c r="A9" t="s">
        <v>268</v>
      </c>
      <c r="D9" t="s">
        <v>25</v>
      </c>
    </row>
    <row r="10" spans="1:4" x14ac:dyDescent="0.2">
      <c r="A10" t="s">
        <v>269</v>
      </c>
      <c r="D10">
        <v>0</v>
      </c>
    </row>
    <row r="11" spans="1:4" x14ac:dyDescent="0.2">
      <c r="A11" t="s">
        <v>270</v>
      </c>
      <c r="D11" t="s">
        <v>9</v>
      </c>
    </row>
    <row r="12" spans="1:4" x14ac:dyDescent="0.2">
      <c r="A12" t="s">
        <v>271</v>
      </c>
      <c r="D12" t="s">
        <v>25</v>
      </c>
    </row>
    <row r="13" spans="1:4" x14ac:dyDescent="0.2">
      <c r="A13" s="11" t="s">
        <v>272</v>
      </c>
      <c r="D13">
        <v>0</v>
      </c>
    </row>
    <row r="14" spans="1:4" x14ac:dyDescent="0.2">
      <c r="A14" s="11" t="s">
        <v>273</v>
      </c>
      <c r="D14" t="s">
        <v>9</v>
      </c>
    </row>
    <row r="15" spans="1:4" x14ac:dyDescent="0.2">
      <c r="A15" s="11" t="s">
        <v>274</v>
      </c>
      <c r="D15">
        <v>0</v>
      </c>
    </row>
    <row r="16" spans="1:4" x14ac:dyDescent="0.2">
      <c r="A16" s="11" t="s">
        <v>275</v>
      </c>
      <c r="D16" t="s">
        <v>9</v>
      </c>
    </row>
    <row r="17" spans="1:4" x14ac:dyDescent="0.2">
      <c r="A17" s="11" t="s">
        <v>276</v>
      </c>
    </row>
    <row r="18" spans="1:4" x14ac:dyDescent="0.2">
      <c r="A18" s="11" t="s">
        <v>277</v>
      </c>
      <c r="D18" t="s">
        <v>280</v>
      </c>
    </row>
    <row r="19" spans="1:4" x14ac:dyDescent="0.2">
      <c r="A19" s="11" t="s">
        <v>278</v>
      </c>
    </row>
    <row r="20" spans="1:4" x14ac:dyDescent="0.2">
      <c r="A20" s="11" t="s">
        <v>279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E0D6-B4AB-904F-8E3B-A9691E005BC2}">
  <dimension ref="A2:D33"/>
  <sheetViews>
    <sheetView showFormulas="1" workbookViewId="0">
      <selection activeCell="D30" sqref="D30"/>
    </sheetView>
  </sheetViews>
  <sheetFormatPr baseColWidth="10" defaultColWidth="11" defaultRowHeight="16" x14ac:dyDescent="0.2"/>
  <cols>
    <col min="2" max="2" width="6.5" customWidth="1"/>
    <col min="3" max="3" width="20" customWidth="1"/>
    <col min="7" max="7" width="25.5" customWidth="1"/>
  </cols>
  <sheetData>
    <row r="2" spans="1:2" x14ac:dyDescent="0.2">
      <c r="A2" t="s">
        <v>0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3" spans="1:2" x14ac:dyDescent="0.2">
      <c r="A13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4" x14ac:dyDescent="0.2">
      <c r="A17" t="s">
        <v>22</v>
      </c>
      <c r="B17" t="s">
        <v>23</v>
      </c>
    </row>
    <row r="18" spans="1:4" x14ac:dyDescent="0.2">
      <c r="A18" t="s">
        <v>24</v>
      </c>
      <c r="B18" t="s">
        <v>25</v>
      </c>
    </row>
    <row r="19" spans="1:4" x14ac:dyDescent="0.2">
      <c r="A19" t="s">
        <v>26</v>
      </c>
      <c r="B19" t="s">
        <v>27</v>
      </c>
    </row>
    <row r="20" spans="1:4" x14ac:dyDescent="0.2">
      <c r="A20" t="s">
        <v>28</v>
      </c>
      <c r="B20" t="s">
        <v>29</v>
      </c>
    </row>
    <row r="21" spans="1:4" x14ac:dyDescent="0.2">
      <c r="A21" t="s">
        <v>30</v>
      </c>
      <c r="B21" t="s">
        <v>31</v>
      </c>
    </row>
    <row r="22" spans="1:4" x14ac:dyDescent="0.2">
      <c r="A22" t="s">
        <v>136</v>
      </c>
      <c r="B22" t="s">
        <v>46</v>
      </c>
    </row>
    <row r="24" spans="1:4" x14ac:dyDescent="0.2">
      <c r="A24" t="s">
        <v>138</v>
      </c>
      <c r="C24" t="s">
        <v>53</v>
      </c>
      <c r="D24" t="s">
        <v>212</v>
      </c>
    </row>
    <row r="25" spans="1:4" x14ac:dyDescent="0.2">
      <c r="A25" t="s">
        <v>139</v>
      </c>
      <c r="C25" t="s">
        <v>54</v>
      </c>
      <c r="D25" t="s">
        <v>213</v>
      </c>
    </row>
    <row r="26" spans="1:4" x14ac:dyDescent="0.2">
      <c r="A26" t="s">
        <v>211</v>
      </c>
    </row>
    <row r="28" spans="1:4" x14ac:dyDescent="0.2">
      <c r="A28" t="s">
        <v>77</v>
      </c>
    </row>
    <row r="29" spans="1:4" x14ac:dyDescent="0.2">
      <c r="A29" t="s">
        <v>187</v>
      </c>
      <c r="C29">
        <v>450</v>
      </c>
    </row>
    <row r="30" spans="1:4" x14ac:dyDescent="0.2">
      <c r="A30" t="s">
        <v>188</v>
      </c>
      <c r="C30">
        <f>500/3*Eingangsparameter!D91-50</f>
        <v>-50</v>
      </c>
    </row>
    <row r="31" spans="1:4" x14ac:dyDescent="0.2">
      <c r="A31" t="s">
        <v>189</v>
      </c>
      <c r="C31">
        <f>50/3*Eingangsparameter!D91+850</f>
        <v>850</v>
      </c>
    </row>
    <row r="32" spans="1:4" x14ac:dyDescent="0.2">
      <c r="A32" t="s">
        <v>190</v>
      </c>
      <c r="C32">
        <f>500/6*Eingangsparameter!D91+250</f>
        <v>250</v>
      </c>
    </row>
    <row r="33" spans="1:3" x14ac:dyDescent="0.2">
      <c r="A33" t="s">
        <v>191</v>
      </c>
      <c r="C33">
        <v>2000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E6FB-F70D-CC4D-93C0-E0F08DCBC3CA}">
  <dimension ref="A2:M60"/>
  <sheetViews>
    <sheetView topLeftCell="A27" workbookViewId="0">
      <selection activeCell="K61" sqref="K61"/>
    </sheetView>
  </sheetViews>
  <sheetFormatPr baseColWidth="10" defaultColWidth="11" defaultRowHeight="16" x14ac:dyDescent="0.2"/>
  <cols>
    <col min="2" max="2" width="13.33203125" customWidth="1"/>
    <col min="3" max="3" width="8.6640625" customWidth="1"/>
    <col min="4" max="4" width="8.1640625" style="21" hidden="1" customWidth="1"/>
    <col min="5" max="5" width="8.1640625" style="21" customWidth="1"/>
    <col min="6" max="6" width="24.83203125" hidden="1" customWidth="1"/>
    <col min="7" max="7" width="26.33203125" hidden="1" customWidth="1"/>
    <col min="8" max="8" width="8.5" customWidth="1"/>
  </cols>
  <sheetData>
    <row r="2" spans="1:13" x14ac:dyDescent="0.2">
      <c r="A2" s="3" t="s">
        <v>32</v>
      </c>
      <c r="B2" s="3"/>
      <c r="C2" s="3"/>
      <c r="D2" s="20"/>
      <c r="E2" s="20"/>
      <c r="F2" s="3"/>
      <c r="G2" s="3"/>
      <c r="I2" t="s">
        <v>129</v>
      </c>
      <c r="L2">
        <v>1000</v>
      </c>
      <c r="M2" t="s">
        <v>130</v>
      </c>
    </row>
    <row r="3" spans="1:13" x14ac:dyDescent="0.2">
      <c r="A3" s="3"/>
      <c r="B3" s="3"/>
      <c r="C3" s="3"/>
      <c r="D3" s="20"/>
      <c r="E3" s="20"/>
      <c r="F3" s="19"/>
      <c r="G3" s="19"/>
      <c r="I3" t="s">
        <v>131</v>
      </c>
      <c r="L3">
        <v>0.2</v>
      </c>
      <c r="M3" t="s">
        <v>132</v>
      </c>
    </row>
    <row r="4" spans="1:13" x14ac:dyDescent="0.2">
      <c r="A4" s="3" t="s">
        <v>35</v>
      </c>
      <c r="B4" s="3" t="s">
        <v>36</v>
      </c>
      <c r="C4" s="3" t="s">
        <v>37</v>
      </c>
      <c r="D4" s="20" t="s">
        <v>38</v>
      </c>
      <c r="E4" s="20" t="s">
        <v>128</v>
      </c>
      <c r="F4" s="3" t="s">
        <v>39</v>
      </c>
      <c r="G4" s="3" t="s">
        <v>40</v>
      </c>
    </row>
    <row r="5" spans="1:13" x14ac:dyDescent="0.2">
      <c r="A5" t="s">
        <v>1</v>
      </c>
      <c r="B5" s="18" t="s">
        <v>41</v>
      </c>
      <c r="C5" s="44" t="s">
        <v>21</v>
      </c>
      <c r="D5" s="21">
        <v>20</v>
      </c>
      <c r="E5" s="21">
        <v>82.7</v>
      </c>
      <c r="F5">
        <f>$L$3*D5*$L$2*E5/100</f>
        <v>3308</v>
      </c>
    </row>
    <row r="6" spans="1:13" x14ac:dyDescent="0.2">
      <c r="A6" t="s">
        <v>1</v>
      </c>
      <c r="B6" s="18" t="s">
        <v>41</v>
      </c>
      <c r="C6" s="44" t="s">
        <v>23</v>
      </c>
      <c r="D6" s="21">
        <v>20</v>
      </c>
      <c r="E6" s="21">
        <v>64.8</v>
      </c>
      <c r="F6">
        <f t="shared" ref="F6:F37" si="0">$L$3*D6*$L$2*E6/100</f>
        <v>2592</v>
      </c>
    </row>
    <row r="7" spans="1:13" x14ac:dyDescent="0.2">
      <c r="A7" t="s">
        <v>1</v>
      </c>
      <c r="B7" s="18" t="s">
        <v>41</v>
      </c>
      <c r="C7" s="44" t="s">
        <v>25</v>
      </c>
      <c r="D7" s="21">
        <v>20</v>
      </c>
      <c r="E7" s="21">
        <v>56.3</v>
      </c>
      <c r="F7">
        <f t="shared" si="0"/>
        <v>2252</v>
      </c>
    </row>
    <row r="8" spans="1:13" x14ac:dyDescent="0.2">
      <c r="A8" t="s">
        <v>1</v>
      </c>
      <c r="B8" s="18" t="s">
        <v>41</v>
      </c>
      <c r="C8" s="44" t="s">
        <v>27</v>
      </c>
      <c r="D8" s="21">
        <v>20</v>
      </c>
      <c r="E8" s="21">
        <v>48.1</v>
      </c>
      <c r="F8">
        <f t="shared" si="0"/>
        <v>1924</v>
      </c>
    </row>
    <row r="9" spans="1:13" x14ac:dyDescent="0.2">
      <c r="A9" t="s">
        <v>1</v>
      </c>
      <c r="B9" s="18" t="s">
        <v>41</v>
      </c>
      <c r="C9" s="44" t="s">
        <v>29</v>
      </c>
      <c r="D9" s="21">
        <v>20</v>
      </c>
      <c r="E9" s="21">
        <v>41</v>
      </c>
      <c r="F9">
        <f t="shared" si="0"/>
        <v>1640</v>
      </c>
    </row>
    <row r="10" spans="1:13" x14ac:dyDescent="0.2">
      <c r="A10" t="s">
        <v>1</v>
      </c>
      <c r="B10" s="18" t="s">
        <v>41</v>
      </c>
      <c r="C10" s="44" t="s">
        <v>31</v>
      </c>
      <c r="D10" s="21">
        <v>20</v>
      </c>
      <c r="E10" s="21">
        <v>33.700000000000003</v>
      </c>
      <c r="F10">
        <f t="shared" si="0"/>
        <v>1348</v>
      </c>
    </row>
    <row r="11" spans="1:13" x14ac:dyDescent="0.2">
      <c r="A11" t="s">
        <v>1</v>
      </c>
      <c r="B11" s="18" t="s">
        <v>41</v>
      </c>
      <c r="C11" s="44" t="s">
        <v>46</v>
      </c>
      <c r="D11" s="21">
        <v>20</v>
      </c>
      <c r="E11" s="21">
        <v>28.7</v>
      </c>
      <c r="F11">
        <f t="shared" si="0"/>
        <v>1148</v>
      </c>
    </row>
    <row r="12" spans="1:13" x14ac:dyDescent="0.2">
      <c r="A12" t="s">
        <v>3</v>
      </c>
      <c r="B12" s="18" t="s">
        <v>42</v>
      </c>
      <c r="C12" s="44" t="s">
        <v>21</v>
      </c>
      <c r="D12" s="21">
        <v>20</v>
      </c>
      <c r="E12" s="21">
        <v>83.9</v>
      </c>
      <c r="F12">
        <f t="shared" si="0"/>
        <v>3356</v>
      </c>
    </row>
    <row r="13" spans="1:13" x14ac:dyDescent="0.2">
      <c r="A13" t="s">
        <v>3</v>
      </c>
      <c r="B13" s="18" t="s">
        <v>42</v>
      </c>
      <c r="C13" s="44" t="s">
        <v>23</v>
      </c>
      <c r="D13" s="21">
        <v>20</v>
      </c>
      <c r="E13" s="21">
        <v>70.400000000000006</v>
      </c>
      <c r="F13">
        <f t="shared" si="0"/>
        <v>2816</v>
      </c>
    </row>
    <row r="14" spans="1:13" x14ac:dyDescent="0.2">
      <c r="A14" t="s">
        <v>3</v>
      </c>
      <c r="B14" s="18" t="s">
        <v>42</v>
      </c>
      <c r="C14" s="44" t="s">
        <v>25</v>
      </c>
      <c r="D14" s="21">
        <v>20</v>
      </c>
      <c r="E14" s="21">
        <v>63.5</v>
      </c>
      <c r="F14">
        <f t="shared" si="0"/>
        <v>2540</v>
      </c>
    </row>
    <row r="15" spans="1:13" x14ac:dyDescent="0.2">
      <c r="A15" t="s">
        <v>3</v>
      </c>
      <c r="B15" s="18" t="s">
        <v>42</v>
      </c>
      <c r="C15" s="44" t="s">
        <v>27</v>
      </c>
      <c r="D15" s="21">
        <v>20</v>
      </c>
      <c r="E15" s="21">
        <v>57.3</v>
      </c>
      <c r="F15">
        <f t="shared" si="0"/>
        <v>2292</v>
      </c>
    </row>
    <row r="16" spans="1:13" x14ac:dyDescent="0.2">
      <c r="A16" t="s">
        <v>3</v>
      </c>
      <c r="B16" s="18" t="s">
        <v>42</v>
      </c>
      <c r="C16" s="44" t="s">
        <v>29</v>
      </c>
      <c r="D16" s="21">
        <v>20</v>
      </c>
      <c r="E16" s="21">
        <v>52.1</v>
      </c>
      <c r="F16">
        <f t="shared" si="0"/>
        <v>2084</v>
      </c>
    </row>
    <row r="17" spans="1:6" x14ac:dyDescent="0.2">
      <c r="A17" t="s">
        <v>3</v>
      </c>
      <c r="B17" s="18" t="s">
        <v>42</v>
      </c>
      <c r="C17" s="44" t="s">
        <v>31</v>
      </c>
      <c r="D17" s="21">
        <v>20</v>
      </c>
      <c r="E17" s="21">
        <v>45.5</v>
      </c>
      <c r="F17">
        <f t="shared" si="0"/>
        <v>1820</v>
      </c>
    </row>
    <row r="18" spans="1:6" x14ac:dyDescent="0.2">
      <c r="A18" t="s">
        <v>3</v>
      </c>
      <c r="B18" s="18" t="s">
        <v>42</v>
      </c>
      <c r="C18" s="44" t="s">
        <v>46</v>
      </c>
      <c r="D18" s="21">
        <v>20</v>
      </c>
      <c r="E18" s="21">
        <v>37.6</v>
      </c>
      <c r="F18">
        <f t="shared" si="0"/>
        <v>1504</v>
      </c>
    </row>
    <row r="19" spans="1:6" x14ac:dyDescent="0.2">
      <c r="A19" t="s">
        <v>5</v>
      </c>
      <c r="B19" s="18" t="s">
        <v>43</v>
      </c>
      <c r="C19" s="44" t="s">
        <v>21</v>
      </c>
      <c r="D19" s="21">
        <v>20</v>
      </c>
      <c r="E19" s="21">
        <v>86.4</v>
      </c>
      <c r="F19">
        <f t="shared" si="0"/>
        <v>3456</v>
      </c>
    </row>
    <row r="20" spans="1:6" x14ac:dyDescent="0.2">
      <c r="A20" t="s">
        <v>5</v>
      </c>
      <c r="B20" s="18" t="s">
        <v>43</v>
      </c>
      <c r="C20" s="44" t="s">
        <v>23</v>
      </c>
      <c r="D20" s="21">
        <v>20</v>
      </c>
      <c r="E20" s="21">
        <v>83.3</v>
      </c>
      <c r="F20">
        <f t="shared" si="0"/>
        <v>3332</v>
      </c>
    </row>
    <row r="21" spans="1:6" x14ac:dyDescent="0.2">
      <c r="A21" t="s">
        <v>5</v>
      </c>
      <c r="B21" s="18" t="s">
        <v>43</v>
      </c>
      <c r="C21" s="44" t="s">
        <v>25</v>
      </c>
      <c r="D21" s="21">
        <v>20</v>
      </c>
      <c r="E21" s="21">
        <v>80.7</v>
      </c>
      <c r="F21">
        <f t="shared" si="0"/>
        <v>3228</v>
      </c>
    </row>
    <row r="22" spans="1:6" x14ac:dyDescent="0.2">
      <c r="A22" t="s">
        <v>5</v>
      </c>
      <c r="B22" s="18" t="s">
        <v>43</v>
      </c>
      <c r="C22" s="44" t="s">
        <v>27</v>
      </c>
      <c r="D22" s="21">
        <v>20</v>
      </c>
      <c r="E22" s="21">
        <v>77.5</v>
      </c>
      <c r="F22">
        <f t="shared" si="0"/>
        <v>3100</v>
      </c>
    </row>
    <row r="23" spans="1:6" x14ac:dyDescent="0.2">
      <c r="A23" t="s">
        <v>5</v>
      </c>
      <c r="B23" s="18" t="s">
        <v>43</v>
      </c>
      <c r="C23" s="44" t="s">
        <v>29</v>
      </c>
      <c r="D23" s="21">
        <v>20</v>
      </c>
      <c r="E23" s="21">
        <v>73.599999999999994</v>
      </c>
      <c r="F23">
        <f t="shared" si="0"/>
        <v>2944</v>
      </c>
    </row>
    <row r="24" spans="1:6" x14ac:dyDescent="0.2">
      <c r="A24" t="s">
        <v>5</v>
      </c>
      <c r="B24" s="18" t="s">
        <v>43</v>
      </c>
      <c r="C24" s="44" t="s">
        <v>31</v>
      </c>
      <c r="D24" s="21">
        <v>20</v>
      </c>
      <c r="E24" s="21">
        <v>66.599999999999994</v>
      </c>
      <c r="F24">
        <f t="shared" si="0"/>
        <v>2664</v>
      </c>
    </row>
    <row r="25" spans="1:6" x14ac:dyDescent="0.2">
      <c r="A25" t="s">
        <v>5</v>
      </c>
      <c r="B25" s="18" t="s">
        <v>43</v>
      </c>
      <c r="C25" s="44" t="s">
        <v>46</v>
      </c>
      <c r="D25" s="21">
        <v>20</v>
      </c>
      <c r="E25" s="21">
        <v>55.3</v>
      </c>
      <c r="F25">
        <f t="shared" si="0"/>
        <v>2212</v>
      </c>
    </row>
    <row r="26" spans="1:6" x14ac:dyDescent="0.2">
      <c r="A26" t="s">
        <v>7</v>
      </c>
      <c r="B26" s="18" t="s">
        <v>44</v>
      </c>
      <c r="C26" s="44" t="s">
        <v>21</v>
      </c>
      <c r="D26" s="21">
        <v>20</v>
      </c>
      <c r="E26" s="21">
        <v>89</v>
      </c>
      <c r="F26">
        <f t="shared" si="0"/>
        <v>3560</v>
      </c>
    </row>
    <row r="27" spans="1:6" x14ac:dyDescent="0.2">
      <c r="A27" t="s">
        <v>7</v>
      </c>
      <c r="B27" s="18" t="s">
        <v>44</v>
      </c>
      <c r="C27" s="44" t="s">
        <v>23</v>
      </c>
      <c r="D27" s="21">
        <v>20</v>
      </c>
      <c r="E27" s="21">
        <v>94.6</v>
      </c>
      <c r="F27">
        <f t="shared" si="0"/>
        <v>3784</v>
      </c>
    </row>
    <row r="28" spans="1:6" x14ac:dyDescent="0.2">
      <c r="A28" t="s">
        <v>7</v>
      </c>
      <c r="B28" s="18" t="s">
        <v>44</v>
      </c>
      <c r="C28" s="44" t="s">
        <v>25</v>
      </c>
      <c r="D28" s="21">
        <v>20</v>
      </c>
      <c r="E28" s="21">
        <v>94.9</v>
      </c>
      <c r="F28">
        <f t="shared" si="0"/>
        <v>3796</v>
      </c>
    </row>
    <row r="29" spans="1:6" x14ac:dyDescent="0.2">
      <c r="A29" t="s">
        <v>7</v>
      </c>
      <c r="B29" s="18" t="s">
        <v>44</v>
      </c>
      <c r="C29" s="44" t="s">
        <v>27</v>
      </c>
      <c r="D29" s="21">
        <v>20</v>
      </c>
      <c r="E29" s="21">
        <v>93.6</v>
      </c>
      <c r="F29">
        <f t="shared" si="0"/>
        <v>3744</v>
      </c>
    </row>
    <row r="30" spans="1:6" x14ac:dyDescent="0.2">
      <c r="A30" t="s">
        <v>7</v>
      </c>
      <c r="B30" s="18" t="s">
        <v>44</v>
      </c>
      <c r="C30" s="44" t="s">
        <v>29</v>
      </c>
      <c r="D30" s="21">
        <v>20</v>
      </c>
      <c r="E30" s="21">
        <v>90.4</v>
      </c>
      <c r="F30">
        <f t="shared" si="0"/>
        <v>3616</v>
      </c>
    </row>
    <row r="31" spans="1:6" x14ac:dyDescent="0.2">
      <c r="A31" t="s">
        <v>7</v>
      </c>
      <c r="B31" s="18" t="s">
        <v>44</v>
      </c>
      <c r="C31" s="44" t="s">
        <v>31</v>
      </c>
      <c r="D31" s="21">
        <v>20</v>
      </c>
      <c r="E31" s="21">
        <v>82.8</v>
      </c>
      <c r="F31">
        <f t="shared" si="0"/>
        <v>3312</v>
      </c>
    </row>
    <row r="32" spans="1:6" x14ac:dyDescent="0.2">
      <c r="A32" t="s">
        <v>7</v>
      </c>
      <c r="B32" s="18" t="s">
        <v>44</v>
      </c>
      <c r="C32" s="44" t="s">
        <v>46</v>
      </c>
      <c r="D32" s="21">
        <v>20</v>
      </c>
      <c r="E32" s="21">
        <v>68.099999999999994</v>
      </c>
      <c r="F32">
        <f t="shared" si="0"/>
        <v>2724</v>
      </c>
    </row>
    <row r="33" spans="1:6" x14ac:dyDescent="0.2">
      <c r="A33" t="s">
        <v>9</v>
      </c>
      <c r="B33" s="18" t="s">
        <v>45</v>
      </c>
      <c r="C33" s="44" t="s">
        <v>21</v>
      </c>
      <c r="D33" s="21">
        <v>20</v>
      </c>
      <c r="E33" s="21">
        <v>90</v>
      </c>
      <c r="F33">
        <f t="shared" si="0"/>
        <v>3600</v>
      </c>
    </row>
    <row r="34" spans="1:6" x14ac:dyDescent="0.2">
      <c r="A34" t="s">
        <v>9</v>
      </c>
      <c r="B34" s="18" t="s">
        <v>45</v>
      </c>
      <c r="C34" s="44" t="s">
        <v>23</v>
      </c>
      <c r="D34" s="21">
        <v>20</v>
      </c>
      <c r="E34" s="21">
        <v>98.7</v>
      </c>
      <c r="F34">
        <f t="shared" si="0"/>
        <v>3948</v>
      </c>
    </row>
    <row r="35" spans="1:6" x14ac:dyDescent="0.2">
      <c r="A35" t="s">
        <v>9</v>
      </c>
      <c r="B35" s="18" t="s">
        <v>45</v>
      </c>
      <c r="C35" s="44" t="s">
        <v>25</v>
      </c>
      <c r="D35" s="21">
        <v>20</v>
      </c>
      <c r="E35" s="21">
        <v>100</v>
      </c>
      <c r="F35">
        <f t="shared" si="0"/>
        <v>4000</v>
      </c>
    </row>
    <row r="36" spans="1:6" x14ac:dyDescent="0.2">
      <c r="A36" t="s">
        <v>9</v>
      </c>
      <c r="B36" s="18" t="s">
        <v>45</v>
      </c>
      <c r="C36" s="44" t="s">
        <v>27</v>
      </c>
      <c r="D36" s="21">
        <v>20</v>
      </c>
      <c r="E36" s="21">
        <v>99</v>
      </c>
      <c r="F36">
        <f t="shared" si="0"/>
        <v>3960</v>
      </c>
    </row>
    <row r="37" spans="1:6" x14ac:dyDescent="0.2">
      <c r="A37" t="s">
        <v>9</v>
      </c>
      <c r="B37" s="18" t="s">
        <v>45</v>
      </c>
      <c r="C37" s="44" t="s">
        <v>29</v>
      </c>
      <c r="D37" s="21">
        <v>20</v>
      </c>
      <c r="E37" s="21">
        <v>96</v>
      </c>
      <c r="F37">
        <f t="shared" si="0"/>
        <v>3840</v>
      </c>
    </row>
    <row r="38" spans="1:6" x14ac:dyDescent="0.2">
      <c r="A38" t="s">
        <v>9</v>
      </c>
      <c r="B38" s="18" t="s">
        <v>45</v>
      </c>
      <c r="C38" s="44" t="s">
        <v>31</v>
      </c>
      <c r="D38" s="21">
        <v>20</v>
      </c>
      <c r="E38" s="21">
        <v>87.6</v>
      </c>
      <c r="F38">
        <f t="shared" ref="F38:F60" si="1">$L$3*D38*$L$2*E38/100</f>
        <v>3504</v>
      </c>
    </row>
    <row r="39" spans="1:6" x14ac:dyDescent="0.2">
      <c r="A39" t="s">
        <v>9</v>
      </c>
      <c r="B39" s="18" t="s">
        <v>45</v>
      </c>
      <c r="C39" s="44" t="s">
        <v>46</v>
      </c>
      <c r="D39" s="21">
        <v>20</v>
      </c>
      <c r="E39" s="21">
        <v>70.599999999999994</v>
      </c>
      <c r="F39">
        <f t="shared" si="1"/>
        <v>2824</v>
      </c>
    </row>
    <row r="40" spans="1:6" x14ac:dyDescent="0.2">
      <c r="A40" t="s">
        <v>11</v>
      </c>
      <c r="B40" s="18" t="s">
        <v>27</v>
      </c>
      <c r="C40" s="44" t="s">
        <v>21</v>
      </c>
      <c r="D40" s="21">
        <v>20</v>
      </c>
      <c r="E40" s="21">
        <v>89</v>
      </c>
      <c r="F40">
        <f t="shared" si="1"/>
        <v>3560</v>
      </c>
    </row>
    <row r="41" spans="1:6" x14ac:dyDescent="0.2">
      <c r="A41" t="s">
        <v>11</v>
      </c>
      <c r="B41" s="18" t="s">
        <v>27</v>
      </c>
      <c r="C41" s="44" t="s">
        <v>23</v>
      </c>
      <c r="D41" s="21">
        <v>20</v>
      </c>
      <c r="E41" s="21">
        <v>94.6</v>
      </c>
      <c r="F41">
        <f t="shared" si="1"/>
        <v>3784</v>
      </c>
    </row>
    <row r="42" spans="1:6" x14ac:dyDescent="0.2">
      <c r="A42" t="s">
        <v>11</v>
      </c>
      <c r="B42" s="18" t="s">
        <v>27</v>
      </c>
      <c r="C42" s="44" t="s">
        <v>25</v>
      </c>
      <c r="D42" s="21">
        <v>20</v>
      </c>
      <c r="E42" s="21">
        <v>94.9</v>
      </c>
      <c r="F42">
        <f t="shared" si="1"/>
        <v>3796</v>
      </c>
    </row>
    <row r="43" spans="1:6" x14ac:dyDescent="0.2">
      <c r="A43" t="s">
        <v>11</v>
      </c>
      <c r="B43" s="18" t="s">
        <v>27</v>
      </c>
      <c r="C43" s="44" t="s">
        <v>27</v>
      </c>
      <c r="D43" s="21">
        <v>20</v>
      </c>
      <c r="E43" s="21">
        <v>93.6</v>
      </c>
      <c r="F43">
        <f t="shared" si="1"/>
        <v>3744</v>
      </c>
    </row>
    <row r="44" spans="1:6" x14ac:dyDescent="0.2">
      <c r="A44" t="s">
        <v>11</v>
      </c>
      <c r="B44" s="18" t="s">
        <v>27</v>
      </c>
      <c r="C44" s="44" t="s">
        <v>29</v>
      </c>
      <c r="D44" s="21">
        <v>20</v>
      </c>
      <c r="E44" s="21">
        <v>90.4</v>
      </c>
      <c r="F44">
        <f t="shared" si="1"/>
        <v>3616</v>
      </c>
    </row>
    <row r="45" spans="1:6" x14ac:dyDescent="0.2">
      <c r="A45" t="s">
        <v>11</v>
      </c>
      <c r="B45" s="18" t="s">
        <v>27</v>
      </c>
      <c r="C45" s="44" t="s">
        <v>31</v>
      </c>
      <c r="D45" s="21">
        <v>20</v>
      </c>
      <c r="E45" s="21">
        <v>82.8</v>
      </c>
      <c r="F45">
        <f t="shared" si="1"/>
        <v>3312</v>
      </c>
    </row>
    <row r="46" spans="1:6" x14ac:dyDescent="0.2">
      <c r="A46" t="s">
        <v>11</v>
      </c>
      <c r="B46" s="18" t="s">
        <v>27</v>
      </c>
      <c r="C46" s="44" t="s">
        <v>46</v>
      </c>
      <c r="D46" s="21">
        <v>20</v>
      </c>
      <c r="E46" s="21">
        <v>68.099999999999994</v>
      </c>
      <c r="F46">
        <f t="shared" si="1"/>
        <v>2724</v>
      </c>
    </row>
    <row r="47" spans="1:6" x14ac:dyDescent="0.2">
      <c r="A47" t="s">
        <v>13</v>
      </c>
      <c r="B47" s="18" t="s">
        <v>46</v>
      </c>
      <c r="C47" s="44" t="s">
        <v>21</v>
      </c>
      <c r="D47" s="21">
        <v>20</v>
      </c>
      <c r="E47" s="21">
        <v>86.4</v>
      </c>
      <c r="F47">
        <f t="shared" si="1"/>
        <v>3456</v>
      </c>
    </row>
    <row r="48" spans="1:6" x14ac:dyDescent="0.2">
      <c r="A48" t="s">
        <v>13</v>
      </c>
      <c r="B48" s="18" t="s">
        <v>46</v>
      </c>
      <c r="C48" s="44" t="s">
        <v>23</v>
      </c>
      <c r="D48" s="21">
        <v>20</v>
      </c>
      <c r="E48" s="21">
        <v>83.3</v>
      </c>
      <c r="F48">
        <f t="shared" si="1"/>
        <v>3332</v>
      </c>
    </row>
    <row r="49" spans="1:6" x14ac:dyDescent="0.2">
      <c r="A49" t="s">
        <v>13</v>
      </c>
      <c r="B49" s="18" t="s">
        <v>46</v>
      </c>
      <c r="C49" s="44" t="s">
        <v>25</v>
      </c>
      <c r="D49" s="21">
        <v>20</v>
      </c>
      <c r="E49" s="21">
        <v>80.7</v>
      </c>
      <c r="F49">
        <f t="shared" si="1"/>
        <v>3228</v>
      </c>
    </row>
    <row r="50" spans="1:6" x14ac:dyDescent="0.2">
      <c r="A50" t="s">
        <v>13</v>
      </c>
      <c r="B50" s="18" t="s">
        <v>46</v>
      </c>
      <c r="C50" s="44" t="s">
        <v>27</v>
      </c>
      <c r="D50" s="21">
        <v>20</v>
      </c>
      <c r="E50" s="21">
        <v>77.5</v>
      </c>
      <c r="F50">
        <f t="shared" si="1"/>
        <v>3100</v>
      </c>
    </row>
    <row r="51" spans="1:6" x14ac:dyDescent="0.2">
      <c r="A51" t="s">
        <v>13</v>
      </c>
      <c r="B51" s="18" t="s">
        <v>46</v>
      </c>
      <c r="C51" s="44" t="s">
        <v>29</v>
      </c>
      <c r="D51" s="21">
        <v>20</v>
      </c>
      <c r="E51" s="21">
        <v>73.599999999999994</v>
      </c>
      <c r="F51">
        <f t="shared" si="1"/>
        <v>2944</v>
      </c>
    </row>
    <row r="52" spans="1:6" x14ac:dyDescent="0.2">
      <c r="A52" t="s">
        <v>13</v>
      </c>
      <c r="B52" s="18" t="s">
        <v>46</v>
      </c>
      <c r="C52" s="44" t="s">
        <v>31</v>
      </c>
      <c r="D52" s="21">
        <v>20</v>
      </c>
      <c r="E52" s="21">
        <v>66.599999999999994</v>
      </c>
      <c r="F52">
        <f t="shared" si="1"/>
        <v>2664</v>
      </c>
    </row>
    <row r="53" spans="1:6" x14ac:dyDescent="0.2">
      <c r="A53" t="s">
        <v>13</v>
      </c>
      <c r="B53" s="18" t="s">
        <v>46</v>
      </c>
      <c r="C53" s="44" t="s">
        <v>46</v>
      </c>
      <c r="D53" s="21">
        <v>20</v>
      </c>
      <c r="E53" s="21">
        <v>55.3</v>
      </c>
      <c r="F53">
        <f t="shared" si="1"/>
        <v>2212</v>
      </c>
    </row>
    <row r="54" spans="1:6" x14ac:dyDescent="0.2">
      <c r="A54" t="s">
        <v>15</v>
      </c>
      <c r="B54" s="18" t="s">
        <v>47</v>
      </c>
      <c r="C54" s="44" t="s">
        <v>21</v>
      </c>
      <c r="D54" s="21">
        <v>20</v>
      </c>
      <c r="E54" s="21">
        <v>83.9</v>
      </c>
      <c r="F54">
        <f t="shared" si="1"/>
        <v>3356</v>
      </c>
    </row>
    <row r="55" spans="1:6" x14ac:dyDescent="0.2">
      <c r="A55" t="s">
        <v>15</v>
      </c>
      <c r="B55" s="18" t="s">
        <v>47</v>
      </c>
      <c r="C55" s="44" t="s">
        <v>23</v>
      </c>
      <c r="D55" s="21">
        <v>20</v>
      </c>
      <c r="E55" s="21">
        <v>70.400000000000006</v>
      </c>
      <c r="F55">
        <f t="shared" si="1"/>
        <v>2816</v>
      </c>
    </row>
    <row r="56" spans="1:6" x14ac:dyDescent="0.2">
      <c r="A56" t="s">
        <v>15</v>
      </c>
      <c r="B56" s="18" t="s">
        <v>47</v>
      </c>
      <c r="C56" s="44" t="s">
        <v>25</v>
      </c>
      <c r="D56" s="21">
        <v>20</v>
      </c>
      <c r="E56" s="21">
        <v>63.5</v>
      </c>
      <c r="F56">
        <f t="shared" si="1"/>
        <v>2540</v>
      </c>
    </row>
    <row r="57" spans="1:6" x14ac:dyDescent="0.2">
      <c r="A57" t="s">
        <v>15</v>
      </c>
      <c r="B57" s="18" t="s">
        <v>47</v>
      </c>
      <c r="C57" s="44" t="s">
        <v>27</v>
      </c>
      <c r="D57" s="21">
        <v>20</v>
      </c>
      <c r="E57" s="21">
        <v>57.3</v>
      </c>
      <c r="F57">
        <f t="shared" si="1"/>
        <v>2292</v>
      </c>
    </row>
    <row r="58" spans="1:6" x14ac:dyDescent="0.2">
      <c r="A58" t="s">
        <v>15</v>
      </c>
      <c r="B58" s="18" t="s">
        <v>47</v>
      </c>
      <c r="C58" s="44" t="s">
        <v>29</v>
      </c>
      <c r="D58" s="21">
        <v>20</v>
      </c>
      <c r="E58" s="21">
        <v>52.1</v>
      </c>
      <c r="F58">
        <f t="shared" si="1"/>
        <v>2084</v>
      </c>
    </row>
    <row r="59" spans="1:6" x14ac:dyDescent="0.2">
      <c r="A59" t="s">
        <v>15</v>
      </c>
      <c r="B59" s="18" t="s">
        <v>47</v>
      </c>
      <c r="C59" s="44" t="s">
        <v>31</v>
      </c>
      <c r="D59" s="21">
        <v>20</v>
      </c>
      <c r="E59" s="21">
        <v>45.5</v>
      </c>
      <c r="F59">
        <f t="shared" si="1"/>
        <v>1820</v>
      </c>
    </row>
    <row r="60" spans="1:6" x14ac:dyDescent="0.2">
      <c r="A60" t="s">
        <v>15</v>
      </c>
      <c r="B60" s="18" t="s">
        <v>47</v>
      </c>
      <c r="C60" s="44" t="s">
        <v>46</v>
      </c>
      <c r="D60" s="21">
        <v>20</v>
      </c>
      <c r="E60" s="21">
        <v>37.6</v>
      </c>
      <c r="F60">
        <f t="shared" si="1"/>
        <v>1504</v>
      </c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EEE4-CC8A-8E45-BFEF-C6530A976C96}">
  <sheetPr>
    <pageSetUpPr fitToPage="1"/>
  </sheetPr>
  <dimension ref="A3:M145"/>
  <sheetViews>
    <sheetView topLeftCell="A2" zoomScale="97" workbookViewId="0">
      <selection activeCell="G42" sqref="G42"/>
    </sheetView>
  </sheetViews>
  <sheetFormatPr baseColWidth="10" defaultColWidth="11" defaultRowHeight="16" x14ac:dyDescent="0.2"/>
  <cols>
    <col min="3" max="3" width="25.83203125" customWidth="1"/>
    <col min="4" max="4" width="15.83203125" customWidth="1"/>
    <col min="5" max="5" width="15.33203125" customWidth="1"/>
    <col min="6" max="6" width="14.5" customWidth="1"/>
    <col min="7" max="7" width="14.6640625" style="1" customWidth="1"/>
    <col min="8" max="8" width="15" customWidth="1"/>
    <col min="9" max="9" width="14.83203125" customWidth="1"/>
    <col min="10" max="10" width="12.33203125" style="4" customWidth="1"/>
    <col min="13" max="13" width="10.83203125" style="2"/>
    <col min="16" max="16" width="18.6640625" customWidth="1"/>
    <col min="19" max="22" width="10.83203125" customWidth="1"/>
  </cols>
  <sheetData>
    <row r="3" spans="1:8" x14ac:dyDescent="0.2">
      <c r="A3" s="2" t="s">
        <v>229</v>
      </c>
      <c r="B3" s="3" t="s">
        <v>48</v>
      </c>
    </row>
    <row r="5" spans="1:8" x14ac:dyDescent="0.2">
      <c r="A5" s="2" t="s">
        <v>230</v>
      </c>
      <c r="B5" s="3" t="s">
        <v>49</v>
      </c>
      <c r="D5" s="12">
        <v>30</v>
      </c>
      <c r="E5" t="s">
        <v>50</v>
      </c>
    </row>
    <row r="6" spans="1:8" x14ac:dyDescent="0.2">
      <c r="A6" s="2" t="s">
        <v>231</v>
      </c>
      <c r="B6" s="3" t="s">
        <v>51</v>
      </c>
    </row>
    <row r="7" spans="1:8" x14ac:dyDescent="0.2">
      <c r="B7" t="s">
        <v>52</v>
      </c>
      <c r="D7" s="12">
        <v>1.8</v>
      </c>
      <c r="F7" t="s">
        <v>203</v>
      </c>
      <c r="H7" s="16">
        <f>'viktor-input-sheet'!D6</f>
        <v>0</v>
      </c>
    </row>
    <row r="8" spans="1:8" x14ac:dyDescent="0.2">
      <c r="B8" t="s">
        <v>53</v>
      </c>
      <c r="D8" s="12">
        <v>1.1000000000000001</v>
      </c>
    </row>
    <row r="9" spans="1:8" x14ac:dyDescent="0.2">
      <c r="B9" t="s">
        <v>54</v>
      </c>
      <c r="D9" s="12">
        <v>1.1000000000000001</v>
      </c>
    </row>
    <row r="10" spans="1:8" x14ac:dyDescent="0.2">
      <c r="A10" s="2" t="s">
        <v>232</v>
      </c>
      <c r="B10" s="3" t="s">
        <v>55</v>
      </c>
    </row>
    <row r="11" spans="1:8" x14ac:dyDescent="0.2">
      <c r="B11" t="s">
        <v>52</v>
      </c>
      <c r="D11" s="12">
        <v>560</v>
      </c>
      <c r="E11" t="s">
        <v>56</v>
      </c>
    </row>
    <row r="12" spans="1:8" x14ac:dyDescent="0.2">
      <c r="B12" t="s">
        <v>53</v>
      </c>
      <c r="D12" s="12">
        <v>240</v>
      </c>
      <c r="E12" t="s">
        <v>56</v>
      </c>
    </row>
    <row r="13" spans="1:8" x14ac:dyDescent="0.2">
      <c r="B13" t="s">
        <v>54</v>
      </c>
      <c r="D13" s="12">
        <v>310</v>
      </c>
      <c r="E13" t="s">
        <v>56</v>
      </c>
    </row>
    <row r="14" spans="1:8" x14ac:dyDescent="0.2">
      <c r="A14" s="2" t="s">
        <v>233</v>
      </c>
      <c r="B14" s="3" t="s">
        <v>57</v>
      </c>
    </row>
    <row r="15" spans="1:8" x14ac:dyDescent="0.2">
      <c r="B15" t="s">
        <v>58</v>
      </c>
      <c r="D15" s="12">
        <v>0.34960000000000002</v>
      </c>
      <c r="E15" t="s">
        <v>59</v>
      </c>
    </row>
    <row r="16" spans="1:8" hidden="1" x14ac:dyDescent="0.2">
      <c r="B16" t="s">
        <v>60</v>
      </c>
      <c r="D16" s="12">
        <v>0.2074</v>
      </c>
      <c r="E16" t="s">
        <v>59</v>
      </c>
    </row>
    <row r="17" spans="1:9" x14ac:dyDescent="0.2">
      <c r="B17" t="s">
        <v>61</v>
      </c>
      <c r="D17" s="12">
        <v>9.3399999999999997E-2</v>
      </c>
      <c r="E17" t="s">
        <v>59</v>
      </c>
    </row>
    <row r="18" spans="1:9" hidden="1" x14ac:dyDescent="0.2">
      <c r="B18" t="s">
        <v>62</v>
      </c>
      <c r="D18" s="12">
        <v>9.1200000000000003E-2</v>
      </c>
      <c r="E18" t="s">
        <v>59</v>
      </c>
    </row>
    <row r="19" spans="1:9" x14ac:dyDescent="0.2">
      <c r="B19" t="s">
        <v>63</v>
      </c>
      <c r="D19" s="12">
        <v>9.8330000000000001E-2</v>
      </c>
      <c r="E19" t="s">
        <v>59</v>
      </c>
    </row>
    <row r="20" spans="1:9" hidden="1" x14ac:dyDescent="0.2">
      <c r="B20" t="s">
        <v>64</v>
      </c>
      <c r="D20" s="12">
        <v>7.893E-2</v>
      </c>
      <c r="E20" t="s">
        <v>59</v>
      </c>
    </row>
    <row r="21" spans="1:9" x14ac:dyDescent="0.2">
      <c r="A21" s="2" t="s">
        <v>234</v>
      </c>
      <c r="B21" s="3" t="s">
        <v>65</v>
      </c>
      <c r="F21" t="s">
        <v>159</v>
      </c>
      <c r="H21" s="33" t="str">
        <f>'viktor-input-sheet'!D18</f>
        <v>bis 31.01.2024</v>
      </c>
    </row>
    <row r="22" spans="1:9" x14ac:dyDescent="0.2">
      <c r="A22" s="2"/>
      <c r="B22" t="s">
        <v>158</v>
      </c>
      <c r="D22" s="12">
        <v>0.2</v>
      </c>
      <c r="E22" t="s">
        <v>132</v>
      </c>
    </row>
    <row r="23" spans="1:9" x14ac:dyDescent="0.2">
      <c r="A23" s="2"/>
      <c r="B23" t="s">
        <v>166</v>
      </c>
      <c r="D23" s="35">
        <f>(IF(D91&lt;10,HLOOKUP(H21,D24:I28,3,0),0)+IF(AND(D91&lt;40,D91&gt;=10),HLOOKUP(H21,D24:I28,4,0),0)+IF(AND(D91&lt;=100,D91&gt;=40),HLOOKUP(H21,D24:I28,5,0),0))/100</f>
        <v>8.199999999999999E-2</v>
      </c>
      <c r="E23" t="s">
        <v>59</v>
      </c>
    </row>
    <row r="24" spans="1:9" ht="17" x14ac:dyDescent="0.2">
      <c r="A24" s="2"/>
      <c r="D24" s="32" t="s">
        <v>280</v>
      </c>
      <c r="E24" s="32" t="s">
        <v>281</v>
      </c>
      <c r="F24" s="32" t="s">
        <v>282</v>
      </c>
      <c r="G24" s="32" t="s">
        <v>283</v>
      </c>
      <c r="H24" s="32" t="s">
        <v>284</v>
      </c>
      <c r="I24" s="32" t="s">
        <v>285</v>
      </c>
    </row>
    <row r="25" spans="1:9" x14ac:dyDescent="0.2">
      <c r="A25" s="2"/>
      <c r="B25" t="s">
        <v>161</v>
      </c>
      <c r="C25" t="s">
        <v>165</v>
      </c>
      <c r="D25" t="s">
        <v>162</v>
      </c>
      <c r="E25" t="s">
        <v>162</v>
      </c>
      <c r="F25" t="s">
        <v>162</v>
      </c>
      <c r="G25" t="s">
        <v>162</v>
      </c>
      <c r="H25" t="s">
        <v>162</v>
      </c>
      <c r="I25" t="s">
        <v>162</v>
      </c>
    </row>
    <row r="26" spans="1:9" x14ac:dyDescent="0.2">
      <c r="A26" s="2"/>
      <c r="B26" t="s">
        <v>160</v>
      </c>
      <c r="C26" s="12">
        <v>8.6</v>
      </c>
      <c r="D26" s="12">
        <v>8.1999999999999993</v>
      </c>
      <c r="E26" s="34">
        <f>C26*0.99-0.4</f>
        <v>8.113999999999999</v>
      </c>
      <c r="F26" s="34">
        <f>C26*0.99^2-0.4</f>
        <v>8.0288599999999999</v>
      </c>
      <c r="G26" s="34">
        <f>C26*0.99^3-0.4</f>
        <v>7.9445713999999992</v>
      </c>
      <c r="H26" s="34">
        <f>C26*0.99^4-0.4</f>
        <v>7.8611256859999994</v>
      </c>
      <c r="I26" s="34">
        <f>C26*0.99^5-0.4</f>
        <v>7.7785144291399977</v>
      </c>
    </row>
    <row r="27" spans="1:9" x14ac:dyDescent="0.2">
      <c r="A27" s="2"/>
      <c r="B27" t="s">
        <v>163</v>
      </c>
      <c r="C27" s="12">
        <v>7.5</v>
      </c>
      <c r="D27" s="12">
        <v>7.1</v>
      </c>
      <c r="E27" s="34">
        <f t="shared" ref="E27:E28" si="0">C27*0.99-0.4</f>
        <v>7.0249999999999995</v>
      </c>
      <c r="F27" s="34">
        <f t="shared" ref="F27:F28" si="1">C27*0.99^2-0.4</f>
        <v>6.9507499999999993</v>
      </c>
      <c r="G27" s="34">
        <f t="shared" ref="G27:G28" si="2">C27*0.99^3-0.4</f>
        <v>6.8772424999999986</v>
      </c>
      <c r="H27" s="34">
        <f t="shared" ref="H27:H28" si="3">C27*0.99^4-0.4</f>
        <v>6.8044700749999993</v>
      </c>
      <c r="I27" s="34">
        <f t="shared" ref="I27:I28" si="4">C27*0.99^5-0.4</f>
        <v>6.7324253742499991</v>
      </c>
    </row>
    <row r="28" spans="1:9" x14ac:dyDescent="0.2">
      <c r="A28" s="2"/>
      <c r="B28" t="s">
        <v>164</v>
      </c>
      <c r="C28" s="12">
        <v>6.2</v>
      </c>
      <c r="D28" s="12">
        <v>5.8</v>
      </c>
      <c r="E28" s="34">
        <f t="shared" si="0"/>
        <v>5.7379999999999995</v>
      </c>
      <c r="F28" s="34">
        <f t="shared" si="1"/>
        <v>5.6766199999999998</v>
      </c>
      <c r="G28" s="34">
        <f t="shared" si="2"/>
        <v>5.6158537999999991</v>
      </c>
      <c r="H28" s="34">
        <f t="shared" si="3"/>
        <v>5.5556952619999995</v>
      </c>
      <c r="I28" s="34">
        <f t="shared" si="4"/>
        <v>5.4961383093799991</v>
      </c>
    </row>
    <row r="29" spans="1:9" x14ac:dyDescent="0.2">
      <c r="A29" s="2"/>
      <c r="B29" t="s">
        <v>167</v>
      </c>
      <c r="D29" s="12">
        <v>0.08</v>
      </c>
      <c r="E29" t="s">
        <v>59</v>
      </c>
    </row>
    <row r="31" spans="1:9" x14ac:dyDescent="0.2">
      <c r="A31" s="2" t="s">
        <v>235</v>
      </c>
      <c r="B31" s="3" t="s">
        <v>169</v>
      </c>
      <c r="D31" s="13">
        <v>0.05</v>
      </c>
    </row>
    <row r="37" spans="1:9" x14ac:dyDescent="0.2">
      <c r="A37" s="2" t="s">
        <v>236</v>
      </c>
      <c r="B37" s="3" t="s">
        <v>66</v>
      </c>
      <c r="D37" s="4"/>
    </row>
    <row r="38" spans="1:9" x14ac:dyDescent="0.2">
      <c r="A38" s="1"/>
      <c r="D38" s="4"/>
    </row>
    <row r="39" spans="1:9" x14ac:dyDescent="0.2">
      <c r="A39" s="2" t="s">
        <v>237</v>
      </c>
      <c r="B39" s="3" t="s">
        <v>67</v>
      </c>
      <c r="D39" s="17">
        <f>D40+D49+D59+D68</f>
        <v>0</v>
      </c>
      <c r="E39" t="s">
        <v>68</v>
      </c>
      <c r="F39" s="3" t="s">
        <v>69</v>
      </c>
      <c r="I39" s="23"/>
    </row>
    <row r="40" spans="1:9" x14ac:dyDescent="0.2">
      <c r="A40" s="2" t="s">
        <v>176</v>
      </c>
      <c r="B40" s="3" t="s">
        <v>33</v>
      </c>
      <c r="C40" t="s">
        <v>70</v>
      </c>
      <c r="D40" s="17">
        <f>IF(G40=0,0,D41+D45*G40+D46+D47+D48)</f>
        <v>0</v>
      </c>
      <c r="E40" t="s">
        <v>68</v>
      </c>
      <c r="F40" t="s">
        <v>71</v>
      </c>
      <c r="G40" s="42">
        <f>'viktor-input-sheet'!D7</f>
        <v>0</v>
      </c>
      <c r="H40" t="s">
        <v>72</v>
      </c>
      <c r="I40" s="23" t="s">
        <v>151</v>
      </c>
    </row>
    <row r="41" spans="1:9" x14ac:dyDescent="0.2">
      <c r="A41" s="1"/>
      <c r="B41" t="s">
        <v>73</v>
      </c>
      <c r="C41" s="1"/>
      <c r="D41" s="17">
        <f>IF(G40&gt;20,(D42+D43)*G40+D44,D42*G40+1600+D44)</f>
        <v>2050</v>
      </c>
      <c r="E41" t="s">
        <v>68</v>
      </c>
      <c r="F41" t="s">
        <v>35</v>
      </c>
      <c r="G41" s="42" t="str">
        <f>'viktor-input-sheet'!D8</f>
        <v>Süd</v>
      </c>
      <c r="I41" s="23" t="s">
        <v>152</v>
      </c>
    </row>
    <row r="42" spans="1:9" x14ac:dyDescent="0.2">
      <c r="A42" s="1"/>
      <c r="C42" s="10" t="s">
        <v>74</v>
      </c>
      <c r="D42" s="14">
        <v>125</v>
      </c>
      <c r="E42" t="s">
        <v>75</v>
      </c>
      <c r="F42" t="s">
        <v>37</v>
      </c>
      <c r="G42" s="42" t="str">
        <f>'viktor-input-sheet'!D9</f>
        <v>35°</v>
      </c>
      <c r="H42" t="s">
        <v>76</v>
      </c>
    </row>
    <row r="43" spans="1:9" x14ac:dyDescent="0.2">
      <c r="A43" s="1"/>
      <c r="C43" s="10" t="s">
        <v>150</v>
      </c>
      <c r="D43" s="14">
        <v>80</v>
      </c>
      <c r="E43" t="s">
        <v>75</v>
      </c>
    </row>
    <row r="44" spans="1:9" x14ac:dyDescent="0.2">
      <c r="A44" s="1"/>
      <c r="C44" s="10" t="s">
        <v>77</v>
      </c>
      <c r="D44" s="14">
        <f>IF($D$91&lt;=3,450, IF($D$91&lt;=6,Hilfstabelle!$C$30,IF($D$91&lt;=9,Hilfstabelle!$C$31, IF($D$91&lt;=15,Hilfstabelle!$C$32,2000))))</f>
        <v>450</v>
      </c>
      <c r="E44" t="s">
        <v>68</v>
      </c>
    </row>
    <row r="45" spans="1:9" x14ac:dyDescent="0.2">
      <c r="A45" s="1"/>
      <c r="B45" t="s">
        <v>182</v>
      </c>
      <c r="D45" s="14">
        <v>40</v>
      </c>
      <c r="E45" t="s">
        <v>75</v>
      </c>
    </row>
    <row r="46" spans="1:9" x14ac:dyDescent="0.2">
      <c r="A46" s="1"/>
      <c r="B46" t="s">
        <v>181</v>
      </c>
      <c r="D46" s="14">
        <v>2000</v>
      </c>
      <c r="E46" t="s">
        <v>68</v>
      </c>
    </row>
    <row r="47" spans="1:9" x14ac:dyDescent="0.2">
      <c r="A47" s="1"/>
      <c r="B47" t="s">
        <v>78</v>
      </c>
      <c r="D47" s="14">
        <v>0</v>
      </c>
      <c r="E47" t="s">
        <v>68</v>
      </c>
    </row>
    <row r="48" spans="1:9" x14ac:dyDescent="0.2">
      <c r="A48" s="1"/>
      <c r="B48" t="s">
        <v>79</v>
      </c>
      <c r="D48" s="15">
        <f>-IF(G101="Bestand",0,160*G40)</f>
        <v>0</v>
      </c>
      <c r="E48" t="s">
        <v>68</v>
      </c>
    </row>
    <row r="49" spans="1:8" x14ac:dyDescent="0.2">
      <c r="A49" s="2" t="s">
        <v>177</v>
      </c>
      <c r="B49" s="3" t="s">
        <v>34</v>
      </c>
      <c r="C49" t="s">
        <v>70</v>
      </c>
      <c r="D49" s="17">
        <f>IF(G49=0,0,D50+D55*G49+D56+D57+D58)</f>
        <v>0</v>
      </c>
      <c r="E49" t="s">
        <v>68</v>
      </c>
      <c r="F49" t="s">
        <v>71</v>
      </c>
      <c r="G49" s="42">
        <f>'viktor-input-sheet'!D10</f>
        <v>0</v>
      </c>
      <c r="H49" t="s">
        <v>72</v>
      </c>
    </row>
    <row r="50" spans="1:8" x14ac:dyDescent="0.2">
      <c r="A50" s="1"/>
      <c r="B50" t="s">
        <v>73</v>
      </c>
      <c r="C50" s="1"/>
      <c r="D50" s="17">
        <f>(D51+D52)*G49+D53+D54</f>
        <v>450</v>
      </c>
      <c r="E50" t="s">
        <v>68</v>
      </c>
      <c r="F50" t="s">
        <v>35</v>
      </c>
      <c r="G50" s="42" t="str">
        <f>'viktor-input-sheet'!D11</f>
        <v>Süd</v>
      </c>
    </row>
    <row r="51" spans="1:8" x14ac:dyDescent="0.2">
      <c r="A51" s="1"/>
      <c r="C51" s="10" t="s">
        <v>74</v>
      </c>
      <c r="D51" s="14">
        <v>480</v>
      </c>
      <c r="E51" t="s">
        <v>75</v>
      </c>
      <c r="F51" t="s">
        <v>37</v>
      </c>
      <c r="G51" s="42" t="str">
        <f>'viktor-input-sheet'!D12</f>
        <v>35°</v>
      </c>
      <c r="H51" t="s">
        <v>76</v>
      </c>
    </row>
    <row r="52" spans="1:8" x14ac:dyDescent="0.2">
      <c r="A52" s="1"/>
      <c r="C52" s="10" t="s">
        <v>150</v>
      </c>
      <c r="D52" s="14">
        <v>0</v>
      </c>
      <c r="E52" t="s">
        <v>75</v>
      </c>
    </row>
    <row r="53" spans="1:8" x14ac:dyDescent="0.2">
      <c r="A53" s="2"/>
      <c r="C53" s="10" t="s">
        <v>77</v>
      </c>
      <c r="D53" s="14">
        <f>IF($D$91&lt;=3,450, IF($D$91&lt;=6,Hilfstabelle!$C$30,IF($D$91&lt;=9,Hilfstabelle!$C$31, IF($D$91&lt;=15,Hilfstabelle!$C$32,2000))))</f>
        <v>450</v>
      </c>
      <c r="E53" t="s">
        <v>68</v>
      </c>
    </row>
    <row r="54" spans="1:8" x14ac:dyDescent="0.2">
      <c r="A54" s="2"/>
      <c r="C54" s="10" t="s">
        <v>180</v>
      </c>
      <c r="D54" s="14">
        <f>IF(G101="Bestand",11000, 0)</f>
        <v>0</v>
      </c>
      <c r="E54" t="s">
        <v>68</v>
      </c>
    </row>
    <row r="55" spans="1:8" x14ac:dyDescent="0.2">
      <c r="A55" s="1"/>
      <c r="B55" t="s">
        <v>182</v>
      </c>
      <c r="D55" s="14">
        <v>65</v>
      </c>
      <c r="E55" t="s">
        <v>75</v>
      </c>
    </row>
    <row r="56" spans="1:8" x14ac:dyDescent="0.2">
      <c r="A56" s="1"/>
      <c r="B56" t="s">
        <v>181</v>
      </c>
      <c r="D56" s="14">
        <f>2000+IF(G101="Bestand",3000,0)</f>
        <v>2000</v>
      </c>
      <c r="E56" t="s">
        <v>68</v>
      </c>
    </row>
    <row r="57" spans="1:8" x14ac:dyDescent="0.2">
      <c r="A57" s="1"/>
      <c r="B57" t="s">
        <v>78</v>
      </c>
      <c r="D57" s="14">
        <f>(D50+D56+D55*G49)*10/90</f>
        <v>272.22222222222223</v>
      </c>
      <c r="E57" t="s">
        <v>68</v>
      </c>
    </row>
    <row r="58" spans="1:8" x14ac:dyDescent="0.2">
      <c r="A58" s="1"/>
      <c r="B58" t="s">
        <v>79</v>
      </c>
      <c r="D58" s="15">
        <f>-IF(G101="Bestand",0,160*G49)</f>
        <v>0</v>
      </c>
      <c r="E58" t="s">
        <v>68</v>
      </c>
    </row>
    <row r="59" spans="1:8" x14ac:dyDescent="0.2">
      <c r="A59" s="2" t="s">
        <v>178</v>
      </c>
      <c r="B59" s="3" t="s">
        <v>33</v>
      </c>
      <c r="C59" t="s">
        <v>80</v>
      </c>
      <c r="D59" s="17">
        <f>IF(G59=0,0,D60+D64*G59+D65+D66+D67)</f>
        <v>0</v>
      </c>
      <c r="E59" t="s">
        <v>68</v>
      </c>
      <c r="F59" t="s">
        <v>71</v>
      </c>
      <c r="G59" s="42">
        <f>'viktor-input-sheet'!D13</f>
        <v>0</v>
      </c>
      <c r="H59" t="s">
        <v>72</v>
      </c>
    </row>
    <row r="60" spans="1:8" x14ac:dyDescent="0.2">
      <c r="A60" s="1"/>
      <c r="B60" t="s">
        <v>73</v>
      </c>
      <c r="C60" s="1"/>
      <c r="D60" s="17">
        <f>IF(G59&gt;20,(D61+D62)*G59+D63,D61*G59 + 3200 + D63)</f>
        <v>3650</v>
      </c>
      <c r="E60" t="s">
        <v>68</v>
      </c>
      <c r="F60" t="s">
        <v>35</v>
      </c>
      <c r="G60" s="42" t="str">
        <f>'viktor-input-sheet'!D14</f>
        <v>Süd</v>
      </c>
    </row>
    <row r="61" spans="1:8" x14ac:dyDescent="0.2">
      <c r="A61" s="1"/>
      <c r="C61" s="10" t="s">
        <v>74</v>
      </c>
      <c r="D61" s="14">
        <v>250</v>
      </c>
      <c r="E61" t="s">
        <v>75</v>
      </c>
      <c r="F61" t="s">
        <v>37</v>
      </c>
      <c r="G61" s="41" t="s">
        <v>46</v>
      </c>
      <c r="H61" t="s">
        <v>76</v>
      </c>
    </row>
    <row r="62" spans="1:8" x14ac:dyDescent="0.2">
      <c r="A62" s="1"/>
      <c r="C62" s="10" t="s">
        <v>150</v>
      </c>
      <c r="D62" s="14">
        <v>160</v>
      </c>
      <c r="E62" t="s">
        <v>75</v>
      </c>
    </row>
    <row r="63" spans="1:8" x14ac:dyDescent="0.2">
      <c r="A63" s="1"/>
      <c r="C63" s="10" t="s">
        <v>77</v>
      </c>
      <c r="D63" s="14">
        <f>IF($D$91&lt;=3,450, IF($D$91&lt;=6,Hilfstabelle!$C$30,IF($D$91&lt;=9,Hilfstabelle!$C$31, IF($D$91&lt;=15,Hilfstabelle!$C$32,2000))))</f>
        <v>450</v>
      </c>
      <c r="E63" t="s">
        <v>68</v>
      </c>
    </row>
    <row r="64" spans="1:8" x14ac:dyDescent="0.2">
      <c r="A64" s="1"/>
      <c r="B64" t="s">
        <v>182</v>
      </c>
      <c r="D64" s="14">
        <v>80</v>
      </c>
      <c r="E64" t="s">
        <v>75</v>
      </c>
    </row>
    <row r="65" spans="1:8" x14ac:dyDescent="0.2">
      <c r="A65" s="1"/>
      <c r="B65" t="s">
        <v>181</v>
      </c>
      <c r="D65" s="14">
        <v>2000</v>
      </c>
      <c r="E65" t="s">
        <v>68</v>
      </c>
    </row>
    <row r="66" spans="1:8" x14ac:dyDescent="0.2">
      <c r="A66" s="1"/>
      <c r="B66" t="s">
        <v>78</v>
      </c>
      <c r="D66" s="14">
        <v>0</v>
      </c>
      <c r="E66" t="s">
        <v>68</v>
      </c>
    </row>
    <row r="67" spans="1:8" x14ac:dyDescent="0.2">
      <c r="A67" s="1"/>
      <c r="B67" t="s">
        <v>79</v>
      </c>
      <c r="D67" s="15">
        <f>-IF(G101="Bestand",0,190*G59)</f>
        <v>0</v>
      </c>
      <c r="E67" t="s">
        <v>68</v>
      </c>
    </row>
    <row r="68" spans="1:8" x14ac:dyDescent="0.2">
      <c r="A68" s="2" t="s">
        <v>179</v>
      </c>
      <c r="B68" s="3" t="s">
        <v>34</v>
      </c>
      <c r="C68" t="s">
        <v>80</v>
      </c>
      <c r="D68" s="17">
        <f>IF(G68=0,0,D69+D74*G68+D75+D76+D77)</f>
        <v>0</v>
      </c>
      <c r="E68" t="s">
        <v>68</v>
      </c>
      <c r="F68" s="11" t="s">
        <v>71</v>
      </c>
      <c r="G68" s="43">
        <f>'viktor-input-sheet'!D15</f>
        <v>0</v>
      </c>
      <c r="H68" s="11" t="s">
        <v>72</v>
      </c>
    </row>
    <row r="69" spans="1:8" x14ac:dyDescent="0.2">
      <c r="A69" s="1"/>
      <c r="B69" t="s">
        <v>73</v>
      </c>
      <c r="C69" s="1"/>
      <c r="D69" s="17">
        <f>(D70+D71)*G68+D72+D73</f>
        <v>450</v>
      </c>
      <c r="E69" t="s">
        <v>68</v>
      </c>
      <c r="F69" s="11" t="s">
        <v>35</v>
      </c>
      <c r="G69" s="43" t="str">
        <f>'viktor-input-sheet'!D16</f>
        <v>Süd</v>
      </c>
      <c r="H69" s="11"/>
    </row>
    <row r="70" spans="1:8" x14ac:dyDescent="0.2">
      <c r="A70" s="1"/>
      <c r="C70" s="10" t="s">
        <v>74</v>
      </c>
      <c r="D70" s="14">
        <v>750</v>
      </c>
      <c r="E70" t="s">
        <v>75</v>
      </c>
      <c r="F70" s="11" t="s">
        <v>37</v>
      </c>
      <c r="G70" s="41" t="s">
        <v>46</v>
      </c>
      <c r="H70" s="11" t="s">
        <v>76</v>
      </c>
    </row>
    <row r="71" spans="1:8" x14ac:dyDescent="0.2">
      <c r="A71" s="1"/>
      <c r="C71" s="10" t="s">
        <v>150</v>
      </c>
      <c r="D71" s="14">
        <v>0</v>
      </c>
      <c r="E71" t="s">
        <v>75</v>
      </c>
    </row>
    <row r="72" spans="1:8" x14ac:dyDescent="0.2">
      <c r="A72" s="2"/>
      <c r="C72" s="10" t="s">
        <v>77</v>
      </c>
      <c r="D72" s="14">
        <f>IF($D$91&lt;=3,450, IF($D$91&lt;=6,Hilfstabelle!$C$30,IF($D$91&lt;=9,Hilfstabelle!$C$31, IF($D$91&lt;=15,Hilfstabelle!$C$32,2000))))</f>
        <v>450</v>
      </c>
      <c r="E72" t="s">
        <v>68</v>
      </c>
    </row>
    <row r="73" spans="1:8" x14ac:dyDescent="0.2">
      <c r="A73" s="2"/>
      <c r="C73" s="10" t="s">
        <v>180</v>
      </c>
      <c r="D73" s="14">
        <f>IF(G101="Bestand",11000, 0)</f>
        <v>0</v>
      </c>
      <c r="E73" t="s">
        <v>68</v>
      </c>
    </row>
    <row r="74" spans="1:8" x14ac:dyDescent="0.2">
      <c r="A74" s="1"/>
      <c r="B74" t="s">
        <v>182</v>
      </c>
      <c r="D74" s="14">
        <v>130</v>
      </c>
      <c r="E74" t="s">
        <v>75</v>
      </c>
    </row>
    <row r="75" spans="1:8" x14ac:dyDescent="0.2">
      <c r="A75" s="1"/>
      <c r="B75" t="s">
        <v>181</v>
      </c>
      <c r="D75" s="14">
        <f>2000+IF(G101="Bestand",3000,0)</f>
        <v>2000</v>
      </c>
      <c r="E75" t="s">
        <v>68</v>
      </c>
    </row>
    <row r="76" spans="1:8" x14ac:dyDescent="0.2">
      <c r="A76" s="1"/>
      <c r="B76" t="s">
        <v>78</v>
      </c>
      <c r="D76" s="14">
        <f>(D69+D75+D74*G68)*10/90</f>
        <v>272.22222222222223</v>
      </c>
      <c r="E76" t="s">
        <v>68</v>
      </c>
    </row>
    <row r="77" spans="1:8" x14ac:dyDescent="0.2">
      <c r="A77" s="1"/>
      <c r="B77" t="s">
        <v>79</v>
      </c>
      <c r="D77" s="15">
        <f>-IF(G101="Bestand",0,190*G68)</f>
        <v>0</v>
      </c>
      <c r="E77" t="s">
        <v>68</v>
      </c>
    </row>
    <row r="78" spans="1:8" x14ac:dyDescent="0.2">
      <c r="A78" s="1"/>
      <c r="D78" s="8"/>
    </row>
    <row r="79" spans="1:8" x14ac:dyDescent="0.2">
      <c r="A79" s="1"/>
      <c r="D79" s="4"/>
    </row>
    <row r="80" spans="1:8" x14ac:dyDescent="0.2">
      <c r="A80" s="2" t="s">
        <v>238</v>
      </c>
      <c r="B80" s="3" t="s">
        <v>81</v>
      </c>
      <c r="D80" s="45"/>
      <c r="F80" s="37"/>
      <c r="G80" s="23"/>
    </row>
    <row r="81" spans="1:7" x14ac:dyDescent="0.2">
      <c r="A81" s="1" t="s">
        <v>234</v>
      </c>
      <c r="B81" t="s">
        <v>168</v>
      </c>
      <c r="D81" s="14">
        <v>100</v>
      </c>
      <c r="E81" t="s">
        <v>82</v>
      </c>
    </row>
    <row r="82" spans="1:7" ht="37" customHeight="1" x14ac:dyDescent="0.2">
      <c r="A82" s="1" t="s">
        <v>239</v>
      </c>
      <c r="B82" s="49" t="s">
        <v>83</v>
      </c>
      <c r="C82" s="49"/>
      <c r="D82" s="12">
        <v>2</v>
      </c>
      <c r="E82" s="9" t="s">
        <v>154</v>
      </c>
      <c r="F82" t="s">
        <v>155</v>
      </c>
    </row>
    <row r="83" spans="1:7" ht="37" customHeight="1" x14ac:dyDescent="0.2">
      <c r="A83" s="1" t="s">
        <v>240</v>
      </c>
      <c r="B83" s="49" t="s">
        <v>84</v>
      </c>
      <c r="C83" s="49"/>
      <c r="D83" s="14">
        <f>IF(D91&gt;11,D91*18,200)</f>
        <v>200</v>
      </c>
      <c r="E83" t="s">
        <v>216</v>
      </c>
      <c r="F83" t="s">
        <v>153</v>
      </c>
      <c r="G83" s="36"/>
    </row>
    <row r="84" spans="1:7" x14ac:dyDescent="0.2">
      <c r="A84" s="1" t="s">
        <v>241</v>
      </c>
      <c r="B84" t="s">
        <v>85</v>
      </c>
      <c r="D84" s="14">
        <f>D44</f>
        <v>450</v>
      </c>
      <c r="E84" t="s">
        <v>210</v>
      </c>
      <c r="F84" t="s">
        <v>156</v>
      </c>
    </row>
    <row r="85" spans="1:7" x14ac:dyDescent="0.2">
      <c r="A85" s="1"/>
      <c r="D85" s="8"/>
    </row>
    <row r="86" spans="1:7" x14ac:dyDescent="0.2">
      <c r="A86" s="1"/>
      <c r="D86" s="8"/>
    </row>
    <row r="87" spans="1:7" x14ac:dyDescent="0.2">
      <c r="A87" s="1"/>
      <c r="D87" s="4"/>
    </row>
    <row r="88" spans="1:7" x14ac:dyDescent="0.2">
      <c r="A88" s="2" t="s">
        <v>242</v>
      </c>
      <c r="B88" s="3" t="s">
        <v>86</v>
      </c>
      <c r="D88" s="4"/>
    </row>
    <row r="89" spans="1:7" x14ac:dyDescent="0.2">
      <c r="A89" s="2" t="s">
        <v>243</v>
      </c>
      <c r="B89" s="3" t="s">
        <v>87</v>
      </c>
      <c r="D89" s="4"/>
    </row>
    <row r="90" spans="1:7" x14ac:dyDescent="0.2">
      <c r="A90" s="1"/>
      <c r="B90" t="s">
        <v>88</v>
      </c>
      <c r="C90" t="s">
        <v>89</v>
      </c>
      <c r="D90" s="31">
        <f>G40+G49+G59+G68</f>
        <v>0</v>
      </c>
      <c r="E90" t="s">
        <v>72</v>
      </c>
    </row>
    <row r="91" spans="1:7" x14ac:dyDescent="0.2">
      <c r="A91" s="1"/>
      <c r="D91" s="31">
        <f>D90*D22</f>
        <v>0</v>
      </c>
      <c r="E91" t="s">
        <v>157</v>
      </c>
    </row>
    <row r="92" spans="1:7" x14ac:dyDescent="0.2">
      <c r="A92" s="2" t="s">
        <v>244</v>
      </c>
      <c r="B92" s="3" t="s">
        <v>90</v>
      </c>
      <c r="D92" s="4"/>
    </row>
    <row r="93" spans="1:7" x14ac:dyDescent="0.2">
      <c r="A93" s="2"/>
      <c r="B93" t="s">
        <v>245</v>
      </c>
      <c r="D93" s="4"/>
    </row>
    <row r="94" spans="1:7" x14ac:dyDescent="0.2">
      <c r="B94" t="s">
        <v>183</v>
      </c>
      <c r="D94" s="14">
        <v>1000</v>
      </c>
      <c r="E94" t="s">
        <v>130</v>
      </c>
    </row>
    <row r="95" spans="1:7" x14ac:dyDescent="0.2">
      <c r="A95" s="1"/>
      <c r="B95" t="s">
        <v>133</v>
      </c>
      <c r="D95" s="12">
        <v>0.2</v>
      </c>
      <c r="E95" t="s">
        <v>132</v>
      </c>
    </row>
    <row r="96" spans="1:7" x14ac:dyDescent="0.2">
      <c r="A96" s="1"/>
      <c r="B96" t="s">
        <v>184</v>
      </c>
      <c r="D96" s="34">
        <v>710</v>
      </c>
      <c r="E96" t="s">
        <v>141</v>
      </c>
    </row>
    <row r="97" spans="1:8" x14ac:dyDescent="0.2">
      <c r="A97" s="1"/>
      <c r="D97" s="4"/>
    </row>
    <row r="98" spans="1:8" x14ac:dyDescent="0.2">
      <c r="A98" s="2" t="s">
        <v>246</v>
      </c>
      <c r="B98" s="3" t="s">
        <v>170</v>
      </c>
      <c r="D98" s="4"/>
    </row>
    <row r="99" spans="1:8" x14ac:dyDescent="0.2">
      <c r="A99" s="9" t="s">
        <v>247</v>
      </c>
      <c r="B99" t="s">
        <v>248</v>
      </c>
      <c r="E99" s="23"/>
      <c r="F99" t="s">
        <v>91</v>
      </c>
      <c r="G99" s="16">
        <f>'viktor-input-sheet'!D3</f>
        <v>0</v>
      </c>
    </row>
    <row r="100" spans="1:8" x14ac:dyDescent="0.2">
      <c r="A100" s="9"/>
      <c r="B100" t="s">
        <v>142</v>
      </c>
      <c r="D100" s="12">
        <v>45</v>
      </c>
      <c r="E100" t="s">
        <v>141</v>
      </c>
      <c r="F100" t="s">
        <v>92</v>
      </c>
      <c r="G100" s="16">
        <f>'viktor-input-sheet'!D4</f>
        <v>0</v>
      </c>
      <c r="H100" t="s">
        <v>93</v>
      </c>
    </row>
    <row r="101" spans="1:8" x14ac:dyDescent="0.2">
      <c r="A101" s="9"/>
      <c r="B101" t="s">
        <v>143</v>
      </c>
      <c r="D101" s="12">
        <v>100</v>
      </c>
      <c r="E101" t="s">
        <v>141</v>
      </c>
      <c r="F101" t="s">
        <v>140</v>
      </c>
      <c r="G101" s="16">
        <f>'viktor-input-sheet'!D2</f>
        <v>0</v>
      </c>
      <c r="H101" t="s">
        <v>173</v>
      </c>
    </row>
    <row r="102" spans="1:8" x14ac:dyDescent="0.2">
      <c r="A102" s="9"/>
      <c r="D102" s="24">
        <f>IF(G101="Neubau",G102*D100,0)+IF(G101="Bestand",G102*D101,0)</f>
        <v>0</v>
      </c>
      <c r="E102" t="s">
        <v>94</v>
      </c>
      <c r="F102" t="s">
        <v>137</v>
      </c>
      <c r="G102" s="16">
        <f>'viktor-input-sheet'!D5</f>
        <v>0</v>
      </c>
      <c r="H102" t="s">
        <v>72</v>
      </c>
    </row>
    <row r="103" spans="1:8" x14ac:dyDescent="0.2">
      <c r="A103" s="9"/>
    </row>
    <row r="104" spans="1:8" x14ac:dyDescent="0.2">
      <c r="A104" s="9" t="s">
        <v>249</v>
      </c>
      <c r="B104" t="s">
        <v>127</v>
      </c>
      <c r="D104" s="22">
        <f>IF(G99&gt;2,G99*C108,G100*C106)</f>
        <v>0</v>
      </c>
      <c r="E104" t="s">
        <v>94</v>
      </c>
      <c r="G104"/>
    </row>
    <row r="105" spans="1:8" x14ac:dyDescent="0.2">
      <c r="A105" s="9"/>
      <c r="B105" t="s">
        <v>95</v>
      </c>
    </row>
    <row r="106" spans="1:8" x14ac:dyDescent="0.2">
      <c r="A106" s="9"/>
      <c r="C106" s="12">
        <v>500</v>
      </c>
      <c r="D106" t="s">
        <v>96</v>
      </c>
    </row>
    <row r="107" spans="1:8" x14ac:dyDescent="0.2">
      <c r="A107" s="9"/>
      <c r="B107" t="s">
        <v>97</v>
      </c>
    </row>
    <row r="108" spans="1:8" x14ac:dyDescent="0.2">
      <c r="A108" s="9"/>
      <c r="C108" s="12">
        <v>1000</v>
      </c>
      <c r="D108" t="s">
        <v>98</v>
      </c>
      <c r="G108"/>
    </row>
    <row r="109" spans="1:8" x14ac:dyDescent="0.2">
      <c r="A109" s="9"/>
      <c r="G109"/>
    </row>
    <row r="110" spans="1:8" x14ac:dyDescent="0.2">
      <c r="A110" s="9" t="s">
        <v>250</v>
      </c>
      <c r="B110" t="s">
        <v>251</v>
      </c>
      <c r="D110" s="22">
        <f>IF(G99&gt;2,G99*C119,IF(G100=B112,C112,0)+IF(G100=B113,C113,0)+IF(G100=B114,C114,0)+IF(G100=B115,C115,0)+IF(G100=B116,C116,0)+IF(G100=B117,C117,0))</f>
        <v>0</v>
      </c>
      <c r="E110" t="s">
        <v>94</v>
      </c>
    </row>
    <row r="111" spans="1:8" x14ac:dyDescent="0.2">
      <c r="B111" t="s">
        <v>99</v>
      </c>
    </row>
    <row r="112" spans="1:8" x14ac:dyDescent="0.2">
      <c r="B112">
        <v>1</v>
      </c>
      <c r="C112" s="12">
        <v>2350</v>
      </c>
      <c r="D112" t="s">
        <v>94</v>
      </c>
    </row>
    <row r="113" spans="2:7" x14ac:dyDescent="0.2">
      <c r="B113">
        <v>2</v>
      </c>
      <c r="C113" s="12">
        <v>4040</v>
      </c>
      <c r="D113" t="s">
        <v>94</v>
      </c>
      <c r="G113"/>
    </row>
    <row r="114" spans="2:7" x14ac:dyDescent="0.2">
      <c r="B114">
        <v>3</v>
      </c>
      <c r="C114" s="12">
        <f>1650*3</f>
        <v>4950</v>
      </c>
      <c r="D114" t="s">
        <v>94</v>
      </c>
      <c r="G114"/>
    </row>
    <row r="115" spans="2:7" x14ac:dyDescent="0.2">
      <c r="B115">
        <v>4</v>
      </c>
      <c r="C115" s="12">
        <f>1500*4</f>
        <v>6000</v>
      </c>
      <c r="D115" t="s">
        <v>94</v>
      </c>
      <c r="G115"/>
    </row>
    <row r="116" spans="2:7" x14ac:dyDescent="0.2">
      <c r="B116">
        <v>5</v>
      </c>
      <c r="C116" s="12">
        <f>1400*5</f>
        <v>7000</v>
      </c>
      <c r="D116" t="s">
        <v>94</v>
      </c>
      <c r="G116"/>
    </row>
    <row r="117" spans="2:7" x14ac:dyDescent="0.2">
      <c r="B117">
        <v>6</v>
      </c>
      <c r="C117" s="12">
        <f>1350*6</f>
        <v>8100</v>
      </c>
      <c r="D117" t="s">
        <v>94</v>
      </c>
      <c r="G117"/>
    </row>
    <row r="118" spans="2:7" ht="31" customHeight="1" x14ac:dyDescent="0.2">
      <c r="B118" t="s">
        <v>100</v>
      </c>
      <c r="G118"/>
    </row>
    <row r="119" spans="2:7" ht="30" customHeight="1" x14ac:dyDescent="0.2">
      <c r="B119" t="s">
        <v>101</v>
      </c>
      <c r="C119" s="12">
        <v>3000</v>
      </c>
      <c r="D119" t="s">
        <v>94</v>
      </c>
      <c r="G119"/>
    </row>
    <row r="120" spans="2:7" x14ac:dyDescent="0.2">
      <c r="B120" t="s">
        <v>102</v>
      </c>
      <c r="C120" s="12">
        <v>6000</v>
      </c>
      <c r="D120" t="s">
        <v>94</v>
      </c>
      <c r="G120"/>
    </row>
    <row r="121" spans="2:7" x14ac:dyDescent="0.2">
      <c r="B121" t="s">
        <v>103</v>
      </c>
      <c r="C121" s="12">
        <v>9000</v>
      </c>
      <c r="D121" t="s">
        <v>94</v>
      </c>
      <c r="G121"/>
    </row>
    <row r="122" spans="2:7" x14ac:dyDescent="0.2">
      <c r="B122" t="s">
        <v>104</v>
      </c>
      <c r="C122" s="12">
        <v>12000</v>
      </c>
      <c r="D122" t="s">
        <v>94</v>
      </c>
      <c r="G122"/>
    </row>
    <row r="123" spans="2:7" x14ac:dyDescent="0.2">
      <c r="B123" t="s">
        <v>105</v>
      </c>
      <c r="C123" s="12">
        <v>15000</v>
      </c>
      <c r="D123" t="s">
        <v>94</v>
      </c>
      <c r="G123"/>
    </row>
    <row r="124" spans="2:7" x14ac:dyDescent="0.2">
      <c r="B124" t="s">
        <v>106</v>
      </c>
      <c r="C124" s="12">
        <v>18000</v>
      </c>
      <c r="D124" t="s">
        <v>94</v>
      </c>
      <c r="G124"/>
    </row>
    <row r="125" spans="2:7" x14ac:dyDescent="0.2">
      <c r="B125" t="s">
        <v>107</v>
      </c>
      <c r="C125" s="12">
        <v>21000</v>
      </c>
      <c r="D125" t="s">
        <v>94</v>
      </c>
      <c r="G125"/>
    </row>
    <row r="126" spans="2:7" x14ac:dyDescent="0.2">
      <c r="B126" t="s">
        <v>108</v>
      </c>
      <c r="C126" s="12">
        <v>24000</v>
      </c>
      <c r="D126" t="s">
        <v>94</v>
      </c>
      <c r="G126"/>
    </row>
    <row r="127" spans="2:7" x14ac:dyDescent="0.2">
      <c r="B127" t="s">
        <v>109</v>
      </c>
      <c r="C127" s="12">
        <v>27000</v>
      </c>
      <c r="D127" t="s">
        <v>94</v>
      </c>
      <c r="G127"/>
    </row>
    <row r="128" spans="2:7" x14ac:dyDescent="0.2">
      <c r="B128" t="s">
        <v>110</v>
      </c>
      <c r="C128" s="12">
        <v>30000</v>
      </c>
      <c r="D128" t="s">
        <v>94</v>
      </c>
      <c r="G128"/>
    </row>
    <row r="129" spans="1:8" x14ac:dyDescent="0.2">
      <c r="G129"/>
    </row>
    <row r="130" spans="1:8" x14ac:dyDescent="0.2">
      <c r="A130" s="9"/>
      <c r="G130"/>
    </row>
    <row r="131" spans="1:8" x14ac:dyDescent="0.2">
      <c r="A131" s="9"/>
      <c r="G131"/>
    </row>
    <row r="132" spans="1:8" x14ac:dyDescent="0.2">
      <c r="A132" s="9" t="s">
        <v>252</v>
      </c>
      <c r="B132" t="s">
        <v>171</v>
      </c>
      <c r="G132"/>
    </row>
    <row r="133" spans="1:8" x14ac:dyDescent="0.2">
      <c r="A133" s="9"/>
      <c r="B133" t="s">
        <v>172</v>
      </c>
      <c r="D133" s="13">
        <f>IF(H133="ja", 30%+D135,30%)</f>
        <v>0.3</v>
      </c>
      <c r="F133" t="s">
        <v>214</v>
      </c>
      <c r="G133"/>
      <c r="H133" s="16">
        <f>'viktor-input-sheet'!D17</f>
        <v>0</v>
      </c>
    </row>
    <row r="134" spans="1:8" x14ac:dyDescent="0.2">
      <c r="G134"/>
    </row>
    <row r="135" spans="1:8" x14ac:dyDescent="0.2">
      <c r="B135" t="s">
        <v>215</v>
      </c>
      <c r="D135" s="13">
        <v>0.3</v>
      </c>
      <c r="G135"/>
    </row>
    <row r="136" spans="1:8" x14ac:dyDescent="0.2">
      <c r="G136"/>
    </row>
    <row r="137" spans="1:8" x14ac:dyDescent="0.2">
      <c r="B137" t="s">
        <v>217</v>
      </c>
      <c r="D137" s="46">
        <f>IF(D91&lt;15,5000,13000)</f>
        <v>5000</v>
      </c>
      <c r="G137"/>
    </row>
    <row r="140" spans="1:8" x14ac:dyDescent="0.2">
      <c r="A140" s="1" t="s">
        <v>258</v>
      </c>
      <c r="B140" t="s">
        <v>221</v>
      </c>
      <c r="F140" t="s">
        <v>222</v>
      </c>
      <c r="H140" s="16">
        <f>'viktor-input-sheet'!D19</f>
        <v>0</v>
      </c>
    </row>
    <row r="141" spans="1:8" x14ac:dyDescent="0.2">
      <c r="B141" t="s">
        <v>224</v>
      </c>
      <c r="D141" s="12" t="str">
        <f>IF(AND(H133="ja",H140="ja",H141="ja"),"erfüllt","keine Förderung")</f>
        <v>keine Förderung</v>
      </c>
      <c r="F141" t="s">
        <v>223</v>
      </c>
      <c r="H141" s="16">
        <f>'viktor-input-sheet'!D20</f>
        <v>0</v>
      </c>
    </row>
    <row r="143" spans="1:8" x14ac:dyDescent="0.2">
      <c r="B143" t="s">
        <v>225</v>
      </c>
      <c r="D143" s="47">
        <f>-(600+IF(D91&gt;10,6000,600*D91)+IF(D91&gt;15,3000,250*8))</f>
        <v>-2600</v>
      </c>
    </row>
    <row r="145" spans="2:4" x14ac:dyDescent="0.2">
      <c r="B145" t="s">
        <v>226</v>
      </c>
      <c r="D145" s="46">
        <v>2000</v>
      </c>
    </row>
  </sheetData>
  <mergeCells count="2">
    <mergeCell ref="B82:C82"/>
    <mergeCell ref="B83:C83"/>
  </mergeCells>
  <phoneticPr fontId="5" type="noConversion"/>
  <pageMargins left="0.7" right="0.7" top="0.78740157499999996" bottom="0.78740157499999996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5B99-8361-094A-BC7C-8201C5C7AAFC}">
  <dimension ref="A2:K91"/>
  <sheetViews>
    <sheetView topLeftCell="A45" zoomScale="94" workbookViewId="0">
      <selection activeCell="E50" sqref="E50"/>
    </sheetView>
  </sheetViews>
  <sheetFormatPr baseColWidth="10" defaultColWidth="11" defaultRowHeight="16" x14ac:dyDescent="0.2"/>
  <cols>
    <col min="1" max="1" width="11.1640625" bestFit="1" customWidth="1"/>
    <col min="2" max="2" width="13.5" customWidth="1"/>
    <col min="3" max="3" width="16.33203125" customWidth="1"/>
    <col min="4" max="4" width="14.6640625" customWidth="1"/>
    <col min="5" max="5" width="12.1640625" bestFit="1" customWidth="1"/>
    <col min="6" max="7" width="11.33203125" bestFit="1" customWidth="1"/>
  </cols>
  <sheetData>
    <row r="2" spans="1:6" x14ac:dyDescent="0.2">
      <c r="A2" s="2" t="s">
        <v>253</v>
      </c>
      <c r="B2" s="3" t="s">
        <v>111</v>
      </c>
    </row>
    <row r="3" spans="1:6" x14ac:dyDescent="0.2">
      <c r="A3" s="2"/>
    </row>
    <row r="4" spans="1:6" x14ac:dyDescent="0.2">
      <c r="A4" s="2" t="s">
        <v>254</v>
      </c>
      <c r="B4" s="3" t="s">
        <v>112</v>
      </c>
    </row>
    <row r="5" spans="1:6" x14ac:dyDescent="0.2">
      <c r="A5" s="2"/>
      <c r="B5" t="s">
        <v>134</v>
      </c>
    </row>
    <row r="6" spans="1:6" x14ac:dyDescent="0.2">
      <c r="A6" s="2"/>
      <c r="B6" t="s">
        <v>135</v>
      </c>
    </row>
    <row r="7" spans="1:6" x14ac:dyDescent="0.2">
      <c r="A7" s="2"/>
      <c r="B7" s="3"/>
    </row>
    <row r="8" spans="1:6" x14ac:dyDescent="0.2">
      <c r="A8" s="2"/>
      <c r="B8" t="s">
        <v>113</v>
      </c>
    </row>
    <row r="9" spans="1:6" x14ac:dyDescent="0.2">
      <c r="A9" s="2"/>
    </row>
    <row r="10" spans="1:6" x14ac:dyDescent="0.2">
      <c r="A10" s="2"/>
      <c r="B10" t="s">
        <v>192</v>
      </c>
      <c r="E10" s="24" cm="1">
        <f t="array" ref="E10">VLOOKUP(Eingangsparameter!G41&amp;Eingangsparameter!G42,CHOOSE({1,2},Solareerträge!A:A&amp;Solareerträge!C:C,Solareerträge!E:E),2,0)/100*Eingangsparameter!$D$94*Eingangsparameter!$D$95*Eingangsparameter!G40+VLOOKUP(Eingangsparameter!G60&amp;Eingangsparameter!G61,CHOOSE({1,2},Solareerträge!A:A&amp;Solareerträge!C:C,Solareerträge!E:E),2,0)/100*Eingangsparameter!$D$94*Eingangsparameter!$D$95*Eingangsparameter!G59</f>
        <v>0</v>
      </c>
      <c r="F10" t="s">
        <v>114</v>
      </c>
    </row>
    <row r="11" spans="1:6" x14ac:dyDescent="0.2">
      <c r="A11" s="2"/>
      <c r="B11" t="s">
        <v>193</v>
      </c>
      <c r="E11" s="24">
        <f>E12+E13</f>
        <v>0</v>
      </c>
      <c r="F11" t="s">
        <v>114</v>
      </c>
    </row>
    <row r="12" spans="1:6" x14ac:dyDescent="0.2">
      <c r="A12" s="2"/>
      <c r="C12" t="s">
        <v>115</v>
      </c>
      <c r="E12" s="24" cm="1">
        <f t="array" ref="E12">VLOOKUP(Eingangsparameter!G50&amp;Eingangsparameter!G51,CHOOSE({1,2},Solareerträge!A:A&amp;Solareerträge!C:C,Solareerträge!E:E),2,0)/100*Eingangsparameter!G49*Eingangsparameter!D96+VLOOKUP(Eingangsparameter!G69&amp;Eingangsparameter!G70,CHOOSE({1,2},Solareerträge!A:A&amp;Solareerträge!C:C,Solareerträge!E:E),2,0)/100*Eingangsparameter!G68*Eingangsparameter!D96</f>
        <v>0</v>
      </c>
      <c r="F12" t="s">
        <v>114</v>
      </c>
    </row>
    <row r="13" spans="1:6" x14ac:dyDescent="0.2">
      <c r="A13" s="2"/>
      <c r="C13" t="s">
        <v>116</v>
      </c>
      <c r="E13" s="24" cm="1">
        <f t="array" ref="E13">VLOOKUP(Eingangsparameter!G50&amp;Eingangsparameter!G51,CHOOSE({1,2},Solareerträge!A:A&amp;Solareerträge!C:C,Solareerträge!E:E),2,0)/100*Eingangsparameter!D94*Eingangsparameter!D95*Eingangsparameter!G49+VLOOKUP(Eingangsparameter!G69&amp;Eingangsparameter!G70,CHOOSE({1,2},Solareerträge!A:A&amp;Solareerträge!C:C,Solareerträge!E:E),2,0)/100*Eingangsparameter!D94*Eingangsparameter!D95*Eingangsparameter!G68</f>
        <v>0</v>
      </c>
      <c r="F13" t="s">
        <v>114</v>
      </c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0" x14ac:dyDescent="0.2">
      <c r="A17" s="2"/>
    </row>
    <row r="18" spans="1:10" x14ac:dyDescent="0.2">
      <c r="A18" s="2"/>
    </row>
    <row r="19" spans="1:10" x14ac:dyDescent="0.2">
      <c r="A19" s="2" t="s">
        <v>255</v>
      </c>
      <c r="B19" s="3" t="s">
        <v>117</v>
      </c>
    </row>
    <row r="20" spans="1:10" x14ac:dyDescent="0.2">
      <c r="A20" s="2"/>
    </row>
    <row r="21" spans="1:10" x14ac:dyDescent="0.2">
      <c r="A21" s="2"/>
      <c r="B21" s="11" t="s">
        <v>204</v>
      </c>
      <c r="E21" s="38">
        <f>Eingangsparameter!D102+Eingangsparameter!D104+Eingangsparameter!D110</f>
        <v>0</v>
      </c>
      <c r="F21" t="s">
        <v>114</v>
      </c>
    </row>
    <row r="22" spans="1:10" x14ac:dyDescent="0.2">
      <c r="A22" s="2"/>
      <c r="B22" s="48" t="s">
        <v>227</v>
      </c>
      <c r="E22" s="38">
        <f>Eingangsparameter!D110</f>
        <v>0</v>
      </c>
      <c r="F22" t="s">
        <v>114</v>
      </c>
    </row>
    <row r="23" spans="1:10" x14ac:dyDescent="0.2">
      <c r="A23" s="2"/>
      <c r="B23" s="48" t="s">
        <v>228</v>
      </c>
      <c r="E23" s="38">
        <f>Eingangsparameter!D102+Eingangsparameter!D104</f>
        <v>0</v>
      </c>
      <c r="F23" t="s">
        <v>114</v>
      </c>
    </row>
    <row r="24" spans="1:10" x14ac:dyDescent="0.2">
      <c r="A24" s="2"/>
      <c r="B24" s="11"/>
      <c r="E24" s="39"/>
    </row>
    <row r="25" spans="1:10" x14ac:dyDescent="0.2">
      <c r="A25" s="2"/>
    </row>
    <row r="26" spans="1:10" x14ac:dyDescent="0.2">
      <c r="A26" s="2"/>
      <c r="B26" t="s">
        <v>144</v>
      </c>
      <c r="E26" s="13">
        <f>Eingangsparameter!D133</f>
        <v>0.3</v>
      </c>
      <c r="F26" s="23"/>
    </row>
    <row r="27" spans="1:10" x14ac:dyDescent="0.2">
      <c r="A27" s="2"/>
      <c r="B27" t="s">
        <v>145</v>
      </c>
      <c r="E27" s="24">
        <f>IF(E10*E26+E13*E26&gt;E22,E22,E10*E26+E13*E26)</f>
        <v>0</v>
      </c>
      <c r="F27" t="s">
        <v>114</v>
      </c>
    </row>
    <row r="28" spans="1:10" x14ac:dyDescent="0.2">
      <c r="A28" s="2"/>
      <c r="B28" t="s">
        <v>146</v>
      </c>
      <c r="E28" s="24">
        <f>E10+E13-E27</f>
        <v>0</v>
      </c>
      <c r="F28" t="s">
        <v>114</v>
      </c>
    </row>
    <row r="29" spans="1:10" x14ac:dyDescent="0.2">
      <c r="A29" s="2"/>
      <c r="B29" t="s">
        <v>198</v>
      </c>
      <c r="E29" s="24">
        <f>IF(E12*0.6&gt;E23,E23,E12*0.6)</f>
        <v>0</v>
      </c>
      <c r="F29" t="s">
        <v>114</v>
      </c>
    </row>
    <row r="30" spans="1:10" x14ac:dyDescent="0.2">
      <c r="A30" s="2"/>
    </row>
    <row r="31" spans="1:10" x14ac:dyDescent="0.2">
      <c r="A31" s="5" t="s">
        <v>256</v>
      </c>
      <c r="B31" s="6" t="s">
        <v>118</v>
      </c>
    </row>
    <row r="32" spans="1:10" x14ac:dyDescent="0.2">
      <c r="A32" s="5"/>
      <c r="B32" t="s">
        <v>205</v>
      </c>
      <c r="E32" s="38">
        <f>(Eingangsparameter!D102+Eingangsparameter!D104)*Eingangsparameter!D8+Eingangsparameter!D110*Eingangsparameter!D7</f>
        <v>0</v>
      </c>
      <c r="F32" t="s">
        <v>114</v>
      </c>
      <c r="I32" t="s">
        <v>194</v>
      </c>
      <c r="J32" t="s">
        <v>119</v>
      </c>
    </row>
    <row r="33" spans="1:11" x14ac:dyDescent="0.2">
      <c r="A33" s="5"/>
      <c r="B33" s="11" t="s">
        <v>206</v>
      </c>
      <c r="E33" s="38">
        <f>(IF(Eingangsparameter!H7="Heizöl",Eingangsparameter!D13,Eingangsparameter!D12)*(Eingangsparameter!D102+Eingangsparameter!D104)+Eingangsparameter!D110*Eingangsparameter!D11)/1000</f>
        <v>0</v>
      </c>
      <c r="F33" t="s">
        <v>202</v>
      </c>
      <c r="H33" t="s">
        <v>207</v>
      </c>
      <c r="I33" s="39">
        <f>E33</f>
        <v>0</v>
      </c>
      <c r="J33" s="39">
        <f>E32</f>
        <v>0</v>
      </c>
      <c r="K33" t="s">
        <v>207</v>
      </c>
    </row>
    <row r="34" spans="1:11" x14ac:dyDescent="0.2">
      <c r="A34" s="5"/>
      <c r="B34" s="6"/>
      <c r="E34" s="39"/>
      <c r="H34" t="s">
        <v>208</v>
      </c>
      <c r="I34" s="39">
        <f>E33-E41</f>
        <v>0</v>
      </c>
      <c r="J34" s="39">
        <f>IF(E32-E35&lt;0,0,E32-E35)</f>
        <v>0</v>
      </c>
      <c r="K34" t="s">
        <v>208</v>
      </c>
    </row>
    <row r="35" spans="1:11" x14ac:dyDescent="0.2">
      <c r="A35" s="2"/>
      <c r="B35" t="s">
        <v>201</v>
      </c>
      <c r="E35" s="38">
        <f>SUM(E36:E38)</f>
        <v>0</v>
      </c>
      <c r="F35" t="s">
        <v>114</v>
      </c>
    </row>
    <row r="36" spans="1:11" x14ac:dyDescent="0.2">
      <c r="A36" s="2"/>
      <c r="B36" s="29" t="s">
        <v>199</v>
      </c>
      <c r="E36" s="38">
        <f>IF(E22&lt;E27,E27*Eingangsparameter!D7,E22*Eingangsparameter!D7)</f>
        <v>0</v>
      </c>
      <c r="F36" t="s">
        <v>114</v>
      </c>
    </row>
    <row r="37" spans="1:11" x14ac:dyDescent="0.2">
      <c r="A37" s="2"/>
      <c r="B37" s="29" t="s">
        <v>196</v>
      </c>
      <c r="E37" s="38">
        <f>IF(Eingangsparameter!H7="Erdgas",IF(E23&lt;E29,E23*Eingangsparameter!D8,E29*Eingangsparameter!D8),0)</f>
        <v>0</v>
      </c>
      <c r="F37" t="s">
        <v>114</v>
      </c>
    </row>
    <row r="38" spans="1:11" x14ac:dyDescent="0.2">
      <c r="A38" s="2"/>
      <c r="B38" s="29" t="s">
        <v>197</v>
      </c>
      <c r="E38" s="38">
        <f>IF(Eingangsparameter!H7="Heizöl",IF(E23&lt;E29,E23*Eingangsparameter!D9,E29*Eingangsparameter!D9),0)</f>
        <v>0</v>
      </c>
      <c r="F38" t="s">
        <v>114</v>
      </c>
    </row>
    <row r="39" spans="1:11" x14ac:dyDescent="0.2">
      <c r="A39" s="2"/>
      <c r="B39" s="29"/>
      <c r="E39" s="39"/>
    </row>
    <row r="40" spans="1:11" x14ac:dyDescent="0.2">
      <c r="A40" s="2"/>
      <c r="E40" s="39"/>
    </row>
    <row r="41" spans="1:11" x14ac:dyDescent="0.2">
      <c r="A41" s="2"/>
      <c r="B41" t="s">
        <v>200</v>
      </c>
      <c r="E41" s="38">
        <f>SUM(E42:E44)</f>
        <v>0</v>
      </c>
      <c r="F41" t="s">
        <v>202</v>
      </c>
    </row>
    <row r="42" spans="1:11" x14ac:dyDescent="0.2">
      <c r="A42" s="2"/>
      <c r="B42" s="29" t="s">
        <v>195</v>
      </c>
      <c r="E42" s="38">
        <f>IF(E22&lt;E27,E22*Eingangsparameter!D11,E27*Eingangsparameter!D11)/1000</f>
        <v>0</v>
      </c>
      <c r="F42" t="s">
        <v>202</v>
      </c>
    </row>
    <row r="43" spans="1:11" x14ac:dyDescent="0.2">
      <c r="A43" s="2"/>
      <c r="B43" s="29" t="s">
        <v>196</v>
      </c>
      <c r="E43" s="38">
        <f>IF(Eingangsparameter!H7="Erdgas",IF(E23&lt;E29,E23*Eingangsparameter!D12,E29*Eingangsparameter!D12)/1000,0)</f>
        <v>0</v>
      </c>
      <c r="F43" t="s">
        <v>202</v>
      </c>
    </row>
    <row r="44" spans="1:11" x14ac:dyDescent="0.2">
      <c r="A44" s="2"/>
      <c r="B44" s="29" t="s">
        <v>197</v>
      </c>
      <c r="E44" s="38">
        <f>IF(Eingangsparameter!H7="Heizöl",IF(E23&lt;E29,E23*Eingangsparameter!D13,E29*Eingangsparameter!D13)/1000,0)</f>
        <v>0</v>
      </c>
      <c r="F44" t="s">
        <v>202</v>
      </c>
    </row>
    <row r="45" spans="1:11" x14ac:dyDescent="0.2">
      <c r="A45" s="2"/>
      <c r="E45" s="39"/>
    </row>
    <row r="46" spans="1:11" x14ac:dyDescent="0.2">
      <c r="A46" s="2"/>
      <c r="B46" t="s">
        <v>120</v>
      </c>
    </row>
    <row r="47" spans="1:11" x14ac:dyDescent="0.2">
      <c r="A47" s="2"/>
    </row>
    <row r="48" spans="1:11" x14ac:dyDescent="0.2">
      <c r="A48" s="5" t="s">
        <v>257</v>
      </c>
      <c r="B48" s="6" t="s">
        <v>121</v>
      </c>
    </row>
    <row r="49" spans="1:9" x14ac:dyDescent="0.2">
      <c r="A49" s="2"/>
      <c r="H49" t="s">
        <v>260</v>
      </c>
    </row>
    <row r="50" spans="1:9" x14ac:dyDescent="0.2">
      <c r="B50" t="s">
        <v>174</v>
      </c>
      <c r="E50" s="28">
        <f>E28*Eingangsparameter!D23</f>
        <v>0</v>
      </c>
      <c r="H50" s="9" t="s">
        <v>259</v>
      </c>
      <c r="I50" t="s">
        <v>186</v>
      </c>
    </row>
    <row r="51" spans="1:9" x14ac:dyDescent="0.2">
      <c r="B51" t="s">
        <v>175</v>
      </c>
      <c r="E51" s="28">
        <f>E28*Eingangsparameter!D29</f>
        <v>0</v>
      </c>
    </row>
    <row r="52" spans="1:9" x14ac:dyDescent="0.2">
      <c r="B52" t="s">
        <v>149</v>
      </c>
      <c r="E52" s="28">
        <f>E27*Eingangsparameter!D15</f>
        <v>0</v>
      </c>
    </row>
    <row r="53" spans="1:9" x14ac:dyDescent="0.2">
      <c r="B53" t="s">
        <v>185</v>
      </c>
      <c r="E53" s="28">
        <f>IF(Eingangsparameter!H7="Heizöl",E29*Eingangsparameter!D19,E29*Eingangsparameter!D17)</f>
        <v>0</v>
      </c>
    </row>
    <row r="54" spans="1:9" x14ac:dyDescent="0.2">
      <c r="B54" t="s">
        <v>209</v>
      </c>
      <c r="E54" s="30">
        <f>Eingangsparameter!D81</f>
        <v>100</v>
      </c>
    </row>
    <row r="55" spans="1:9" x14ac:dyDescent="0.2">
      <c r="B55" t="s">
        <v>218</v>
      </c>
      <c r="E55" s="30">
        <f>Eingangsparameter!D82*Eingangsparameter!D90</f>
        <v>0</v>
      </c>
    </row>
    <row r="56" spans="1:9" x14ac:dyDescent="0.2">
      <c r="B56" t="s">
        <v>219</v>
      </c>
      <c r="E56" s="30">
        <f>Eingangsparameter!D83</f>
        <v>200</v>
      </c>
    </row>
    <row r="57" spans="1:9" x14ac:dyDescent="0.2">
      <c r="B57" t="s">
        <v>220</v>
      </c>
      <c r="E57" s="40">
        <f>Eingangsparameter!D84</f>
        <v>450</v>
      </c>
    </row>
    <row r="60" spans="1:9" ht="34" x14ac:dyDescent="0.2">
      <c r="A60" s="3" t="s">
        <v>122</v>
      </c>
      <c r="B60" s="25" t="s">
        <v>147</v>
      </c>
      <c r="C60" s="25" t="s">
        <v>148</v>
      </c>
      <c r="D60" s="3" t="s">
        <v>123</v>
      </c>
      <c r="E60" s="3" t="s">
        <v>124</v>
      </c>
      <c r="F60" s="25" t="s">
        <v>125</v>
      </c>
      <c r="G60" s="25" t="s">
        <v>126</v>
      </c>
    </row>
    <row r="61" spans="1:9" x14ac:dyDescent="0.2">
      <c r="A61">
        <v>0</v>
      </c>
      <c r="B61" s="7">
        <v>0</v>
      </c>
      <c r="C61" s="7">
        <f>Eingangsparameter!D39+IF(Eingangsparameter!H133="ja",Eingangsparameter!D137,0)+IF(Eingangsparameter!H141="ja",Eingangsparameter!D143+Eingangsparameter!D145,0)</f>
        <v>0</v>
      </c>
      <c r="D61" s="7">
        <f t="shared" ref="D61:D91" si="0">B61-C61</f>
        <v>0</v>
      </c>
      <c r="E61" s="26">
        <f>1/((1+Eingangsparameter!$D$31)^Ausgabekennzahlen!A61)</f>
        <v>1</v>
      </c>
      <c r="F61" s="27">
        <f>D61*E61</f>
        <v>0</v>
      </c>
      <c r="G61" s="27">
        <f>F61</f>
        <v>0</v>
      </c>
    </row>
    <row r="62" spans="1:9" x14ac:dyDescent="0.2">
      <c r="A62">
        <v>1</v>
      </c>
      <c r="B62" s="7">
        <f>$E$50+$E$52+$E$53</f>
        <v>0</v>
      </c>
      <c r="C62" s="7">
        <f>$E$54+IF(ISEVEN(A62),$E$55,0)</f>
        <v>100</v>
      </c>
      <c r="D62" s="7">
        <f t="shared" si="0"/>
        <v>-100</v>
      </c>
      <c r="E62" s="26">
        <f>1/((1+Eingangsparameter!$D$31)^Ausgabekennzahlen!A62)</f>
        <v>0.95238095238095233</v>
      </c>
      <c r="F62" s="27">
        <f>D62*E62</f>
        <v>-95.238095238095227</v>
      </c>
      <c r="G62" s="27">
        <f>F62+G61</f>
        <v>-95.238095238095227</v>
      </c>
    </row>
    <row r="63" spans="1:9" x14ac:dyDescent="0.2">
      <c r="A63">
        <v>2</v>
      </c>
      <c r="B63" s="7">
        <f>($E$50+$E$52+$E$53)*(100-0.4*(A63-1))/100</f>
        <v>0</v>
      </c>
      <c r="C63" s="7">
        <f t="shared" ref="C63:C90" si="1">$E$54+IF(ISEVEN(A63),$E$55,0)</f>
        <v>100</v>
      </c>
      <c r="D63" s="7">
        <f t="shared" si="0"/>
        <v>-100</v>
      </c>
      <c r="E63" s="26">
        <f>1/((1+Eingangsparameter!$D$31)^Ausgabekennzahlen!A63)</f>
        <v>0.90702947845804982</v>
      </c>
      <c r="F63" s="27">
        <f t="shared" ref="F63:F86" si="2">D63*E63</f>
        <v>-90.702947845804985</v>
      </c>
      <c r="G63" s="27">
        <f>G62+F63</f>
        <v>-185.94104308390021</v>
      </c>
    </row>
    <row r="64" spans="1:9" x14ac:dyDescent="0.2">
      <c r="A64">
        <v>3</v>
      </c>
      <c r="B64" s="7">
        <f t="shared" ref="B64:B81" si="3">($E$50+$E$52+$E$53)*(100-0.4*(A64-1))/100</f>
        <v>0</v>
      </c>
      <c r="C64" s="7">
        <f>$E$54+IF(ISEVEN(A64),$E$55,0)+E56</f>
        <v>300</v>
      </c>
      <c r="D64" s="7">
        <f t="shared" si="0"/>
        <v>-300</v>
      </c>
      <c r="E64" s="26">
        <f>1/((1+Eingangsparameter!$D$31)^Ausgabekennzahlen!A64)</f>
        <v>0.86383759853147601</v>
      </c>
      <c r="F64" s="27">
        <f t="shared" si="2"/>
        <v>-259.1512795594428</v>
      </c>
      <c r="G64" s="27">
        <f>G63+F64</f>
        <v>-445.09232264334298</v>
      </c>
    </row>
    <row r="65" spans="1:7" x14ac:dyDescent="0.2">
      <c r="A65">
        <v>4</v>
      </c>
      <c r="B65" s="7">
        <f t="shared" si="3"/>
        <v>0</v>
      </c>
      <c r="C65" s="7">
        <f t="shared" si="1"/>
        <v>100</v>
      </c>
      <c r="D65" s="7">
        <f t="shared" si="0"/>
        <v>-100</v>
      </c>
      <c r="E65" s="26">
        <f>1/((1+Eingangsparameter!$D$31)^Ausgabekennzahlen!A65)</f>
        <v>0.82270247479188197</v>
      </c>
      <c r="F65" s="27">
        <f t="shared" si="2"/>
        <v>-82.2702474791882</v>
      </c>
      <c r="G65" s="27">
        <f t="shared" ref="G65:G86" si="4">G64+F65</f>
        <v>-527.36257012253122</v>
      </c>
    </row>
    <row r="66" spans="1:7" x14ac:dyDescent="0.2">
      <c r="A66">
        <v>5</v>
      </c>
      <c r="B66" s="7">
        <f t="shared" si="3"/>
        <v>0</v>
      </c>
      <c r="C66" s="7">
        <f t="shared" si="1"/>
        <v>100</v>
      </c>
      <c r="D66" s="7">
        <f t="shared" si="0"/>
        <v>-100</v>
      </c>
      <c r="E66" s="26">
        <f>1/((1+Eingangsparameter!$D$31)^Ausgabekennzahlen!A66)</f>
        <v>0.78352616646845896</v>
      </c>
      <c r="F66" s="27">
        <f t="shared" si="2"/>
        <v>-78.352616646845902</v>
      </c>
      <c r="G66" s="27">
        <f t="shared" si="4"/>
        <v>-605.71518676937717</v>
      </c>
    </row>
    <row r="67" spans="1:7" x14ac:dyDescent="0.2">
      <c r="A67">
        <v>6</v>
      </c>
      <c r="B67" s="7">
        <f t="shared" si="3"/>
        <v>0</v>
      </c>
      <c r="C67" s="7">
        <f>$E$54+IF(ISEVEN(A67),$E$55,0)+E56</f>
        <v>300</v>
      </c>
      <c r="D67" s="7">
        <f t="shared" si="0"/>
        <v>-300</v>
      </c>
      <c r="E67" s="26">
        <f>1/((1+Eingangsparameter!$D$31)^Ausgabekennzahlen!A67)</f>
        <v>0.74621539663662761</v>
      </c>
      <c r="F67" s="27">
        <f t="shared" si="2"/>
        <v>-223.86461899098828</v>
      </c>
      <c r="G67" s="27">
        <f t="shared" si="4"/>
        <v>-829.57980576036539</v>
      </c>
    </row>
    <row r="68" spans="1:7" x14ac:dyDescent="0.2">
      <c r="A68">
        <v>7</v>
      </c>
      <c r="B68" s="7">
        <f t="shared" si="3"/>
        <v>0</v>
      </c>
      <c r="C68" s="7">
        <f t="shared" si="1"/>
        <v>100</v>
      </c>
      <c r="D68" s="7">
        <f t="shared" si="0"/>
        <v>-100</v>
      </c>
      <c r="E68" s="26">
        <f>1/((1+Eingangsparameter!$D$31)^Ausgabekennzahlen!A68)</f>
        <v>0.71068133013012147</v>
      </c>
      <c r="F68" s="27">
        <f t="shared" si="2"/>
        <v>-71.068133013012144</v>
      </c>
      <c r="G68" s="27">
        <f t="shared" si="4"/>
        <v>-900.64793877337752</v>
      </c>
    </row>
    <row r="69" spans="1:7" x14ac:dyDescent="0.2">
      <c r="A69">
        <v>8</v>
      </c>
      <c r="B69" s="7">
        <f t="shared" si="3"/>
        <v>0</v>
      </c>
      <c r="C69" s="7">
        <f t="shared" si="1"/>
        <v>100</v>
      </c>
      <c r="D69" s="7">
        <f t="shared" si="0"/>
        <v>-100</v>
      </c>
      <c r="E69" s="26">
        <f>1/((1+Eingangsparameter!$D$31)^Ausgabekennzahlen!A69)</f>
        <v>0.67683936202868722</v>
      </c>
      <c r="F69" s="27">
        <f t="shared" si="2"/>
        <v>-67.683936202868722</v>
      </c>
      <c r="G69" s="27">
        <f t="shared" si="4"/>
        <v>-968.33187497624624</v>
      </c>
    </row>
    <row r="70" spans="1:7" x14ac:dyDescent="0.2">
      <c r="A70">
        <v>9</v>
      </c>
      <c r="B70" s="7">
        <f t="shared" si="3"/>
        <v>0</v>
      </c>
      <c r="C70" s="7">
        <f>$E$54+IF(ISEVEN(A70),$E$55,0)+E56</f>
        <v>300</v>
      </c>
      <c r="D70" s="7">
        <f t="shared" si="0"/>
        <v>-300</v>
      </c>
      <c r="E70" s="26">
        <f>1/((1+Eingangsparameter!$D$31)^Ausgabekennzahlen!A70)</f>
        <v>0.64460891621779726</v>
      </c>
      <c r="F70" s="27">
        <f t="shared" si="2"/>
        <v>-193.38267486533917</v>
      </c>
      <c r="G70" s="27">
        <f t="shared" si="4"/>
        <v>-1161.7145498415855</v>
      </c>
    </row>
    <row r="71" spans="1:7" x14ac:dyDescent="0.2">
      <c r="A71">
        <v>10</v>
      </c>
      <c r="B71" s="7">
        <f t="shared" si="3"/>
        <v>0</v>
      </c>
      <c r="C71" s="7">
        <f t="shared" si="1"/>
        <v>100</v>
      </c>
      <c r="D71" s="7">
        <f t="shared" si="0"/>
        <v>-100</v>
      </c>
      <c r="E71" s="26">
        <f>1/((1+Eingangsparameter!$D$31)^Ausgabekennzahlen!A71)</f>
        <v>0.61391325354075932</v>
      </c>
      <c r="F71" s="27">
        <f t="shared" si="2"/>
        <v>-61.391325354075931</v>
      </c>
      <c r="G71" s="27">
        <f t="shared" si="4"/>
        <v>-1223.1058751956614</v>
      </c>
    </row>
    <row r="72" spans="1:7" x14ac:dyDescent="0.2">
      <c r="A72">
        <v>11</v>
      </c>
      <c r="B72" s="7">
        <f t="shared" si="3"/>
        <v>0</v>
      </c>
      <c r="C72" s="7">
        <f t="shared" si="1"/>
        <v>100</v>
      </c>
      <c r="D72" s="7">
        <f t="shared" si="0"/>
        <v>-100</v>
      </c>
      <c r="E72" s="26">
        <f>1/((1+Eingangsparameter!$D$31)^Ausgabekennzahlen!A72)</f>
        <v>0.5846792890864374</v>
      </c>
      <c r="F72" s="27">
        <f t="shared" si="2"/>
        <v>-58.467928908643742</v>
      </c>
      <c r="G72" s="27">
        <f t="shared" si="4"/>
        <v>-1281.5738041043051</v>
      </c>
    </row>
    <row r="73" spans="1:7" x14ac:dyDescent="0.2">
      <c r="A73">
        <v>12</v>
      </c>
      <c r="B73" s="7">
        <f t="shared" si="3"/>
        <v>0</v>
      </c>
      <c r="C73" s="7">
        <f>$E$54+IF(ISEVEN(A73),$E$55,0)+E56</f>
        <v>300</v>
      </c>
      <c r="D73" s="7">
        <f t="shared" si="0"/>
        <v>-300</v>
      </c>
      <c r="E73" s="26">
        <f>1/((1+Eingangsparameter!$D$31)^Ausgabekennzahlen!A73)</f>
        <v>0.5568374181775595</v>
      </c>
      <c r="F73" s="27">
        <f t="shared" si="2"/>
        <v>-167.05122545326785</v>
      </c>
      <c r="G73" s="27">
        <f t="shared" si="4"/>
        <v>-1448.6250295575728</v>
      </c>
    </row>
    <row r="74" spans="1:7" x14ac:dyDescent="0.2">
      <c r="A74">
        <v>13</v>
      </c>
      <c r="B74" s="7">
        <f t="shared" si="3"/>
        <v>0</v>
      </c>
      <c r="C74" s="7">
        <f>$E$54+IF(ISEVEN(A74),$E$55,0)+E57</f>
        <v>550</v>
      </c>
      <c r="D74" s="7">
        <f t="shared" si="0"/>
        <v>-550</v>
      </c>
      <c r="E74" s="26">
        <f>1/((1+Eingangsparameter!$D$31)^Ausgabekennzahlen!A74)</f>
        <v>0.53032135064529462</v>
      </c>
      <c r="F74" s="27">
        <f t="shared" si="2"/>
        <v>-291.67674285491205</v>
      </c>
      <c r="G74" s="27">
        <f t="shared" si="4"/>
        <v>-1740.3017724124848</v>
      </c>
    </row>
    <row r="75" spans="1:7" x14ac:dyDescent="0.2">
      <c r="A75">
        <v>14</v>
      </c>
      <c r="B75" s="7">
        <f t="shared" si="3"/>
        <v>0</v>
      </c>
      <c r="C75" s="7">
        <f t="shared" si="1"/>
        <v>100</v>
      </c>
      <c r="D75" s="7">
        <f t="shared" si="0"/>
        <v>-100</v>
      </c>
      <c r="E75" s="26">
        <f>1/((1+Eingangsparameter!$D$31)^Ausgabekennzahlen!A75)</f>
        <v>0.50506795299551888</v>
      </c>
      <c r="F75" s="27">
        <f t="shared" si="2"/>
        <v>-50.506795299551889</v>
      </c>
      <c r="G75" s="27">
        <f t="shared" si="4"/>
        <v>-1790.8085677120366</v>
      </c>
    </row>
    <row r="76" spans="1:7" x14ac:dyDescent="0.2">
      <c r="A76">
        <v>15</v>
      </c>
      <c r="B76" s="7">
        <f t="shared" si="3"/>
        <v>0</v>
      </c>
      <c r="C76" s="7">
        <f>$E$54+IF(ISEVEN(A76),$E$55,0)+E56</f>
        <v>300</v>
      </c>
      <c r="D76" s="7">
        <f t="shared" si="0"/>
        <v>-300</v>
      </c>
      <c r="E76" s="26">
        <f>1/((1+Eingangsparameter!$D$31)^Ausgabekennzahlen!A76)</f>
        <v>0.48101709809097021</v>
      </c>
      <c r="F76" s="27">
        <f t="shared" si="2"/>
        <v>-144.30512942729106</v>
      </c>
      <c r="G76" s="27">
        <f t="shared" si="4"/>
        <v>-1935.1136971393278</v>
      </c>
    </row>
    <row r="77" spans="1:7" x14ac:dyDescent="0.2">
      <c r="A77">
        <v>16</v>
      </c>
      <c r="B77" s="7">
        <f t="shared" si="3"/>
        <v>0</v>
      </c>
      <c r="C77" s="7">
        <f t="shared" si="1"/>
        <v>100</v>
      </c>
      <c r="D77" s="7">
        <f t="shared" si="0"/>
        <v>-100</v>
      </c>
      <c r="E77" s="26">
        <f>1/((1+Eingangsparameter!$D$31)^Ausgabekennzahlen!A77)</f>
        <v>0.45811152199140021</v>
      </c>
      <c r="F77" s="27">
        <f t="shared" si="2"/>
        <v>-45.811152199140018</v>
      </c>
      <c r="G77" s="27">
        <f t="shared" si="4"/>
        <v>-1980.9248493384678</v>
      </c>
    </row>
    <row r="78" spans="1:7" x14ac:dyDescent="0.2">
      <c r="A78">
        <v>17</v>
      </c>
      <c r="B78" s="7">
        <f t="shared" si="3"/>
        <v>0</v>
      </c>
      <c r="C78" s="7">
        <f t="shared" si="1"/>
        <v>100</v>
      </c>
      <c r="D78" s="7">
        <f t="shared" si="0"/>
        <v>-100</v>
      </c>
      <c r="E78" s="26">
        <f>1/((1+Eingangsparameter!$D$31)^Ausgabekennzahlen!A78)</f>
        <v>0.43629668761085727</v>
      </c>
      <c r="F78" s="27">
        <f t="shared" si="2"/>
        <v>-43.629668761085725</v>
      </c>
      <c r="G78" s="27">
        <f t="shared" si="4"/>
        <v>-2024.5545180995534</v>
      </c>
    </row>
    <row r="79" spans="1:7" x14ac:dyDescent="0.2">
      <c r="A79">
        <v>18</v>
      </c>
      <c r="B79" s="7">
        <f t="shared" si="3"/>
        <v>0</v>
      </c>
      <c r="C79" s="7">
        <f>$E$54+IF(ISEVEN(A79),$E$55,0)+E56</f>
        <v>300</v>
      </c>
      <c r="D79" s="7">
        <f t="shared" si="0"/>
        <v>-300</v>
      </c>
      <c r="E79" s="26">
        <f>1/((1+Eingangsparameter!$D$31)^Ausgabekennzahlen!A79)</f>
        <v>0.41552065486748313</v>
      </c>
      <c r="F79" s="27">
        <f t="shared" si="2"/>
        <v>-124.65619646024494</v>
      </c>
      <c r="G79" s="27">
        <f t="shared" si="4"/>
        <v>-2149.2107145597984</v>
      </c>
    </row>
    <row r="80" spans="1:7" x14ac:dyDescent="0.2">
      <c r="A80">
        <v>19</v>
      </c>
      <c r="B80" s="7">
        <f t="shared" si="3"/>
        <v>0</v>
      </c>
      <c r="C80" s="7">
        <f t="shared" si="1"/>
        <v>100</v>
      </c>
      <c r="D80" s="7">
        <f t="shared" si="0"/>
        <v>-100</v>
      </c>
      <c r="E80" s="26">
        <f>1/((1+Eingangsparameter!$D$31)^Ausgabekennzahlen!A80)</f>
        <v>0.39573395701665059</v>
      </c>
      <c r="F80" s="27">
        <f t="shared" si="2"/>
        <v>-39.573395701665056</v>
      </c>
      <c r="G80" s="27">
        <f>G79+F80</f>
        <v>-2188.7841102614634</v>
      </c>
    </row>
    <row r="81" spans="1:7" x14ac:dyDescent="0.2">
      <c r="A81">
        <v>20</v>
      </c>
      <c r="B81" s="7">
        <f t="shared" si="3"/>
        <v>0</v>
      </c>
      <c r="C81" s="7">
        <f t="shared" si="1"/>
        <v>100</v>
      </c>
      <c r="D81" s="7">
        <f t="shared" si="0"/>
        <v>-100</v>
      </c>
      <c r="E81" s="26">
        <f>1/((1+Eingangsparameter!$D$31)^Ausgabekennzahlen!A81)</f>
        <v>0.37688948287300061</v>
      </c>
      <c r="F81" s="27">
        <f>D81*E81</f>
        <v>-37.688948287300065</v>
      </c>
      <c r="G81" s="27">
        <f t="shared" si="4"/>
        <v>-2226.4730585487637</v>
      </c>
    </row>
    <row r="82" spans="1:7" x14ac:dyDescent="0.2">
      <c r="A82">
        <v>21</v>
      </c>
      <c r="B82" s="7">
        <f>($E$51+$E$52+$E$53)*(100-0.4*(A82-1))/100</f>
        <v>0</v>
      </c>
      <c r="C82" s="7">
        <f>$E$54+IF(ISEVEN(A82),$E$55,0)+E56</f>
        <v>300</v>
      </c>
      <c r="D82" s="7">
        <f t="shared" si="0"/>
        <v>-300</v>
      </c>
      <c r="E82" s="26">
        <f>1/((1+Eingangsparameter!$D$31)^Ausgabekennzahlen!A82)</f>
        <v>0.35894236464095297</v>
      </c>
      <c r="F82" s="27">
        <f t="shared" si="2"/>
        <v>-107.68270939228589</v>
      </c>
      <c r="G82" s="27">
        <f t="shared" si="4"/>
        <v>-2334.1557679410494</v>
      </c>
    </row>
    <row r="83" spans="1:7" x14ac:dyDescent="0.2">
      <c r="A83">
        <v>22</v>
      </c>
      <c r="B83" s="7">
        <f t="shared" ref="B83:B91" si="5">($E$51+$E$52+$E$53)*(100-0.4*(A83-1))/100</f>
        <v>0</v>
      </c>
      <c r="C83" s="7">
        <f t="shared" si="1"/>
        <v>100</v>
      </c>
      <c r="D83" s="7">
        <f t="shared" si="0"/>
        <v>-100</v>
      </c>
      <c r="E83" s="26">
        <f>1/((1+Eingangsparameter!$D$31)^Ausgabekennzahlen!A83)</f>
        <v>0.3418498710866219</v>
      </c>
      <c r="F83" s="27">
        <f t="shared" si="2"/>
        <v>-34.184987108662192</v>
      </c>
      <c r="G83" s="27">
        <f t="shared" si="4"/>
        <v>-2368.3407550497113</v>
      </c>
    </row>
    <row r="84" spans="1:7" x14ac:dyDescent="0.2">
      <c r="A84">
        <v>23</v>
      </c>
      <c r="B84" s="7">
        <f t="shared" si="5"/>
        <v>0</v>
      </c>
      <c r="C84" s="7">
        <f t="shared" si="1"/>
        <v>100</v>
      </c>
      <c r="D84" s="7">
        <f t="shared" si="0"/>
        <v>-100</v>
      </c>
      <c r="E84" s="26">
        <f>1/((1+Eingangsparameter!$D$31)^Ausgabekennzahlen!A84)</f>
        <v>0.32557130579678267</v>
      </c>
      <c r="F84" s="27">
        <f t="shared" si="2"/>
        <v>-32.557130579678265</v>
      </c>
      <c r="G84" s="27">
        <f t="shared" si="4"/>
        <v>-2400.8978856293897</v>
      </c>
    </row>
    <row r="85" spans="1:7" x14ac:dyDescent="0.2">
      <c r="A85">
        <v>24</v>
      </c>
      <c r="B85" s="7">
        <f t="shared" si="5"/>
        <v>0</v>
      </c>
      <c r="C85" s="7">
        <f>$E$54+IF(ISEVEN(A85),$E$55,0)+E56</f>
        <v>300</v>
      </c>
      <c r="D85" s="7">
        <f t="shared" si="0"/>
        <v>-300</v>
      </c>
      <c r="E85" s="26">
        <f>1/((1+Eingangsparameter!$D$31)^Ausgabekennzahlen!A85)</f>
        <v>0.31006791028265024</v>
      </c>
      <c r="F85" s="27">
        <f t="shared" si="2"/>
        <v>-93.020373084795068</v>
      </c>
      <c r="G85" s="27">
        <f t="shared" si="4"/>
        <v>-2493.918258714185</v>
      </c>
    </row>
    <row r="86" spans="1:7" x14ac:dyDescent="0.2">
      <c r="A86">
        <v>25</v>
      </c>
      <c r="B86" s="7">
        <f t="shared" si="5"/>
        <v>0</v>
      </c>
      <c r="C86" s="7">
        <f>$E$54+IF(ISEVEN(A86),$E$55,0)+E57</f>
        <v>550</v>
      </c>
      <c r="D86" s="7">
        <f t="shared" si="0"/>
        <v>-550</v>
      </c>
      <c r="E86" s="26">
        <f>1/((1+Eingangsparameter!$D$31)^Ausgabekennzahlen!A86)</f>
        <v>0.29530277169776209</v>
      </c>
      <c r="F86" s="27">
        <f t="shared" si="2"/>
        <v>-162.41652443376915</v>
      </c>
      <c r="G86" s="27">
        <f t="shared" si="4"/>
        <v>-2656.3347831479541</v>
      </c>
    </row>
    <row r="87" spans="1:7" x14ac:dyDescent="0.2">
      <c r="A87">
        <v>26</v>
      </c>
      <c r="B87" s="7">
        <f t="shared" si="5"/>
        <v>0</v>
      </c>
      <c r="C87" s="7">
        <f t="shared" si="1"/>
        <v>100</v>
      </c>
      <c r="D87" s="7">
        <f t="shared" si="0"/>
        <v>-100</v>
      </c>
      <c r="E87" s="26">
        <f>1/((1+Eingangsparameter!$D$31)^Ausgabekennzahlen!A87)</f>
        <v>0.28124073495024959</v>
      </c>
      <c r="F87" s="27">
        <f t="shared" ref="F87:F91" si="6">D87*E87</f>
        <v>-28.124073495024959</v>
      </c>
      <c r="G87" s="27">
        <f t="shared" ref="G87:G91" si="7">G86+F87</f>
        <v>-2684.4588566429793</v>
      </c>
    </row>
    <row r="88" spans="1:7" x14ac:dyDescent="0.2">
      <c r="A88">
        <v>27</v>
      </c>
      <c r="B88" s="7">
        <f t="shared" si="5"/>
        <v>0</v>
      </c>
      <c r="C88" s="7">
        <f>$E$54+IF(ISEVEN(A88),$E$55,0)+E56</f>
        <v>300</v>
      </c>
      <c r="D88" s="7">
        <f t="shared" si="0"/>
        <v>-300</v>
      </c>
      <c r="E88" s="26">
        <f>1/((1+Eingangsparameter!$D$31)^Ausgabekennzahlen!A88)</f>
        <v>0.2678483190002377</v>
      </c>
      <c r="F88" s="27">
        <f t="shared" si="6"/>
        <v>-80.354495700071311</v>
      </c>
      <c r="G88" s="27">
        <f t="shared" si="7"/>
        <v>-2764.8133523430506</v>
      </c>
    </row>
    <row r="89" spans="1:7" x14ac:dyDescent="0.2">
      <c r="A89">
        <v>28</v>
      </c>
      <c r="B89" s="7">
        <f t="shared" si="5"/>
        <v>0</v>
      </c>
      <c r="C89" s="7">
        <f t="shared" si="1"/>
        <v>100</v>
      </c>
      <c r="D89" s="7">
        <f t="shared" si="0"/>
        <v>-100</v>
      </c>
      <c r="E89" s="26">
        <f>1/((1+Eingangsparameter!$D$31)^Ausgabekennzahlen!A89)</f>
        <v>0.25509363714308358</v>
      </c>
      <c r="F89" s="27">
        <f t="shared" si="6"/>
        <v>-25.509363714308357</v>
      </c>
      <c r="G89" s="27">
        <f t="shared" si="7"/>
        <v>-2790.3227160573588</v>
      </c>
    </row>
    <row r="90" spans="1:7" x14ac:dyDescent="0.2">
      <c r="A90">
        <v>29</v>
      </c>
      <c r="B90" s="7">
        <f t="shared" si="5"/>
        <v>0</v>
      </c>
      <c r="C90" s="7">
        <f t="shared" si="1"/>
        <v>100</v>
      </c>
      <c r="D90" s="7">
        <f t="shared" si="0"/>
        <v>-100</v>
      </c>
      <c r="E90" s="26">
        <f>1/((1+Eingangsparameter!$D$31)^Ausgabekennzahlen!A90)</f>
        <v>0.24294632108865097</v>
      </c>
      <c r="F90" s="27">
        <f t="shared" si="6"/>
        <v>-24.294632108865098</v>
      </c>
      <c r="G90" s="27">
        <f t="shared" si="7"/>
        <v>-2814.617348166224</v>
      </c>
    </row>
    <row r="91" spans="1:7" x14ac:dyDescent="0.2">
      <c r="A91">
        <v>30</v>
      </c>
      <c r="B91" s="7">
        <f t="shared" si="5"/>
        <v>0</v>
      </c>
      <c r="C91" s="7">
        <f>$E$54+IF(ISEVEN(A91),$E$55,0)+E56</f>
        <v>300</v>
      </c>
      <c r="D91" s="7">
        <f t="shared" si="0"/>
        <v>-300</v>
      </c>
      <c r="E91" s="26">
        <f>1/((1+Eingangsparameter!$D$31)^Ausgabekennzahlen!A91)</f>
        <v>0.23137744865585813</v>
      </c>
      <c r="F91" s="27">
        <f t="shared" si="6"/>
        <v>-69.413234596757434</v>
      </c>
      <c r="G91" s="27">
        <f t="shared" si="7"/>
        <v>-2884.0305827629813</v>
      </c>
    </row>
  </sheetData>
  <conditionalFormatting sqref="G61:G91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CC73-CD5B-0349-BD5A-BC59A770BC90}">
  <dimension ref="A1:D32"/>
  <sheetViews>
    <sheetView tabSelected="1" workbookViewId="0">
      <selection activeCell="D2" sqref="D2"/>
    </sheetView>
  </sheetViews>
  <sheetFormatPr baseColWidth="10" defaultRowHeight="16" x14ac:dyDescent="0.2"/>
  <cols>
    <col min="1" max="1" width="18.83203125" customWidth="1"/>
    <col min="4" max="4" width="11.33203125" bestFit="1" customWidth="1"/>
  </cols>
  <sheetData>
    <row r="1" spans="1:4" x14ac:dyDescent="0.2">
      <c r="A1" t="s">
        <v>261</v>
      </c>
      <c r="B1" t="s">
        <v>262</v>
      </c>
      <c r="C1" t="s">
        <v>263</v>
      </c>
      <c r="D1" t="s">
        <v>264</v>
      </c>
    </row>
    <row r="2" spans="1:4" x14ac:dyDescent="0.2">
      <c r="A2" t="s">
        <v>286</v>
      </c>
      <c r="D2" s="27">
        <f>Ausgabekennzahlen!B61</f>
        <v>0</v>
      </c>
    </row>
    <row r="3" spans="1:4" x14ac:dyDescent="0.2">
      <c r="A3" t="s">
        <v>287</v>
      </c>
      <c r="D3" s="27">
        <f>Ausgabekennzahlen!B62</f>
        <v>0</v>
      </c>
    </row>
    <row r="4" spans="1:4" x14ac:dyDescent="0.2">
      <c r="A4" t="s">
        <v>288</v>
      </c>
      <c r="D4" s="27">
        <f>Ausgabekennzahlen!B63</f>
        <v>0</v>
      </c>
    </row>
    <row r="5" spans="1:4" x14ac:dyDescent="0.2">
      <c r="A5" t="s">
        <v>289</v>
      </c>
      <c r="D5" s="27">
        <f>Ausgabekennzahlen!B64</f>
        <v>0</v>
      </c>
    </row>
    <row r="6" spans="1:4" x14ac:dyDescent="0.2">
      <c r="A6" t="s">
        <v>290</v>
      </c>
      <c r="D6" s="27">
        <f>Ausgabekennzahlen!B65</f>
        <v>0</v>
      </c>
    </row>
    <row r="7" spans="1:4" x14ac:dyDescent="0.2">
      <c r="A7" t="s">
        <v>291</v>
      </c>
      <c r="D7" s="27">
        <f>Ausgabekennzahlen!B66</f>
        <v>0</v>
      </c>
    </row>
    <row r="8" spans="1:4" x14ac:dyDescent="0.2">
      <c r="A8" t="s">
        <v>292</v>
      </c>
      <c r="D8" s="27">
        <f>Ausgabekennzahlen!B67</f>
        <v>0</v>
      </c>
    </row>
    <row r="9" spans="1:4" x14ac:dyDescent="0.2">
      <c r="A9" t="s">
        <v>293</v>
      </c>
      <c r="D9" s="27">
        <f>Ausgabekennzahlen!B68</f>
        <v>0</v>
      </c>
    </row>
    <row r="10" spans="1:4" x14ac:dyDescent="0.2">
      <c r="A10" t="s">
        <v>294</v>
      </c>
      <c r="D10" s="27">
        <f>Ausgabekennzahlen!B69</f>
        <v>0</v>
      </c>
    </row>
    <row r="11" spans="1:4" x14ac:dyDescent="0.2">
      <c r="A11" t="s">
        <v>295</v>
      </c>
      <c r="D11" s="27">
        <f>Ausgabekennzahlen!B70</f>
        <v>0</v>
      </c>
    </row>
    <row r="12" spans="1:4" x14ac:dyDescent="0.2">
      <c r="A12" t="s">
        <v>296</v>
      </c>
      <c r="D12" s="27">
        <f>Ausgabekennzahlen!B71</f>
        <v>0</v>
      </c>
    </row>
    <row r="13" spans="1:4" x14ac:dyDescent="0.2">
      <c r="A13" t="s">
        <v>297</v>
      </c>
      <c r="D13" s="27">
        <f>Ausgabekennzahlen!B72</f>
        <v>0</v>
      </c>
    </row>
    <row r="14" spans="1:4" x14ac:dyDescent="0.2">
      <c r="A14" t="s">
        <v>298</v>
      </c>
      <c r="D14" s="27">
        <f>Ausgabekennzahlen!B73</f>
        <v>0</v>
      </c>
    </row>
    <row r="15" spans="1:4" x14ac:dyDescent="0.2">
      <c r="A15" t="s">
        <v>299</v>
      </c>
      <c r="D15" s="27">
        <f>Ausgabekennzahlen!B74</f>
        <v>0</v>
      </c>
    </row>
    <row r="16" spans="1:4" x14ac:dyDescent="0.2">
      <c r="A16" t="s">
        <v>300</v>
      </c>
      <c r="D16" s="27">
        <f>Ausgabekennzahlen!B75</f>
        <v>0</v>
      </c>
    </row>
    <row r="17" spans="1:4" x14ac:dyDescent="0.2">
      <c r="A17" t="s">
        <v>301</v>
      </c>
      <c r="D17" s="27">
        <f>Ausgabekennzahlen!B76</f>
        <v>0</v>
      </c>
    </row>
    <row r="18" spans="1:4" x14ac:dyDescent="0.2">
      <c r="A18" t="s">
        <v>302</v>
      </c>
      <c r="D18" s="27">
        <f>Ausgabekennzahlen!B77</f>
        <v>0</v>
      </c>
    </row>
    <row r="19" spans="1:4" x14ac:dyDescent="0.2">
      <c r="A19" t="s">
        <v>303</v>
      </c>
      <c r="D19" s="27">
        <f>Ausgabekennzahlen!B78</f>
        <v>0</v>
      </c>
    </row>
    <row r="20" spans="1:4" x14ac:dyDescent="0.2">
      <c r="A20" t="s">
        <v>304</v>
      </c>
      <c r="D20" s="27">
        <f>Ausgabekennzahlen!B79</f>
        <v>0</v>
      </c>
    </row>
    <row r="21" spans="1:4" x14ac:dyDescent="0.2">
      <c r="A21" t="s">
        <v>305</v>
      </c>
      <c r="D21" s="27">
        <f>Ausgabekennzahlen!B80</f>
        <v>0</v>
      </c>
    </row>
    <row r="22" spans="1:4" x14ac:dyDescent="0.2">
      <c r="A22" t="s">
        <v>306</v>
      </c>
      <c r="D22" s="27">
        <f>Ausgabekennzahlen!B81</f>
        <v>0</v>
      </c>
    </row>
    <row r="23" spans="1:4" x14ac:dyDescent="0.2">
      <c r="A23" t="s">
        <v>307</v>
      </c>
      <c r="D23" s="27">
        <f>Ausgabekennzahlen!B82</f>
        <v>0</v>
      </c>
    </row>
    <row r="24" spans="1:4" x14ac:dyDescent="0.2">
      <c r="A24" t="s">
        <v>308</v>
      </c>
      <c r="D24" s="27">
        <f>Ausgabekennzahlen!B83</f>
        <v>0</v>
      </c>
    </row>
    <row r="25" spans="1:4" x14ac:dyDescent="0.2">
      <c r="A25" t="s">
        <v>309</v>
      </c>
      <c r="D25" s="27">
        <f>Ausgabekennzahlen!B84</f>
        <v>0</v>
      </c>
    </row>
    <row r="26" spans="1:4" x14ac:dyDescent="0.2">
      <c r="A26" t="s">
        <v>310</v>
      </c>
      <c r="D26" s="27">
        <f>Ausgabekennzahlen!B85</f>
        <v>0</v>
      </c>
    </row>
    <row r="27" spans="1:4" x14ac:dyDescent="0.2">
      <c r="A27" t="s">
        <v>311</v>
      </c>
      <c r="D27" s="27">
        <f>Ausgabekennzahlen!B86</f>
        <v>0</v>
      </c>
    </row>
    <row r="28" spans="1:4" x14ac:dyDescent="0.2">
      <c r="A28" t="s">
        <v>312</v>
      </c>
      <c r="D28" s="27">
        <f>Ausgabekennzahlen!B87</f>
        <v>0</v>
      </c>
    </row>
    <row r="29" spans="1:4" x14ac:dyDescent="0.2">
      <c r="A29" t="s">
        <v>313</v>
      </c>
      <c r="D29" s="27">
        <f>Ausgabekennzahlen!B88</f>
        <v>0</v>
      </c>
    </row>
    <row r="30" spans="1:4" x14ac:dyDescent="0.2">
      <c r="A30" t="s">
        <v>314</v>
      </c>
      <c r="D30" s="27">
        <f>Ausgabekennzahlen!B89</f>
        <v>0</v>
      </c>
    </row>
    <row r="31" spans="1:4" x14ac:dyDescent="0.2">
      <c r="A31" t="s">
        <v>315</v>
      </c>
      <c r="D31" s="27">
        <f>Ausgabekennzahlen!B90</f>
        <v>0</v>
      </c>
    </row>
    <row r="32" spans="1:4" x14ac:dyDescent="0.2">
      <c r="A32" t="s">
        <v>316</v>
      </c>
      <c r="D32" s="27">
        <f>Ausgabekennzahlen!B91</f>
        <v>0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viktor-input-sheet</vt:lpstr>
      <vt:lpstr>Hilfstabelle</vt:lpstr>
      <vt:lpstr>Solareerträge</vt:lpstr>
      <vt:lpstr>Eingangsparameter</vt:lpstr>
      <vt:lpstr>Ausgabekennzahlen</vt:lpstr>
      <vt:lpstr>viktor-output-sheet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Nane Becher</cp:lastModifiedBy>
  <cp:revision/>
  <cp:lastPrinted>2023-09-22T09:09:13Z</cp:lastPrinted>
  <dcterms:created xsi:type="dcterms:W3CDTF">2023-06-08T19:52:49Z</dcterms:created>
  <dcterms:modified xsi:type="dcterms:W3CDTF">2023-10-05T14:54:56Z</dcterms:modified>
  <cp:category/>
  <cp:contentStatus/>
</cp:coreProperties>
</file>