
<file path=[Content_Types].xml><?xml version="1.0" encoding="utf-8"?>
<Types xmlns="http://schemas.openxmlformats.org/package/2006/content-types"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r\Downloads\"/>
    </mc:Choice>
  </mc:AlternateContent>
  <xr:revisionPtr revIDLastSave="0" documentId="13_ncr:1_{707380E1-7E81-4349-9C54-FAFB71AC55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ccounts" sheetId="1" r:id="rId1"/>
    <sheet name="Sheet2" sheetId="7" r:id="rId2"/>
    <sheet name="June" sheetId="5" r:id="rId3"/>
    <sheet name="Payments" sheetId="2" r:id="rId4"/>
    <sheet name="Sheet1" sheetId="4" r:id="rId5"/>
    <sheet name="Dashboard" sheetId="6" r:id="rId6"/>
  </sheets>
  <definedNames>
    <definedName name="_xlnm._FilterDatabase" localSheetId="5" hidden="1">Dashboard!$A$1</definedName>
    <definedName name="Balaji_Auto">Accounts!$3:$3</definedName>
    <definedName name="Krishna">Accounts!$B$4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7" i="1" l="1"/>
  <c r="I17" i="1"/>
  <c r="I18" i="1"/>
  <c r="I19" i="1"/>
  <c r="I20" i="1"/>
  <c r="I10" i="1"/>
  <c r="I11" i="1"/>
  <c r="I12" i="1"/>
  <c r="I13" i="1"/>
  <c r="I14" i="1"/>
  <c r="I15" i="1"/>
  <c r="I16" i="1"/>
  <c r="B4" i="1"/>
  <c r="I4" i="1" s="1"/>
  <c r="B3" i="1"/>
  <c r="I3" i="1" s="1"/>
  <c r="I6" i="1"/>
  <c r="I9" i="1"/>
  <c r="I8" i="1"/>
  <c r="I7" i="1"/>
  <c r="I5" i="1"/>
  <c r="A12" i="4"/>
  <c r="B12" i="4"/>
  <c r="C13" i="4"/>
  <c r="H12" i="4"/>
  <c r="G12" i="4"/>
  <c r="F12" i="4"/>
  <c r="E12" i="4"/>
  <c r="D12" i="4"/>
  <c r="C12" i="4"/>
  <c r="P57" i="1" l="1"/>
  <c r="I23" i="1"/>
  <c r="O67" i="1"/>
  <c r="O68" i="1"/>
  <c r="G68" i="1"/>
  <c r="H68" i="1" s="1"/>
  <c r="G58" i="1"/>
  <c r="G67" i="1"/>
  <c r="H67" i="1" s="1"/>
  <c r="G60" i="1"/>
  <c r="G6" i="1"/>
  <c r="H60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O75" i="1"/>
  <c r="O74" i="1"/>
  <c r="O73" i="1"/>
  <c r="O72" i="1"/>
  <c r="O71" i="1"/>
  <c r="O70" i="1"/>
  <c r="O16" i="1"/>
  <c r="R16" i="1" s="1"/>
  <c r="H70" i="1"/>
  <c r="H16" i="1"/>
  <c r="J16" i="1" s="1"/>
  <c r="G75" i="1"/>
  <c r="H75" i="1" s="1"/>
  <c r="G74" i="1"/>
  <c r="H74" i="1" s="1"/>
  <c r="G73" i="1"/>
  <c r="H73" i="1" s="1"/>
  <c r="G72" i="1"/>
  <c r="H72" i="1" s="1"/>
  <c r="G71" i="1"/>
  <c r="H71" i="1" s="1"/>
  <c r="O66" i="1"/>
  <c r="O63" i="1"/>
  <c r="O65" i="1"/>
  <c r="O64" i="1"/>
  <c r="O58" i="1"/>
  <c r="O59" i="1"/>
  <c r="O60" i="1"/>
  <c r="O61" i="1"/>
  <c r="O62" i="1"/>
  <c r="O57" i="1"/>
  <c r="O3" i="1"/>
  <c r="G66" i="1"/>
  <c r="H66" i="1" s="1"/>
  <c r="G59" i="1"/>
  <c r="G65" i="1"/>
  <c r="H65" i="1" s="1"/>
  <c r="G64" i="1"/>
  <c r="G63" i="1"/>
  <c r="G62" i="1"/>
  <c r="G61" i="1"/>
  <c r="H61" i="1" s="1"/>
  <c r="G57" i="1"/>
  <c r="D23" i="1"/>
  <c r="B4" i="4"/>
  <c r="O20" i="1"/>
  <c r="R20" i="1" s="1"/>
  <c r="O18" i="1"/>
  <c r="R18" i="1" s="1"/>
  <c r="O17" i="1"/>
  <c r="R17" i="1" s="1"/>
  <c r="O19" i="1"/>
  <c r="R19" i="1" s="1"/>
  <c r="XEZ25" i="1"/>
  <c r="O6" i="1"/>
  <c r="R6" i="1" s="1"/>
  <c r="H6" i="1"/>
  <c r="J6" i="1" s="1"/>
  <c r="K6" i="1" s="1"/>
  <c r="L6" i="1" s="1"/>
  <c r="O4" i="1"/>
  <c r="R4" i="1" s="1"/>
  <c r="O5" i="1"/>
  <c r="R5" i="1" s="1"/>
  <c r="O7" i="1"/>
  <c r="R7" i="1" s="1"/>
  <c r="O8" i="1"/>
  <c r="R8" i="1" s="1"/>
  <c r="O9" i="1"/>
  <c r="R9" i="1" s="1"/>
  <c r="O10" i="1"/>
  <c r="R10" i="1" s="1"/>
  <c r="O11" i="1"/>
  <c r="R11" i="1" s="1"/>
  <c r="O12" i="1"/>
  <c r="R12" i="1" s="1"/>
  <c r="O13" i="1"/>
  <c r="R13" i="1" s="1"/>
  <c r="O14" i="1"/>
  <c r="R14" i="1" s="1"/>
  <c r="O15" i="1"/>
  <c r="R15" i="1" s="1"/>
  <c r="G3" i="1"/>
  <c r="H57" i="1" s="1"/>
  <c r="L11" i="1"/>
  <c r="L12" i="1"/>
  <c r="L13" i="1"/>
  <c r="L14" i="1"/>
  <c r="L15" i="1"/>
  <c r="G20" i="1"/>
  <c r="H20" i="1" s="1"/>
  <c r="J20" i="1" s="1"/>
  <c r="G18" i="1"/>
  <c r="H18" i="1" s="1"/>
  <c r="J18" i="1" s="1"/>
  <c r="G17" i="1"/>
  <c r="H17" i="1" s="1"/>
  <c r="J17" i="1" s="1"/>
  <c r="G19" i="1"/>
  <c r="H19" i="1" s="1"/>
  <c r="J19" i="1" s="1"/>
  <c r="G2" i="1"/>
  <c r="E2" i="1"/>
  <c r="P2" i="1" s="1"/>
  <c r="G10" i="1"/>
  <c r="H10" i="1" s="1"/>
  <c r="J10" i="1" s="1"/>
  <c r="K10" i="1" s="1"/>
  <c r="L10" i="1" s="1"/>
  <c r="G9" i="1"/>
  <c r="H9" i="1" s="1"/>
  <c r="J9" i="1" s="1"/>
  <c r="K9" i="1" s="1"/>
  <c r="L9" i="1" s="1"/>
  <c r="G8" i="1"/>
  <c r="H8" i="1" s="1"/>
  <c r="J8" i="1" s="1"/>
  <c r="K8" i="1" s="1"/>
  <c r="L8" i="1" s="1"/>
  <c r="G7" i="1"/>
  <c r="H7" i="1" s="1"/>
  <c r="G4" i="1"/>
  <c r="H4" i="1" s="1"/>
  <c r="J4" i="1" s="1"/>
  <c r="G5" i="1"/>
  <c r="H5" i="1" s="1"/>
  <c r="J5" i="1" s="1"/>
  <c r="L2" i="1"/>
  <c r="P58" i="1" l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R70" i="1"/>
  <c r="R68" i="1"/>
  <c r="R67" i="1"/>
  <c r="R71" i="1"/>
  <c r="A4" i="4"/>
  <c r="I77" i="1"/>
  <c r="R74" i="1"/>
  <c r="R73" i="1"/>
  <c r="R72" i="1"/>
  <c r="H64" i="1"/>
  <c r="J64" i="1" s="1"/>
  <c r="K64" i="1" s="1"/>
  <c r="L64" i="1" s="1"/>
  <c r="R75" i="1"/>
  <c r="H63" i="1"/>
  <c r="J63" i="1" s="1"/>
  <c r="K63" i="1" s="1"/>
  <c r="L63" i="1" s="1"/>
  <c r="H62" i="1"/>
  <c r="J62" i="1" s="1"/>
  <c r="K62" i="1" s="1"/>
  <c r="L62" i="1" s="1"/>
  <c r="J68" i="1"/>
  <c r="K68" i="1" s="1"/>
  <c r="L68" i="1" s="1"/>
  <c r="J67" i="1"/>
  <c r="K67" i="1" s="1"/>
  <c r="L67" i="1" s="1"/>
  <c r="J60" i="1"/>
  <c r="K60" i="1" s="1"/>
  <c r="L60" i="1" s="1"/>
  <c r="J73" i="1"/>
  <c r="K74" i="1" s="1"/>
  <c r="L74" i="1" s="1"/>
  <c r="J70" i="1"/>
  <c r="K71" i="1" s="1"/>
  <c r="L71" i="1" s="1"/>
  <c r="J57" i="1"/>
  <c r="R59" i="1"/>
  <c r="R58" i="1"/>
  <c r="J71" i="1"/>
  <c r="K72" i="1" s="1"/>
  <c r="L72" i="1" s="1"/>
  <c r="R57" i="1"/>
  <c r="R61" i="1"/>
  <c r="R60" i="1"/>
  <c r="J66" i="1"/>
  <c r="K70" i="1" s="1"/>
  <c r="L70" i="1" s="1"/>
  <c r="J72" i="1"/>
  <c r="K73" i="1" s="1"/>
  <c r="L73" i="1" s="1"/>
  <c r="R66" i="1"/>
  <c r="J75" i="1"/>
  <c r="R62" i="1"/>
  <c r="J74" i="1"/>
  <c r="K75" i="1" s="1"/>
  <c r="L75" i="1" s="1"/>
  <c r="R64" i="1"/>
  <c r="R65" i="1"/>
  <c r="J65" i="1"/>
  <c r="K65" i="1" s="1"/>
  <c r="L65" i="1" s="1"/>
  <c r="R63" i="1"/>
  <c r="R3" i="1"/>
  <c r="R22" i="1" s="1"/>
  <c r="H4" i="4" s="1"/>
  <c r="E4" i="4"/>
  <c r="P3" i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G23" i="1"/>
  <c r="C4" i="4" s="1"/>
  <c r="H3" i="1"/>
  <c r="J61" i="1"/>
  <c r="K61" i="1" s="1"/>
  <c r="L61" i="1" s="1"/>
  <c r="H58" i="1"/>
  <c r="J58" i="1" s="1"/>
  <c r="K58" i="1" s="1"/>
  <c r="L58" i="1" s="1"/>
  <c r="H59" i="1"/>
  <c r="J59" i="1" s="1"/>
  <c r="K59" i="1" s="1"/>
  <c r="L59" i="1" s="1"/>
  <c r="O23" i="1"/>
  <c r="C5" i="4" s="1"/>
  <c r="J7" i="1"/>
  <c r="K20" i="1" s="1"/>
  <c r="L20" i="1" s="1"/>
  <c r="K19" i="1"/>
  <c r="L19" i="1" s="1"/>
  <c r="K18" i="1"/>
  <c r="L18" i="1" s="1"/>
  <c r="K5" i="1"/>
  <c r="L5" i="1" s="1"/>
  <c r="K4" i="1"/>
  <c r="L4" i="1" s="1"/>
  <c r="K17" i="1"/>
  <c r="L17" i="1" s="1"/>
  <c r="J3" i="1" l="1"/>
  <c r="K16" i="1" s="1"/>
  <c r="L16" i="1" s="1"/>
  <c r="K3" i="1"/>
  <c r="L3" i="1" s="1"/>
  <c r="J23" i="1"/>
  <c r="F4" i="4" s="1"/>
  <c r="K76" i="1"/>
  <c r="K66" i="1"/>
  <c r="L66" i="1" s="1"/>
  <c r="K57" i="1"/>
  <c r="L57" i="1" s="1"/>
  <c r="H23" i="1"/>
  <c r="D4" i="4" s="1"/>
  <c r="K7" i="1"/>
  <c r="L7" i="1" s="1"/>
  <c r="P20" i="1"/>
  <c r="P21" i="1" l="1"/>
  <c r="P22" i="1" s="1"/>
  <c r="G4" i="4" s="1"/>
</calcChain>
</file>

<file path=xl/sharedStrings.xml><?xml version="1.0" encoding="utf-8"?>
<sst xmlns="http://schemas.openxmlformats.org/spreadsheetml/2006/main" count="531" uniqueCount="62">
  <si>
    <t>S.No</t>
  </si>
  <si>
    <t>Credit</t>
  </si>
  <si>
    <t>EMI Type</t>
  </si>
  <si>
    <t>Interest %</t>
  </si>
  <si>
    <t>Total Payable</t>
  </si>
  <si>
    <t>Remaining</t>
  </si>
  <si>
    <t>Status</t>
  </si>
  <si>
    <t>✅</t>
  </si>
  <si>
    <t>Balance</t>
  </si>
  <si>
    <t>Daily</t>
  </si>
  <si>
    <t>Weekly</t>
  </si>
  <si>
    <t>Date</t>
  </si>
  <si>
    <t>Name of Customer</t>
  </si>
  <si>
    <t>Krishna</t>
  </si>
  <si>
    <t>Srinu Bro</t>
  </si>
  <si>
    <t>Shadrak</t>
  </si>
  <si>
    <t>Prashanth</t>
  </si>
  <si>
    <t>Debit</t>
  </si>
  <si>
    <t>Anand</t>
  </si>
  <si>
    <t xml:space="preserve">Balaji Auto </t>
  </si>
  <si>
    <t>Srinu Auto Kphb</t>
  </si>
  <si>
    <t>Nagesh</t>
  </si>
  <si>
    <t>Moin</t>
  </si>
  <si>
    <t>Anwer</t>
  </si>
  <si>
    <t>Mohomad Dealer</t>
  </si>
  <si>
    <t>DhanRaj</t>
  </si>
  <si>
    <t>machadar</t>
  </si>
  <si>
    <t>Venkat Hair</t>
  </si>
  <si>
    <t>Admin-Anand-4000</t>
  </si>
  <si>
    <t>Admin-Anand-20000</t>
  </si>
  <si>
    <t>TOTAL=</t>
  </si>
  <si>
    <t>TOTAL DEBIT/INVST=</t>
  </si>
  <si>
    <t xml:space="preserve">Paid </t>
  </si>
  <si>
    <t>Daily/ Coll</t>
  </si>
  <si>
    <t>Week Coll</t>
  </si>
  <si>
    <t xml:space="preserve"> Int/D/W/M=</t>
  </si>
  <si>
    <t xml:space="preserve">1mon-Int </t>
  </si>
  <si>
    <t>Coll/ Times</t>
  </si>
  <si>
    <t>Coll/Amt</t>
  </si>
  <si>
    <t>Emmam Auto</t>
  </si>
  <si>
    <t>Venkat Cutting Shop</t>
  </si>
  <si>
    <t>TOTAL INT/EARNED</t>
  </si>
  <si>
    <t>TOTAL PAYABLE INT+ACTU;</t>
  </si>
  <si>
    <t>TOTAL PAID</t>
  </si>
  <si>
    <t>REMAINING</t>
  </si>
  <si>
    <t>BALANCE</t>
  </si>
  <si>
    <t>TOTAL AMOUNT INST</t>
  </si>
  <si>
    <t>COLL</t>
  </si>
  <si>
    <t>Name</t>
  </si>
  <si>
    <t>Amunt</t>
  </si>
  <si>
    <t>PH PAY/CASH</t>
  </si>
  <si>
    <t>Ph Pay</t>
  </si>
  <si>
    <t xml:space="preserve"> Cash</t>
  </si>
  <si>
    <t>Ph Pay=12000 &amp; C=1200</t>
  </si>
  <si>
    <t>CASH /GPAY</t>
  </si>
  <si>
    <t>Ganesh Hair cut</t>
  </si>
  <si>
    <t>Srinu Kasi</t>
  </si>
  <si>
    <t>Hemalatha</t>
  </si>
  <si>
    <t xml:space="preserve">CASH </t>
  </si>
  <si>
    <t>total month</t>
  </si>
  <si>
    <t>Amount</t>
  </si>
  <si>
    <t>Balaji Auto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</si>
</sst>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Arial Black"/>
      <family val="2"/>
    </font>
    <font>
      <b/>
      <sz val="11"/>
      <color rgb="FF00B050"/>
      <name val="Arial Black"/>
      <family val="2"/>
    </font>
    <font>
      <b/>
      <sz val="16"/>
      <color rgb="FF00B050"/>
      <name val="Arial Black"/>
      <family val="2"/>
    </font>
    <font>
      <sz val="11"/>
      <color theme="1"/>
      <name val="Arial Black"/>
      <family val="2"/>
    </font>
    <font>
      <sz val="16"/>
      <color theme="1"/>
      <name val="Arial Black"/>
      <family val="2"/>
    </font>
    <font>
      <b/>
      <sz val="11"/>
      <color theme="1"/>
      <name val="Arial Black"/>
      <family val="2"/>
    </font>
    <font>
      <b/>
      <sz val="12"/>
      <color theme="1"/>
      <name val="Arial Black"/>
      <family val="2"/>
    </font>
    <font>
      <sz val="12"/>
      <color rgb="FFC00000"/>
      <name val="Arial Black"/>
      <family val="2"/>
    </font>
    <font>
      <b/>
      <sz val="12"/>
      <color rgb="FFC00000"/>
      <name val="Arial Black"/>
      <family val="2"/>
    </font>
    <font>
      <b/>
      <sz val="12"/>
      <color rgb="FF7030A0"/>
      <name val="Arial Black"/>
      <family val="2"/>
    </font>
    <font>
      <sz val="10"/>
      <color theme="1"/>
      <name val="Arial Black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 style="thin">
        <color auto="1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76">
    <xf numFmtId="0" fontId="0" fillId="0" borderId="0" xfId="0"/>
    <xf numFmtId="0" fontId="1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0" fillId="2" borderId="0" xfId="0" applyFill="1" applyAlignment="1" applyProtection="1">
      <alignment horizontal="center"/>
      <protection locked="0"/>
    </xf>
    <xf numFmtId="0" fontId="0" fillId="0" borderId="0" xfId="0" applyAlignment="1">
      <alignment wrapText="1"/>
    </xf>
    <xf numFmtId="0" fontId="2" fillId="0" borderId="2" xfId="0" applyFont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3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4" fontId="0" fillId="0" borderId="0" xfId="0" applyNumberFormat="1" applyAlignment="1">
      <alignment horizontal="center"/>
    </xf>
    <xf numFmtId="1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0" xfId="0" applyFont="1" applyAlignment="1" applyProtection="1">
      <alignment horizontal="center"/>
      <protection locked="0"/>
    </xf>
    <xf numFmtId="0" fontId="10" fillId="0" borderId="0" xfId="0" applyFont="1" applyAlignment="1" applyProtection="1">
      <alignment horizontal="center"/>
      <protection locked="0"/>
    </xf>
    <xf numFmtId="0" fontId="11" fillId="0" borderId="0" xfId="0" applyFont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14" fontId="0" fillId="3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14" fontId="0" fillId="5" borderId="0" xfId="0" applyNumberFormat="1" applyFill="1" applyAlignment="1">
      <alignment horizontal="center"/>
    </xf>
    <xf numFmtId="0" fontId="0" fillId="5" borderId="0" xfId="0" applyFill="1" applyAlignment="1" applyProtection="1">
      <alignment horizontal="center"/>
      <protection locked="0"/>
    </xf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0" borderId="3" xfId="0" applyBorder="1" applyAlignment="1">
      <alignment horizontal="center"/>
    </xf>
    <xf numFmtId="0" fontId="0" fillId="4" borderId="3" xfId="0" applyFill="1" applyBorder="1" applyAlignment="1">
      <alignment horizontal="center"/>
    </xf>
    <xf numFmtId="14" fontId="0" fillId="4" borderId="3" xfId="0" applyNumberForma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Alignment="1" applyProtection="1">
      <alignment horizontal="center"/>
      <protection locked="0"/>
    </xf>
    <xf numFmtId="0" fontId="0" fillId="3" borderId="0" xfId="0" applyFill="1"/>
    <xf numFmtId="0" fontId="0" fillId="2" borderId="0" xfId="0" applyFill="1"/>
    <xf numFmtId="0" fontId="8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top"/>
    </xf>
    <xf numFmtId="15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0" fontId="0" fillId="7" borderId="0" xfId="0" applyFill="1" applyAlignment="1">
      <alignment horizontal="center"/>
    </xf>
    <xf numFmtId="14" fontId="0" fillId="7" borderId="0" xfId="0" applyNumberFormat="1" applyFill="1" applyAlignment="1">
      <alignment horizontal="center"/>
    </xf>
    <xf numFmtId="0" fontId="0" fillId="7" borderId="0" xfId="0" applyFill="1" applyAlignment="1" applyProtection="1">
      <alignment horizontal="center"/>
      <protection locked="0"/>
    </xf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8" borderId="0" xfId="0" applyFill="1" applyAlignment="1">
      <alignment horizontal="center"/>
    </xf>
    <xf numFmtId="14" fontId="0" fillId="8" borderId="0" xfId="0" applyNumberFormat="1" applyFill="1" applyAlignment="1">
      <alignment horizontal="center"/>
    </xf>
    <xf numFmtId="0" fontId="0" fillId="8" borderId="0" xfId="0" applyFill="1" applyAlignment="1" applyProtection="1">
      <alignment horizontal="center"/>
      <protection locked="0"/>
    </xf>
    <xf numFmtId="0" fontId="0" fillId="8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 applyAlignment="1">
      <alignment horizontal="center"/>
    </xf>
    <xf numFmtId="14" fontId="0" fillId="9" borderId="0" xfId="0" applyNumberFormat="1" applyFill="1" applyAlignment="1">
      <alignment horizontal="center"/>
    </xf>
    <xf numFmtId="0" fontId="0" fillId="9" borderId="0" xfId="0" applyFill="1" applyAlignment="1" applyProtection="1">
      <alignment horizontal="center"/>
      <protection locked="0"/>
    </xf>
    <xf numFmtId="0" fontId="0" fillId="9" borderId="0" xfId="0" applyFill="1" applyAlignment="1">
      <alignment horizontal="center" vertical="center"/>
    </xf>
    <xf numFmtId="0" fontId="0" fillId="9" borderId="0" xfId="0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14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13" fillId="0" borderId="0" xfId="1" applyAlignment="1">
      <alignment horizontal="center"/>
    </xf>
    <xf numFmtId="0" fontId="0" fillId="10" borderId="7" xfId="0" applyFont="1" applyFill="1" applyBorder="1"/>
    <xf numFmtId="0" fontId="0" fillId="0" borderId="7" xfId="0" applyFont="1" applyBorder="1"/>
    <xf numFmtId="0" fontId="0" fillId="1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10" borderId="7" xfId="0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23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  <protection locked="0" hidden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9" formatCode="dd/mm/yyyy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17/06/relationships/model3d" Target="../media/model3d2.glb"/><Relationship Id="rId2" Type="http://schemas.openxmlformats.org/officeDocument/2006/relationships/image" Target="../media/image1.png"/><Relationship Id="rId1" Type="http://schemas.microsoft.com/office/2017/06/relationships/model3d" Target="../media/model3d1.glb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88605</xdr:colOff>
      <xdr:row>31</xdr:row>
      <xdr:rowOff>132907</xdr:rowOff>
    </xdr:from>
    <xdr:to>
      <xdr:col>3</xdr:col>
      <xdr:colOff>124046</xdr:colOff>
      <xdr:row>40</xdr:row>
      <xdr:rowOff>53162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3F28CA2-582B-D1A5-0557-53CA2AA20E9B}"/>
            </a:ext>
          </a:extLst>
        </xdr:cNvPr>
        <xdr:cNvSpPr/>
      </xdr:nvSpPr>
      <xdr:spPr>
        <a:xfrm>
          <a:off x="318977" y="6202326"/>
          <a:ext cx="2126511" cy="159488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196702</xdr:colOff>
      <xdr:row>31</xdr:row>
      <xdr:rowOff>152400</xdr:rowOff>
    </xdr:from>
    <xdr:to>
      <xdr:col>6</xdr:col>
      <xdr:colOff>311888</xdr:colOff>
      <xdr:row>40</xdr:row>
      <xdr:rowOff>72655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EAACBBD-07D8-95E8-71E0-14A56D0A4E65}"/>
            </a:ext>
          </a:extLst>
        </xdr:cNvPr>
        <xdr:cNvSpPr/>
      </xdr:nvSpPr>
      <xdr:spPr>
        <a:xfrm>
          <a:off x="2518144" y="6221819"/>
          <a:ext cx="2126511" cy="159488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384544</xdr:colOff>
      <xdr:row>31</xdr:row>
      <xdr:rowOff>163032</xdr:rowOff>
    </xdr:from>
    <xdr:to>
      <xdr:col>8</xdr:col>
      <xdr:colOff>685799</xdr:colOff>
      <xdr:row>40</xdr:row>
      <xdr:rowOff>83287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CB8F404-B355-28EB-EEFE-79C7CFF0D31C}"/>
            </a:ext>
          </a:extLst>
        </xdr:cNvPr>
        <xdr:cNvSpPr/>
      </xdr:nvSpPr>
      <xdr:spPr>
        <a:xfrm>
          <a:off x="4717311" y="6232451"/>
          <a:ext cx="2126511" cy="159488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758455</xdr:colOff>
      <xdr:row>31</xdr:row>
      <xdr:rowOff>147084</xdr:rowOff>
    </xdr:from>
    <xdr:to>
      <xdr:col>12</xdr:col>
      <xdr:colOff>209105</xdr:colOff>
      <xdr:row>40</xdr:row>
      <xdr:rowOff>67339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0D8C93F-D275-73CC-6D3C-389B5650A6E9}"/>
            </a:ext>
          </a:extLst>
        </xdr:cNvPr>
        <xdr:cNvSpPr/>
      </xdr:nvSpPr>
      <xdr:spPr>
        <a:xfrm>
          <a:off x="6916478" y="6216503"/>
          <a:ext cx="2126511" cy="159488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272900</xdr:colOff>
      <xdr:row>31</xdr:row>
      <xdr:rowOff>157716</xdr:rowOff>
    </xdr:from>
    <xdr:to>
      <xdr:col>15</xdr:col>
      <xdr:colOff>281760</xdr:colOff>
      <xdr:row>40</xdr:row>
      <xdr:rowOff>77971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32B276D-DA6F-6EA1-DFAC-C2B87F9881A6}"/>
            </a:ext>
          </a:extLst>
        </xdr:cNvPr>
        <xdr:cNvSpPr/>
      </xdr:nvSpPr>
      <xdr:spPr>
        <a:xfrm>
          <a:off x="9093878" y="6129477"/>
          <a:ext cx="2129208" cy="156021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363277</xdr:colOff>
      <xdr:row>31</xdr:row>
      <xdr:rowOff>150628</xdr:rowOff>
    </xdr:from>
    <xdr:to>
      <xdr:col>17</xdr:col>
      <xdr:colOff>735416</xdr:colOff>
      <xdr:row>40</xdr:row>
      <xdr:rowOff>70883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425911A-6AC9-7630-D1F4-4AF89FE31DFE}"/>
            </a:ext>
          </a:extLst>
        </xdr:cNvPr>
        <xdr:cNvSpPr/>
      </xdr:nvSpPr>
      <xdr:spPr>
        <a:xfrm>
          <a:off x="11314812" y="6220047"/>
          <a:ext cx="2126511" cy="1594883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186069</xdr:colOff>
      <xdr:row>32</xdr:row>
      <xdr:rowOff>62024</xdr:rowOff>
    </xdr:from>
    <xdr:to>
      <xdr:col>3</xdr:col>
      <xdr:colOff>35441</xdr:colOff>
      <xdr:row>35</xdr:row>
      <xdr:rowOff>79744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9AE84D8E-5EF1-C278-0B2C-E59D598B43CE}"/>
            </a:ext>
          </a:extLst>
        </xdr:cNvPr>
        <xdr:cNvSpPr/>
      </xdr:nvSpPr>
      <xdr:spPr>
        <a:xfrm>
          <a:off x="416441" y="6317512"/>
          <a:ext cx="1940442" cy="57593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 INST AMT=</a:t>
          </a:r>
        </a:p>
      </xdr:txBody>
    </xdr:sp>
    <xdr:clientData/>
  </xdr:twoCellAnchor>
  <xdr:twoCellAnchor>
    <xdr:from>
      <xdr:col>1</xdr:col>
      <xdr:colOff>327837</xdr:colOff>
      <xdr:row>35</xdr:row>
      <xdr:rowOff>132907</xdr:rowOff>
    </xdr:from>
    <xdr:to>
      <xdr:col>2</xdr:col>
      <xdr:colOff>540489</xdr:colOff>
      <xdr:row>39</xdr:row>
      <xdr:rowOff>44302</xdr:rowOff>
    </xdr:to>
    <xdr:sp macro="" textlink="Sheet1!B4">
      <xdr:nvSpPr>
        <xdr:cNvPr id="22" name="Rectangle 21">
          <a:extLst>
            <a:ext uri="{FF2B5EF4-FFF2-40B4-BE49-F238E27FC236}">
              <a16:creationId xmlns:a16="http://schemas.microsoft.com/office/drawing/2014/main" id="{0758D6CF-87CB-E95B-773C-390928E0BE74}"/>
            </a:ext>
          </a:extLst>
        </xdr:cNvPr>
        <xdr:cNvSpPr/>
      </xdr:nvSpPr>
      <xdr:spPr>
        <a:xfrm>
          <a:off x="558209" y="6946605"/>
          <a:ext cx="1515140" cy="65567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C1F72542-9EBC-44E5-837F-6B02532542F1}" type="TxLink">
            <a:rPr lang="en-US" sz="2800" b="0" i="0" u="none" strike="noStrike">
              <a:solidFill>
                <a:srgbClr val="000000"/>
              </a:solidFill>
              <a:latin typeface="Britannic Bold" panose="020B0903060703020204" pitchFamily="34" charset="0"/>
              <a:ea typeface="Calibri"/>
              <a:cs typeface="Calibri"/>
            </a:rPr>
            <a:pPr algn="l"/>
            <a:t>148250</a:t>
          </a:fld>
          <a:endParaRPr lang="en-IN" sz="2800">
            <a:latin typeface="Britannic Bold" panose="020B0903060703020204" pitchFamily="34" charset="0"/>
          </a:endParaRPr>
        </a:p>
      </xdr:txBody>
    </xdr:sp>
    <xdr:clientData/>
  </xdr:twoCellAnchor>
  <xdr:twoCellAnchor>
    <xdr:from>
      <xdr:col>3</xdr:col>
      <xdr:colOff>295174</xdr:colOff>
      <xdr:row>32</xdr:row>
      <xdr:rowOff>93197</xdr:rowOff>
    </xdr:from>
    <xdr:to>
      <xdr:col>6</xdr:col>
      <xdr:colOff>222478</xdr:colOff>
      <xdr:row>34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BAA7E18-391E-752E-C0D7-B3B5142E6CD6}"/>
            </a:ext>
          </a:extLst>
        </xdr:cNvPr>
        <xdr:cNvSpPr/>
      </xdr:nvSpPr>
      <xdr:spPr>
        <a:xfrm>
          <a:off x="2607151" y="6241152"/>
          <a:ext cx="1936213" cy="270484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</a:t>
          </a:r>
          <a:r>
            <a:rPr lang="en-IN" sz="1100" b="1" baseline="0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 INT/EARNED</a:t>
          </a:r>
          <a:endParaRPr lang="en-IN" sz="1100" b="1">
            <a:solidFill>
              <a:schemeClr val="bg2">
                <a:lumMod val="1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462918</xdr:colOff>
      <xdr:row>35</xdr:row>
      <xdr:rowOff>155421</xdr:rowOff>
    </xdr:from>
    <xdr:to>
      <xdr:col>5</xdr:col>
      <xdr:colOff>710206</xdr:colOff>
      <xdr:row>39</xdr:row>
      <xdr:rowOff>66816</xdr:rowOff>
    </xdr:to>
    <xdr:sp macro="" textlink="Sheet1!C5">
      <xdr:nvSpPr>
        <xdr:cNvPr id="3" name="Rectangle 2">
          <a:extLst>
            <a:ext uri="{FF2B5EF4-FFF2-40B4-BE49-F238E27FC236}">
              <a16:creationId xmlns:a16="http://schemas.microsoft.com/office/drawing/2014/main" id="{E1BD5D24-4D45-4E77-C27A-590D44E00597}"/>
            </a:ext>
          </a:extLst>
        </xdr:cNvPr>
        <xdr:cNvSpPr/>
      </xdr:nvSpPr>
      <xdr:spPr>
        <a:xfrm>
          <a:off x="2774895" y="6848898"/>
          <a:ext cx="1511516" cy="63875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1385D08D-665A-4557-8BCE-5331BD5949B2}" type="TxLink">
            <a:rPr lang="en-US" sz="2400" b="0" i="0" u="none" strike="noStrike">
              <a:solidFill>
                <a:srgbClr val="000000"/>
              </a:solidFill>
              <a:latin typeface="Bodoni MT Black" panose="02070A03080606020203" pitchFamily="18" charset="0"/>
              <a:ea typeface="Calibri"/>
              <a:cs typeface="Calibri"/>
            </a:rPr>
            <a:pPr algn="ctr"/>
            <a:t>7564.31</a:t>
          </a:fld>
          <a:endParaRPr lang="en-IN" sz="2400">
            <a:latin typeface="Bodoni MT Black" panose="02070A03080606020203" pitchFamily="18" charset="0"/>
          </a:endParaRPr>
        </a:p>
      </xdr:txBody>
    </xdr:sp>
    <xdr:clientData/>
  </xdr:twoCellAnchor>
  <xdr:twoCellAnchor>
    <xdr:from>
      <xdr:col>6</xdr:col>
      <xdr:colOff>675931</xdr:colOff>
      <xdr:row>35</xdr:row>
      <xdr:rowOff>177935</xdr:rowOff>
    </xdr:from>
    <xdr:to>
      <xdr:col>8</xdr:col>
      <xdr:colOff>369038</xdr:colOff>
      <xdr:row>39</xdr:row>
      <xdr:rowOff>89330</xdr:rowOff>
    </xdr:to>
    <xdr:sp macro="" textlink="Sheet1!D4">
      <xdr:nvSpPr>
        <xdr:cNvPr id="4" name="Rectangle 3">
          <a:extLst>
            <a:ext uri="{FF2B5EF4-FFF2-40B4-BE49-F238E27FC236}">
              <a16:creationId xmlns:a16="http://schemas.microsoft.com/office/drawing/2014/main" id="{AAF44E47-19CF-C0AB-36B6-D9EE793994E7}"/>
            </a:ext>
          </a:extLst>
        </xdr:cNvPr>
        <xdr:cNvSpPr/>
      </xdr:nvSpPr>
      <xdr:spPr>
        <a:xfrm>
          <a:off x="4996817" y="6871412"/>
          <a:ext cx="1511516" cy="63875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B1E66CF6-4698-4E7E-BC94-7A9C258D8D2A}" type="TxLink">
            <a:rPr lang="en-US" sz="2400" b="0" i="0" u="none" strike="noStrike">
              <a:solidFill>
                <a:srgbClr val="000000"/>
              </a:solidFill>
              <a:latin typeface="Bodoni MT Black" panose="02070A03080606020203" pitchFamily="18" charset="0"/>
              <a:ea typeface="Calibri"/>
              <a:cs typeface="Calibri"/>
            </a:rPr>
            <a:pPr algn="ctr"/>
            <a:t>176750</a:t>
          </a:fld>
          <a:endParaRPr lang="en-IN" sz="2400">
            <a:latin typeface="Bodoni MT Black" panose="02070A03080606020203" pitchFamily="18" charset="0"/>
          </a:endParaRPr>
        </a:p>
      </xdr:txBody>
    </xdr:sp>
    <xdr:clientData/>
  </xdr:twoCellAnchor>
  <xdr:twoCellAnchor>
    <xdr:from>
      <xdr:col>9</xdr:col>
      <xdr:colOff>230853</xdr:colOff>
      <xdr:row>36</xdr:row>
      <xdr:rowOff>18608</xdr:rowOff>
    </xdr:from>
    <xdr:to>
      <xdr:col>11</xdr:col>
      <xdr:colOff>253005</xdr:colOff>
      <xdr:row>39</xdr:row>
      <xdr:rowOff>111844</xdr:rowOff>
    </xdr:to>
    <xdr:sp macro="" textlink="Sheet1!E4">
      <xdr:nvSpPr>
        <xdr:cNvPr id="5" name="Rectangle 4">
          <a:extLst>
            <a:ext uri="{FF2B5EF4-FFF2-40B4-BE49-F238E27FC236}">
              <a16:creationId xmlns:a16="http://schemas.microsoft.com/office/drawing/2014/main" id="{8C1F67B4-A766-F51B-60D5-D6EE52BF4BD7}"/>
            </a:ext>
          </a:extLst>
        </xdr:cNvPr>
        <xdr:cNvSpPr/>
      </xdr:nvSpPr>
      <xdr:spPr>
        <a:xfrm>
          <a:off x="7218739" y="6893926"/>
          <a:ext cx="1511516" cy="63875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BEE8B713-E73C-45B6-B66C-1A545ECFC124}" type="TxLink">
            <a:rPr lang="en-US" sz="2800" b="0" i="0" u="none" strike="noStrike">
              <a:solidFill>
                <a:srgbClr val="000000"/>
              </a:solidFill>
              <a:latin typeface="Bodoni MT Black" panose="02070A03080606020203" pitchFamily="18" charset="0"/>
              <a:ea typeface="Calibri"/>
              <a:cs typeface="Calibri"/>
            </a:rPr>
            <a:pPr algn="ctr"/>
            <a:t>40750</a:t>
          </a:fld>
          <a:endParaRPr lang="en-IN" sz="2800">
            <a:latin typeface="Bodoni MT Black" panose="02070A03080606020203" pitchFamily="18" charset="0"/>
          </a:endParaRPr>
        </a:p>
      </xdr:txBody>
    </xdr:sp>
    <xdr:clientData/>
  </xdr:twoCellAnchor>
  <xdr:twoCellAnchor>
    <xdr:from>
      <xdr:col>12</xdr:col>
      <xdr:colOff>617047</xdr:colOff>
      <xdr:row>36</xdr:row>
      <xdr:rowOff>41122</xdr:rowOff>
    </xdr:from>
    <xdr:to>
      <xdr:col>15</xdr:col>
      <xdr:colOff>7086</xdr:colOff>
      <xdr:row>39</xdr:row>
      <xdr:rowOff>134358</xdr:rowOff>
    </xdr:to>
    <xdr:sp macro="" textlink="Sheet1!F4">
      <xdr:nvSpPr>
        <xdr:cNvPr id="6" name="Rectangle 5">
          <a:extLst>
            <a:ext uri="{FF2B5EF4-FFF2-40B4-BE49-F238E27FC236}">
              <a16:creationId xmlns:a16="http://schemas.microsoft.com/office/drawing/2014/main" id="{43A4EC61-0AD7-EF49-3F86-76C099D4FF86}"/>
            </a:ext>
          </a:extLst>
        </xdr:cNvPr>
        <xdr:cNvSpPr/>
      </xdr:nvSpPr>
      <xdr:spPr>
        <a:xfrm>
          <a:off x="9440661" y="6916440"/>
          <a:ext cx="1511516" cy="63875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AC00879B-0E1F-448D-B6E7-97F0F1E3139A}" type="TxLink">
            <a:rPr lang="en-US" sz="2400" b="0" i="0" u="none" strike="noStrike">
              <a:solidFill>
                <a:srgbClr val="000000"/>
              </a:solidFill>
              <a:latin typeface="Bodoni MT Black" panose="02070A03080606020203" pitchFamily="18" charset="0"/>
              <a:ea typeface="Calibri"/>
              <a:cs typeface="Calibri"/>
            </a:rPr>
            <a:pPr algn="ctr"/>
            <a:t>136000</a:t>
          </a:fld>
          <a:endParaRPr lang="en-IN" sz="2400">
            <a:latin typeface="Bodoni MT Black" panose="02070A03080606020203" pitchFamily="18" charset="0"/>
          </a:endParaRPr>
        </a:p>
      </xdr:txBody>
    </xdr:sp>
    <xdr:clientData/>
  </xdr:twoCellAnchor>
  <xdr:twoCellAnchor>
    <xdr:from>
      <xdr:col>15</xdr:col>
      <xdr:colOff>717492</xdr:colOff>
      <xdr:row>36</xdr:row>
      <xdr:rowOff>63636</xdr:rowOff>
    </xdr:from>
    <xdr:to>
      <xdr:col>17</xdr:col>
      <xdr:colOff>471213</xdr:colOff>
      <xdr:row>39</xdr:row>
      <xdr:rowOff>156872</xdr:rowOff>
    </xdr:to>
    <xdr:sp macro="" textlink="Sheet1!H4">
      <xdr:nvSpPr>
        <xdr:cNvPr id="7" name="Rectangle 6">
          <a:extLst>
            <a:ext uri="{FF2B5EF4-FFF2-40B4-BE49-F238E27FC236}">
              <a16:creationId xmlns:a16="http://schemas.microsoft.com/office/drawing/2014/main" id="{00F9FDB4-7C88-385C-8950-85E9A6838F4B}"/>
            </a:ext>
          </a:extLst>
        </xdr:cNvPr>
        <xdr:cNvSpPr/>
      </xdr:nvSpPr>
      <xdr:spPr>
        <a:xfrm>
          <a:off x="11662583" y="6938954"/>
          <a:ext cx="1511516" cy="638759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B9B0EB5E-2537-492E-BF10-069DD8A7677B}" type="TxLink">
            <a:rPr lang="en-US" sz="2000" b="0" i="0" u="none" strike="noStrike">
              <a:solidFill>
                <a:srgbClr val="000000"/>
              </a:solidFill>
              <a:latin typeface="Bodoni MT Black" panose="02070A03080606020203" pitchFamily="18" charset="0"/>
              <a:ea typeface="Calibri"/>
              <a:cs typeface="Calibri"/>
            </a:rPr>
            <a:pPr algn="ctr"/>
            <a:t>33185.69</a:t>
          </a:fld>
          <a:endParaRPr lang="en-IN" sz="2000">
            <a:solidFill>
              <a:srgbClr val="FF0000"/>
            </a:solidFill>
            <a:latin typeface="Bodoni MT Black" panose="02070A03080606020203" pitchFamily="18" charset="0"/>
          </a:endParaRPr>
        </a:p>
      </xdr:txBody>
    </xdr:sp>
    <xdr:clientData/>
  </xdr:twoCellAnchor>
  <xdr:twoCellAnchor>
    <xdr:from>
      <xdr:col>6</xdr:col>
      <xdr:colOff>577460</xdr:colOff>
      <xdr:row>32</xdr:row>
      <xdr:rowOff>89733</xdr:rowOff>
    </xdr:from>
    <xdr:to>
      <xdr:col>8</xdr:col>
      <xdr:colOff>695264</xdr:colOff>
      <xdr:row>35</xdr:row>
      <xdr:rowOff>107453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3A55E9D-025D-0A87-476E-EC78946622D7}"/>
            </a:ext>
          </a:extLst>
        </xdr:cNvPr>
        <xdr:cNvSpPr/>
      </xdr:nvSpPr>
      <xdr:spPr>
        <a:xfrm>
          <a:off x="4898346" y="6237688"/>
          <a:ext cx="1936213" cy="56324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</a:t>
          </a:r>
          <a:r>
            <a:rPr lang="en-IN" sz="1200" b="1" baseline="0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 PAYABLE INT+INST AMT</a:t>
          </a:r>
        </a:p>
        <a:p>
          <a:pPr algn="l"/>
          <a:endParaRPr lang="en-IN" sz="1200" b="1">
            <a:solidFill>
              <a:schemeClr val="bg2">
                <a:lumMod val="1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9</xdr:col>
      <xdr:colOff>45791</xdr:colOff>
      <xdr:row>32</xdr:row>
      <xdr:rowOff>77610</xdr:rowOff>
    </xdr:from>
    <xdr:to>
      <xdr:col>12</xdr:col>
      <xdr:colOff>146276</xdr:colOff>
      <xdr:row>35</xdr:row>
      <xdr:rowOff>95330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4BF5301-9158-0562-452E-9E6946C2051A}"/>
            </a:ext>
          </a:extLst>
        </xdr:cNvPr>
        <xdr:cNvSpPr/>
      </xdr:nvSpPr>
      <xdr:spPr>
        <a:xfrm>
          <a:off x="7033677" y="6225565"/>
          <a:ext cx="1936213" cy="56324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</a:t>
          </a:r>
          <a:r>
            <a:rPr lang="en-IN" sz="1200" b="1" baseline="0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 PAID</a:t>
          </a:r>
          <a:endParaRPr lang="en-IN" sz="1200" b="1">
            <a:solidFill>
              <a:schemeClr val="bg2">
                <a:lumMod val="1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414667</xdr:colOff>
      <xdr:row>32</xdr:row>
      <xdr:rowOff>117442</xdr:rowOff>
    </xdr:from>
    <xdr:to>
      <xdr:col>15</xdr:col>
      <xdr:colOff>144780</xdr:colOff>
      <xdr:row>35</xdr:row>
      <xdr:rowOff>135162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DCC6FA8-3D67-53D4-5F7B-936C7BC6E333}"/>
            </a:ext>
          </a:extLst>
        </xdr:cNvPr>
        <xdr:cNvSpPr/>
      </xdr:nvSpPr>
      <xdr:spPr>
        <a:xfrm>
          <a:off x="9238627" y="6289642"/>
          <a:ext cx="1848473" cy="56636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800" b="1">
              <a:solidFill>
                <a:schemeClr val="bg2">
                  <a:lumMod val="10000"/>
                </a:schemeClr>
              </a:solidFill>
              <a:latin typeface="Bodoni MT Black" panose="02070A03080606020203" pitchFamily="18" charset="0"/>
            </a:rPr>
            <a:t>REMAINING</a:t>
          </a:r>
        </a:p>
      </xdr:txBody>
    </xdr:sp>
    <xdr:clientData/>
  </xdr:twoCellAnchor>
  <xdr:twoCellAnchor>
    <xdr:from>
      <xdr:col>15</xdr:col>
      <xdr:colOff>437181</xdr:colOff>
      <xdr:row>32</xdr:row>
      <xdr:rowOff>113977</xdr:rowOff>
    </xdr:from>
    <xdr:to>
      <xdr:col>17</xdr:col>
      <xdr:colOff>615599</xdr:colOff>
      <xdr:row>35</xdr:row>
      <xdr:rowOff>131697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650A76E-4A01-06E6-0D07-D63EFFBCA483}"/>
            </a:ext>
          </a:extLst>
        </xdr:cNvPr>
        <xdr:cNvSpPr/>
      </xdr:nvSpPr>
      <xdr:spPr>
        <a:xfrm>
          <a:off x="11382272" y="6261932"/>
          <a:ext cx="1936213" cy="56324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4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COLL</a:t>
          </a:r>
          <a:r>
            <a:rPr lang="en-IN" sz="2400" b="1" baseline="0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/AMT</a:t>
          </a:r>
          <a:endParaRPr lang="en-IN" sz="2400" b="1">
            <a:solidFill>
              <a:schemeClr val="bg2">
                <a:lumMod val="1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633499</xdr:colOff>
      <xdr:row>34</xdr:row>
      <xdr:rowOff>13855</xdr:rowOff>
    </xdr:from>
    <xdr:to>
      <xdr:col>5</xdr:col>
      <xdr:colOff>510540</xdr:colOff>
      <xdr:row>35</xdr:row>
      <xdr:rowOff>83820</xdr:rowOff>
    </xdr:to>
    <xdr:sp macro="" textlink="Sheet1!C4">
      <xdr:nvSpPr>
        <xdr:cNvPr id="15" name="Rectangle 14">
          <a:extLst>
            <a:ext uri="{FF2B5EF4-FFF2-40B4-BE49-F238E27FC236}">
              <a16:creationId xmlns:a16="http://schemas.microsoft.com/office/drawing/2014/main" id="{6D5AB6A4-8635-15F1-9BED-7BF35F5A9141}"/>
            </a:ext>
          </a:extLst>
        </xdr:cNvPr>
        <xdr:cNvSpPr/>
      </xdr:nvSpPr>
      <xdr:spPr>
        <a:xfrm>
          <a:off x="2949979" y="6551815"/>
          <a:ext cx="1141961" cy="25284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0824A730-6614-48DC-906A-D51F49415A10}" type="TxLink">
            <a:rPr lang="en-US" sz="1800" b="0" i="0" u="none" strike="noStrike">
              <a:solidFill>
                <a:srgbClr val="000000"/>
              </a:solidFill>
              <a:latin typeface="Bodoni MT Black" panose="02070A03080606020203" pitchFamily="18" charset="0"/>
              <a:ea typeface="Calibri"/>
              <a:cs typeface="Calibri"/>
            </a:rPr>
            <a:pPr algn="ctr"/>
            <a:t>28500</a:t>
          </a:fld>
          <a:endParaRPr lang="en-IN" sz="1800">
            <a:latin typeface="Bodoni MT Black" panose="02070A03080606020203" pitchFamily="18" charset="0"/>
          </a:endParaRPr>
        </a:p>
      </xdr:txBody>
    </xdr:sp>
    <xdr:clientData/>
  </xdr:twoCellAnchor>
  <xdr:twoCellAnchor>
    <xdr:from>
      <xdr:col>5</xdr:col>
      <xdr:colOff>525780</xdr:colOff>
      <xdr:row>26</xdr:row>
      <xdr:rowOff>83820</xdr:rowOff>
    </xdr:from>
    <xdr:to>
      <xdr:col>9</xdr:col>
      <xdr:colOff>815340</xdr:colOff>
      <xdr:row>29</xdr:row>
      <xdr:rowOff>91440</xdr:rowOff>
    </xdr:to>
    <xdr:sp macro="" textlink="Sheet1!A4">
      <xdr:nvSpPr>
        <xdr:cNvPr id="16" name="Rectangle 15">
          <a:extLst>
            <a:ext uri="{FF2B5EF4-FFF2-40B4-BE49-F238E27FC236}">
              <a16:creationId xmlns:a16="http://schemas.microsoft.com/office/drawing/2014/main" id="{4B614874-331A-E873-816A-1117D3FE6003}"/>
            </a:ext>
          </a:extLst>
        </xdr:cNvPr>
        <xdr:cNvSpPr/>
      </xdr:nvSpPr>
      <xdr:spPr>
        <a:xfrm>
          <a:off x="4107180" y="5196840"/>
          <a:ext cx="3703320" cy="55626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A286698-73CD-4299-84A2-0D44144AE106}" type="TxLink">
            <a:rPr lang="en-US" sz="3200" b="0" i="0" u="none" strike="noStrike">
              <a:solidFill>
                <a:srgbClr val="002060"/>
              </a:solidFill>
              <a:latin typeface="Bodoni MT Black" panose="02070A03080606020203" pitchFamily="18" charset="0"/>
              <a:ea typeface="Calibri"/>
              <a:cs typeface="Calibri"/>
            </a:rPr>
            <a:pPr algn="ctr"/>
            <a:t>124000</a:t>
          </a:fld>
          <a:endParaRPr lang="en-IN" sz="3200">
            <a:solidFill>
              <a:srgbClr val="002060"/>
            </a:solidFill>
            <a:latin typeface="Bodoni MT Black" panose="02070A03080606020203" pitchFamily="18" charset="0"/>
          </a:endParaRPr>
        </a:p>
      </xdr:txBody>
    </xdr:sp>
    <xdr:clientData/>
  </xdr:twoCellAnchor>
  <xdr:twoCellAnchor>
    <xdr:from>
      <xdr:col>17</xdr:col>
      <xdr:colOff>965257</xdr:colOff>
      <xdr:row>31</xdr:row>
      <xdr:rowOff>165868</xdr:rowOff>
    </xdr:from>
    <xdr:to>
      <xdr:col>18</xdr:col>
      <xdr:colOff>1794596</xdr:colOff>
      <xdr:row>40</xdr:row>
      <xdr:rowOff>86123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9DCE5AD8-A1F6-E5CE-6680-C9087210D528}"/>
            </a:ext>
          </a:extLst>
        </xdr:cNvPr>
        <xdr:cNvSpPr/>
      </xdr:nvSpPr>
      <xdr:spPr>
        <a:xfrm>
          <a:off x="13660177" y="6155188"/>
          <a:ext cx="2124739" cy="15661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24072</xdr:colOff>
      <xdr:row>36</xdr:row>
      <xdr:rowOff>78876</xdr:rowOff>
    </xdr:from>
    <xdr:to>
      <xdr:col>18</xdr:col>
      <xdr:colOff>1530393</xdr:colOff>
      <xdr:row>39</xdr:row>
      <xdr:rowOff>172112</xdr:rowOff>
    </xdr:to>
    <xdr:sp macro="" textlink="Sheet1!G4">
      <xdr:nvSpPr>
        <xdr:cNvPr id="24" name="Rectangle 23">
          <a:extLst>
            <a:ext uri="{FF2B5EF4-FFF2-40B4-BE49-F238E27FC236}">
              <a16:creationId xmlns:a16="http://schemas.microsoft.com/office/drawing/2014/main" id="{B74F116F-5F87-5B9B-C61C-129DF314DD49}"/>
            </a:ext>
          </a:extLst>
        </xdr:cNvPr>
        <xdr:cNvSpPr/>
      </xdr:nvSpPr>
      <xdr:spPr>
        <a:xfrm>
          <a:off x="14014392" y="6982596"/>
          <a:ext cx="1506321" cy="641876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D56475E1-8C15-4E17-BFC9-58D7C9900C1C}" type="TxLink">
            <a:rPr lang="en-US" sz="2800" b="0" i="0" u="none" strike="noStrike">
              <a:solidFill>
                <a:srgbClr val="FF0000"/>
              </a:solidFill>
              <a:latin typeface="Bodoni MT Black" panose="02070A03080606020203" pitchFamily="18" charset="0"/>
              <a:ea typeface="Calibri"/>
              <a:cs typeface="Calibri"/>
            </a:rPr>
            <a:pPr algn="ctr"/>
            <a:t>16500</a:t>
          </a:fld>
          <a:endParaRPr lang="en-IN" sz="2800">
            <a:solidFill>
              <a:srgbClr val="FF0000"/>
            </a:solidFill>
            <a:latin typeface="Bodoni MT Black" panose="02070A03080606020203" pitchFamily="18" charset="0"/>
          </a:endParaRPr>
        </a:p>
      </xdr:txBody>
    </xdr:sp>
    <xdr:clientData/>
  </xdr:twoCellAnchor>
  <xdr:twoCellAnchor>
    <xdr:from>
      <xdr:col>17</xdr:col>
      <xdr:colOff>1039161</xdr:colOff>
      <xdr:row>32</xdr:row>
      <xdr:rowOff>129217</xdr:rowOff>
    </xdr:from>
    <xdr:to>
      <xdr:col>18</xdr:col>
      <xdr:colOff>1674779</xdr:colOff>
      <xdr:row>35</xdr:row>
      <xdr:rowOff>146937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55B6851-A1AD-05B9-6FCE-D7E52B93FE2D}"/>
            </a:ext>
          </a:extLst>
        </xdr:cNvPr>
        <xdr:cNvSpPr/>
      </xdr:nvSpPr>
      <xdr:spPr>
        <a:xfrm>
          <a:off x="13734081" y="6301417"/>
          <a:ext cx="1931018" cy="56636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24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BALANCE</a:t>
          </a:r>
        </a:p>
      </xdr:txBody>
    </xdr:sp>
    <xdr:clientData/>
  </xdr:twoCellAnchor>
  <xdr:twoCellAnchor>
    <xdr:from>
      <xdr:col>17</xdr:col>
      <xdr:colOff>750789</xdr:colOff>
      <xdr:row>43</xdr:row>
      <xdr:rowOff>135836</xdr:rowOff>
    </xdr:from>
    <xdr:to>
      <xdr:col>18</xdr:col>
      <xdr:colOff>335222</xdr:colOff>
      <xdr:row>52</xdr:row>
      <xdr:rowOff>91109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4" name="3D Model 13" descr="Cash Stack">
              <a:extLst>
                <a:ext uri="{FF2B5EF4-FFF2-40B4-BE49-F238E27FC236}">
                  <a16:creationId xmlns:a16="http://schemas.microsoft.com/office/drawing/2014/main" id="{E8519171-E4D8-AC15-2F7E-B3FF88FE3B8D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876520" cy="1595229"/>
                  </a:xfrm>
                  <a:prstGeom prst="rect">
                    <a:avLst/>
                  </a:prstGeom>
                </am3d:spPr>
                <am3d:camera>
                  <am3d:pos x="0" y="0" z="59079709"/>
                  <am3d:up dx="0" dy="36000000" dz="0"/>
                  <am3d:lookAt x="0" y="0" z="0"/>
                  <am3d:perspective fov="2700000"/>
                </am3d:camera>
                <am3d:trans>
                  <am3d:meterPerModelUnit n="1801295" d="1000000"/>
                  <am3d:preTrans dx="72610" dy="-17721820" dz="-951050"/>
                  <am3d:scale>
                    <am3d:sx n="1000000" d="1000000"/>
                    <am3d:sy n="1000000" d="1000000"/>
                    <am3d:sz n="1000000" d="1000000"/>
                  </am3d:scale>
                  <am3d:rot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182448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4" name="3D Model 13" descr="Cash Stack">
              <a:extLst>
                <a:ext uri="{FF2B5EF4-FFF2-40B4-BE49-F238E27FC236}">
                  <a16:creationId xmlns:a16="http://schemas.microsoft.com/office/drawing/2014/main" id="{E8519171-E4D8-AC15-2F7E-B3FF88FE3B8D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489441" y="8294206"/>
              <a:ext cx="876520" cy="1595229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350576</xdr:colOff>
      <xdr:row>45</xdr:row>
      <xdr:rowOff>161509</xdr:rowOff>
    </xdr:from>
    <xdr:to>
      <xdr:col>2</xdr:col>
      <xdr:colOff>342742</xdr:colOff>
      <xdr:row>52</xdr:row>
      <xdr:rowOff>121498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6" name="3D Model 25" descr="Gold coins">
              <a:extLst>
                <a:ext uri="{FF2B5EF4-FFF2-40B4-BE49-F238E27FC236}">
                  <a16:creationId xmlns:a16="http://schemas.microsoft.com/office/drawing/2014/main" id="{5486728E-A795-6857-806E-0A926B0BE5AA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3">
                <am3d:spPr>
                  <a:xfrm>
                    <a:off x="0" y="0"/>
                    <a:ext cx="1292535" cy="1235511"/>
                  </a:xfrm>
                  <a:prstGeom prst="rect">
                    <a:avLst/>
                  </a:prstGeom>
                </am3d:spPr>
                <am3d:camera>
                  <am3d:pos x="0" y="0" z="66316102"/>
                  <am3d:up dx="0" dy="36000000" dz="0"/>
                  <am3d:lookAt x="0" y="0" z="0"/>
                  <am3d:perspective fov="2700000"/>
                </am3d:camera>
                <am3d:trans>
                  <am3d:meterPerModelUnit n="173461" d="1000000"/>
                  <am3d:preTrans dx="723681" dy="-10108787" dz="6133181"/>
                  <am3d:scale>
                    <am3d:sx n="1000000" d="1000000"/>
                    <am3d:sy n="1000000" d="1000000"/>
                    <am3d:sz n="1000000" d="1000000"/>
                  </am3d:scale>
                  <am3d:rot ax="9013435" ay="-1491922" az="-9988352"/>
                  <am3d:postTrans dx="0" dy="0" dz="0"/>
                </am3d:trans>
                <am3d:raster rName="Office3DRenderer" rVer="16.0.8326">
                  <am3d:blip r:embed="rId4"/>
                </am3d:raster>
                <am3d:objViewport viewportSz="1715321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6" name="3D Model 25" descr="Gold coins">
              <a:extLst>
                <a:ext uri="{FF2B5EF4-FFF2-40B4-BE49-F238E27FC236}">
                  <a16:creationId xmlns:a16="http://schemas.microsoft.com/office/drawing/2014/main" id="{5486728E-A795-6857-806E-0A926B0BE5AA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32185" y="8684313"/>
              <a:ext cx="1292535" cy="123551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571500</xdr:colOff>
      <xdr:row>46</xdr:row>
      <xdr:rowOff>0</xdr:rowOff>
    </xdr:from>
    <xdr:to>
      <xdr:col>17</xdr:col>
      <xdr:colOff>513521</xdr:colOff>
      <xdr:row>52</xdr:row>
      <xdr:rowOff>91109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3138615-307D-647E-CB74-E222AF507C97}"/>
            </a:ext>
          </a:extLst>
        </xdr:cNvPr>
        <xdr:cNvSpPr/>
      </xdr:nvSpPr>
      <xdr:spPr>
        <a:xfrm>
          <a:off x="2103783" y="8705022"/>
          <a:ext cx="11098695" cy="1184413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N" sz="66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tx1"/>
              </a:solidFill>
              <a:effectLst/>
              <a:latin typeface="Bauhaus 93" panose="04030905020B02020C02" pitchFamily="82" charset="0"/>
            </a:rPr>
            <a:t>JULY MONTH EXPENCES EMI</a:t>
          </a:r>
        </a:p>
      </xdr:txBody>
    </xdr:sp>
    <xdr:clientData/>
  </xdr:twoCellAnchor>
  <xdr:twoCellAnchor>
    <xdr:from>
      <xdr:col>1</xdr:col>
      <xdr:colOff>0</xdr:colOff>
      <xdr:row>81</xdr:row>
      <xdr:rowOff>0</xdr:rowOff>
    </xdr:from>
    <xdr:to>
      <xdr:col>3</xdr:col>
      <xdr:colOff>35441</xdr:colOff>
      <xdr:row>89</xdr:row>
      <xdr:rowOff>102472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68BFB5A3-14DF-4209-9052-5AC1A9B63060}"/>
            </a:ext>
          </a:extLst>
        </xdr:cNvPr>
        <xdr:cNvSpPr/>
      </xdr:nvSpPr>
      <xdr:spPr>
        <a:xfrm>
          <a:off x="231913" y="15173739"/>
          <a:ext cx="2122658" cy="156021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97464</xdr:colOff>
      <xdr:row>81</xdr:row>
      <xdr:rowOff>111334</xdr:rowOff>
    </xdr:from>
    <xdr:to>
      <xdr:col>2</xdr:col>
      <xdr:colOff>733683</xdr:colOff>
      <xdr:row>84</xdr:row>
      <xdr:rowOff>129054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FA62C75C-3B6D-4C79-820D-8D3AF58343EE}"/>
            </a:ext>
          </a:extLst>
        </xdr:cNvPr>
        <xdr:cNvSpPr/>
      </xdr:nvSpPr>
      <xdr:spPr>
        <a:xfrm>
          <a:off x="329377" y="15285073"/>
          <a:ext cx="1936589" cy="56437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 INST AMT=</a:t>
          </a:r>
        </a:p>
      </xdr:txBody>
    </xdr:sp>
    <xdr:clientData/>
  </xdr:twoCellAnchor>
  <xdr:twoCellAnchor>
    <xdr:from>
      <xdr:col>1</xdr:col>
      <xdr:colOff>239232</xdr:colOff>
      <xdr:row>84</xdr:row>
      <xdr:rowOff>182217</xdr:rowOff>
    </xdr:from>
    <xdr:to>
      <xdr:col>2</xdr:col>
      <xdr:colOff>451884</xdr:colOff>
      <xdr:row>88</xdr:row>
      <xdr:rowOff>93612</xdr:rowOff>
    </xdr:to>
    <xdr:sp macro="" textlink="Sheet1!B4">
      <xdr:nvSpPr>
        <xdr:cNvPr id="30" name="Rectangle 29">
          <a:extLst>
            <a:ext uri="{FF2B5EF4-FFF2-40B4-BE49-F238E27FC236}">
              <a16:creationId xmlns:a16="http://schemas.microsoft.com/office/drawing/2014/main" id="{C4D27521-03F4-4206-81F2-FCEDC965675A}"/>
            </a:ext>
          </a:extLst>
        </xdr:cNvPr>
        <xdr:cNvSpPr/>
      </xdr:nvSpPr>
      <xdr:spPr>
        <a:xfrm>
          <a:off x="471145" y="15902608"/>
          <a:ext cx="1513022" cy="64026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C1F72542-9EBC-44E5-837F-6B02532542F1}" type="TxLink">
            <a:rPr lang="en-US" sz="2800" b="0" i="0" u="none" strike="noStrike">
              <a:solidFill>
                <a:srgbClr val="000000"/>
              </a:solidFill>
              <a:latin typeface="Britannic Bold" panose="020B0903060703020204" pitchFamily="34" charset="0"/>
              <a:ea typeface="Calibri"/>
              <a:cs typeface="Calibri"/>
            </a:rPr>
            <a:pPr algn="l"/>
            <a:t>148250</a:t>
          </a:fld>
          <a:endParaRPr lang="en-IN" sz="2800">
            <a:latin typeface="Britannic Bold" panose="020B0903060703020204" pitchFamily="34" charset="0"/>
          </a:endParaRPr>
        </a:p>
      </xdr:txBody>
    </xdr:sp>
    <xdr:clientData/>
  </xdr:twoCellAnchor>
  <xdr:twoCellAnchor>
    <xdr:from>
      <xdr:col>3</xdr:col>
      <xdr:colOff>168966</xdr:colOff>
      <xdr:row>80</xdr:row>
      <xdr:rowOff>177247</xdr:rowOff>
    </xdr:from>
    <xdr:to>
      <xdr:col>6</xdr:col>
      <xdr:colOff>278950</xdr:colOff>
      <xdr:row>89</xdr:row>
      <xdr:rowOff>97502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58879E8A-7166-40C9-B1EF-4D14D2A81F49}"/>
            </a:ext>
          </a:extLst>
        </xdr:cNvPr>
        <xdr:cNvSpPr/>
      </xdr:nvSpPr>
      <xdr:spPr>
        <a:xfrm>
          <a:off x="2488096" y="15168769"/>
          <a:ext cx="2122658" cy="156021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266430</xdr:colOff>
      <xdr:row>81</xdr:row>
      <xdr:rowOff>106364</xdr:rowOff>
    </xdr:from>
    <xdr:to>
      <xdr:col>6</xdr:col>
      <xdr:colOff>190345</xdr:colOff>
      <xdr:row>84</xdr:row>
      <xdr:rowOff>124084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BA9F436E-0B05-4513-AA77-8134F1F61EEE}"/>
            </a:ext>
          </a:extLst>
        </xdr:cNvPr>
        <xdr:cNvSpPr/>
      </xdr:nvSpPr>
      <xdr:spPr>
        <a:xfrm>
          <a:off x="2585560" y="15280103"/>
          <a:ext cx="1936589" cy="56437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 INST AMT=</a:t>
          </a:r>
        </a:p>
      </xdr:txBody>
    </xdr:sp>
    <xdr:clientData/>
  </xdr:twoCellAnchor>
  <xdr:twoCellAnchor>
    <xdr:from>
      <xdr:col>3</xdr:col>
      <xdr:colOff>408198</xdr:colOff>
      <xdr:row>84</xdr:row>
      <xdr:rowOff>177247</xdr:rowOff>
    </xdr:from>
    <xdr:to>
      <xdr:col>5</xdr:col>
      <xdr:colOff>653980</xdr:colOff>
      <xdr:row>88</xdr:row>
      <xdr:rowOff>88642</xdr:rowOff>
    </xdr:to>
    <xdr:sp macro="" textlink="Sheet1!B4">
      <xdr:nvSpPr>
        <xdr:cNvPr id="33" name="Rectangle 32">
          <a:extLst>
            <a:ext uri="{FF2B5EF4-FFF2-40B4-BE49-F238E27FC236}">
              <a16:creationId xmlns:a16="http://schemas.microsoft.com/office/drawing/2014/main" id="{ACBABE76-AC8D-4204-9061-FC4A0D887F84}"/>
            </a:ext>
          </a:extLst>
        </xdr:cNvPr>
        <xdr:cNvSpPr/>
      </xdr:nvSpPr>
      <xdr:spPr>
        <a:xfrm>
          <a:off x="2727328" y="15897638"/>
          <a:ext cx="1513022" cy="64026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C1F72542-9EBC-44E5-837F-6B02532542F1}" type="TxLink">
            <a:rPr lang="en-US" sz="2800" b="0" i="0" u="none" strike="noStrike">
              <a:solidFill>
                <a:srgbClr val="000000"/>
              </a:solidFill>
              <a:latin typeface="Britannic Bold" panose="020B0903060703020204" pitchFamily="34" charset="0"/>
              <a:ea typeface="Calibri"/>
              <a:cs typeface="Calibri"/>
            </a:rPr>
            <a:pPr algn="l"/>
            <a:t>148250</a:t>
          </a:fld>
          <a:endParaRPr lang="en-IN" sz="2800">
            <a:latin typeface="Britannic Bold" panose="020B0903060703020204" pitchFamily="34" charset="0"/>
          </a:endParaRPr>
        </a:p>
      </xdr:txBody>
    </xdr:sp>
    <xdr:clientData/>
  </xdr:twoCellAnchor>
  <xdr:twoCellAnchor>
    <xdr:from>
      <xdr:col>6</xdr:col>
      <xdr:colOff>404192</xdr:colOff>
      <xdr:row>80</xdr:row>
      <xdr:rowOff>172278</xdr:rowOff>
    </xdr:from>
    <xdr:to>
      <xdr:col>8</xdr:col>
      <xdr:colOff>704676</xdr:colOff>
      <xdr:row>89</xdr:row>
      <xdr:rowOff>92533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9A214590-D23D-4AD6-BD09-DED4924E7515}"/>
            </a:ext>
          </a:extLst>
        </xdr:cNvPr>
        <xdr:cNvSpPr/>
      </xdr:nvSpPr>
      <xdr:spPr>
        <a:xfrm>
          <a:off x="4735996" y="15163800"/>
          <a:ext cx="2122658" cy="156021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501656</xdr:colOff>
      <xdr:row>81</xdr:row>
      <xdr:rowOff>101395</xdr:rowOff>
    </xdr:from>
    <xdr:to>
      <xdr:col>8</xdr:col>
      <xdr:colOff>616071</xdr:colOff>
      <xdr:row>84</xdr:row>
      <xdr:rowOff>119115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8C4266B-9154-43F3-8836-7A10A056C567}"/>
            </a:ext>
          </a:extLst>
        </xdr:cNvPr>
        <xdr:cNvSpPr/>
      </xdr:nvSpPr>
      <xdr:spPr>
        <a:xfrm>
          <a:off x="4833460" y="15275134"/>
          <a:ext cx="1936589" cy="56437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 INST AMT=</a:t>
          </a:r>
        </a:p>
      </xdr:txBody>
    </xdr:sp>
    <xdr:clientData/>
  </xdr:twoCellAnchor>
  <xdr:twoCellAnchor>
    <xdr:from>
      <xdr:col>6</xdr:col>
      <xdr:colOff>643424</xdr:colOff>
      <xdr:row>84</xdr:row>
      <xdr:rowOff>172278</xdr:rowOff>
    </xdr:from>
    <xdr:to>
      <xdr:col>8</xdr:col>
      <xdr:colOff>334272</xdr:colOff>
      <xdr:row>88</xdr:row>
      <xdr:rowOff>83673</xdr:rowOff>
    </xdr:to>
    <xdr:sp macro="" textlink="Sheet1!B4">
      <xdr:nvSpPr>
        <xdr:cNvPr id="36" name="Rectangle 35">
          <a:extLst>
            <a:ext uri="{FF2B5EF4-FFF2-40B4-BE49-F238E27FC236}">
              <a16:creationId xmlns:a16="http://schemas.microsoft.com/office/drawing/2014/main" id="{D00F9E13-D183-4F53-8D37-AA142CB58975}"/>
            </a:ext>
          </a:extLst>
        </xdr:cNvPr>
        <xdr:cNvSpPr/>
      </xdr:nvSpPr>
      <xdr:spPr>
        <a:xfrm>
          <a:off x="4975228" y="15892669"/>
          <a:ext cx="1513022" cy="64026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C1F72542-9EBC-44E5-837F-6B02532542F1}" type="TxLink">
            <a:rPr lang="en-US" sz="2800" b="0" i="0" u="none" strike="noStrike">
              <a:solidFill>
                <a:srgbClr val="000000"/>
              </a:solidFill>
              <a:latin typeface="Britannic Bold" panose="020B0903060703020204" pitchFamily="34" charset="0"/>
              <a:ea typeface="Calibri"/>
              <a:cs typeface="Calibri"/>
            </a:rPr>
            <a:pPr algn="l"/>
            <a:t>148250</a:t>
          </a:fld>
          <a:endParaRPr lang="en-IN" sz="2800">
            <a:latin typeface="Britannic Bold" panose="020B0903060703020204" pitchFamily="34" charset="0"/>
          </a:endParaRPr>
        </a:p>
      </xdr:txBody>
    </xdr:sp>
    <xdr:clientData/>
  </xdr:twoCellAnchor>
  <xdr:twoCellAnchor>
    <xdr:from>
      <xdr:col>8</xdr:col>
      <xdr:colOff>776909</xdr:colOff>
      <xdr:row>80</xdr:row>
      <xdr:rowOff>147430</xdr:rowOff>
    </xdr:from>
    <xdr:to>
      <xdr:col>12</xdr:col>
      <xdr:colOff>232567</xdr:colOff>
      <xdr:row>89</xdr:row>
      <xdr:rowOff>67685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F19FDEF6-168F-459D-A233-4A06187F6015}"/>
            </a:ext>
          </a:extLst>
        </xdr:cNvPr>
        <xdr:cNvSpPr/>
      </xdr:nvSpPr>
      <xdr:spPr>
        <a:xfrm>
          <a:off x="6930887" y="15138952"/>
          <a:ext cx="2122658" cy="156021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29547</xdr:colOff>
      <xdr:row>81</xdr:row>
      <xdr:rowOff>76547</xdr:rowOff>
    </xdr:from>
    <xdr:to>
      <xdr:col>12</xdr:col>
      <xdr:colOff>143962</xdr:colOff>
      <xdr:row>84</xdr:row>
      <xdr:rowOff>94267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825A4EC9-B6B8-483A-9798-A1B37FB6D5E0}"/>
            </a:ext>
          </a:extLst>
        </xdr:cNvPr>
        <xdr:cNvSpPr/>
      </xdr:nvSpPr>
      <xdr:spPr>
        <a:xfrm>
          <a:off x="7028351" y="15250286"/>
          <a:ext cx="1936589" cy="56437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 INST AMT=</a:t>
          </a:r>
        </a:p>
      </xdr:txBody>
    </xdr:sp>
    <xdr:clientData/>
  </xdr:twoCellAnchor>
  <xdr:twoCellAnchor>
    <xdr:from>
      <xdr:col>9</xdr:col>
      <xdr:colOff>171315</xdr:colOff>
      <xdr:row>84</xdr:row>
      <xdr:rowOff>147430</xdr:rowOff>
    </xdr:from>
    <xdr:to>
      <xdr:col>11</xdr:col>
      <xdr:colOff>201750</xdr:colOff>
      <xdr:row>88</xdr:row>
      <xdr:rowOff>58825</xdr:rowOff>
    </xdr:to>
    <xdr:sp macro="" textlink="Sheet1!B4">
      <xdr:nvSpPr>
        <xdr:cNvPr id="39" name="Rectangle 38">
          <a:extLst>
            <a:ext uri="{FF2B5EF4-FFF2-40B4-BE49-F238E27FC236}">
              <a16:creationId xmlns:a16="http://schemas.microsoft.com/office/drawing/2014/main" id="{CD5A6662-EF5C-4D4F-905E-7B73DDB61971}"/>
            </a:ext>
          </a:extLst>
        </xdr:cNvPr>
        <xdr:cNvSpPr/>
      </xdr:nvSpPr>
      <xdr:spPr>
        <a:xfrm>
          <a:off x="7170119" y="15867821"/>
          <a:ext cx="1513022" cy="64026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C1F72542-9EBC-44E5-837F-6B02532542F1}" type="TxLink">
            <a:rPr lang="en-US" sz="2800" b="0" i="0" u="none" strike="noStrike">
              <a:solidFill>
                <a:srgbClr val="000000"/>
              </a:solidFill>
              <a:latin typeface="Britannic Bold" panose="020B0903060703020204" pitchFamily="34" charset="0"/>
              <a:ea typeface="Calibri"/>
              <a:cs typeface="Calibri"/>
            </a:rPr>
            <a:pPr algn="l"/>
            <a:t>148250</a:t>
          </a:fld>
          <a:endParaRPr lang="en-IN" sz="2800">
            <a:latin typeface="Britannic Bold" panose="020B0903060703020204" pitchFamily="34" charset="0"/>
          </a:endParaRPr>
        </a:p>
      </xdr:txBody>
    </xdr:sp>
    <xdr:clientData/>
  </xdr:twoCellAnchor>
  <xdr:twoCellAnchor>
    <xdr:from>
      <xdr:col>12</xdr:col>
      <xdr:colOff>332961</xdr:colOff>
      <xdr:row>80</xdr:row>
      <xdr:rowOff>175591</xdr:rowOff>
    </xdr:from>
    <xdr:to>
      <xdr:col>15</xdr:col>
      <xdr:colOff>335271</xdr:colOff>
      <xdr:row>89</xdr:row>
      <xdr:rowOff>95846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DE3B44CD-5F64-D787-7978-86313583A334}"/>
            </a:ext>
          </a:extLst>
        </xdr:cNvPr>
        <xdr:cNvSpPr/>
      </xdr:nvSpPr>
      <xdr:spPr>
        <a:xfrm>
          <a:off x="9153939" y="15167113"/>
          <a:ext cx="2122658" cy="156021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430425</xdr:colOff>
      <xdr:row>81</xdr:row>
      <xdr:rowOff>104708</xdr:rowOff>
    </xdr:from>
    <xdr:to>
      <xdr:col>15</xdr:col>
      <xdr:colOff>246666</xdr:colOff>
      <xdr:row>84</xdr:row>
      <xdr:rowOff>122428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37AD2CA-B7AE-E545-297F-747EAE1D47A4}"/>
            </a:ext>
          </a:extLst>
        </xdr:cNvPr>
        <xdr:cNvSpPr/>
      </xdr:nvSpPr>
      <xdr:spPr>
        <a:xfrm>
          <a:off x="9251403" y="15278447"/>
          <a:ext cx="1936589" cy="564372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2">
                  <a:lumMod val="10000"/>
                </a:schemeClr>
              </a:solidFill>
              <a:latin typeface="Arial Black" panose="020B0A04020102020204" pitchFamily="34" charset="0"/>
            </a:rPr>
            <a:t>TOTAL INST AMT=</a:t>
          </a:r>
        </a:p>
      </xdr:txBody>
    </xdr:sp>
    <xdr:clientData/>
  </xdr:twoCellAnchor>
  <xdr:twoCellAnchor>
    <xdr:from>
      <xdr:col>12</xdr:col>
      <xdr:colOff>572193</xdr:colOff>
      <xdr:row>84</xdr:row>
      <xdr:rowOff>175591</xdr:rowOff>
    </xdr:from>
    <xdr:to>
      <xdr:col>14</xdr:col>
      <xdr:colOff>759997</xdr:colOff>
      <xdr:row>88</xdr:row>
      <xdr:rowOff>86986</xdr:rowOff>
    </xdr:to>
    <xdr:sp macro="" textlink="Sheet1!B4">
      <xdr:nvSpPr>
        <xdr:cNvPr id="42" name="Rectangle 41">
          <a:extLst>
            <a:ext uri="{FF2B5EF4-FFF2-40B4-BE49-F238E27FC236}">
              <a16:creationId xmlns:a16="http://schemas.microsoft.com/office/drawing/2014/main" id="{1A2373B2-D89B-7C3A-45E2-7EA55D2418D0}"/>
            </a:ext>
          </a:extLst>
        </xdr:cNvPr>
        <xdr:cNvSpPr/>
      </xdr:nvSpPr>
      <xdr:spPr>
        <a:xfrm>
          <a:off x="9393171" y="15895982"/>
          <a:ext cx="1513022" cy="64026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C1F72542-9EBC-44E5-837F-6B02532542F1}" type="TxLink">
            <a:rPr lang="en-US" sz="2800" b="0" i="0" u="none" strike="noStrike">
              <a:solidFill>
                <a:srgbClr val="000000"/>
              </a:solidFill>
              <a:latin typeface="Britannic Bold" panose="020B0903060703020204" pitchFamily="34" charset="0"/>
              <a:ea typeface="Calibri"/>
              <a:cs typeface="Calibri"/>
            </a:rPr>
            <a:pPr algn="l"/>
            <a:t>148250</a:t>
          </a:fld>
          <a:endParaRPr lang="en-IN" sz="2800">
            <a:latin typeface="Britannic Bold" panose="020B0903060703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69F06E-5497-45D1-8DE4-E244C32B1773}" name="Table2" displayName="Table2" ref="A1:R26" totalsRowShown="0">
  <autoFilter ref="A1:R26" xr:uid="{7669F06E-5497-45D1-8DE4-E244C32B1773}"/>
  <tableColumns count="18">
    <tableColumn id="1" xr3:uid="{C4E7141E-10CD-40D8-884C-F59DE8AB0799}" name="S.No" dataDxfId="22"/>
    <tableColumn id="3" xr3:uid="{B7D0CA1D-1BD3-42F3-BA0C-93C7364390FD}" name="Name of Customer" dataDxfId="21"/>
    <tableColumn id="4" xr3:uid="{BEC71026-0087-4E02-8C70-A689FC747D0F}" name="Date" dataDxfId="20"/>
    <tableColumn id="5" xr3:uid="{DCE02347-502A-4DEF-B36A-6666221197A2}" name="Debit" dataDxfId="19"/>
    <tableColumn id="6" xr3:uid="{746CBE67-AF9B-4366-A483-9D37D3776A56}" name="Credit" dataDxfId="18"/>
    <tableColumn id="7" xr3:uid="{801F4533-91C9-4D57-87FC-24B15766EB25}" name="EMI Type" dataDxfId="17"/>
    <tableColumn id="8" xr3:uid="{FA14EA43-FB6F-4250-A7DD-383D3C13540D}" name="Interest %" dataDxfId="16"/>
    <tableColumn id="9" xr3:uid="{44CF0352-B85E-486A-A9BA-D7F24BF9B8F7}" name="Total Payable" dataDxfId="15"/>
    <tableColumn id="10" xr3:uid="{B02638A3-1279-4368-82DD-24E4893EC1F9}" name="Paid " dataDxfId="14"/>
    <tableColumn id="11" xr3:uid="{9DF5D166-9C09-43EE-8056-598E57798C18}" name="Remaining" dataDxfId="13"/>
    <tableColumn id="12" xr3:uid="{46260B43-F949-4CC8-B432-69BDDFCFDEE8}" name="Status" dataDxfId="12"/>
    <tableColumn id="13" xr3:uid="{EC9715DF-B0D3-4CB6-B12E-C0DFCA1E5781}" name="✅" dataDxfId="11"/>
    <tableColumn id="14" xr3:uid="{60745967-25D4-41A0-9C3F-40B2FC09E3D6}" name="Daily/ Coll" dataDxfId="10"/>
    <tableColumn id="15" xr3:uid="{30A631D8-CBDF-4D62-BE57-8CA632CDB076}" name="Week Coll" dataDxfId="9"/>
    <tableColumn id="16" xr3:uid="{9C78316A-3A42-4C0B-8F71-9EC35B5D0F47}" name="1mon-Int " dataDxfId="8"/>
    <tableColumn id="17" xr3:uid="{1C28D150-8A1C-499F-A73F-AA94F2AC5EDF}" name="Balance" dataDxfId="7"/>
    <tableColumn id="18" xr3:uid="{A6AF4BCD-3979-4810-934F-E50B31D5BF8B}" name="Coll/ Times" dataDxfId="6"/>
    <tableColumn id="19" xr3:uid="{81B72D91-5FC5-4ECC-91FF-8A98EB1D653F}" name="Coll/Amt" dataDxfId="5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18DAF0-DF53-4556-B69D-7507708C0FF8}" name="Table1" displayName="Table1" ref="A1:D1048488" totalsRowShown="0" headerRowDxfId="4">
  <autoFilter ref="A1:D1048488" xr:uid="{CB18DAF0-DF53-4556-B69D-7507708C0FF8}"/>
  <tableColumns count="4">
    <tableColumn id="1" xr3:uid="{9D15C96E-8C4F-4548-B7FC-906F500E05E5}" name="Name" dataDxfId="3"/>
    <tableColumn id="2" xr3:uid="{A3FD65A6-261B-4CD6-A35E-2D140B1AD50C}" name="Date" dataDxfId="2"/>
    <tableColumn id="3" xr3:uid="{5AF5EE54-4C67-41BA-BBEB-1247BEA7CAB5}" name="Amount" dataDxfId="1"/>
    <tableColumn id="4" xr3:uid="{E0FED321-3511-403E-998A-E14585CC37EF}" name="PH PAY/CASH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A1048575"/>
  <sheetViews>
    <sheetView tabSelected="1" topLeftCell="B49" zoomScale="92" workbookViewId="0">
      <selection activeCell="I57" sqref="I57"/>
    </sheetView>
  </sheetViews>
  <sheetFormatPr defaultRowHeight="14.4" x14ac:dyDescent="0.3"/>
  <cols>
    <col min="1" max="1" width="4.109375" style="10" customWidth="1"/>
    <col min="2" max="2" width="19" style="10" customWidth="1"/>
    <col min="3" max="3" width="11.44140625" style="10" customWidth="1"/>
    <col min="4" max="4" width="11.109375" style="10" customWidth="1"/>
    <col min="5" max="5" width="7.33203125" style="10" customWidth="1"/>
    <col min="6" max="6" width="10.88671875" style="13" customWidth="1"/>
    <col min="7" max="7" width="12" style="13" customWidth="1"/>
    <col min="8" max="8" width="14.5546875" style="13" customWidth="1"/>
    <col min="9" max="9" width="12.33203125" style="13" customWidth="1"/>
    <col min="10" max="10" width="12.21875" style="13" customWidth="1"/>
    <col min="11" max="11" width="9.44140625" style="13" customWidth="1"/>
    <col min="12" max="12" width="5" style="13" customWidth="1"/>
    <col min="13" max="13" width="9.5546875" style="13" customWidth="1"/>
    <col min="14" max="14" width="9.77734375" style="13" customWidth="1"/>
    <col min="15" max="15" width="11.5546875" style="13" customWidth="1"/>
    <col min="16" max="16" width="12.21875" style="10" customWidth="1"/>
    <col min="17" max="17" width="13.33203125" style="10" customWidth="1"/>
    <col min="18" max="18" width="18.88671875" style="7" customWidth="1"/>
    <col min="19" max="19" width="55" customWidth="1"/>
  </cols>
  <sheetData>
    <row r="1" spans="1:18" ht="21" x14ac:dyDescent="0.45">
      <c r="A1" s="1" t="s">
        <v>0</v>
      </c>
      <c r="B1" s="1" t="s">
        <v>12</v>
      </c>
      <c r="C1" s="1" t="s">
        <v>11</v>
      </c>
      <c r="D1" s="1" t="s">
        <v>17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32</v>
      </c>
      <c r="J1" s="1" t="s">
        <v>5</v>
      </c>
      <c r="K1" s="1" t="s">
        <v>6</v>
      </c>
      <c r="L1" s="1" t="s">
        <v>7</v>
      </c>
      <c r="M1" s="1" t="s">
        <v>33</v>
      </c>
      <c r="N1" s="1" t="s">
        <v>34</v>
      </c>
      <c r="O1" s="2" t="s">
        <v>36</v>
      </c>
      <c r="P1" s="2" t="s">
        <v>8</v>
      </c>
      <c r="Q1" s="9" t="s">
        <v>37</v>
      </c>
      <c r="R1" s="5" t="s">
        <v>38</v>
      </c>
    </row>
    <row r="2" spans="1:18" x14ac:dyDescent="0.3">
      <c r="A2" s="10">
        <v>1</v>
      </c>
      <c r="B2" s="10" t="s">
        <v>18</v>
      </c>
      <c r="C2" s="16">
        <v>45809</v>
      </c>
      <c r="E2" s="10">
        <f>124000</f>
        <v>124000</v>
      </c>
      <c r="G2" s="13">
        <f>D4 * 0.003734 * 60</f>
        <v>2240.3999999999996</v>
      </c>
      <c r="L2" s="13" t="str">
        <f>IF(K2="Completed", "✔", "")</f>
        <v/>
      </c>
      <c r="P2" s="10">
        <f>E2 - (M2 + N2 + O2)</f>
        <v>124000</v>
      </c>
      <c r="R2" s="6"/>
    </row>
    <row r="3" spans="1:18" x14ac:dyDescent="0.3">
      <c r="B3" s="69" t="str">
        <f>HYPERLINK("#Dashboard!A1", "Balaji Auto")</f>
        <v>Balaji Auto</v>
      </c>
      <c r="C3" s="16">
        <v>45811</v>
      </c>
      <c r="D3" s="10">
        <v>10000</v>
      </c>
      <c r="F3" s="13" t="s">
        <v>9</v>
      </c>
      <c r="G3" s="13">
        <f>33.33333333* 60</f>
        <v>1999.9999998000001</v>
      </c>
      <c r="H3" s="13">
        <f>D3 + G3</f>
        <v>11999.9999998</v>
      </c>
      <c r="I3" s="13">
        <f>SUMIF(June!A$1:A$1048488, B3, June!C$1:C$1048488)</f>
        <v>3800</v>
      </c>
      <c r="J3" s="13">
        <f>H3 - I3</f>
        <v>8199.9999998000003</v>
      </c>
      <c r="K3" s="13" t="str">
        <f>IF(J3&lt;=0, "Completed", "Pending")</f>
        <v>Pending</v>
      </c>
      <c r="L3" s="13" t="str">
        <f>IF(K3="Completed", "✔", "")</f>
        <v/>
      </c>
      <c r="M3" s="13">
        <v>200</v>
      </c>
      <c r="O3" s="13">
        <f>ROUND(D3 * 0.00333 * Q3, 2)</f>
        <v>632.70000000000005</v>
      </c>
      <c r="P3" s="10">
        <f>P2-D3+I3</f>
        <v>117800</v>
      </c>
      <c r="Q3" s="10">
        <v>19</v>
      </c>
      <c r="R3" s="7">
        <f>I3 - O3</f>
        <v>3167.3</v>
      </c>
    </row>
    <row r="4" spans="1:18" x14ac:dyDescent="0.3">
      <c r="A4" s="10">
        <v>3</v>
      </c>
      <c r="B4" s="69" t="str">
        <f>HYPERLINK("#Dashboard!A1", "Krishna")</f>
        <v>Krishna</v>
      </c>
      <c r="C4" s="16">
        <v>45812</v>
      </c>
      <c r="D4" s="10">
        <v>10000</v>
      </c>
      <c r="F4" s="13" t="s">
        <v>9</v>
      </c>
      <c r="G4" s="13">
        <f t="shared" ref="G4:G5" si="0">33.33333333* 60</f>
        <v>1999.9999998000001</v>
      </c>
      <c r="H4" s="13">
        <f t="shared" ref="H4:H10" si="1">D4 + G4</f>
        <v>11999.9999998</v>
      </c>
      <c r="I4" s="13">
        <f>SUMIF(June!A$1:A$1048488, B4, June!C$1:C$1048488)</f>
        <v>4000</v>
      </c>
      <c r="J4" s="13">
        <f t="shared" ref="J4:J10" si="2">H4 - I4</f>
        <v>7999.9999998000003</v>
      </c>
      <c r="K4" s="13" t="str">
        <f t="shared" ref="K4:K10" si="3">IF(J4&lt;=0, "Completed", "Pending")</f>
        <v>Pending</v>
      </c>
      <c r="L4" s="13" t="str">
        <f>IF(K4="Completed", "✔", "")</f>
        <v/>
      </c>
      <c r="M4" s="13">
        <v>200</v>
      </c>
      <c r="O4" s="13">
        <f t="shared" ref="O4:O15" si="4">ROUND(D4 * 0.00333 * Q4, 2)</f>
        <v>666</v>
      </c>
      <c r="P4" s="10">
        <f>P3-D4+I4</f>
        <v>111800</v>
      </c>
      <c r="Q4" s="10">
        <v>20</v>
      </c>
      <c r="R4" s="7">
        <f t="shared" ref="R4:R20" si="5">I4 - O4</f>
        <v>3334</v>
      </c>
    </row>
    <row r="5" spans="1:18" x14ac:dyDescent="0.3">
      <c r="A5" s="10">
        <v>4</v>
      </c>
      <c r="B5" s="10" t="s">
        <v>14</v>
      </c>
      <c r="C5" s="16">
        <v>45813</v>
      </c>
      <c r="D5" s="10">
        <v>10000</v>
      </c>
      <c r="F5" s="13" t="s">
        <v>9</v>
      </c>
      <c r="G5" s="13">
        <f t="shared" si="0"/>
        <v>1999.9999998000001</v>
      </c>
      <c r="H5" s="13">
        <f t="shared" si="1"/>
        <v>11999.9999998</v>
      </c>
      <c r="I5" s="13">
        <f>SUMIF(June!A$1:A$1048488, B5, June!C$1:C$1048488)</f>
        <v>4600</v>
      </c>
      <c r="J5" s="13">
        <f t="shared" si="2"/>
        <v>7399.9999998000003</v>
      </c>
      <c r="K5" s="13" t="str">
        <f t="shared" si="3"/>
        <v>Pending</v>
      </c>
      <c r="L5" s="13" t="str">
        <f t="shared" ref="L5:L20" si="6">IF(K5="Completed", "✔", "")</f>
        <v/>
      </c>
      <c r="M5" s="13">
        <v>200</v>
      </c>
      <c r="O5" s="13">
        <f t="shared" si="4"/>
        <v>765.9</v>
      </c>
      <c r="P5" s="10">
        <f t="shared" ref="P5:P19" si="7">P4-D5+I5</f>
        <v>106400</v>
      </c>
      <c r="Q5" s="10">
        <v>23</v>
      </c>
      <c r="R5" s="7">
        <f t="shared" si="5"/>
        <v>3834.1</v>
      </c>
    </row>
    <row r="6" spans="1:18" x14ac:dyDescent="0.3">
      <c r="A6" s="10">
        <v>5</v>
      </c>
      <c r="B6" s="10" t="s">
        <v>20</v>
      </c>
      <c r="C6" s="16">
        <v>45824</v>
      </c>
      <c r="D6" s="10">
        <v>50000</v>
      </c>
      <c r="F6" s="13" t="s">
        <v>9</v>
      </c>
      <c r="G6" s="13">
        <f>166.66666666* 30</f>
        <v>4999.9999998000003</v>
      </c>
      <c r="H6" s="13">
        <f t="shared" si="1"/>
        <v>54999.999999799998</v>
      </c>
      <c r="I6" s="13">
        <f>SUMIF(June!A$1:A$1048488, B6, June!C$1:C$1048488)</f>
        <v>17000</v>
      </c>
      <c r="J6" s="13">
        <f t="shared" si="2"/>
        <v>37999.999999799998</v>
      </c>
      <c r="K6" s="13" t="str">
        <f t="shared" si="3"/>
        <v>Pending</v>
      </c>
      <c r="L6" s="13" t="str">
        <f t="shared" si="6"/>
        <v/>
      </c>
      <c r="M6" s="13">
        <v>1000</v>
      </c>
      <c r="O6" s="13">
        <f>ROUND(D6 * 0.0033333 * Q6, 2)</f>
        <v>2833.31</v>
      </c>
      <c r="P6" s="10">
        <f t="shared" si="7"/>
        <v>73400</v>
      </c>
      <c r="Q6" s="10">
        <v>17</v>
      </c>
      <c r="R6" s="7">
        <f t="shared" si="5"/>
        <v>14166.69</v>
      </c>
    </row>
    <row r="7" spans="1:18" x14ac:dyDescent="0.3">
      <c r="A7" s="10">
        <v>6</v>
      </c>
      <c r="B7" s="10" t="s">
        <v>21</v>
      </c>
      <c r="C7" s="16">
        <v>45830</v>
      </c>
      <c r="D7" s="10">
        <v>5000</v>
      </c>
      <c r="F7" s="13" t="s">
        <v>9</v>
      </c>
      <c r="G7" s="13">
        <f>16.666666666* 60</f>
        <v>999.99999996000008</v>
      </c>
      <c r="H7" s="13">
        <f t="shared" si="1"/>
        <v>5999.9999999600004</v>
      </c>
      <c r="I7" s="13">
        <f>SUMIF(June!A$1:A$1048488, B7, June!C$1:C$1048488)</f>
        <v>700</v>
      </c>
      <c r="J7" s="13">
        <f>H7 - I7</f>
        <v>5299.9999999600004</v>
      </c>
      <c r="K7" s="13" t="str">
        <f t="shared" si="3"/>
        <v>Pending</v>
      </c>
      <c r="L7" s="13" t="str">
        <f t="shared" si="6"/>
        <v/>
      </c>
      <c r="M7" s="13">
        <v>100</v>
      </c>
      <c r="O7" s="13">
        <f t="shared" si="4"/>
        <v>116.55</v>
      </c>
      <c r="P7" s="10">
        <f t="shared" si="7"/>
        <v>69100</v>
      </c>
      <c r="Q7" s="10">
        <v>7</v>
      </c>
      <c r="R7" s="7">
        <f t="shared" si="5"/>
        <v>583.45000000000005</v>
      </c>
    </row>
    <row r="8" spans="1:18" x14ac:dyDescent="0.3">
      <c r="A8" s="10">
        <v>7</v>
      </c>
      <c r="B8" s="10" t="s">
        <v>22</v>
      </c>
      <c r="C8" s="16">
        <v>45832</v>
      </c>
      <c r="D8" s="10">
        <v>5000</v>
      </c>
      <c r="F8" s="13" t="s">
        <v>9</v>
      </c>
      <c r="G8" s="13">
        <f>16.666666666* 60</f>
        <v>999.99999996000008</v>
      </c>
      <c r="H8" s="13">
        <f t="shared" si="1"/>
        <v>5999.9999999600004</v>
      </c>
      <c r="I8" s="13">
        <f>SUMIF(June!A$1:A$1048488, B8, June!C$1:C$1048488)</f>
        <v>600</v>
      </c>
      <c r="J8" s="13">
        <f t="shared" si="2"/>
        <v>5399.9999999600004</v>
      </c>
      <c r="K8" s="13" t="str">
        <f t="shared" si="3"/>
        <v>Pending</v>
      </c>
      <c r="L8" s="13" t="str">
        <f t="shared" si="6"/>
        <v/>
      </c>
      <c r="M8" s="13">
        <v>100</v>
      </c>
      <c r="O8" s="13">
        <f t="shared" si="4"/>
        <v>99.9</v>
      </c>
      <c r="P8" s="10">
        <f t="shared" si="7"/>
        <v>64700</v>
      </c>
      <c r="Q8" s="10">
        <v>6</v>
      </c>
      <c r="R8" s="7">
        <f t="shared" si="5"/>
        <v>500.1</v>
      </c>
    </row>
    <row r="9" spans="1:18" x14ac:dyDescent="0.3">
      <c r="A9" s="10">
        <v>8</v>
      </c>
      <c r="B9" s="10" t="s">
        <v>23</v>
      </c>
      <c r="C9" s="16">
        <v>45834</v>
      </c>
      <c r="D9" s="10">
        <v>5000</v>
      </c>
      <c r="F9" s="13" t="s">
        <v>9</v>
      </c>
      <c r="G9" s="13">
        <f>16.666666666* 60</f>
        <v>999.99999996000008</v>
      </c>
      <c r="H9" s="13">
        <f t="shared" si="1"/>
        <v>5999.9999999600004</v>
      </c>
      <c r="I9" s="13">
        <f>SUMIF(June!A$1:A$1048488, B9, June!C$1:C$1048488)</f>
        <v>300</v>
      </c>
      <c r="J9" s="13">
        <f t="shared" si="2"/>
        <v>5699.9999999600004</v>
      </c>
      <c r="K9" s="13" t="str">
        <f t="shared" si="3"/>
        <v>Pending</v>
      </c>
      <c r="L9" s="13" t="str">
        <f t="shared" si="6"/>
        <v/>
      </c>
      <c r="M9" s="13">
        <v>100</v>
      </c>
      <c r="O9" s="13">
        <f t="shared" si="4"/>
        <v>49.95</v>
      </c>
      <c r="P9" s="10">
        <f t="shared" si="7"/>
        <v>60000</v>
      </c>
      <c r="Q9" s="10">
        <v>3</v>
      </c>
      <c r="R9" s="7">
        <f t="shared" si="5"/>
        <v>250.05</v>
      </c>
    </row>
    <row r="10" spans="1:18" x14ac:dyDescent="0.3">
      <c r="A10" s="10">
        <v>9</v>
      </c>
      <c r="B10" s="10" t="s">
        <v>24</v>
      </c>
      <c r="C10" s="16">
        <v>45836</v>
      </c>
      <c r="D10" s="10">
        <v>20000</v>
      </c>
      <c r="F10" s="13" t="s">
        <v>9</v>
      </c>
      <c r="G10" s="13">
        <f>66.66666666* 60</f>
        <v>3999.9999996000001</v>
      </c>
      <c r="H10" s="13">
        <f t="shared" si="1"/>
        <v>23999.999999600001</v>
      </c>
      <c r="I10" s="13">
        <f>SUMIF(June!A$1:A$1048488, B10, June!C$1:C$1048488)</f>
        <v>0</v>
      </c>
      <c r="J10" s="13">
        <f t="shared" si="2"/>
        <v>23999.999999600001</v>
      </c>
      <c r="K10" s="13" t="str">
        <f t="shared" si="3"/>
        <v>Pending</v>
      </c>
      <c r="L10" s="13" t="str">
        <f>IF(K10="Completed", "✔", "")</f>
        <v/>
      </c>
      <c r="M10" s="13">
        <v>400</v>
      </c>
      <c r="O10" s="13">
        <f t="shared" si="4"/>
        <v>0</v>
      </c>
      <c r="P10" s="10">
        <f t="shared" si="7"/>
        <v>40000</v>
      </c>
      <c r="Q10" s="10">
        <v>0</v>
      </c>
      <c r="R10" s="7">
        <f t="shared" si="5"/>
        <v>0</v>
      </c>
    </row>
    <row r="11" spans="1:18" x14ac:dyDescent="0.3">
      <c r="A11" s="10">
        <v>10</v>
      </c>
      <c r="B11" s="10" t="s">
        <v>28</v>
      </c>
      <c r="C11" s="16">
        <v>45826</v>
      </c>
      <c r="G11" s="13">
        <v>0</v>
      </c>
      <c r="H11" s="13">
        <v>0</v>
      </c>
      <c r="I11" s="13">
        <f>SUMIF(June!A$1:A$1048488, B11, June!C$1:C$1048488)</f>
        <v>0</v>
      </c>
      <c r="J11" s="13">
        <v>0</v>
      </c>
      <c r="L11" s="13" t="str">
        <f t="shared" si="6"/>
        <v/>
      </c>
      <c r="O11" s="13">
        <f t="shared" si="4"/>
        <v>0</v>
      </c>
      <c r="P11" s="10">
        <f t="shared" si="7"/>
        <v>40000</v>
      </c>
      <c r="R11" s="7">
        <f t="shared" si="5"/>
        <v>0</v>
      </c>
    </row>
    <row r="12" spans="1:18" x14ac:dyDescent="0.3">
      <c r="A12" s="10">
        <v>11</v>
      </c>
      <c r="B12" s="10" t="s">
        <v>29</v>
      </c>
      <c r="C12" s="16">
        <v>45836</v>
      </c>
      <c r="G12" s="13">
        <v>0</v>
      </c>
      <c r="H12" s="13">
        <v>0</v>
      </c>
      <c r="I12" s="13">
        <f>SUMIF(June!A$1:A$1048488, B12, June!C$1:C$1048488)</f>
        <v>0</v>
      </c>
      <c r="J12" s="13">
        <v>0</v>
      </c>
      <c r="L12" s="13" t="str">
        <f t="shared" si="6"/>
        <v/>
      </c>
      <c r="O12" s="13">
        <f t="shared" si="4"/>
        <v>0</v>
      </c>
      <c r="P12" s="10">
        <f t="shared" si="7"/>
        <v>40000</v>
      </c>
      <c r="R12" s="7">
        <f t="shared" si="5"/>
        <v>0</v>
      </c>
    </row>
    <row r="13" spans="1:18" x14ac:dyDescent="0.3">
      <c r="A13" s="10">
        <v>13</v>
      </c>
      <c r="C13" s="16"/>
      <c r="I13" s="13">
        <f>SUMIF(June!A$1:A$1048488, B13, June!C$1:C$1048488)</f>
        <v>0</v>
      </c>
      <c r="L13" s="13" t="str">
        <f t="shared" si="6"/>
        <v/>
      </c>
      <c r="O13" s="13">
        <f t="shared" si="4"/>
        <v>0</v>
      </c>
      <c r="P13" s="10">
        <f t="shared" si="7"/>
        <v>40000</v>
      </c>
      <c r="R13" s="7">
        <f t="shared" si="5"/>
        <v>0</v>
      </c>
    </row>
    <row r="14" spans="1:18" x14ac:dyDescent="0.3">
      <c r="A14" s="10">
        <v>14</v>
      </c>
      <c r="C14" s="16"/>
      <c r="I14" s="13">
        <f>SUMIF(June!A$1:A$1048488, B14, June!C$1:C$1048488)</f>
        <v>0</v>
      </c>
      <c r="L14" s="13" t="str">
        <f t="shared" si="6"/>
        <v/>
      </c>
      <c r="O14" s="13">
        <f t="shared" si="4"/>
        <v>0</v>
      </c>
      <c r="P14" s="10">
        <f t="shared" si="7"/>
        <v>40000</v>
      </c>
      <c r="R14" s="7">
        <f t="shared" si="5"/>
        <v>0</v>
      </c>
    </row>
    <row r="15" spans="1:18" x14ac:dyDescent="0.3">
      <c r="A15" s="10">
        <v>15</v>
      </c>
      <c r="C15" s="16"/>
      <c r="I15" s="13">
        <f>SUMIF(June!A$1:A$1048488, B15, June!C$1:C$1048488)</f>
        <v>0</v>
      </c>
      <c r="L15" s="13" t="str">
        <f t="shared" si="6"/>
        <v/>
      </c>
      <c r="O15" s="13">
        <f t="shared" si="4"/>
        <v>0</v>
      </c>
      <c r="P15" s="10">
        <f t="shared" si="7"/>
        <v>40000</v>
      </c>
      <c r="R15" s="7">
        <f t="shared" si="5"/>
        <v>0</v>
      </c>
    </row>
    <row r="16" spans="1:18" x14ac:dyDescent="0.3">
      <c r="A16" s="10">
        <v>16</v>
      </c>
      <c r="B16" s="10" t="s">
        <v>25</v>
      </c>
      <c r="C16" s="16">
        <v>45812</v>
      </c>
      <c r="D16" s="10">
        <v>9500</v>
      </c>
      <c r="F16" s="13" t="s">
        <v>10</v>
      </c>
      <c r="G16" s="13">
        <v>3000</v>
      </c>
      <c r="H16" s="13">
        <f>D16 + G16</f>
        <v>12500</v>
      </c>
      <c r="I16" s="13">
        <f>SUMIF(June!A$1:A$1048488, B16, June!C$1:C$1048488)</f>
        <v>3750</v>
      </c>
      <c r="J16" s="13">
        <f>H16 - I16</f>
        <v>8750</v>
      </c>
      <c r="K16" s="13" t="str">
        <f>IF(J3&lt;=0, "Completed", "Pending")</f>
        <v>Pending</v>
      </c>
      <c r="L16" s="13" t="str">
        <f t="shared" si="6"/>
        <v/>
      </c>
      <c r="N16" s="13">
        <v>1250</v>
      </c>
      <c r="O16" s="13">
        <f>300*Q16</f>
        <v>900</v>
      </c>
      <c r="P16" s="10">
        <f t="shared" si="7"/>
        <v>34250</v>
      </c>
      <c r="Q16" s="10">
        <v>3</v>
      </c>
      <c r="R16" s="7">
        <f>I16 - O16</f>
        <v>2850</v>
      </c>
    </row>
    <row r="17" spans="1:19 16380:16380" x14ac:dyDescent="0.3">
      <c r="A17" s="10">
        <v>17</v>
      </c>
      <c r="B17" s="10" t="s">
        <v>26</v>
      </c>
      <c r="C17" s="16">
        <v>45814</v>
      </c>
      <c r="D17" s="10">
        <v>4750</v>
      </c>
      <c r="F17" s="13" t="s">
        <v>10</v>
      </c>
      <c r="G17" s="13">
        <f>21.4285714285* 70</f>
        <v>1499.9999999950001</v>
      </c>
      <c r="H17" s="13">
        <f t="shared" ref="H17:H20" si="8">D17 + G17</f>
        <v>6249.9999999949996</v>
      </c>
      <c r="I17" s="13">
        <f>SUMIF(June!A$1:A$1048488, B17, June!C$1:C$1048488)</f>
        <v>1250</v>
      </c>
      <c r="J17" s="13">
        <f t="shared" ref="J17:J20" si="9">H17 - I17</f>
        <v>4999.9999999949996</v>
      </c>
      <c r="K17" s="13" t="str">
        <f>IF(J4&lt;=0, "Completed", "Pending")</f>
        <v>Pending</v>
      </c>
      <c r="L17" s="13" t="str">
        <f t="shared" si="6"/>
        <v/>
      </c>
      <c r="N17" s="13">
        <v>625</v>
      </c>
      <c r="O17" s="13">
        <f>150*Q17</f>
        <v>300</v>
      </c>
      <c r="P17" s="10">
        <f t="shared" si="7"/>
        <v>30750</v>
      </c>
      <c r="Q17" s="10">
        <v>2</v>
      </c>
      <c r="R17" s="7">
        <f t="shared" si="5"/>
        <v>950</v>
      </c>
    </row>
    <row r="18" spans="1:19 16380:16380" x14ac:dyDescent="0.3">
      <c r="A18" s="10">
        <v>18</v>
      </c>
      <c r="B18" s="10" t="s">
        <v>27</v>
      </c>
      <c r="C18" s="16">
        <v>45817</v>
      </c>
      <c r="D18" s="10">
        <v>4750</v>
      </c>
      <c r="F18" s="13" t="s">
        <v>10</v>
      </c>
      <c r="G18" s="13">
        <f>21.4285714285* 70</f>
        <v>1499.9999999950001</v>
      </c>
      <c r="H18" s="13">
        <f t="shared" si="8"/>
        <v>6249.9999999949996</v>
      </c>
      <c r="I18" s="13">
        <f>SUMIF(June!A$1:A$1048488, B18, June!C$1:C$1048488)</f>
        <v>1250</v>
      </c>
      <c r="J18" s="13">
        <f t="shared" si="9"/>
        <v>4999.9999999949996</v>
      </c>
      <c r="K18" s="13" t="str">
        <f>IF(J5&lt;=0, "Completed", "Pending")</f>
        <v>Pending</v>
      </c>
      <c r="L18" s="13" t="str">
        <f t="shared" si="6"/>
        <v/>
      </c>
      <c r="N18" s="13">
        <v>625</v>
      </c>
      <c r="O18" s="13">
        <f>150*Q18</f>
        <v>300</v>
      </c>
      <c r="P18" s="10">
        <f t="shared" si="7"/>
        <v>27250</v>
      </c>
      <c r="Q18" s="10">
        <v>2</v>
      </c>
      <c r="R18" s="7">
        <f t="shared" si="5"/>
        <v>950</v>
      </c>
    </row>
    <row r="19" spans="1:19 16380:16380" x14ac:dyDescent="0.3">
      <c r="A19" s="10">
        <v>19</v>
      </c>
      <c r="B19" s="10" t="s">
        <v>15</v>
      </c>
      <c r="C19" s="16">
        <v>45818</v>
      </c>
      <c r="D19" s="10">
        <v>9500</v>
      </c>
      <c r="F19" s="13" t="s">
        <v>10</v>
      </c>
      <c r="G19" s="13">
        <f>42.8571428571* 70</f>
        <v>2999.999999997</v>
      </c>
      <c r="H19" s="13">
        <f t="shared" si="8"/>
        <v>12499.999999997</v>
      </c>
      <c r="I19" s="13">
        <f>SUMIF(June!A$1:A$1048488, B19, June!C$1:C$1048488)</f>
        <v>2500</v>
      </c>
      <c r="J19" s="13">
        <f t="shared" si="9"/>
        <v>9999.9999999970005</v>
      </c>
      <c r="K19" s="13" t="str">
        <f>IF(J6&lt;=0, "Completed", "Pending")</f>
        <v>Pending</v>
      </c>
      <c r="L19" s="13" t="str">
        <f t="shared" si="6"/>
        <v/>
      </c>
      <c r="N19" s="13">
        <v>1250</v>
      </c>
      <c r="O19" s="13">
        <f t="shared" ref="O19" si="10">300*Q19</f>
        <v>600</v>
      </c>
      <c r="P19" s="10">
        <f t="shared" si="7"/>
        <v>20250</v>
      </c>
      <c r="Q19" s="10">
        <v>2</v>
      </c>
      <c r="R19" s="7">
        <f t="shared" si="5"/>
        <v>1900</v>
      </c>
    </row>
    <row r="20" spans="1:19 16380:16380" x14ac:dyDescent="0.3">
      <c r="A20" s="10">
        <v>20</v>
      </c>
      <c r="B20" s="10" t="s">
        <v>16</v>
      </c>
      <c r="C20" s="16">
        <v>45823</v>
      </c>
      <c r="D20" s="10">
        <v>4750</v>
      </c>
      <c r="F20" s="13" t="s">
        <v>10</v>
      </c>
      <c r="G20" s="13">
        <f>21.4285714285* 70</f>
        <v>1499.9999999950001</v>
      </c>
      <c r="H20" s="13">
        <f t="shared" si="8"/>
        <v>6249.9999999949996</v>
      </c>
      <c r="I20" s="13">
        <f>SUMIF(June!A$1:A$1048488, B20, June!C$1:C$1048488)</f>
        <v>1000</v>
      </c>
      <c r="J20" s="13">
        <f t="shared" si="9"/>
        <v>5249.9999999949996</v>
      </c>
      <c r="K20" s="13" t="str">
        <f>IF(J7&lt;=0, "Completed", "Pending")</f>
        <v>Pending</v>
      </c>
      <c r="L20" s="13" t="str">
        <f t="shared" si="6"/>
        <v/>
      </c>
      <c r="N20" s="13">
        <v>625</v>
      </c>
      <c r="O20" s="13">
        <f>150*Q20</f>
        <v>300</v>
      </c>
      <c r="P20" s="10">
        <f>P19-D20+I20</f>
        <v>16500</v>
      </c>
      <c r="Q20" s="10">
        <v>2</v>
      </c>
      <c r="R20" s="7">
        <f t="shared" si="5"/>
        <v>700</v>
      </c>
    </row>
    <row r="21" spans="1:19 16380:16380" x14ac:dyDescent="0.3">
      <c r="A21" s="10">
        <v>21</v>
      </c>
      <c r="C21" s="16"/>
      <c r="P21" s="10">
        <f>P20-D21+I21</f>
        <v>16500</v>
      </c>
    </row>
    <row r="22" spans="1:19 16380:16380" ht="25.2" x14ac:dyDescent="0.45">
      <c r="A22" s="10">
        <v>22</v>
      </c>
      <c r="C22" s="16"/>
      <c r="N22" s="22"/>
      <c r="O22" s="14"/>
      <c r="P22" s="11">
        <f>P21-D22+I22</f>
        <v>16500</v>
      </c>
      <c r="R22" s="8">
        <f>SUM(R3:R20)</f>
        <v>33185.69</v>
      </c>
    </row>
    <row r="23" spans="1:19 16380:16380" ht="25.2" x14ac:dyDescent="0.6">
      <c r="C23" s="17" t="s">
        <v>30</v>
      </c>
      <c r="D23" s="18">
        <f>SUM(D3:D20)</f>
        <v>148250</v>
      </c>
      <c r="F23" s="19" t="s">
        <v>30</v>
      </c>
      <c r="G23" s="20">
        <f>SUM(G3:G20)</f>
        <v>28499.999998662006</v>
      </c>
      <c r="H23" s="20">
        <f>SUM(H3:H20)</f>
        <v>176749.99999866198</v>
      </c>
      <c r="I23" s="15">
        <f>SUM(I3:I20)</f>
        <v>40750</v>
      </c>
      <c r="J23" s="21">
        <f>SUM(J3:J20)</f>
        <v>135999.99999866198</v>
      </c>
      <c r="N23" s="22" t="s">
        <v>35</v>
      </c>
      <c r="O23" s="14">
        <f>SUM(O3:O20)</f>
        <v>7564.3099999999995</v>
      </c>
      <c r="P23" s="11"/>
    </row>
    <row r="24" spans="1:19 16380:16380" x14ac:dyDescent="0.3">
      <c r="C24" s="16"/>
    </row>
    <row r="25" spans="1:19 16380:16380" x14ac:dyDescent="0.3">
      <c r="C25" s="16"/>
      <c r="XEZ25" t="e">
        <f>+++++++++++++++++++++++++++++++++++++++++++++++++++++++++++++++++++++++++++++++++++++++++++++++++++++++++++++++++++++++++++++++++++++++++++++++++++++++++++++++++#REF!</f>
        <v>#REF!</v>
      </c>
    </row>
    <row r="26" spans="1:19 16380:16380" x14ac:dyDescent="0.3">
      <c r="C26" s="16"/>
    </row>
    <row r="27" spans="1:19 16380:16380" x14ac:dyDescent="0.3">
      <c r="C27" s="16"/>
      <c r="E27" s="37"/>
      <c r="F27" s="38"/>
      <c r="G27" s="38"/>
      <c r="H27" s="38"/>
      <c r="I27" s="38"/>
      <c r="J27" s="38"/>
      <c r="K27" s="38"/>
      <c r="L27" s="38"/>
      <c r="M27" s="38"/>
      <c r="N27" s="38"/>
    </row>
    <row r="28" spans="1:19 16380:16380" x14ac:dyDescent="0.3">
      <c r="C28" s="16"/>
      <c r="E28" s="37"/>
      <c r="F28" s="38"/>
      <c r="G28" s="38"/>
      <c r="H28" s="38"/>
      <c r="I28" s="38"/>
      <c r="J28" s="38"/>
      <c r="K28" s="38"/>
      <c r="L28" s="38"/>
      <c r="M28" s="38"/>
      <c r="N28" s="38"/>
    </row>
    <row r="29" spans="1:19 16380:16380" x14ac:dyDescent="0.3">
      <c r="C29" s="16"/>
      <c r="E29" s="37"/>
      <c r="F29" s="38"/>
      <c r="G29" s="38"/>
      <c r="H29" s="38"/>
      <c r="I29" s="38"/>
      <c r="J29" s="38"/>
      <c r="K29" s="38"/>
      <c r="L29" s="38"/>
      <c r="M29" s="38"/>
      <c r="N29" s="38"/>
    </row>
    <row r="30" spans="1:19 16380:16380" ht="11.4" customHeight="1" x14ac:dyDescent="0.3">
      <c r="C30" s="16"/>
      <c r="E30" s="37"/>
      <c r="F30" s="38"/>
      <c r="G30" s="38"/>
      <c r="H30" s="38"/>
      <c r="I30" s="38"/>
      <c r="J30" s="38"/>
      <c r="K30" s="38"/>
      <c r="L30" s="38"/>
      <c r="M30" s="38"/>
      <c r="N30" s="38"/>
    </row>
    <row r="31" spans="1:19 16380:16380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25"/>
      <c r="R31" s="26"/>
      <c r="S31" s="40"/>
    </row>
    <row r="32" spans="1:19 16380:16380" x14ac:dyDescent="0.3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23"/>
      <c r="R32" s="24"/>
      <c r="S32" s="39"/>
    </row>
    <row r="33" spans="2:19" x14ac:dyDescent="0.3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23"/>
      <c r="R33" s="24"/>
      <c r="S33" s="39"/>
    </row>
    <row r="34" spans="2:19" x14ac:dyDescent="0.3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23"/>
      <c r="R34" s="24"/>
      <c r="S34" s="39"/>
    </row>
    <row r="35" spans="2:19" x14ac:dyDescent="0.3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23"/>
      <c r="R35" s="24"/>
      <c r="S35" s="39"/>
    </row>
    <row r="36" spans="2:19" x14ac:dyDescent="0.3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23"/>
      <c r="R36" s="24"/>
      <c r="S36" s="39"/>
    </row>
    <row r="37" spans="2:19" x14ac:dyDescent="0.3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23"/>
      <c r="R37" s="24"/>
      <c r="S37" s="39"/>
    </row>
    <row r="38" spans="2:19" x14ac:dyDescent="0.3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23"/>
      <c r="R38" s="24"/>
      <c r="S38" s="39"/>
    </row>
    <row r="39" spans="2:19" x14ac:dyDescent="0.3">
      <c r="B39" s="23"/>
      <c r="C39" s="27"/>
      <c r="D39" s="23"/>
      <c r="E39" s="23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23"/>
      <c r="Q39" s="23"/>
      <c r="R39" s="24"/>
      <c r="S39" s="39"/>
    </row>
    <row r="40" spans="2:19" x14ac:dyDescent="0.3">
      <c r="B40" s="23"/>
      <c r="C40" s="27"/>
      <c r="D40" s="23"/>
      <c r="E40" s="23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23"/>
      <c r="Q40" s="23"/>
      <c r="R40" s="24"/>
      <c r="S40" s="39"/>
    </row>
    <row r="41" spans="2:19" x14ac:dyDescent="0.3">
      <c r="B41" s="23"/>
      <c r="C41" s="27"/>
      <c r="D41" s="23"/>
      <c r="E41" s="23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23"/>
      <c r="Q41" s="23"/>
      <c r="R41" s="24"/>
      <c r="S41" s="39"/>
    </row>
    <row r="42" spans="2:19" x14ac:dyDescent="0.3">
      <c r="B42" s="23"/>
      <c r="C42" s="27"/>
      <c r="D42" s="23"/>
      <c r="E42" s="23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23"/>
      <c r="Q42" s="23"/>
      <c r="R42" s="24"/>
      <c r="S42" s="39"/>
    </row>
    <row r="43" spans="2:19" x14ac:dyDescent="0.3">
      <c r="B43" s="25"/>
      <c r="C43" s="28"/>
      <c r="D43" s="25"/>
      <c r="E43" s="25"/>
      <c r="F43" s="3"/>
      <c r="G43" s="3"/>
      <c r="H43" s="3"/>
      <c r="I43" s="3"/>
      <c r="J43" s="3"/>
      <c r="K43" s="3"/>
      <c r="L43" s="3"/>
      <c r="M43" s="3"/>
      <c r="N43" s="3"/>
      <c r="O43" s="3"/>
      <c r="P43" s="25"/>
      <c r="Q43" s="25"/>
      <c r="R43" s="26"/>
      <c r="S43" s="40"/>
    </row>
    <row r="44" spans="2:19" x14ac:dyDescent="0.3">
      <c r="C44" s="16"/>
    </row>
    <row r="45" spans="2:19" x14ac:dyDescent="0.3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</row>
    <row r="46" spans="2:19" x14ac:dyDescent="0.3">
      <c r="B46" s="48"/>
      <c r="C46" s="49"/>
      <c r="D46" s="48"/>
      <c r="E46" s="48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48"/>
      <c r="Q46" s="48"/>
      <c r="R46" s="51"/>
      <c r="S46" s="52"/>
    </row>
    <row r="47" spans="2:19" x14ac:dyDescent="0.3">
      <c r="B47" s="48"/>
      <c r="C47" s="49"/>
      <c r="D47" s="48"/>
      <c r="E47" s="48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48"/>
      <c r="Q47" s="48"/>
      <c r="R47" s="51"/>
      <c r="S47" s="52"/>
    </row>
    <row r="48" spans="2:19" x14ac:dyDescent="0.3">
      <c r="B48" s="48"/>
      <c r="C48" s="49"/>
      <c r="D48" s="48"/>
      <c r="E48" s="48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48"/>
      <c r="Q48" s="48"/>
      <c r="R48" s="51"/>
      <c r="S48" s="52"/>
    </row>
    <row r="49" spans="1:19" x14ac:dyDescent="0.3">
      <c r="B49" s="48"/>
      <c r="C49" s="49"/>
      <c r="D49" s="48"/>
      <c r="E49" s="48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48"/>
      <c r="Q49" s="48"/>
      <c r="R49" s="51"/>
      <c r="S49" s="52"/>
    </row>
    <row r="50" spans="1:19" x14ac:dyDescent="0.3">
      <c r="B50" s="48"/>
      <c r="C50" s="49"/>
      <c r="D50" s="48"/>
      <c r="E50" s="48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48"/>
      <c r="Q50" s="48"/>
      <c r="R50" s="51"/>
      <c r="S50" s="52"/>
    </row>
    <row r="51" spans="1:19" x14ac:dyDescent="0.3">
      <c r="A51" s="29"/>
      <c r="B51" s="48"/>
      <c r="C51" s="49"/>
      <c r="D51" s="48"/>
      <c r="E51" s="48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48"/>
      <c r="Q51" s="48"/>
      <c r="R51" s="51"/>
      <c r="S51" s="52"/>
    </row>
    <row r="52" spans="1:19" x14ac:dyDescent="0.3">
      <c r="A52" s="29"/>
      <c r="B52" s="48"/>
      <c r="C52" s="49"/>
      <c r="D52" s="48"/>
      <c r="E52" s="48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48"/>
      <c r="Q52" s="48"/>
      <c r="R52" s="51"/>
      <c r="S52" s="52"/>
    </row>
    <row r="53" spans="1:19" x14ac:dyDescent="0.3">
      <c r="A53" s="29"/>
      <c r="B53" s="48"/>
      <c r="C53" s="49"/>
      <c r="D53" s="48"/>
      <c r="E53" s="48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48"/>
      <c r="Q53" s="48"/>
      <c r="R53" s="51"/>
      <c r="S53" s="52"/>
    </row>
    <row r="54" spans="1:19" x14ac:dyDescent="0.3">
      <c r="A54" s="29"/>
      <c r="B54" s="29"/>
      <c r="C54" s="30"/>
      <c r="D54" s="29"/>
      <c r="E54" s="29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9"/>
      <c r="Q54" s="29"/>
      <c r="R54" s="32"/>
      <c r="S54" s="33"/>
    </row>
    <row r="55" spans="1:19" ht="21.6" thickBot="1" x14ac:dyDescent="0.5">
      <c r="A55" s="1" t="s">
        <v>0</v>
      </c>
      <c r="B55" s="1" t="s">
        <v>12</v>
      </c>
      <c r="C55" s="1" t="s">
        <v>11</v>
      </c>
      <c r="D55" s="1" t="s">
        <v>17</v>
      </c>
      <c r="E55" s="1" t="s">
        <v>1</v>
      </c>
      <c r="F55" s="1" t="s">
        <v>2</v>
      </c>
      <c r="G55" s="1" t="s">
        <v>3</v>
      </c>
      <c r="H55" s="1" t="s">
        <v>4</v>
      </c>
      <c r="I55" s="1" t="s">
        <v>32</v>
      </c>
      <c r="J55" s="1" t="s">
        <v>5</v>
      </c>
      <c r="K55" s="1" t="s">
        <v>6</v>
      </c>
      <c r="L55" s="1" t="s">
        <v>7</v>
      </c>
      <c r="M55" s="1" t="s">
        <v>33</v>
      </c>
      <c r="N55" s="1" t="s">
        <v>34</v>
      </c>
      <c r="O55" s="2" t="s">
        <v>36</v>
      </c>
      <c r="P55" s="2" t="s">
        <v>8</v>
      </c>
      <c r="Q55" s="41" t="s">
        <v>37</v>
      </c>
      <c r="R55" s="42" t="s">
        <v>38</v>
      </c>
      <c r="S55" s="43" t="s">
        <v>59</v>
      </c>
    </row>
    <row r="56" spans="1:19" x14ac:dyDescent="0.3">
      <c r="B56" s="35"/>
      <c r="C56" s="36">
        <v>45840</v>
      </c>
      <c r="E56" s="10">
        <v>27725</v>
      </c>
      <c r="O56" s="10"/>
      <c r="P56" s="10">
        <v>16500</v>
      </c>
      <c r="Q56" s="7"/>
      <c r="R56"/>
    </row>
    <row r="57" spans="1:19" x14ac:dyDescent="0.3">
      <c r="A57" s="10">
        <v>1</v>
      </c>
      <c r="B57" s="34" t="s">
        <v>19</v>
      </c>
      <c r="C57" s="47">
        <v>45811</v>
      </c>
      <c r="D57" s="34">
        <v>10000</v>
      </c>
      <c r="F57" s="34" t="s">
        <v>9</v>
      </c>
      <c r="G57" s="34">
        <f>33.33333333* 60</f>
        <v>1999.9999998000001</v>
      </c>
      <c r="H57" s="13">
        <f>D3 + G3</f>
        <v>11999.9999998</v>
      </c>
      <c r="I57" s="13">
        <f>SUMIF(Payments!A:A, B57, Payments!C:C)</f>
        <v>7200</v>
      </c>
      <c r="J57" s="13">
        <f>H57 - I57</f>
        <v>4799.9999998000003</v>
      </c>
      <c r="K57" s="13" t="str">
        <f>IF(J57&lt;=0, "Completed", "Pending")</f>
        <v>Pending</v>
      </c>
      <c r="L57" s="13" t="str">
        <f>IF(K57="Completed", "✔", "")</f>
        <v/>
      </c>
      <c r="M57" s="34">
        <v>200</v>
      </c>
      <c r="O57" s="13">
        <f t="shared" ref="O57:O64" si="11">ROUND(D57 * 0.00333 * Q57, 2)</f>
        <v>1032.3</v>
      </c>
      <c r="P57" s="10">
        <f>P56+I57-I3</f>
        <v>19900</v>
      </c>
      <c r="Q57" s="34">
        <v>31</v>
      </c>
      <c r="R57">
        <f t="shared" ref="R57:R68" si="12">I57 - O57</f>
        <v>6167.7</v>
      </c>
    </row>
    <row r="58" spans="1:19" x14ac:dyDescent="0.3">
      <c r="A58" s="34">
        <v>2</v>
      </c>
      <c r="B58" s="35" t="s">
        <v>13</v>
      </c>
      <c r="C58" s="36">
        <v>45812</v>
      </c>
      <c r="D58" s="35">
        <v>10000</v>
      </c>
      <c r="F58" s="35" t="s">
        <v>9</v>
      </c>
      <c r="G58" s="35">
        <f>33.33333333* 60</f>
        <v>1999.9999998000001</v>
      </c>
      <c r="H58" s="13">
        <f t="shared" ref="H58:H64" si="13">D4 + G4</f>
        <v>11999.9999998</v>
      </c>
      <c r="I58" s="13">
        <f>SUMIF(Payments!A:A, B58, Payments!C:C)</f>
        <v>6500</v>
      </c>
      <c r="J58" s="13">
        <f t="shared" ref="J58:J68" si="14">H58 - I58</f>
        <v>5499.9999998000003</v>
      </c>
      <c r="K58" s="13" t="str">
        <f t="shared" ref="K58:K65" si="15">IF(J58&lt;=0, "Completed", "Pending")</f>
        <v>Pending</v>
      </c>
      <c r="L58" s="13" t="str">
        <f t="shared" ref="L58:L65" si="16">IF(K58="Completed", "✔", "")</f>
        <v/>
      </c>
      <c r="M58" s="35">
        <v>200</v>
      </c>
      <c r="O58" s="13">
        <f t="shared" si="11"/>
        <v>832.5</v>
      </c>
      <c r="P58" s="10">
        <f t="shared" ref="P58:P64" si="17">P57+I58-I4</f>
        <v>22400</v>
      </c>
      <c r="Q58" s="35">
        <v>25</v>
      </c>
      <c r="R58">
        <f t="shared" si="12"/>
        <v>5667.5</v>
      </c>
    </row>
    <row r="59" spans="1:19" x14ac:dyDescent="0.3">
      <c r="A59" s="35">
        <v>3</v>
      </c>
      <c r="B59" s="34" t="s">
        <v>14</v>
      </c>
      <c r="C59" s="47">
        <v>45813</v>
      </c>
      <c r="D59" s="34">
        <v>10000</v>
      </c>
      <c r="F59" s="34" t="s">
        <v>9</v>
      </c>
      <c r="G59" s="34">
        <f>33.33333333* 60</f>
        <v>1999.9999998000001</v>
      </c>
      <c r="H59" s="13">
        <f t="shared" si="13"/>
        <v>11999.9999998</v>
      </c>
      <c r="I59" s="13">
        <f>SUMIF(Payments!A:A, B59, Payments!C:C)</f>
        <v>7600</v>
      </c>
      <c r="J59" s="13">
        <f t="shared" si="14"/>
        <v>4399.9999998000003</v>
      </c>
      <c r="K59" s="13" t="str">
        <f t="shared" si="15"/>
        <v>Pending</v>
      </c>
      <c r="L59" s="13" t="str">
        <f t="shared" si="16"/>
        <v/>
      </c>
      <c r="M59" s="34">
        <v>200</v>
      </c>
      <c r="O59" s="13">
        <f t="shared" si="11"/>
        <v>1032.3</v>
      </c>
      <c r="P59" s="10">
        <f t="shared" si="17"/>
        <v>25400</v>
      </c>
      <c r="Q59" s="34">
        <v>31</v>
      </c>
      <c r="R59">
        <f t="shared" si="12"/>
        <v>6567.7</v>
      </c>
    </row>
    <row r="60" spans="1:19" x14ac:dyDescent="0.3">
      <c r="A60" s="34">
        <v>4</v>
      </c>
      <c r="B60" s="35" t="s">
        <v>20</v>
      </c>
      <c r="C60" s="36">
        <v>45824</v>
      </c>
      <c r="D60" s="35">
        <v>50000</v>
      </c>
      <c r="F60" s="35" t="s">
        <v>9</v>
      </c>
      <c r="G60" s="35">
        <f>166.66666666* 30</f>
        <v>4999.9999998000003</v>
      </c>
      <c r="H60" s="13">
        <f>D6 + G60</f>
        <v>54999.999999799998</v>
      </c>
      <c r="I60" s="13">
        <f>SUMIF(Payments!A:A, B60, Payments!C:C)</f>
        <v>55000</v>
      </c>
      <c r="J60" s="13">
        <f>H60 - I60</f>
        <v>-2.0000152289867401E-7</v>
      </c>
      <c r="K60" s="13" t="str">
        <f t="shared" si="15"/>
        <v>Completed</v>
      </c>
      <c r="L60" s="13" t="str">
        <f t="shared" si="16"/>
        <v>✔</v>
      </c>
      <c r="M60" s="35">
        <v>1000</v>
      </c>
      <c r="O60" s="13">
        <f t="shared" si="11"/>
        <v>4329</v>
      </c>
      <c r="P60" s="10">
        <f t="shared" si="17"/>
        <v>63400</v>
      </c>
      <c r="Q60" s="35">
        <v>26</v>
      </c>
      <c r="R60">
        <f t="shared" si="12"/>
        <v>50671</v>
      </c>
    </row>
    <row r="61" spans="1:19" x14ac:dyDescent="0.3">
      <c r="A61" s="35">
        <v>5</v>
      </c>
      <c r="B61" s="34" t="s">
        <v>21</v>
      </c>
      <c r="C61" s="47">
        <v>45830</v>
      </c>
      <c r="D61" s="34">
        <v>5000</v>
      </c>
      <c r="F61" s="34" t="s">
        <v>9</v>
      </c>
      <c r="G61" s="34">
        <f>16.666666666* 60</f>
        <v>999.99999996000008</v>
      </c>
      <c r="H61" s="13">
        <f>D7 + G61</f>
        <v>5999.9999999600004</v>
      </c>
      <c r="I61" s="13">
        <f>SUMIF(Payments!A:A, B61, Payments!C:C)</f>
        <v>2900</v>
      </c>
      <c r="J61" s="13">
        <f t="shared" si="14"/>
        <v>3099.9999999600004</v>
      </c>
      <c r="K61" s="13" t="str">
        <f t="shared" si="15"/>
        <v>Pending</v>
      </c>
      <c r="L61" s="13" t="str">
        <f t="shared" si="16"/>
        <v/>
      </c>
      <c r="M61" s="34">
        <v>100</v>
      </c>
      <c r="O61" s="13">
        <f t="shared" si="11"/>
        <v>399.6</v>
      </c>
      <c r="P61" s="10">
        <f t="shared" si="17"/>
        <v>65600</v>
      </c>
      <c r="Q61" s="34">
        <v>24</v>
      </c>
      <c r="R61">
        <f t="shared" si="12"/>
        <v>2500.4</v>
      </c>
    </row>
    <row r="62" spans="1:19" x14ac:dyDescent="0.3">
      <c r="A62" s="34">
        <v>6</v>
      </c>
      <c r="B62" s="35" t="s">
        <v>22</v>
      </c>
      <c r="C62" s="36">
        <v>45832</v>
      </c>
      <c r="D62" s="35">
        <v>5000</v>
      </c>
      <c r="F62" s="35" t="s">
        <v>9</v>
      </c>
      <c r="G62" s="35">
        <f>16.666666666* 60</f>
        <v>999.99999996000008</v>
      </c>
      <c r="H62" s="13">
        <f t="shared" si="13"/>
        <v>5999.9999999600004</v>
      </c>
      <c r="I62" s="13">
        <f>SUMIF(Payments!A:A, B62, Payments!C:C)</f>
        <v>2900</v>
      </c>
      <c r="J62" s="13">
        <f t="shared" si="14"/>
        <v>3099.9999999600004</v>
      </c>
      <c r="K62" s="13" t="str">
        <f t="shared" si="15"/>
        <v>Pending</v>
      </c>
      <c r="L62" s="13" t="str">
        <f t="shared" si="16"/>
        <v/>
      </c>
      <c r="M62" s="35">
        <v>100</v>
      </c>
      <c r="O62" s="13">
        <f t="shared" si="11"/>
        <v>366.3</v>
      </c>
      <c r="P62" s="10">
        <f t="shared" si="17"/>
        <v>67900</v>
      </c>
      <c r="Q62" s="35">
        <v>22</v>
      </c>
      <c r="R62">
        <f t="shared" si="12"/>
        <v>2533.6999999999998</v>
      </c>
    </row>
    <row r="63" spans="1:19" x14ac:dyDescent="0.3">
      <c r="A63" s="35">
        <v>7</v>
      </c>
      <c r="B63" s="34" t="s">
        <v>23</v>
      </c>
      <c r="C63" s="47">
        <v>45834</v>
      </c>
      <c r="D63" s="34">
        <v>5000</v>
      </c>
      <c r="F63" s="34" t="s">
        <v>9</v>
      </c>
      <c r="G63" s="34">
        <f>16.666666666* 60</f>
        <v>999.99999996000008</v>
      </c>
      <c r="H63" s="13">
        <f t="shared" si="13"/>
        <v>5999.9999999600004</v>
      </c>
      <c r="I63" s="13">
        <f>SUMIF(Payments!A:A, B63, Payments!C:C)</f>
        <v>1700</v>
      </c>
      <c r="J63" s="13">
        <f t="shared" si="14"/>
        <v>4299.9999999600004</v>
      </c>
      <c r="K63" s="13" t="str">
        <f t="shared" si="15"/>
        <v>Pending</v>
      </c>
      <c r="L63" s="13" t="str">
        <f t="shared" si="16"/>
        <v/>
      </c>
      <c r="M63" s="34">
        <v>100</v>
      </c>
      <c r="O63" s="13">
        <f t="shared" si="11"/>
        <v>216.45</v>
      </c>
      <c r="P63" s="10">
        <f t="shared" si="17"/>
        <v>69300</v>
      </c>
      <c r="Q63" s="34">
        <v>13</v>
      </c>
      <c r="R63">
        <f t="shared" si="12"/>
        <v>1483.55</v>
      </c>
    </row>
    <row r="64" spans="1:19" x14ac:dyDescent="0.3">
      <c r="A64" s="34">
        <v>8</v>
      </c>
      <c r="B64" s="35" t="s">
        <v>24</v>
      </c>
      <c r="C64" s="36">
        <v>45836</v>
      </c>
      <c r="D64" s="35">
        <v>20000</v>
      </c>
      <c r="F64" s="35" t="s">
        <v>9</v>
      </c>
      <c r="G64" s="35">
        <f>66.66666666* 60</f>
        <v>3999.9999996000001</v>
      </c>
      <c r="H64" s="13">
        <f t="shared" si="13"/>
        <v>23999.999999600001</v>
      </c>
      <c r="I64" s="13">
        <f>SUMIF(Payments!A:A, B64, Payments!C:C)</f>
        <v>10000</v>
      </c>
      <c r="J64" s="13">
        <f t="shared" si="14"/>
        <v>13999.999999600001</v>
      </c>
      <c r="K64" s="13" t="str">
        <f t="shared" si="15"/>
        <v>Pending</v>
      </c>
      <c r="L64" s="13" t="str">
        <f t="shared" si="16"/>
        <v/>
      </c>
      <c r="M64" s="35">
        <v>400</v>
      </c>
      <c r="O64" s="13">
        <f t="shared" si="11"/>
        <v>1332</v>
      </c>
      <c r="P64" s="10">
        <f t="shared" si="17"/>
        <v>79300</v>
      </c>
      <c r="Q64" s="35">
        <v>20</v>
      </c>
      <c r="R64">
        <f t="shared" si="12"/>
        <v>8668</v>
      </c>
    </row>
    <row r="65" spans="1:18" x14ac:dyDescent="0.3">
      <c r="A65" s="35">
        <v>9</v>
      </c>
      <c r="B65" s="34" t="s">
        <v>39</v>
      </c>
      <c r="C65" s="16">
        <v>45851</v>
      </c>
      <c r="D65" s="10">
        <v>17000</v>
      </c>
      <c r="F65" s="13" t="s">
        <v>9</v>
      </c>
      <c r="G65" s="35">
        <f>30* 100</f>
        <v>3000</v>
      </c>
      <c r="H65" s="13">
        <f>D65 + G65</f>
        <v>20000</v>
      </c>
      <c r="I65" s="13">
        <f>SUMIF(Payments!A:A, B65, Payments!C:C)</f>
        <v>3000</v>
      </c>
      <c r="J65" s="13">
        <f t="shared" si="14"/>
        <v>17000</v>
      </c>
      <c r="K65" s="13" t="str">
        <f t="shared" si="15"/>
        <v>Pending</v>
      </c>
      <c r="L65" s="13" t="str">
        <f t="shared" si="16"/>
        <v/>
      </c>
      <c r="M65" s="13">
        <v>200</v>
      </c>
      <c r="O65" s="13">
        <f>30*Q65</f>
        <v>180</v>
      </c>
      <c r="P65" s="10">
        <f>P64-D65+I65</f>
        <v>65300</v>
      </c>
      <c r="Q65" s="10">
        <v>6</v>
      </c>
      <c r="R65">
        <f t="shared" si="12"/>
        <v>2820</v>
      </c>
    </row>
    <row r="66" spans="1:18" x14ac:dyDescent="0.3">
      <c r="A66" s="34">
        <v>10</v>
      </c>
      <c r="B66" s="35" t="s">
        <v>55</v>
      </c>
      <c r="C66" s="16">
        <v>45856</v>
      </c>
      <c r="D66" s="10">
        <v>10000</v>
      </c>
      <c r="F66" s="13" t="s">
        <v>9</v>
      </c>
      <c r="G66" s="35">
        <f>33.33333333* 60</f>
        <v>1999.9999998000001</v>
      </c>
      <c r="H66" s="13">
        <f>D66 + G66</f>
        <v>11999.9999998</v>
      </c>
      <c r="I66" s="13">
        <f>SUMIF(Payments!A:A, B66, Payments!C:C)</f>
        <v>1200</v>
      </c>
      <c r="J66" s="13">
        <f t="shared" si="14"/>
        <v>10799.9999998</v>
      </c>
      <c r="K66" s="13" t="str">
        <f>IF(J66&lt;=0, "Completed", "Pending")</f>
        <v>Pending</v>
      </c>
      <c r="L66" s="13" t="str">
        <f>IF(K66="Completed", "✔", "")</f>
        <v/>
      </c>
      <c r="M66" s="13">
        <v>200</v>
      </c>
      <c r="O66" s="13">
        <f>ROUND(D66 * 0.00333 * Q66, 2)</f>
        <v>33.299999999999997</v>
      </c>
      <c r="P66" s="10">
        <f>P65-D66+I66</f>
        <v>56500</v>
      </c>
      <c r="Q66" s="10">
        <v>1</v>
      </c>
      <c r="R66">
        <f t="shared" si="12"/>
        <v>1166.7</v>
      </c>
    </row>
    <row r="67" spans="1:18" x14ac:dyDescent="0.3">
      <c r="A67" s="35">
        <v>11</v>
      </c>
      <c r="B67" s="34" t="s">
        <v>56</v>
      </c>
      <c r="C67" s="16">
        <v>45839</v>
      </c>
      <c r="D67" s="10">
        <v>50000</v>
      </c>
      <c r="F67" s="13" t="s">
        <v>9</v>
      </c>
      <c r="G67" s="35">
        <f>166.66666666* 60</f>
        <v>9999.9999996000006</v>
      </c>
      <c r="H67" s="13">
        <f>D67 + G67</f>
        <v>59999.999999599997</v>
      </c>
      <c r="I67" s="13">
        <f>SUMIF(Payments!A:A, B67, Payments!C:C)</f>
        <v>0</v>
      </c>
      <c r="J67" s="13">
        <f t="shared" si="14"/>
        <v>59999.999999599997</v>
      </c>
      <c r="K67" s="13" t="str">
        <f t="shared" ref="K67:K68" si="18">IF(J67&lt;=0, "Completed", "Pending")</f>
        <v>Pending</v>
      </c>
      <c r="L67" s="13" t="str">
        <f t="shared" ref="L67:L68" si="19">IF(K67="Completed", "✔", "")</f>
        <v/>
      </c>
      <c r="M67" s="13">
        <v>1000</v>
      </c>
      <c r="O67" s="13">
        <f t="shared" ref="O67:O68" si="20">ROUND(D67 * 0.00333 * Q67, 2)</f>
        <v>0</v>
      </c>
      <c r="P67" s="10">
        <f>P66-D67+I67</f>
        <v>6500</v>
      </c>
      <c r="R67">
        <f t="shared" si="12"/>
        <v>0</v>
      </c>
    </row>
    <row r="68" spans="1:18" x14ac:dyDescent="0.3">
      <c r="A68" s="34">
        <v>13</v>
      </c>
      <c r="B68" s="35" t="s">
        <v>57</v>
      </c>
      <c r="C68" s="16">
        <v>45858</v>
      </c>
      <c r="D68" s="10">
        <v>8500</v>
      </c>
      <c r="F68" s="13" t="s">
        <v>9</v>
      </c>
      <c r="G68" s="13">
        <f>15* 100</f>
        <v>1500</v>
      </c>
      <c r="H68" s="13">
        <f>D68 + G68</f>
        <v>10000</v>
      </c>
      <c r="I68" s="13">
        <f>SUMIF(Payments!A:A, B68, Payments!C:C)</f>
        <v>600</v>
      </c>
      <c r="J68" s="13">
        <f t="shared" si="14"/>
        <v>9400</v>
      </c>
      <c r="K68" s="13" t="str">
        <f t="shared" si="18"/>
        <v>Pending</v>
      </c>
      <c r="L68" s="13" t="str">
        <f t="shared" si="19"/>
        <v/>
      </c>
      <c r="M68" s="13">
        <v>100</v>
      </c>
      <c r="O68" s="13">
        <f t="shared" si="20"/>
        <v>141.53</v>
      </c>
      <c r="P68" s="10">
        <f>P67-D68+I68</f>
        <v>-1400</v>
      </c>
      <c r="Q68" s="10">
        <v>5</v>
      </c>
      <c r="R68">
        <f t="shared" si="12"/>
        <v>458.47</v>
      </c>
    </row>
    <row r="69" spans="1:18" x14ac:dyDescent="0.3">
      <c r="A69" s="35">
        <v>14</v>
      </c>
      <c r="B69" s="34"/>
      <c r="C69" s="16"/>
      <c r="I69" s="13">
        <f>SUMIF(Payments!A:A, B69, Payments!C:C)</f>
        <v>0</v>
      </c>
      <c r="N69" s="10"/>
      <c r="O69" s="10"/>
      <c r="P69" s="10">
        <f>P68-D69+I69</f>
        <v>-1400</v>
      </c>
      <c r="Q69"/>
      <c r="R69"/>
    </row>
    <row r="70" spans="1:18" x14ac:dyDescent="0.3">
      <c r="A70" s="34">
        <v>15</v>
      </c>
      <c r="B70" s="35" t="s">
        <v>25</v>
      </c>
      <c r="C70" s="36">
        <v>45812</v>
      </c>
      <c r="D70" s="35">
        <v>9500</v>
      </c>
      <c r="F70" s="35" t="s">
        <v>10</v>
      </c>
      <c r="G70" s="35">
        <v>3000</v>
      </c>
      <c r="H70" s="13">
        <f>D70 + G70</f>
        <v>12500</v>
      </c>
      <c r="I70" s="13">
        <f>SUMIF(Payments!A:A, B70, Payments!C:C)</f>
        <v>6000</v>
      </c>
      <c r="J70" s="13">
        <f>H70- I70</f>
        <v>6500</v>
      </c>
      <c r="K70" s="13" t="str">
        <f>IF(J66&lt;=0, "Completed", "Pending")</f>
        <v>Pending</v>
      </c>
      <c r="L70" s="13" t="str">
        <f>IF(K70="Completed", "✔", "")</f>
        <v/>
      </c>
      <c r="N70" s="35">
        <v>1250</v>
      </c>
      <c r="O70" s="35">
        <f>300*Q70</f>
        <v>1500</v>
      </c>
      <c r="P70" s="10">
        <f>P69+I70-I16</f>
        <v>850</v>
      </c>
      <c r="Q70" s="10">
        <v>5</v>
      </c>
      <c r="R70">
        <f>I70 - O70</f>
        <v>4500</v>
      </c>
    </row>
    <row r="71" spans="1:18" x14ac:dyDescent="0.3">
      <c r="A71" s="35">
        <v>16</v>
      </c>
      <c r="B71" s="34" t="s">
        <v>26</v>
      </c>
      <c r="C71" s="47">
        <v>45814</v>
      </c>
      <c r="D71" s="34">
        <v>4750</v>
      </c>
      <c r="F71" s="34" t="s">
        <v>10</v>
      </c>
      <c r="G71" s="34">
        <f>21.4285714285* 70</f>
        <v>1499.9999999950001</v>
      </c>
      <c r="H71" s="13">
        <f t="shared" ref="H71:H75" si="21">D71 + G71</f>
        <v>6249.9999999949996</v>
      </c>
      <c r="I71" s="13">
        <f>SUMIF(Payments!A:A, B71, Payments!C:C)</f>
        <v>2400</v>
      </c>
      <c r="J71" s="13">
        <f t="shared" ref="J71:J75" si="22">H71- I71</f>
        <v>3849.9999999949996</v>
      </c>
      <c r="K71" s="13" t="str">
        <f>IF(J70&lt;=0, "Completed", "Pending")</f>
        <v>Pending</v>
      </c>
      <c r="L71" s="13" t="str">
        <f t="shared" ref="L71:L75" si="23">IF(K71="Completed", "✔", "")</f>
        <v/>
      </c>
      <c r="N71" s="34">
        <v>625</v>
      </c>
      <c r="O71" s="34">
        <f>150*Q71</f>
        <v>600</v>
      </c>
      <c r="P71" s="10">
        <f>P70+I71-I17</f>
        <v>2000</v>
      </c>
      <c r="Q71" s="10">
        <v>4</v>
      </c>
      <c r="R71">
        <f t="shared" ref="R71:R75" si="24">I71 - O71</f>
        <v>1800</v>
      </c>
    </row>
    <row r="72" spans="1:18" x14ac:dyDescent="0.3">
      <c r="A72" s="34">
        <v>17</v>
      </c>
      <c r="B72" s="35" t="s">
        <v>27</v>
      </c>
      <c r="C72" s="36">
        <v>45817</v>
      </c>
      <c r="D72" s="35">
        <v>4750</v>
      </c>
      <c r="F72" s="35" t="s">
        <v>10</v>
      </c>
      <c r="G72" s="35">
        <f>21.4285714285* 70</f>
        <v>1499.9999999950001</v>
      </c>
      <c r="H72" s="13">
        <f t="shared" si="21"/>
        <v>6249.9999999949996</v>
      </c>
      <c r="I72" s="13">
        <f>SUMIF(Payments!A:A, B72, Payments!C:C)</f>
        <v>3100</v>
      </c>
      <c r="J72" s="13">
        <f t="shared" si="22"/>
        <v>3149.9999999949996</v>
      </c>
      <c r="K72" s="13" t="str">
        <f t="shared" ref="K72:K75" si="25">IF(J71&lt;=0, "Completed", "Pending")</f>
        <v>Pending</v>
      </c>
      <c r="L72" s="13" t="str">
        <f t="shared" si="23"/>
        <v/>
      </c>
      <c r="N72" s="35">
        <v>625</v>
      </c>
      <c r="O72" s="35">
        <f>150*Q72</f>
        <v>600</v>
      </c>
      <c r="P72" s="10">
        <f>P71+I72-I18</f>
        <v>3850</v>
      </c>
      <c r="Q72" s="10">
        <v>4</v>
      </c>
      <c r="R72">
        <f t="shared" si="24"/>
        <v>2500</v>
      </c>
    </row>
    <row r="73" spans="1:18" x14ac:dyDescent="0.3">
      <c r="A73" s="35">
        <v>18</v>
      </c>
      <c r="B73" s="34" t="s">
        <v>15</v>
      </c>
      <c r="C73" s="47">
        <v>45818</v>
      </c>
      <c r="D73" s="34">
        <v>9500</v>
      </c>
      <c r="F73" s="34" t="s">
        <v>10</v>
      </c>
      <c r="G73" s="34">
        <f>42.8571428571* 70</f>
        <v>2999.999999997</v>
      </c>
      <c r="H73" s="13">
        <f t="shared" si="21"/>
        <v>12499.999999997</v>
      </c>
      <c r="I73" s="13">
        <f>SUMIF(Payments!A:A, B73, Payments!C:C)</f>
        <v>5000</v>
      </c>
      <c r="J73" s="13">
        <f t="shared" si="22"/>
        <v>7499.9999999970005</v>
      </c>
      <c r="K73" s="13" t="str">
        <f t="shared" si="25"/>
        <v>Pending</v>
      </c>
      <c r="L73" s="13" t="str">
        <f t="shared" si="23"/>
        <v/>
      </c>
      <c r="N73" s="34">
        <v>1250</v>
      </c>
      <c r="O73" s="34">
        <f t="shared" ref="O73" si="26">300*Q73</f>
        <v>1200</v>
      </c>
      <c r="P73" s="10">
        <f>P72+I73-I19</f>
        <v>6350</v>
      </c>
      <c r="Q73" s="10">
        <v>4</v>
      </c>
      <c r="R73">
        <f t="shared" si="24"/>
        <v>3800</v>
      </c>
    </row>
    <row r="74" spans="1:18" x14ac:dyDescent="0.3">
      <c r="A74" s="34">
        <v>19</v>
      </c>
      <c r="B74" s="35" t="s">
        <v>16</v>
      </c>
      <c r="C74" s="36">
        <v>45823</v>
      </c>
      <c r="D74" s="35">
        <v>4750</v>
      </c>
      <c r="F74" s="35" t="s">
        <v>10</v>
      </c>
      <c r="G74" s="35">
        <f>21.4285714285* 70</f>
        <v>1499.9999999950001</v>
      </c>
      <c r="H74" s="13">
        <f t="shared" si="21"/>
        <v>6249.9999999949996</v>
      </c>
      <c r="I74" s="13">
        <f>SUMIF(Payments!A:A, B74, Payments!C:C)</f>
        <v>2500</v>
      </c>
      <c r="J74" s="13">
        <f t="shared" si="22"/>
        <v>3749.9999999949996</v>
      </c>
      <c r="K74" s="13" t="str">
        <f t="shared" si="25"/>
        <v>Pending</v>
      </c>
      <c r="L74" s="13" t="str">
        <f t="shared" si="23"/>
        <v/>
      </c>
      <c r="N74" s="35">
        <v>625</v>
      </c>
      <c r="O74" s="35">
        <f>150*Q74</f>
        <v>600</v>
      </c>
      <c r="P74" s="10">
        <f>P73+I74-I20</f>
        <v>7850</v>
      </c>
      <c r="Q74" s="10">
        <v>4</v>
      </c>
      <c r="R74">
        <f t="shared" si="24"/>
        <v>1900</v>
      </c>
    </row>
    <row r="75" spans="1:18" x14ac:dyDescent="0.3">
      <c r="A75" s="35">
        <v>20</v>
      </c>
      <c r="B75" s="10" t="s">
        <v>40</v>
      </c>
      <c r="C75" s="16">
        <v>45854</v>
      </c>
      <c r="D75" s="10">
        <v>4750</v>
      </c>
      <c r="F75" s="35" t="s">
        <v>10</v>
      </c>
      <c r="G75" s="35">
        <f>21.4285714285* 70</f>
        <v>1499.9999999950001</v>
      </c>
      <c r="H75" s="13">
        <f t="shared" si="21"/>
        <v>6249.9999999949996</v>
      </c>
      <c r="I75" s="13">
        <f>SUMIF(Payments!A:A, B75, Payments!C:C)</f>
        <v>625</v>
      </c>
      <c r="J75" s="13">
        <f t="shared" si="22"/>
        <v>5624.9999999949996</v>
      </c>
      <c r="K75" s="13" t="str">
        <f t="shared" si="25"/>
        <v>Pending</v>
      </c>
      <c r="L75" s="13" t="str">
        <f t="shared" si="23"/>
        <v/>
      </c>
      <c r="N75" s="13">
        <v>625</v>
      </c>
      <c r="O75" s="35">
        <f>150*Q75</f>
        <v>0</v>
      </c>
      <c r="P75" s="10">
        <f>P74-D75+I75+E56</f>
        <v>31450</v>
      </c>
      <c r="Q75" s="10">
        <v>0</v>
      </c>
      <c r="R75">
        <f t="shared" si="24"/>
        <v>625</v>
      </c>
    </row>
    <row r="76" spans="1:18" x14ac:dyDescent="0.3">
      <c r="C76" s="16"/>
      <c r="K76" s="13">
        <f>SUM(J57:J75)</f>
        <v>166774.99999805697</v>
      </c>
      <c r="P76" s="10">
        <f>P75-D76+I76+E57</f>
        <v>31450</v>
      </c>
    </row>
    <row r="77" spans="1:18" x14ac:dyDescent="0.3">
      <c r="C77" s="16"/>
      <c r="D77" s="10">
        <v>90250</v>
      </c>
      <c r="I77" s="13">
        <f>SUM(I57:I75)</f>
        <v>118225</v>
      </c>
    </row>
    <row r="78" spans="1:18" x14ac:dyDescent="0.3">
      <c r="C78" s="16"/>
    </row>
    <row r="79" spans="1:18" x14ac:dyDescent="0.3">
      <c r="C79" s="16"/>
    </row>
    <row r="80" spans="1:18" x14ac:dyDescent="0.3">
      <c r="C80" s="16"/>
    </row>
    <row r="81" spans="1:19" x14ac:dyDescent="0.3">
      <c r="A81" s="58"/>
      <c r="B81" s="58"/>
      <c r="C81" s="59"/>
      <c r="D81" s="58"/>
      <c r="E81" s="58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58"/>
      <c r="Q81" s="58"/>
      <c r="R81" s="61"/>
      <c r="S81" s="62"/>
    </row>
    <row r="82" spans="1:19" x14ac:dyDescent="0.3">
      <c r="A82" s="53"/>
      <c r="B82" s="53"/>
      <c r="C82" s="54"/>
      <c r="D82" s="53"/>
      <c r="E82" s="53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3"/>
      <c r="Q82" s="53"/>
      <c r="R82" s="56"/>
      <c r="S82" s="57"/>
    </row>
    <row r="83" spans="1:19" x14ac:dyDescent="0.3">
      <c r="A83" s="53"/>
      <c r="B83" s="53"/>
      <c r="C83" s="54"/>
      <c r="D83" s="53"/>
      <c r="E83" s="53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3"/>
      <c r="Q83" s="53"/>
      <c r="R83" s="56"/>
      <c r="S83" s="57"/>
    </row>
    <row r="84" spans="1:19" x14ac:dyDescent="0.3">
      <c r="A84" s="53"/>
      <c r="B84" s="53"/>
      <c r="C84" s="54"/>
      <c r="D84" s="53"/>
      <c r="E84" s="53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3"/>
      <c r="Q84" s="53"/>
      <c r="R84" s="56"/>
      <c r="S84" s="57"/>
    </row>
    <row r="85" spans="1:19" x14ac:dyDescent="0.3">
      <c r="A85" s="53"/>
      <c r="B85" s="53"/>
      <c r="C85" s="54"/>
      <c r="D85" s="53"/>
      <c r="E85" s="53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3"/>
      <c r="Q85" s="53"/>
      <c r="R85" s="56"/>
      <c r="S85" s="57"/>
    </row>
    <row r="86" spans="1:19" x14ac:dyDescent="0.3">
      <c r="A86" s="53"/>
      <c r="B86" s="53"/>
      <c r="C86" s="54"/>
      <c r="D86" s="53"/>
      <c r="E86" s="53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3"/>
      <c r="Q86" s="53"/>
      <c r="R86" s="56"/>
      <c r="S86" s="57"/>
    </row>
    <row r="87" spans="1:19" x14ac:dyDescent="0.3">
      <c r="A87" s="53"/>
      <c r="B87" s="53"/>
      <c r="C87" s="54"/>
      <c r="D87" s="53"/>
      <c r="E87" s="53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3"/>
      <c r="Q87" s="53"/>
      <c r="R87" s="56"/>
      <c r="S87" s="57"/>
    </row>
    <row r="88" spans="1:19" x14ac:dyDescent="0.3">
      <c r="A88" s="53"/>
      <c r="B88" s="53"/>
      <c r="C88" s="54"/>
      <c r="D88" s="53"/>
      <c r="E88" s="53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3"/>
      <c r="Q88" s="53"/>
      <c r="R88" s="56"/>
      <c r="S88" s="57"/>
    </row>
    <row r="89" spans="1:19" x14ac:dyDescent="0.3">
      <c r="A89" s="53"/>
      <c r="B89" s="53"/>
      <c r="C89" s="54"/>
      <c r="D89" s="53"/>
      <c r="E89" s="53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3"/>
      <c r="Q89" s="53"/>
      <c r="R89" s="56"/>
      <c r="S89" s="57"/>
    </row>
    <row r="90" spans="1:19" x14ac:dyDescent="0.3">
      <c r="A90" s="53"/>
      <c r="B90" s="53"/>
      <c r="C90" s="54"/>
      <c r="D90" s="53"/>
      <c r="E90" s="53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3"/>
      <c r="Q90" s="53"/>
      <c r="R90" s="56"/>
      <c r="S90" s="57"/>
    </row>
    <row r="91" spans="1:19" x14ac:dyDescent="0.3">
      <c r="A91" s="58"/>
      <c r="B91" s="58"/>
      <c r="C91" s="59"/>
      <c r="D91" s="58"/>
      <c r="E91" s="58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58"/>
      <c r="Q91" s="58"/>
      <c r="R91" s="61"/>
      <c r="S91" s="62"/>
    </row>
    <row r="1048575" spans="16381:16381" x14ac:dyDescent="0.3">
      <c r="XFA1048575" s="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E726-3E2E-407A-9744-C19D23ADEF3E}">
  <sheetPr codeName="Sheet7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DDD2-BD5E-41E5-86E0-A9E2D928BEF7}">
  <sheetPr codeName="Sheet2"/>
  <dimension ref="A1:J213"/>
  <sheetViews>
    <sheetView workbookViewId="0">
      <selection activeCell="J17" sqref="J17"/>
    </sheetView>
  </sheetViews>
  <sheetFormatPr defaultRowHeight="14.4" x14ac:dyDescent="0.3"/>
  <cols>
    <col min="1" max="1" width="16.109375" style="65" customWidth="1"/>
    <col min="2" max="2" width="16.109375" style="68" customWidth="1"/>
    <col min="3" max="3" width="18.5546875" style="63" customWidth="1"/>
    <col min="4" max="4" width="20.21875" style="63" customWidth="1"/>
  </cols>
  <sheetData>
    <row r="1" spans="1:4" x14ac:dyDescent="0.3">
      <c r="A1" s="64" t="s">
        <v>48</v>
      </c>
      <c r="B1" s="66" t="s">
        <v>11</v>
      </c>
      <c r="C1" s="64" t="s">
        <v>60</v>
      </c>
      <c r="D1" s="64" t="s">
        <v>50</v>
      </c>
    </row>
    <row r="2" spans="1:4" x14ac:dyDescent="0.3">
      <c r="A2" t="s">
        <v>61</v>
      </c>
      <c r="B2" s="44">
        <v>45812</v>
      </c>
      <c r="C2" s="63">
        <v>200</v>
      </c>
    </row>
    <row r="3" spans="1:4" x14ac:dyDescent="0.3">
      <c r="A3" t="s">
        <v>61</v>
      </c>
      <c r="B3" s="44">
        <v>45815</v>
      </c>
      <c r="C3" s="63">
        <v>200</v>
      </c>
    </row>
    <row r="4" spans="1:4" x14ac:dyDescent="0.3">
      <c r="A4" t="s">
        <v>61</v>
      </c>
      <c r="B4" s="44">
        <v>45816</v>
      </c>
      <c r="C4" s="63">
        <v>200</v>
      </c>
    </row>
    <row r="5" spans="1:4" x14ac:dyDescent="0.3">
      <c r="A5" t="s">
        <v>61</v>
      </c>
      <c r="B5" s="44">
        <v>45817</v>
      </c>
      <c r="C5" s="63">
        <v>200</v>
      </c>
    </row>
    <row r="6" spans="1:4" x14ac:dyDescent="0.3">
      <c r="A6" t="s">
        <v>61</v>
      </c>
      <c r="B6" s="44">
        <v>45818</v>
      </c>
      <c r="C6" s="63">
        <v>200</v>
      </c>
    </row>
    <row r="7" spans="1:4" x14ac:dyDescent="0.3">
      <c r="A7" t="s">
        <v>61</v>
      </c>
      <c r="B7" s="44">
        <v>45819</v>
      </c>
      <c r="C7" s="63">
        <v>200</v>
      </c>
    </row>
    <row r="8" spans="1:4" x14ac:dyDescent="0.3">
      <c r="A8" t="s">
        <v>61</v>
      </c>
      <c r="B8" s="44">
        <v>45820</v>
      </c>
      <c r="C8" s="63">
        <v>200</v>
      </c>
    </row>
    <row r="9" spans="1:4" x14ac:dyDescent="0.3">
      <c r="A9" t="s">
        <v>61</v>
      </c>
      <c r="B9" s="44">
        <v>45822</v>
      </c>
      <c r="C9" s="63">
        <v>200</v>
      </c>
    </row>
    <row r="10" spans="1:4" x14ac:dyDescent="0.3">
      <c r="A10" t="s">
        <v>61</v>
      </c>
      <c r="B10" s="44">
        <v>45824</v>
      </c>
      <c r="C10" s="63">
        <v>400</v>
      </c>
    </row>
    <row r="11" spans="1:4" x14ac:dyDescent="0.3">
      <c r="A11" t="s">
        <v>61</v>
      </c>
      <c r="B11" s="44">
        <v>45827</v>
      </c>
      <c r="C11" s="63">
        <v>600</v>
      </c>
    </row>
    <row r="12" spans="1:4" x14ac:dyDescent="0.3">
      <c r="A12" t="s">
        <v>61</v>
      </c>
      <c r="B12" s="44">
        <v>45829</v>
      </c>
      <c r="C12" s="63">
        <v>200</v>
      </c>
    </row>
    <row r="13" spans="1:4" x14ac:dyDescent="0.3">
      <c r="A13" t="s">
        <v>61</v>
      </c>
      <c r="B13" s="44">
        <v>45830</v>
      </c>
      <c r="C13" s="63">
        <v>200</v>
      </c>
    </row>
    <row r="14" spans="1:4" x14ac:dyDescent="0.3">
      <c r="A14" t="s">
        <v>61</v>
      </c>
      <c r="B14" s="44">
        <v>45831</v>
      </c>
      <c r="C14" s="63">
        <v>200</v>
      </c>
    </row>
    <row r="15" spans="1:4" x14ac:dyDescent="0.3">
      <c r="A15" t="s">
        <v>61</v>
      </c>
      <c r="B15" s="44">
        <v>45834</v>
      </c>
      <c r="C15" s="63">
        <v>200</v>
      </c>
    </row>
    <row r="16" spans="1:4" x14ac:dyDescent="0.3">
      <c r="A16" t="s">
        <v>61</v>
      </c>
      <c r="B16" s="44">
        <v>45835</v>
      </c>
      <c r="C16" s="63">
        <v>200</v>
      </c>
    </row>
    <row r="17" spans="1:3" x14ac:dyDescent="0.3">
      <c r="A17" t="s">
        <v>61</v>
      </c>
      <c r="B17" s="44">
        <v>45837</v>
      </c>
      <c r="C17" s="63">
        <v>200</v>
      </c>
    </row>
    <row r="18" spans="1:3" x14ac:dyDescent="0.3">
      <c r="B18" s="67"/>
    </row>
    <row r="19" spans="1:3" x14ac:dyDescent="0.3">
      <c r="A19" s="65" t="s">
        <v>13</v>
      </c>
      <c r="B19" s="44">
        <v>45815</v>
      </c>
      <c r="C19" s="63">
        <v>1000</v>
      </c>
    </row>
    <row r="20" spans="1:3" x14ac:dyDescent="0.3">
      <c r="A20" s="65" t="s">
        <v>13</v>
      </c>
      <c r="B20" s="44">
        <v>45823</v>
      </c>
      <c r="C20" s="63">
        <v>1000</v>
      </c>
    </row>
    <row r="21" spans="1:3" x14ac:dyDescent="0.3">
      <c r="A21" s="65" t="s">
        <v>13</v>
      </c>
      <c r="B21" s="44">
        <v>45829</v>
      </c>
      <c r="C21" s="63">
        <v>1000</v>
      </c>
    </row>
    <row r="22" spans="1:3" x14ac:dyDescent="0.3">
      <c r="A22" s="65" t="s">
        <v>13</v>
      </c>
      <c r="B22" s="44">
        <v>45835</v>
      </c>
      <c r="C22" s="63">
        <v>1000</v>
      </c>
    </row>
    <row r="24" spans="1:3" x14ac:dyDescent="0.3">
      <c r="A24" s="10" t="s">
        <v>14</v>
      </c>
      <c r="B24" s="44">
        <v>45812</v>
      </c>
    </row>
    <row r="25" spans="1:3" x14ac:dyDescent="0.3">
      <c r="A25" s="10" t="s">
        <v>14</v>
      </c>
      <c r="B25" s="44">
        <v>45813</v>
      </c>
    </row>
    <row r="26" spans="1:3" x14ac:dyDescent="0.3">
      <c r="A26" s="10" t="s">
        <v>14</v>
      </c>
      <c r="B26" s="44">
        <v>45814</v>
      </c>
    </row>
    <row r="27" spans="1:3" x14ac:dyDescent="0.3">
      <c r="A27" s="10" t="s">
        <v>14</v>
      </c>
      <c r="B27" s="44">
        <v>45815</v>
      </c>
      <c r="C27" s="63">
        <v>400</v>
      </c>
    </row>
    <row r="28" spans="1:3" x14ac:dyDescent="0.3">
      <c r="A28" s="10" t="s">
        <v>14</v>
      </c>
      <c r="B28" s="44">
        <v>45816</v>
      </c>
      <c r="C28" s="63">
        <v>200</v>
      </c>
    </row>
    <row r="29" spans="1:3" x14ac:dyDescent="0.3">
      <c r="A29" s="10" t="s">
        <v>14</v>
      </c>
      <c r="B29" s="44">
        <v>45817</v>
      </c>
      <c r="C29" s="63">
        <v>200</v>
      </c>
    </row>
    <row r="30" spans="1:3" x14ac:dyDescent="0.3">
      <c r="A30" s="10" t="s">
        <v>14</v>
      </c>
      <c r="B30" s="44">
        <v>45818</v>
      </c>
      <c r="C30" s="63">
        <v>200</v>
      </c>
    </row>
    <row r="31" spans="1:3" x14ac:dyDescent="0.3">
      <c r="A31" s="10" t="s">
        <v>14</v>
      </c>
      <c r="B31" s="44">
        <v>45819</v>
      </c>
      <c r="C31" s="63">
        <v>200</v>
      </c>
    </row>
    <row r="32" spans="1:3" x14ac:dyDescent="0.3">
      <c r="A32" s="10" t="s">
        <v>14</v>
      </c>
      <c r="B32" s="44">
        <v>45820</v>
      </c>
      <c r="C32" s="63">
        <v>200</v>
      </c>
    </row>
    <row r="33" spans="1:3" x14ac:dyDescent="0.3">
      <c r="A33" s="10" t="s">
        <v>14</v>
      </c>
      <c r="B33" s="44">
        <v>45821</v>
      </c>
      <c r="C33" s="63">
        <v>200</v>
      </c>
    </row>
    <row r="34" spans="1:3" x14ac:dyDescent="0.3">
      <c r="A34" s="10" t="s">
        <v>14</v>
      </c>
      <c r="B34" s="44">
        <v>45822</v>
      </c>
    </row>
    <row r="35" spans="1:3" x14ac:dyDescent="0.3">
      <c r="A35" s="10" t="s">
        <v>14</v>
      </c>
      <c r="B35" s="44">
        <v>45823</v>
      </c>
      <c r="C35" s="63">
        <v>400</v>
      </c>
    </row>
    <row r="36" spans="1:3" x14ac:dyDescent="0.3">
      <c r="A36" s="10" t="s">
        <v>14</v>
      </c>
      <c r="B36" s="44">
        <v>45824</v>
      </c>
      <c r="C36" s="63">
        <v>200</v>
      </c>
    </row>
    <row r="37" spans="1:3" x14ac:dyDescent="0.3">
      <c r="A37" s="10" t="s">
        <v>14</v>
      </c>
      <c r="B37" s="44">
        <v>45825</v>
      </c>
      <c r="C37" s="63">
        <v>200</v>
      </c>
    </row>
    <row r="38" spans="1:3" x14ac:dyDescent="0.3">
      <c r="A38" s="10" t="s">
        <v>14</v>
      </c>
      <c r="B38" s="44">
        <v>45826</v>
      </c>
      <c r="C38" s="63">
        <v>200</v>
      </c>
    </row>
    <row r="39" spans="1:3" x14ac:dyDescent="0.3">
      <c r="A39" s="10" t="s">
        <v>14</v>
      </c>
      <c r="B39" s="44">
        <v>45827</v>
      </c>
    </row>
    <row r="40" spans="1:3" x14ac:dyDescent="0.3">
      <c r="A40" s="10" t="s">
        <v>14</v>
      </c>
      <c r="B40" s="44">
        <v>45828</v>
      </c>
      <c r="C40" s="63">
        <v>400</v>
      </c>
    </row>
    <row r="41" spans="1:3" x14ac:dyDescent="0.3">
      <c r="A41" s="10" t="s">
        <v>14</v>
      </c>
      <c r="B41" s="44">
        <v>45829</v>
      </c>
    </row>
    <row r="42" spans="1:3" x14ac:dyDescent="0.3">
      <c r="A42" s="10" t="s">
        <v>14</v>
      </c>
      <c r="B42" s="44">
        <v>45830</v>
      </c>
      <c r="C42" s="63">
        <v>400</v>
      </c>
    </row>
    <row r="43" spans="1:3" x14ac:dyDescent="0.3">
      <c r="A43" s="10" t="s">
        <v>14</v>
      </c>
      <c r="B43" s="44">
        <v>45831</v>
      </c>
    </row>
    <row r="44" spans="1:3" x14ac:dyDescent="0.3">
      <c r="A44" s="10" t="s">
        <v>14</v>
      </c>
      <c r="B44" s="44">
        <v>45832</v>
      </c>
      <c r="C44" s="63">
        <v>400</v>
      </c>
    </row>
    <row r="45" spans="1:3" x14ac:dyDescent="0.3">
      <c r="A45" s="10" t="s">
        <v>14</v>
      </c>
      <c r="B45" s="44">
        <v>45833</v>
      </c>
      <c r="C45" s="63">
        <v>200</v>
      </c>
    </row>
    <row r="46" spans="1:3" x14ac:dyDescent="0.3">
      <c r="A46" s="10" t="s">
        <v>14</v>
      </c>
      <c r="B46" s="44">
        <v>45834</v>
      </c>
      <c r="C46" s="63">
        <v>200</v>
      </c>
    </row>
    <row r="47" spans="1:3" x14ac:dyDescent="0.3">
      <c r="A47" s="10" t="s">
        <v>14</v>
      </c>
      <c r="B47" s="44">
        <v>45835</v>
      </c>
    </row>
    <row r="48" spans="1:3" x14ac:dyDescent="0.3">
      <c r="A48" s="10" t="s">
        <v>14</v>
      </c>
      <c r="B48" s="44">
        <v>45836</v>
      </c>
    </row>
    <row r="49" spans="1:3" x14ac:dyDescent="0.3">
      <c r="A49" s="10" t="s">
        <v>14</v>
      </c>
      <c r="B49" s="44">
        <v>45837</v>
      </c>
      <c r="C49" s="63">
        <v>400</v>
      </c>
    </row>
    <row r="50" spans="1:3" x14ac:dyDescent="0.3">
      <c r="A50" s="10" t="s">
        <v>14</v>
      </c>
      <c r="B50" s="44">
        <v>45838</v>
      </c>
    </row>
    <row r="52" spans="1:3" x14ac:dyDescent="0.3">
      <c r="A52" s="10" t="s">
        <v>20</v>
      </c>
      <c r="B52" s="44">
        <v>45824</v>
      </c>
    </row>
    <row r="53" spans="1:3" x14ac:dyDescent="0.3">
      <c r="A53" s="10" t="s">
        <v>20</v>
      </c>
      <c r="B53" s="44">
        <v>45825</v>
      </c>
    </row>
    <row r="54" spans="1:3" x14ac:dyDescent="0.3">
      <c r="A54" s="10" t="s">
        <v>20</v>
      </c>
      <c r="B54" s="44">
        <v>45826</v>
      </c>
    </row>
    <row r="55" spans="1:3" x14ac:dyDescent="0.3">
      <c r="A55" s="10" t="s">
        <v>20</v>
      </c>
      <c r="B55" s="44">
        <v>45827</v>
      </c>
      <c r="C55" s="63">
        <v>2000</v>
      </c>
    </row>
    <row r="56" spans="1:3" x14ac:dyDescent="0.3">
      <c r="A56" s="10" t="s">
        <v>20</v>
      </c>
      <c r="B56" s="44">
        <v>45828</v>
      </c>
      <c r="C56" s="63">
        <v>2000</v>
      </c>
    </row>
    <row r="57" spans="1:3" x14ac:dyDescent="0.3">
      <c r="A57" s="10" t="s">
        <v>20</v>
      </c>
      <c r="B57" s="44">
        <v>45829</v>
      </c>
    </row>
    <row r="58" spans="1:3" x14ac:dyDescent="0.3">
      <c r="A58" s="10" t="s">
        <v>20</v>
      </c>
      <c r="B58" s="44">
        <v>45830</v>
      </c>
      <c r="C58" s="63">
        <v>2000</v>
      </c>
    </row>
    <row r="59" spans="1:3" x14ac:dyDescent="0.3">
      <c r="A59" s="10" t="s">
        <v>20</v>
      </c>
      <c r="B59" s="44">
        <v>45831</v>
      </c>
      <c r="C59" s="63">
        <v>2000</v>
      </c>
    </row>
    <row r="60" spans="1:3" x14ac:dyDescent="0.3">
      <c r="A60" s="10" t="s">
        <v>20</v>
      </c>
      <c r="B60" s="44">
        <v>45832</v>
      </c>
      <c r="C60" s="63">
        <v>2000</v>
      </c>
    </row>
    <row r="61" spans="1:3" x14ac:dyDescent="0.3">
      <c r="A61" s="10" t="s">
        <v>20</v>
      </c>
      <c r="B61" s="44">
        <v>45833</v>
      </c>
    </row>
    <row r="62" spans="1:3" x14ac:dyDescent="0.3">
      <c r="A62" s="10" t="s">
        <v>20</v>
      </c>
      <c r="B62" s="44">
        <v>45834</v>
      </c>
    </row>
    <row r="63" spans="1:3" x14ac:dyDescent="0.3">
      <c r="A63" s="10" t="s">
        <v>20</v>
      </c>
      <c r="B63" s="44">
        <v>45835</v>
      </c>
      <c r="C63" s="63">
        <v>2000</v>
      </c>
    </row>
    <row r="64" spans="1:3" x14ac:dyDescent="0.3">
      <c r="A64" s="10" t="s">
        <v>20</v>
      </c>
      <c r="B64" s="44">
        <v>45836</v>
      </c>
      <c r="C64" s="63">
        <v>1000</v>
      </c>
    </row>
    <row r="65" spans="1:3" x14ac:dyDescent="0.3">
      <c r="A65" s="10" t="s">
        <v>20</v>
      </c>
      <c r="B65" s="44">
        <v>45837</v>
      </c>
      <c r="C65" s="63">
        <v>2000</v>
      </c>
    </row>
    <row r="66" spans="1:3" x14ac:dyDescent="0.3">
      <c r="A66" s="10" t="s">
        <v>20</v>
      </c>
      <c r="B66" s="44">
        <v>45838</v>
      </c>
      <c r="C66" s="63">
        <v>2000</v>
      </c>
    </row>
    <row r="68" spans="1:3" x14ac:dyDescent="0.3">
      <c r="A68" s="10" t="s">
        <v>21</v>
      </c>
      <c r="B68" s="44">
        <v>45831</v>
      </c>
      <c r="C68" s="63">
        <v>100</v>
      </c>
    </row>
    <row r="69" spans="1:3" x14ac:dyDescent="0.3">
      <c r="A69" s="10" t="s">
        <v>21</v>
      </c>
      <c r="B69" s="44">
        <v>45832</v>
      </c>
      <c r="C69" s="63">
        <v>100</v>
      </c>
    </row>
    <row r="70" spans="1:3" x14ac:dyDescent="0.3">
      <c r="A70" s="10" t="s">
        <v>21</v>
      </c>
      <c r="B70" s="44">
        <v>45833</v>
      </c>
      <c r="C70" s="63">
        <v>100</v>
      </c>
    </row>
    <row r="71" spans="1:3" x14ac:dyDescent="0.3">
      <c r="A71" s="10" t="s">
        <v>21</v>
      </c>
      <c r="B71" s="44">
        <v>45834</v>
      </c>
      <c r="C71" s="63">
        <v>100</v>
      </c>
    </row>
    <row r="72" spans="1:3" x14ac:dyDescent="0.3">
      <c r="A72" s="10" t="s">
        <v>21</v>
      </c>
      <c r="B72" s="44">
        <v>45835</v>
      </c>
      <c r="C72" s="63">
        <v>100</v>
      </c>
    </row>
    <row r="73" spans="1:3" x14ac:dyDescent="0.3">
      <c r="A73" s="10" t="s">
        <v>21</v>
      </c>
      <c r="B73" s="44">
        <v>45836</v>
      </c>
      <c r="C73" s="63">
        <v>100</v>
      </c>
    </row>
    <row r="74" spans="1:3" x14ac:dyDescent="0.3">
      <c r="A74" s="10" t="s">
        <v>21</v>
      </c>
      <c r="B74" s="44">
        <v>45837</v>
      </c>
      <c r="C74" s="63">
        <v>100</v>
      </c>
    </row>
    <row r="75" spans="1:3" x14ac:dyDescent="0.3">
      <c r="A75" s="10" t="s">
        <v>21</v>
      </c>
      <c r="B75" s="44">
        <v>45838</v>
      </c>
    </row>
    <row r="77" spans="1:3" x14ac:dyDescent="0.3">
      <c r="A77" s="10" t="s">
        <v>22</v>
      </c>
      <c r="B77" s="44">
        <v>45833</v>
      </c>
      <c r="C77" s="63">
        <v>100</v>
      </c>
    </row>
    <row r="78" spans="1:3" x14ac:dyDescent="0.3">
      <c r="A78" s="10" t="s">
        <v>22</v>
      </c>
      <c r="B78" s="44">
        <v>45834</v>
      </c>
      <c r="C78" s="63">
        <v>100</v>
      </c>
    </row>
    <row r="79" spans="1:3" x14ac:dyDescent="0.3">
      <c r="A79" s="10" t="s">
        <v>22</v>
      </c>
      <c r="B79" s="44">
        <v>45835</v>
      </c>
      <c r="C79" s="63">
        <v>100</v>
      </c>
    </row>
    <row r="80" spans="1:3" x14ac:dyDescent="0.3">
      <c r="A80" s="10" t="s">
        <v>22</v>
      </c>
      <c r="B80" s="44">
        <v>45836</v>
      </c>
      <c r="C80" s="63">
        <v>100</v>
      </c>
    </row>
    <row r="81" spans="1:3" x14ac:dyDescent="0.3">
      <c r="A81" s="10" t="s">
        <v>22</v>
      </c>
      <c r="B81" s="44">
        <v>45837</v>
      </c>
      <c r="C81" s="63">
        <v>100</v>
      </c>
    </row>
    <row r="82" spans="1:3" x14ac:dyDescent="0.3">
      <c r="A82" s="10" t="s">
        <v>22</v>
      </c>
      <c r="B82" s="44">
        <v>45838</v>
      </c>
      <c r="C82" s="63">
        <v>100</v>
      </c>
    </row>
    <row r="84" spans="1:3" x14ac:dyDescent="0.3">
      <c r="A84" s="10" t="s">
        <v>23</v>
      </c>
      <c r="B84" s="44">
        <v>45836</v>
      </c>
      <c r="C84" s="63">
        <v>100</v>
      </c>
    </row>
    <row r="85" spans="1:3" x14ac:dyDescent="0.3">
      <c r="A85" s="10" t="s">
        <v>23</v>
      </c>
      <c r="B85" s="44">
        <v>45837</v>
      </c>
    </row>
    <row r="86" spans="1:3" x14ac:dyDescent="0.3">
      <c r="A86" s="10" t="s">
        <v>23</v>
      </c>
      <c r="B86" s="44">
        <v>45838</v>
      </c>
      <c r="C86" s="63">
        <v>200</v>
      </c>
    </row>
    <row r="88" spans="1:3" x14ac:dyDescent="0.3">
      <c r="A88" s="10" t="s">
        <v>24</v>
      </c>
      <c r="B88" s="44">
        <v>45836</v>
      </c>
      <c r="C88" s="63">
        <v>0</v>
      </c>
    </row>
    <row r="90" spans="1:3" x14ac:dyDescent="0.3">
      <c r="A90" s="10" t="s">
        <v>25</v>
      </c>
      <c r="B90" s="16">
        <v>45853</v>
      </c>
      <c r="C90" s="63">
        <v>1250</v>
      </c>
    </row>
    <row r="91" spans="1:3" x14ac:dyDescent="0.3">
      <c r="A91" s="10" t="s">
        <v>25</v>
      </c>
      <c r="B91" s="16">
        <v>45857</v>
      </c>
      <c r="C91" s="63">
        <v>1250</v>
      </c>
    </row>
    <row r="92" spans="1:3" x14ac:dyDescent="0.3">
      <c r="A92" s="10" t="s">
        <v>25</v>
      </c>
      <c r="B92" s="16">
        <v>45868</v>
      </c>
      <c r="C92" s="63">
        <v>1250</v>
      </c>
    </row>
    <row r="94" spans="1:3" x14ac:dyDescent="0.3">
      <c r="A94" s="10" t="s">
        <v>26</v>
      </c>
      <c r="B94" s="16">
        <v>45825</v>
      </c>
      <c r="C94" s="63">
        <v>625</v>
      </c>
    </row>
    <row r="95" spans="1:3" x14ac:dyDescent="0.3">
      <c r="A95" s="10" t="s">
        <v>26</v>
      </c>
      <c r="B95" s="16">
        <v>45831</v>
      </c>
      <c r="C95" s="63">
        <v>625</v>
      </c>
    </row>
    <row r="97" spans="1:10" x14ac:dyDescent="0.3">
      <c r="A97" s="10" t="s">
        <v>27</v>
      </c>
      <c r="B97" s="16">
        <v>45826</v>
      </c>
      <c r="C97" s="63">
        <v>625</v>
      </c>
    </row>
    <row r="98" spans="1:10" x14ac:dyDescent="0.3">
      <c r="A98" s="10" t="s">
        <v>27</v>
      </c>
      <c r="B98" s="16">
        <v>45833</v>
      </c>
      <c r="C98" s="63">
        <v>625</v>
      </c>
    </row>
    <row r="100" spans="1:10" x14ac:dyDescent="0.3">
      <c r="A100" s="10" t="s">
        <v>15</v>
      </c>
      <c r="B100" s="16">
        <v>45825</v>
      </c>
      <c r="C100" s="63">
        <v>1250</v>
      </c>
    </row>
    <row r="101" spans="1:10" x14ac:dyDescent="0.3">
      <c r="A101" s="10" t="s">
        <v>15</v>
      </c>
      <c r="B101" s="16">
        <v>45832</v>
      </c>
      <c r="C101" s="63">
        <v>1250</v>
      </c>
    </row>
    <row r="103" spans="1:10" x14ac:dyDescent="0.3">
      <c r="A103" s="10" t="s">
        <v>16</v>
      </c>
      <c r="B103" s="16">
        <v>45832</v>
      </c>
      <c r="C103" s="63">
        <v>625</v>
      </c>
    </row>
    <row r="104" spans="1:10" x14ac:dyDescent="0.3">
      <c r="A104" s="10" t="s">
        <v>16</v>
      </c>
      <c r="B104" s="16">
        <v>45832</v>
      </c>
      <c r="C104" s="63">
        <v>375</v>
      </c>
    </row>
    <row r="107" spans="1:10" x14ac:dyDescent="0.3">
      <c r="J107" s="70" t="s">
        <v>61</v>
      </c>
    </row>
    <row r="108" spans="1:10" x14ac:dyDescent="0.3">
      <c r="J108" s="71" t="s">
        <v>61</v>
      </c>
    </row>
    <row r="109" spans="1:10" x14ac:dyDescent="0.3">
      <c r="J109" s="70" t="s">
        <v>61</v>
      </c>
    </row>
    <row r="110" spans="1:10" x14ac:dyDescent="0.3">
      <c r="J110" s="71" t="s">
        <v>61</v>
      </c>
    </row>
    <row r="111" spans="1:10" x14ac:dyDescent="0.3">
      <c r="J111" s="70" t="s">
        <v>61</v>
      </c>
    </row>
    <row r="112" spans="1:10" x14ac:dyDescent="0.3">
      <c r="J112" s="71" t="s">
        <v>61</v>
      </c>
    </row>
    <row r="113" spans="10:10" x14ac:dyDescent="0.3">
      <c r="J113" s="70" t="s">
        <v>61</v>
      </c>
    </row>
    <row r="114" spans="10:10" x14ac:dyDescent="0.3">
      <c r="J114" s="71" t="s">
        <v>61</v>
      </c>
    </row>
    <row r="115" spans="10:10" x14ac:dyDescent="0.3">
      <c r="J115" s="70" t="s">
        <v>61</v>
      </c>
    </row>
    <row r="116" spans="10:10" x14ac:dyDescent="0.3">
      <c r="J116" s="71" t="s">
        <v>61</v>
      </c>
    </row>
    <row r="117" spans="10:10" x14ac:dyDescent="0.3">
      <c r="J117" s="70" t="s">
        <v>61</v>
      </c>
    </row>
    <row r="118" spans="10:10" x14ac:dyDescent="0.3">
      <c r="J118" s="71" t="s">
        <v>61</v>
      </c>
    </row>
    <row r="119" spans="10:10" x14ac:dyDescent="0.3">
      <c r="J119" s="70" t="s">
        <v>61</v>
      </c>
    </row>
    <row r="120" spans="10:10" x14ac:dyDescent="0.3">
      <c r="J120" s="71" t="s">
        <v>61</v>
      </c>
    </row>
    <row r="121" spans="10:10" x14ac:dyDescent="0.3">
      <c r="J121" s="70" t="s">
        <v>61</v>
      </c>
    </row>
    <row r="122" spans="10:10" x14ac:dyDescent="0.3">
      <c r="J122" s="71" t="s">
        <v>61</v>
      </c>
    </row>
    <row r="123" spans="10:10" x14ac:dyDescent="0.3">
      <c r="J123" s="72"/>
    </row>
    <row r="124" spans="10:10" x14ac:dyDescent="0.3">
      <c r="J124" s="73" t="s">
        <v>13</v>
      </c>
    </row>
    <row r="125" spans="10:10" x14ac:dyDescent="0.3">
      <c r="J125" s="72" t="s">
        <v>13</v>
      </c>
    </row>
    <row r="126" spans="10:10" x14ac:dyDescent="0.3">
      <c r="J126" s="73" t="s">
        <v>13</v>
      </c>
    </row>
    <row r="127" spans="10:10" x14ac:dyDescent="0.3">
      <c r="J127" s="72" t="s">
        <v>13</v>
      </c>
    </row>
    <row r="128" spans="10:10" x14ac:dyDescent="0.3">
      <c r="J128" s="73"/>
    </row>
    <row r="129" spans="10:10" x14ac:dyDescent="0.3">
      <c r="J129" s="74" t="s">
        <v>14</v>
      </c>
    </row>
    <row r="130" spans="10:10" x14ac:dyDescent="0.3">
      <c r="J130" s="75" t="s">
        <v>14</v>
      </c>
    </row>
    <row r="131" spans="10:10" x14ac:dyDescent="0.3">
      <c r="J131" s="74" t="s">
        <v>14</v>
      </c>
    </row>
    <row r="132" spans="10:10" x14ac:dyDescent="0.3">
      <c r="J132" s="75" t="s">
        <v>14</v>
      </c>
    </row>
    <row r="133" spans="10:10" x14ac:dyDescent="0.3">
      <c r="J133" s="74" t="s">
        <v>14</v>
      </c>
    </row>
    <row r="134" spans="10:10" x14ac:dyDescent="0.3">
      <c r="J134" s="75" t="s">
        <v>14</v>
      </c>
    </row>
    <row r="135" spans="10:10" x14ac:dyDescent="0.3">
      <c r="J135" s="74" t="s">
        <v>14</v>
      </c>
    </row>
    <row r="136" spans="10:10" x14ac:dyDescent="0.3">
      <c r="J136" s="75" t="s">
        <v>14</v>
      </c>
    </row>
    <row r="137" spans="10:10" x14ac:dyDescent="0.3">
      <c r="J137" s="74" t="s">
        <v>14</v>
      </c>
    </row>
    <row r="138" spans="10:10" x14ac:dyDescent="0.3">
      <c r="J138" s="75" t="s">
        <v>14</v>
      </c>
    </row>
    <row r="139" spans="10:10" x14ac:dyDescent="0.3">
      <c r="J139" s="74" t="s">
        <v>14</v>
      </c>
    </row>
    <row r="140" spans="10:10" x14ac:dyDescent="0.3">
      <c r="J140" s="75" t="s">
        <v>14</v>
      </c>
    </row>
    <row r="141" spans="10:10" x14ac:dyDescent="0.3">
      <c r="J141" s="74" t="s">
        <v>14</v>
      </c>
    </row>
    <row r="142" spans="10:10" x14ac:dyDescent="0.3">
      <c r="J142" s="75" t="s">
        <v>14</v>
      </c>
    </row>
    <row r="143" spans="10:10" x14ac:dyDescent="0.3">
      <c r="J143" s="74" t="s">
        <v>14</v>
      </c>
    </row>
    <row r="144" spans="10:10" x14ac:dyDescent="0.3">
      <c r="J144" s="75" t="s">
        <v>14</v>
      </c>
    </row>
    <row r="145" spans="10:10" x14ac:dyDescent="0.3">
      <c r="J145" s="74" t="s">
        <v>14</v>
      </c>
    </row>
    <row r="146" spans="10:10" x14ac:dyDescent="0.3">
      <c r="J146" s="75" t="s">
        <v>14</v>
      </c>
    </row>
    <row r="147" spans="10:10" x14ac:dyDescent="0.3">
      <c r="J147" s="74" t="s">
        <v>14</v>
      </c>
    </row>
    <row r="148" spans="10:10" x14ac:dyDescent="0.3">
      <c r="J148" s="75" t="s">
        <v>14</v>
      </c>
    </row>
    <row r="149" spans="10:10" x14ac:dyDescent="0.3">
      <c r="J149" s="74" t="s">
        <v>14</v>
      </c>
    </row>
    <row r="150" spans="10:10" x14ac:dyDescent="0.3">
      <c r="J150" s="75" t="s">
        <v>14</v>
      </c>
    </row>
    <row r="151" spans="10:10" x14ac:dyDescent="0.3">
      <c r="J151" s="74" t="s">
        <v>14</v>
      </c>
    </row>
    <row r="152" spans="10:10" x14ac:dyDescent="0.3">
      <c r="J152" s="75" t="s">
        <v>14</v>
      </c>
    </row>
    <row r="153" spans="10:10" x14ac:dyDescent="0.3">
      <c r="J153" s="74" t="s">
        <v>14</v>
      </c>
    </row>
    <row r="154" spans="10:10" x14ac:dyDescent="0.3">
      <c r="J154" s="75" t="s">
        <v>14</v>
      </c>
    </row>
    <row r="155" spans="10:10" x14ac:dyDescent="0.3">
      <c r="J155" s="74" t="s">
        <v>14</v>
      </c>
    </row>
    <row r="156" spans="10:10" x14ac:dyDescent="0.3">
      <c r="J156" s="73"/>
    </row>
    <row r="157" spans="10:10" x14ac:dyDescent="0.3">
      <c r="J157" s="74" t="s">
        <v>20</v>
      </c>
    </row>
    <row r="158" spans="10:10" x14ac:dyDescent="0.3">
      <c r="J158" s="75" t="s">
        <v>20</v>
      </c>
    </row>
    <row r="159" spans="10:10" x14ac:dyDescent="0.3">
      <c r="J159" s="74" t="s">
        <v>20</v>
      </c>
    </row>
    <row r="160" spans="10:10" x14ac:dyDescent="0.3">
      <c r="J160" s="75" t="s">
        <v>20</v>
      </c>
    </row>
    <row r="161" spans="10:10" x14ac:dyDescent="0.3">
      <c r="J161" s="74" t="s">
        <v>20</v>
      </c>
    </row>
    <row r="162" spans="10:10" x14ac:dyDescent="0.3">
      <c r="J162" s="75" t="s">
        <v>20</v>
      </c>
    </row>
    <row r="163" spans="10:10" x14ac:dyDescent="0.3">
      <c r="J163" s="74" t="s">
        <v>20</v>
      </c>
    </row>
    <row r="164" spans="10:10" x14ac:dyDescent="0.3">
      <c r="J164" s="75" t="s">
        <v>20</v>
      </c>
    </row>
    <row r="165" spans="10:10" x14ac:dyDescent="0.3">
      <c r="J165" s="74" t="s">
        <v>20</v>
      </c>
    </row>
    <row r="166" spans="10:10" x14ac:dyDescent="0.3">
      <c r="J166" s="75" t="s">
        <v>20</v>
      </c>
    </row>
    <row r="167" spans="10:10" x14ac:dyDescent="0.3">
      <c r="J167" s="74" t="s">
        <v>20</v>
      </c>
    </row>
    <row r="168" spans="10:10" x14ac:dyDescent="0.3">
      <c r="J168" s="75" t="s">
        <v>20</v>
      </c>
    </row>
    <row r="169" spans="10:10" x14ac:dyDescent="0.3">
      <c r="J169" s="74" t="s">
        <v>20</v>
      </c>
    </row>
    <row r="170" spans="10:10" x14ac:dyDescent="0.3">
      <c r="J170" s="75" t="s">
        <v>20</v>
      </c>
    </row>
    <row r="171" spans="10:10" x14ac:dyDescent="0.3">
      <c r="J171" s="74" t="s">
        <v>20</v>
      </c>
    </row>
    <row r="172" spans="10:10" x14ac:dyDescent="0.3">
      <c r="J172" s="73"/>
    </row>
    <row r="173" spans="10:10" x14ac:dyDescent="0.3">
      <c r="J173" s="74" t="s">
        <v>21</v>
      </c>
    </row>
    <row r="174" spans="10:10" x14ac:dyDescent="0.3">
      <c r="J174" s="75" t="s">
        <v>21</v>
      </c>
    </row>
    <row r="175" spans="10:10" x14ac:dyDescent="0.3">
      <c r="J175" s="74" t="s">
        <v>21</v>
      </c>
    </row>
    <row r="176" spans="10:10" x14ac:dyDescent="0.3">
      <c r="J176" s="75" t="s">
        <v>21</v>
      </c>
    </row>
    <row r="177" spans="10:10" x14ac:dyDescent="0.3">
      <c r="J177" s="74" t="s">
        <v>21</v>
      </c>
    </row>
    <row r="178" spans="10:10" x14ac:dyDescent="0.3">
      <c r="J178" s="75" t="s">
        <v>21</v>
      </c>
    </row>
    <row r="179" spans="10:10" x14ac:dyDescent="0.3">
      <c r="J179" s="74" t="s">
        <v>21</v>
      </c>
    </row>
    <row r="180" spans="10:10" x14ac:dyDescent="0.3">
      <c r="J180" s="75" t="s">
        <v>21</v>
      </c>
    </row>
    <row r="181" spans="10:10" x14ac:dyDescent="0.3">
      <c r="J181" s="72"/>
    </row>
    <row r="182" spans="10:10" x14ac:dyDescent="0.3">
      <c r="J182" s="75" t="s">
        <v>22</v>
      </c>
    </row>
    <row r="183" spans="10:10" x14ac:dyDescent="0.3">
      <c r="J183" s="74" t="s">
        <v>22</v>
      </c>
    </row>
    <row r="184" spans="10:10" x14ac:dyDescent="0.3">
      <c r="J184" s="75" t="s">
        <v>22</v>
      </c>
    </row>
    <row r="185" spans="10:10" x14ac:dyDescent="0.3">
      <c r="J185" s="74" t="s">
        <v>22</v>
      </c>
    </row>
    <row r="186" spans="10:10" x14ac:dyDescent="0.3">
      <c r="J186" s="75" t="s">
        <v>22</v>
      </c>
    </row>
    <row r="187" spans="10:10" x14ac:dyDescent="0.3">
      <c r="J187" s="74" t="s">
        <v>22</v>
      </c>
    </row>
    <row r="188" spans="10:10" x14ac:dyDescent="0.3">
      <c r="J188" s="73"/>
    </row>
    <row r="189" spans="10:10" x14ac:dyDescent="0.3">
      <c r="J189" s="74" t="s">
        <v>23</v>
      </c>
    </row>
    <row r="190" spans="10:10" x14ac:dyDescent="0.3">
      <c r="J190" s="75" t="s">
        <v>23</v>
      </c>
    </row>
    <row r="191" spans="10:10" x14ac:dyDescent="0.3">
      <c r="J191" s="74" t="s">
        <v>23</v>
      </c>
    </row>
    <row r="192" spans="10:10" x14ac:dyDescent="0.3">
      <c r="J192" s="73"/>
    </row>
    <row r="193" spans="10:10" x14ac:dyDescent="0.3">
      <c r="J193" s="74" t="s">
        <v>24</v>
      </c>
    </row>
    <row r="194" spans="10:10" x14ac:dyDescent="0.3">
      <c r="J194" s="73"/>
    </row>
    <row r="195" spans="10:10" x14ac:dyDescent="0.3">
      <c r="J195" s="74" t="s">
        <v>25</v>
      </c>
    </row>
    <row r="196" spans="10:10" x14ac:dyDescent="0.3">
      <c r="J196" s="75" t="s">
        <v>25</v>
      </c>
    </row>
    <row r="197" spans="10:10" x14ac:dyDescent="0.3">
      <c r="J197" s="74" t="s">
        <v>25</v>
      </c>
    </row>
    <row r="198" spans="10:10" x14ac:dyDescent="0.3">
      <c r="J198" s="73"/>
    </row>
    <row r="199" spans="10:10" x14ac:dyDescent="0.3">
      <c r="J199" s="74" t="s">
        <v>26</v>
      </c>
    </row>
    <row r="200" spans="10:10" x14ac:dyDescent="0.3">
      <c r="J200" s="75" t="s">
        <v>26</v>
      </c>
    </row>
    <row r="201" spans="10:10" x14ac:dyDescent="0.3">
      <c r="J201" s="72"/>
    </row>
    <row r="202" spans="10:10" x14ac:dyDescent="0.3">
      <c r="J202" s="75" t="s">
        <v>27</v>
      </c>
    </row>
    <row r="203" spans="10:10" x14ac:dyDescent="0.3">
      <c r="J203" s="74" t="s">
        <v>27</v>
      </c>
    </row>
    <row r="204" spans="10:10" x14ac:dyDescent="0.3">
      <c r="J204" s="73"/>
    </row>
    <row r="205" spans="10:10" x14ac:dyDescent="0.3">
      <c r="J205" s="74" t="s">
        <v>15</v>
      </c>
    </row>
    <row r="206" spans="10:10" x14ac:dyDescent="0.3">
      <c r="J206" s="75" t="s">
        <v>15</v>
      </c>
    </row>
    <row r="207" spans="10:10" x14ac:dyDescent="0.3">
      <c r="J207" s="72"/>
    </row>
    <row r="208" spans="10:10" x14ac:dyDescent="0.3">
      <c r="J208" s="75" t="s">
        <v>16</v>
      </c>
    </row>
    <row r="209" spans="10:10" x14ac:dyDescent="0.3">
      <c r="J209" s="74" t="s">
        <v>16</v>
      </c>
    </row>
    <row r="210" spans="10:10" x14ac:dyDescent="0.3">
      <c r="J210" s="73"/>
    </row>
    <row r="211" spans="10:10" x14ac:dyDescent="0.3">
      <c r="J211" s="72"/>
    </row>
    <row r="212" spans="10:10" x14ac:dyDescent="0.3">
      <c r="J212" s="73"/>
    </row>
    <row r="213" spans="10:10" x14ac:dyDescent="0.3">
      <c r="J213" s="7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A7CEAE5-1239-460B-972C-78AF3A027971}">
          <x14:formula1>
            <xm:f>Accounts!$B$2:$B$5000</xm:f>
          </x14:formula1>
          <xm:sqref>A2:A17 J107:J122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D118"/>
  <sheetViews>
    <sheetView zoomScale="92" workbookViewId="0">
      <selection activeCell="B2" sqref="B2"/>
    </sheetView>
  </sheetViews>
  <sheetFormatPr defaultRowHeight="14.4" x14ac:dyDescent="0.3"/>
  <cols>
    <col min="1" max="1" width="18.88671875" style="7" customWidth="1"/>
    <col min="2" max="2" width="18.44140625" style="7" customWidth="1"/>
    <col min="3" max="3" width="8.88671875" style="7"/>
    <col min="4" max="4" width="26.77734375" style="7" customWidth="1"/>
  </cols>
  <sheetData>
    <row r="1" spans="1:4" x14ac:dyDescent="0.3">
      <c r="A1" s="7" t="s">
        <v>48</v>
      </c>
      <c r="B1" s="7" t="s">
        <v>11</v>
      </c>
      <c r="C1" s="7" t="s">
        <v>49</v>
      </c>
      <c r="D1" s="7" t="s">
        <v>50</v>
      </c>
    </row>
    <row r="2" spans="1:4" x14ac:dyDescent="0.3">
      <c r="A2" s="45" t="s">
        <v>19</v>
      </c>
      <c r="B2" s="44">
        <v>45839</v>
      </c>
      <c r="C2" s="7">
        <v>200</v>
      </c>
      <c r="D2" s="7" t="s">
        <v>51</v>
      </c>
    </row>
    <row r="3" spans="1:4" x14ac:dyDescent="0.3">
      <c r="A3" s="45" t="s">
        <v>19</v>
      </c>
      <c r="B3" s="44">
        <v>45840</v>
      </c>
      <c r="C3" s="7">
        <v>200</v>
      </c>
      <c r="D3" s="7" t="s">
        <v>51</v>
      </c>
    </row>
    <row r="4" spans="1:4" x14ac:dyDescent="0.3">
      <c r="A4" s="45" t="s">
        <v>19</v>
      </c>
      <c r="B4" s="44">
        <v>45842</v>
      </c>
      <c r="C4" s="7">
        <v>200</v>
      </c>
      <c r="D4" s="7" t="s">
        <v>51</v>
      </c>
    </row>
    <row r="5" spans="1:4" x14ac:dyDescent="0.3">
      <c r="A5" s="45" t="s">
        <v>19</v>
      </c>
      <c r="B5" s="44">
        <v>45843</v>
      </c>
      <c r="C5" s="7">
        <v>200</v>
      </c>
      <c r="D5" s="7" t="s">
        <v>51</v>
      </c>
    </row>
    <row r="6" spans="1:4" x14ac:dyDescent="0.3">
      <c r="A6" s="45" t="s">
        <v>19</v>
      </c>
      <c r="B6" s="44">
        <v>45844</v>
      </c>
      <c r="C6" s="7">
        <v>200</v>
      </c>
      <c r="D6" s="7" t="s">
        <v>51</v>
      </c>
    </row>
    <row r="7" spans="1:4" x14ac:dyDescent="0.3">
      <c r="A7" s="45" t="s">
        <v>19</v>
      </c>
      <c r="B7" s="44">
        <v>45847</v>
      </c>
      <c r="C7" s="7">
        <v>400</v>
      </c>
      <c r="D7" s="7" t="s">
        <v>51</v>
      </c>
    </row>
    <row r="8" spans="1:4" x14ac:dyDescent="0.3">
      <c r="A8" s="45" t="s">
        <v>19</v>
      </c>
      <c r="B8" s="44">
        <v>45849</v>
      </c>
      <c r="C8" s="7">
        <v>200</v>
      </c>
      <c r="D8" s="7" t="s">
        <v>51</v>
      </c>
    </row>
    <row r="9" spans="1:4" x14ac:dyDescent="0.3">
      <c r="A9" s="45" t="s">
        <v>19</v>
      </c>
      <c r="B9" s="44">
        <v>45853</v>
      </c>
      <c r="C9" s="7">
        <v>400</v>
      </c>
      <c r="D9" s="7" t="s">
        <v>51</v>
      </c>
    </row>
    <row r="10" spans="1:4" x14ac:dyDescent="0.3">
      <c r="A10" s="45" t="s">
        <v>19</v>
      </c>
      <c r="B10" s="44">
        <v>45856</v>
      </c>
      <c r="C10" s="7">
        <v>400</v>
      </c>
      <c r="D10" s="7" t="s">
        <v>51</v>
      </c>
    </row>
    <row r="11" spans="1:4" x14ac:dyDescent="0.3">
      <c r="A11" s="45" t="s">
        <v>19</v>
      </c>
      <c r="B11" s="44">
        <v>45857</v>
      </c>
      <c r="C11" s="7">
        <v>200</v>
      </c>
      <c r="D11" s="7" t="s">
        <v>51</v>
      </c>
    </row>
    <row r="12" spans="1:4" x14ac:dyDescent="0.3">
      <c r="A12" s="45" t="s">
        <v>19</v>
      </c>
      <c r="B12" s="44">
        <v>45860</v>
      </c>
      <c r="C12" s="7">
        <v>400</v>
      </c>
      <c r="D12" s="7" t="s">
        <v>51</v>
      </c>
    </row>
    <row r="13" spans="1:4" x14ac:dyDescent="0.3">
      <c r="A13" s="45" t="s">
        <v>19</v>
      </c>
      <c r="B13" s="44">
        <v>45862</v>
      </c>
      <c r="C13" s="7">
        <v>400</v>
      </c>
      <c r="D13" s="7" t="s">
        <v>51</v>
      </c>
    </row>
    <row r="14" spans="1:4" x14ac:dyDescent="0.3">
      <c r="A14" s="45" t="s">
        <v>19</v>
      </c>
      <c r="B14" s="44">
        <v>45837</v>
      </c>
      <c r="C14" s="7">
        <v>3800</v>
      </c>
      <c r="D14" s="7" t="s">
        <v>51</v>
      </c>
    </row>
    <row r="15" spans="1:4" x14ac:dyDescent="0.3">
      <c r="A15" s="46" t="s">
        <v>13</v>
      </c>
      <c r="B15" s="44">
        <v>45835</v>
      </c>
      <c r="C15" s="7">
        <v>4000</v>
      </c>
      <c r="D15" s="7" t="s">
        <v>51</v>
      </c>
    </row>
    <row r="16" spans="1:4" x14ac:dyDescent="0.3">
      <c r="A16" s="46" t="s">
        <v>13</v>
      </c>
      <c r="B16" s="44">
        <v>45842</v>
      </c>
      <c r="C16" s="7">
        <v>1000</v>
      </c>
      <c r="D16" s="7" t="s">
        <v>51</v>
      </c>
    </row>
    <row r="17" spans="1:4" x14ac:dyDescent="0.3">
      <c r="A17" s="46" t="s">
        <v>13</v>
      </c>
      <c r="B17" s="44">
        <v>45860</v>
      </c>
      <c r="C17" s="7">
        <v>1500</v>
      </c>
      <c r="D17" s="7" t="s">
        <v>51</v>
      </c>
    </row>
    <row r="18" spans="1:4" x14ac:dyDescent="0.3">
      <c r="A18" s="45" t="s">
        <v>14</v>
      </c>
      <c r="B18" s="44">
        <v>45837</v>
      </c>
      <c r="C18" s="7">
        <v>4600</v>
      </c>
      <c r="D18" s="7" t="s">
        <v>51</v>
      </c>
    </row>
    <row r="19" spans="1:4" x14ac:dyDescent="0.3">
      <c r="A19" s="45" t="s">
        <v>14</v>
      </c>
      <c r="B19" s="44">
        <v>45840</v>
      </c>
      <c r="C19" s="7">
        <v>200</v>
      </c>
      <c r="D19" s="7" t="s">
        <v>51</v>
      </c>
    </row>
    <row r="20" spans="1:4" x14ac:dyDescent="0.3">
      <c r="A20" s="45" t="s">
        <v>14</v>
      </c>
      <c r="B20" s="44">
        <v>45842</v>
      </c>
      <c r="C20" s="7">
        <v>400</v>
      </c>
      <c r="D20" s="7" t="s">
        <v>51</v>
      </c>
    </row>
    <row r="21" spans="1:4" x14ac:dyDescent="0.3">
      <c r="A21" s="45" t="s">
        <v>14</v>
      </c>
      <c r="B21" s="44">
        <v>45843</v>
      </c>
      <c r="C21" s="7">
        <v>200</v>
      </c>
      <c r="D21" s="7" t="s">
        <v>51</v>
      </c>
    </row>
    <row r="22" spans="1:4" x14ac:dyDescent="0.3">
      <c r="A22" s="45" t="s">
        <v>14</v>
      </c>
      <c r="B22" s="44">
        <v>45844</v>
      </c>
      <c r="C22" s="7">
        <v>200</v>
      </c>
      <c r="D22" s="7" t="s">
        <v>51</v>
      </c>
    </row>
    <row r="23" spans="1:4" x14ac:dyDescent="0.3">
      <c r="A23" s="45" t="s">
        <v>14</v>
      </c>
      <c r="B23" s="44">
        <v>45846</v>
      </c>
      <c r="C23" s="7">
        <v>400</v>
      </c>
      <c r="D23" s="7" t="s">
        <v>51</v>
      </c>
    </row>
    <row r="24" spans="1:4" x14ac:dyDescent="0.3">
      <c r="A24" s="45" t="s">
        <v>14</v>
      </c>
      <c r="B24" s="44">
        <v>45847</v>
      </c>
      <c r="C24" s="7">
        <v>200</v>
      </c>
      <c r="D24" s="7" t="s">
        <v>51</v>
      </c>
    </row>
    <row r="25" spans="1:4" x14ac:dyDescent="0.3">
      <c r="A25" s="45" t="s">
        <v>14</v>
      </c>
      <c r="B25" s="44">
        <v>45860</v>
      </c>
      <c r="C25" s="7">
        <v>1400</v>
      </c>
      <c r="D25" s="7" t="s">
        <v>51</v>
      </c>
    </row>
    <row r="26" spans="1:4" x14ac:dyDescent="0.3">
      <c r="A26" s="46" t="s">
        <v>20</v>
      </c>
      <c r="B26" s="44">
        <v>45838</v>
      </c>
      <c r="C26" s="7">
        <v>17000</v>
      </c>
      <c r="D26" s="7" t="s">
        <v>51</v>
      </c>
    </row>
    <row r="27" spans="1:4" x14ac:dyDescent="0.3">
      <c r="A27" s="46" t="s">
        <v>20</v>
      </c>
      <c r="B27" s="44">
        <v>45839</v>
      </c>
      <c r="C27" s="7">
        <v>2000</v>
      </c>
      <c r="D27" s="7" t="s">
        <v>52</v>
      </c>
    </row>
    <row r="28" spans="1:4" x14ac:dyDescent="0.3">
      <c r="A28" s="46" t="s">
        <v>20</v>
      </c>
      <c r="B28" s="44">
        <v>45841</v>
      </c>
      <c r="C28" s="7">
        <v>2000</v>
      </c>
      <c r="D28" s="7" t="s">
        <v>52</v>
      </c>
    </row>
    <row r="29" spans="1:4" x14ac:dyDescent="0.3">
      <c r="A29" s="46" t="s">
        <v>20</v>
      </c>
      <c r="B29" s="44">
        <v>45842</v>
      </c>
      <c r="C29" s="7">
        <v>600</v>
      </c>
      <c r="D29" s="7" t="s">
        <v>52</v>
      </c>
    </row>
    <row r="30" spans="1:4" x14ac:dyDescent="0.3">
      <c r="A30" s="46" t="s">
        <v>20</v>
      </c>
      <c r="B30" s="44">
        <v>45844</v>
      </c>
      <c r="C30" s="7">
        <v>1400</v>
      </c>
      <c r="D30" s="7" t="s">
        <v>52</v>
      </c>
    </row>
    <row r="31" spans="1:4" x14ac:dyDescent="0.3">
      <c r="A31" s="46" t="s">
        <v>20</v>
      </c>
      <c r="B31" s="44">
        <v>45848</v>
      </c>
      <c r="C31" s="7">
        <v>4000</v>
      </c>
      <c r="D31" s="7" t="s">
        <v>51</v>
      </c>
    </row>
    <row r="32" spans="1:4" x14ac:dyDescent="0.3">
      <c r="A32" s="46" t="s">
        <v>20</v>
      </c>
      <c r="B32" s="44">
        <v>45849</v>
      </c>
      <c r="C32" s="7">
        <v>3000</v>
      </c>
      <c r="D32" s="7" t="s">
        <v>51</v>
      </c>
    </row>
    <row r="33" spans="1:4" x14ac:dyDescent="0.3">
      <c r="A33" s="46" t="s">
        <v>20</v>
      </c>
      <c r="B33" s="44">
        <v>45851</v>
      </c>
      <c r="C33" s="7">
        <v>4000</v>
      </c>
      <c r="D33" s="7" t="s">
        <v>52</v>
      </c>
    </row>
    <row r="34" spans="1:4" x14ac:dyDescent="0.3">
      <c r="A34" s="46" t="s">
        <v>20</v>
      </c>
      <c r="B34" s="44">
        <v>45853</v>
      </c>
      <c r="C34" s="7">
        <v>2000</v>
      </c>
      <c r="D34" s="7" t="s">
        <v>52</v>
      </c>
    </row>
    <row r="35" spans="1:4" x14ac:dyDescent="0.3">
      <c r="A35" s="46" t="s">
        <v>20</v>
      </c>
      <c r="B35" s="44">
        <v>45855</v>
      </c>
      <c r="C35" s="7">
        <v>13200</v>
      </c>
      <c r="D35" s="7" t="s">
        <v>53</v>
      </c>
    </row>
    <row r="36" spans="1:4" x14ac:dyDescent="0.3">
      <c r="A36" s="46" t="s">
        <v>20</v>
      </c>
      <c r="B36" s="44">
        <v>45857</v>
      </c>
      <c r="C36" s="7">
        <v>800</v>
      </c>
      <c r="D36" s="7" t="s">
        <v>51</v>
      </c>
    </row>
    <row r="37" spans="1:4" x14ac:dyDescent="0.3">
      <c r="A37" s="46" t="s">
        <v>20</v>
      </c>
      <c r="B37" s="44">
        <v>45858</v>
      </c>
      <c r="C37" s="7">
        <v>5000</v>
      </c>
      <c r="D37" s="7" t="s">
        <v>51</v>
      </c>
    </row>
    <row r="38" spans="1:4" x14ac:dyDescent="0.3">
      <c r="A38" s="34" t="s">
        <v>21</v>
      </c>
      <c r="B38" s="44">
        <v>45838</v>
      </c>
      <c r="C38" s="7">
        <v>700</v>
      </c>
      <c r="D38" s="7" t="s">
        <v>51</v>
      </c>
    </row>
    <row r="39" spans="1:4" x14ac:dyDescent="0.3">
      <c r="A39" s="34" t="s">
        <v>21</v>
      </c>
      <c r="B39" s="44">
        <v>45841</v>
      </c>
      <c r="C39" s="7">
        <v>400</v>
      </c>
      <c r="D39" s="7" t="s">
        <v>51</v>
      </c>
    </row>
    <row r="40" spans="1:4" x14ac:dyDescent="0.3">
      <c r="A40" s="34" t="s">
        <v>21</v>
      </c>
      <c r="B40" s="44">
        <v>45843</v>
      </c>
      <c r="C40" s="7">
        <v>200</v>
      </c>
      <c r="D40" s="7" t="s">
        <v>51</v>
      </c>
    </row>
    <row r="41" spans="1:4" x14ac:dyDescent="0.3">
      <c r="A41" s="34" t="s">
        <v>21</v>
      </c>
      <c r="B41" s="44">
        <v>45846</v>
      </c>
      <c r="C41" s="7">
        <v>300</v>
      </c>
      <c r="D41" s="7" t="s">
        <v>51</v>
      </c>
    </row>
    <row r="42" spans="1:4" x14ac:dyDescent="0.3">
      <c r="A42" s="34" t="s">
        <v>21</v>
      </c>
      <c r="B42" s="44">
        <v>45854</v>
      </c>
      <c r="C42" s="7">
        <v>800</v>
      </c>
      <c r="D42" s="7" t="s">
        <v>51</v>
      </c>
    </row>
    <row r="43" spans="1:4" x14ac:dyDescent="0.3">
      <c r="A43" s="34" t="s">
        <v>21</v>
      </c>
      <c r="B43" s="44">
        <v>45859</v>
      </c>
      <c r="C43" s="7">
        <v>500</v>
      </c>
      <c r="D43" s="7" t="s">
        <v>51</v>
      </c>
    </row>
    <row r="44" spans="1:4" x14ac:dyDescent="0.3">
      <c r="A44" s="35" t="s">
        <v>22</v>
      </c>
      <c r="B44" s="44">
        <v>45838</v>
      </c>
      <c r="C44" s="7">
        <v>600</v>
      </c>
      <c r="D44" s="7" t="s">
        <v>51</v>
      </c>
    </row>
    <row r="45" spans="1:4" x14ac:dyDescent="0.3">
      <c r="A45" s="35" t="s">
        <v>22</v>
      </c>
      <c r="B45" s="44">
        <v>45839</v>
      </c>
      <c r="C45" s="7">
        <v>100</v>
      </c>
      <c r="D45" s="7" t="s">
        <v>51</v>
      </c>
    </row>
    <row r="46" spans="1:4" x14ac:dyDescent="0.3">
      <c r="A46" s="35" t="s">
        <v>22</v>
      </c>
      <c r="B46" s="44">
        <v>45840</v>
      </c>
      <c r="C46" s="7">
        <v>100</v>
      </c>
      <c r="D46" s="7" t="s">
        <v>51</v>
      </c>
    </row>
    <row r="47" spans="1:4" x14ac:dyDescent="0.3">
      <c r="A47" s="35" t="s">
        <v>22</v>
      </c>
      <c r="B47" s="44">
        <v>45841</v>
      </c>
      <c r="C47" s="7">
        <v>100</v>
      </c>
      <c r="D47" s="7" t="s">
        <v>52</v>
      </c>
    </row>
    <row r="48" spans="1:4" x14ac:dyDescent="0.3">
      <c r="A48" s="35" t="s">
        <v>22</v>
      </c>
      <c r="B48" s="44">
        <v>45844</v>
      </c>
      <c r="C48" s="7">
        <v>300</v>
      </c>
      <c r="D48" s="7" t="s">
        <v>51</v>
      </c>
    </row>
    <row r="49" spans="1:4" x14ac:dyDescent="0.3">
      <c r="A49" s="35" t="s">
        <v>22</v>
      </c>
      <c r="B49" s="44">
        <v>45845</v>
      </c>
      <c r="C49" s="7">
        <v>100</v>
      </c>
      <c r="D49" s="7" t="s">
        <v>51</v>
      </c>
    </row>
    <row r="50" spans="1:4" x14ac:dyDescent="0.3">
      <c r="A50" s="35" t="s">
        <v>22</v>
      </c>
      <c r="B50" s="44">
        <v>45846</v>
      </c>
      <c r="C50" s="7">
        <v>100</v>
      </c>
      <c r="D50" s="7" t="s">
        <v>51</v>
      </c>
    </row>
    <row r="51" spans="1:4" x14ac:dyDescent="0.3">
      <c r="A51" s="35" t="s">
        <v>22</v>
      </c>
      <c r="B51" s="44">
        <v>45847</v>
      </c>
      <c r="C51" s="7">
        <v>100</v>
      </c>
      <c r="D51" s="7" t="s">
        <v>51</v>
      </c>
    </row>
    <row r="52" spans="1:4" x14ac:dyDescent="0.3">
      <c r="A52" s="35" t="s">
        <v>22</v>
      </c>
      <c r="B52" s="44">
        <v>45848</v>
      </c>
      <c r="C52" s="7">
        <v>100</v>
      </c>
      <c r="D52" s="7" t="s">
        <v>51</v>
      </c>
    </row>
    <row r="53" spans="1:4" x14ac:dyDescent="0.3">
      <c r="A53" s="35" t="s">
        <v>22</v>
      </c>
      <c r="B53" s="44">
        <v>45849</v>
      </c>
      <c r="C53" s="7">
        <v>100</v>
      </c>
      <c r="D53" s="7" t="s">
        <v>51</v>
      </c>
    </row>
    <row r="54" spans="1:4" x14ac:dyDescent="0.3">
      <c r="A54" s="35" t="s">
        <v>22</v>
      </c>
      <c r="B54" s="44">
        <v>45850</v>
      </c>
      <c r="C54" s="7">
        <v>100</v>
      </c>
      <c r="D54" s="7" t="s">
        <v>51</v>
      </c>
    </row>
    <row r="55" spans="1:4" x14ac:dyDescent="0.3">
      <c r="A55" s="35" t="s">
        <v>22</v>
      </c>
      <c r="B55" s="44">
        <v>45851</v>
      </c>
      <c r="C55" s="7">
        <v>100</v>
      </c>
      <c r="D55" s="7" t="s">
        <v>51</v>
      </c>
    </row>
    <row r="56" spans="1:4" x14ac:dyDescent="0.3">
      <c r="A56" s="35" t="s">
        <v>22</v>
      </c>
      <c r="B56" s="44">
        <v>45855</v>
      </c>
      <c r="C56" s="7">
        <v>300</v>
      </c>
      <c r="D56" s="7" t="s">
        <v>51</v>
      </c>
    </row>
    <row r="57" spans="1:4" x14ac:dyDescent="0.3">
      <c r="A57" s="35" t="s">
        <v>22</v>
      </c>
      <c r="B57" s="44">
        <v>45857</v>
      </c>
      <c r="C57" s="7">
        <v>200</v>
      </c>
      <c r="D57" s="7" t="s">
        <v>51</v>
      </c>
    </row>
    <row r="58" spans="1:4" x14ac:dyDescent="0.3">
      <c r="A58" s="35" t="s">
        <v>22</v>
      </c>
      <c r="B58" s="44">
        <v>45858</v>
      </c>
      <c r="C58" s="7">
        <v>100</v>
      </c>
      <c r="D58" s="7" t="s">
        <v>51</v>
      </c>
    </row>
    <row r="59" spans="1:4" x14ac:dyDescent="0.3">
      <c r="A59" s="35" t="s">
        <v>22</v>
      </c>
      <c r="B59" s="44">
        <v>45859</v>
      </c>
      <c r="C59" s="7">
        <v>100</v>
      </c>
      <c r="D59" s="7" t="s">
        <v>51</v>
      </c>
    </row>
    <row r="60" spans="1:4" x14ac:dyDescent="0.3">
      <c r="A60" s="35" t="s">
        <v>22</v>
      </c>
      <c r="B60" s="44">
        <v>45860</v>
      </c>
      <c r="C60" s="7">
        <v>100</v>
      </c>
      <c r="D60" s="7" t="s">
        <v>51</v>
      </c>
    </row>
    <row r="61" spans="1:4" x14ac:dyDescent="0.3">
      <c r="A61" s="35" t="s">
        <v>22</v>
      </c>
      <c r="B61" s="44">
        <v>45862</v>
      </c>
      <c r="C61" s="7">
        <v>200</v>
      </c>
      <c r="D61" s="7" t="s">
        <v>51</v>
      </c>
    </row>
    <row r="62" spans="1:4" x14ac:dyDescent="0.3">
      <c r="A62" s="34" t="s">
        <v>23</v>
      </c>
      <c r="B62" s="44">
        <v>45838</v>
      </c>
      <c r="C62" s="7">
        <v>300</v>
      </c>
      <c r="D62" s="7" t="s">
        <v>54</v>
      </c>
    </row>
    <row r="63" spans="1:4" x14ac:dyDescent="0.3">
      <c r="A63" s="34" t="s">
        <v>23</v>
      </c>
      <c r="B63" s="44">
        <v>45843</v>
      </c>
      <c r="C63" s="7">
        <v>300</v>
      </c>
      <c r="D63" s="7" t="s">
        <v>51</v>
      </c>
    </row>
    <row r="64" spans="1:4" x14ac:dyDescent="0.3">
      <c r="A64" s="34" t="s">
        <v>23</v>
      </c>
      <c r="B64" s="44">
        <v>45849</v>
      </c>
      <c r="C64" s="7">
        <v>200</v>
      </c>
      <c r="D64" s="7" t="s">
        <v>51</v>
      </c>
    </row>
    <row r="65" spans="1:4" x14ac:dyDescent="0.3">
      <c r="A65" s="34" t="s">
        <v>23</v>
      </c>
      <c r="B65" s="44">
        <v>45852</v>
      </c>
      <c r="C65" s="7">
        <v>200</v>
      </c>
      <c r="D65" s="7" t="s">
        <v>52</v>
      </c>
    </row>
    <row r="66" spans="1:4" x14ac:dyDescent="0.3">
      <c r="A66" s="34" t="s">
        <v>23</v>
      </c>
      <c r="B66" s="44">
        <v>45856</v>
      </c>
      <c r="C66" s="7">
        <v>300</v>
      </c>
      <c r="D66" s="7" t="s">
        <v>52</v>
      </c>
    </row>
    <row r="67" spans="1:4" x14ac:dyDescent="0.3">
      <c r="A67" s="34" t="s">
        <v>23</v>
      </c>
      <c r="B67" s="44">
        <v>45859</v>
      </c>
      <c r="C67" s="7">
        <v>200</v>
      </c>
      <c r="D67" s="7" t="s">
        <v>52</v>
      </c>
    </row>
    <row r="68" spans="1:4" x14ac:dyDescent="0.3">
      <c r="A68" s="34" t="s">
        <v>23</v>
      </c>
      <c r="B68" s="44">
        <v>45861</v>
      </c>
      <c r="C68" s="7">
        <v>200</v>
      </c>
      <c r="D68" s="7" t="s">
        <v>52</v>
      </c>
    </row>
    <row r="69" spans="1:4" x14ac:dyDescent="0.3">
      <c r="A69" s="35" t="s">
        <v>24</v>
      </c>
      <c r="B69" s="44">
        <v>45836</v>
      </c>
      <c r="C69" s="7">
        <v>0</v>
      </c>
      <c r="D69" s="7" t="s">
        <v>52</v>
      </c>
    </row>
    <row r="70" spans="1:4" x14ac:dyDescent="0.3">
      <c r="A70" s="35" t="s">
        <v>24</v>
      </c>
      <c r="B70" s="44">
        <v>45839</v>
      </c>
      <c r="C70" s="7">
        <v>2000</v>
      </c>
      <c r="D70" s="7" t="s">
        <v>51</v>
      </c>
    </row>
    <row r="71" spans="1:4" x14ac:dyDescent="0.3">
      <c r="A71" s="35" t="s">
        <v>24</v>
      </c>
      <c r="B71" s="44">
        <v>45846</v>
      </c>
      <c r="C71" s="7">
        <v>2000</v>
      </c>
      <c r="D71" s="7" t="s">
        <v>51</v>
      </c>
    </row>
    <row r="72" spans="1:4" x14ac:dyDescent="0.3">
      <c r="A72" s="35" t="s">
        <v>24</v>
      </c>
      <c r="B72" s="44">
        <v>45852</v>
      </c>
      <c r="C72" s="7">
        <v>1000</v>
      </c>
      <c r="D72" s="7" t="s">
        <v>51</v>
      </c>
    </row>
    <row r="73" spans="1:4" x14ac:dyDescent="0.3">
      <c r="A73" s="35" t="s">
        <v>24</v>
      </c>
      <c r="B73" s="44">
        <v>45856</v>
      </c>
      <c r="C73" s="7">
        <v>3000</v>
      </c>
      <c r="D73" s="7" t="s">
        <v>51</v>
      </c>
    </row>
    <row r="74" spans="1:4" x14ac:dyDescent="0.3">
      <c r="A74" s="35" t="s">
        <v>24</v>
      </c>
      <c r="B74" s="44">
        <v>45860</v>
      </c>
      <c r="C74" s="7">
        <v>2000</v>
      </c>
      <c r="D74" s="7" t="s">
        <v>51</v>
      </c>
    </row>
    <row r="75" spans="1:4" x14ac:dyDescent="0.3">
      <c r="A75" s="34" t="s">
        <v>39</v>
      </c>
      <c r="B75" s="44">
        <v>45852</v>
      </c>
      <c r="C75" s="7">
        <v>300</v>
      </c>
      <c r="D75" s="7" t="s">
        <v>51</v>
      </c>
    </row>
    <row r="76" spans="1:4" x14ac:dyDescent="0.3">
      <c r="A76" s="34" t="s">
        <v>39</v>
      </c>
      <c r="B76" s="44">
        <v>45853</v>
      </c>
      <c r="C76" s="7">
        <v>300</v>
      </c>
      <c r="D76" s="7" t="s">
        <v>51</v>
      </c>
    </row>
    <row r="77" spans="1:4" x14ac:dyDescent="0.3">
      <c r="A77" s="34" t="s">
        <v>39</v>
      </c>
      <c r="B77" s="44">
        <v>45854</v>
      </c>
      <c r="C77" s="7">
        <v>300</v>
      </c>
      <c r="D77" s="7" t="s">
        <v>51</v>
      </c>
    </row>
    <row r="78" spans="1:4" x14ac:dyDescent="0.3">
      <c r="A78" s="34" t="s">
        <v>39</v>
      </c>
      <c r="B78" s="44">
        <v>45855</v>
      </c>
      <c r="C78" s="7">
        <v>300</v>
      </c>
      <c r="D78" s="7" t="s">
        <v>51</v>
      </c>
    </row>
    <row r="79" spans="1:4" x14ac:dyDescent="0.3">
      <c r="A79" s="34" t="s">
        <v>39</v>
      </c>
      <c r="B79" s="44">
        <v>45857</v>
      </c>
      <c r="C79" s="7">
        <v>600</v>
      </c>
      <c r="D79" s="7" t="s">
        <v>51</v>
      </c>
    </row>
    <row r="80" spans="1:4" x14ac:dyDescent="0.3">
      <c r="A80" s="34" t="s">
        <v>39</v>
      </c>
      <c r="B80" s="44">
        <v>45858</v>
      </c>
      <c r="C80" s="7">
        <v>300</v>
      </c>
      <c r="D80" s="7" t="s">
        <v>51</v>
      </c>
    </row>
    <row r="81" spans="1:4" x14ac:dyDescent="0.3">
      <c r="A81" s="34" t="s">
        <v>39</v>
      </c>
      <c r="B81" s="44">
        <v>45859</v>
      </c>
      <c r="C81" s="7">
        <v>300</v>
      </c>
      <c r="D81" s="7" t="s">
        <v>51</v>
      </c>
    </row>
    <row r="82" spans="1:4" x14ac:dyDescent="0.3">
      <c r="A82" s="34" t="s">
        <v>39</v>
      </c>
      <c r="B82" s="44">
        <v>45861</v>
      </c>
      <c r="C82" s="7">
        <v>300</v>
      </c>
      <c r="D82" s="7" t="s">
        <v>51</v>
      </c>
    </row>
    <row r="83" spans="1:4" x14ac:dyDescent="0.3">
      <c r="A83" s="34" t="s">
        <v>39</v>
      </c>
      <c r="B83" s="44">
        <v>45862</v>
      </c>
      <c r="C83" s="7">
        <v>300</v>
      </c>
      <c r="D83" s="7" t="s">
        <v>51</v>
      </c>
    </row>
    <row r="84" spans="1:4" x14ac:dyDescent="0.3">
      <c r="A84" s="35" t="s">
        <v>55</v>
      </c>
      <c r="B84" s="44">
        <v>45857</v>
      </c>
      <c r="C84" s="7">
        <v>200</v>
      </c>
      <c r="D84" s="7" t="s">
        <v>51</v>
      </c>
    </row>
    <row r="85" spans="1:4" x14ac:dyDescent="0.3">
      <c r="A85" s="35" t="s">
        <v>55</v>
      </c>
      <c r="B85" s="44">
        <v>45858</v>
      </c>
      <c r="C85" s="7">
        <v>200</v>
      </c>
      <c r="D85" s="7" t="s">
        <v>51</v>
      </c>
    </row>
    <row r="86" spans="1:4" x14ac:dyDescent="0.3">
      <c r="A86" s="35" t="s">
        <v>55</v>
      </c>
      <c r="B86" s="44">
        <v>45859</v>
      </c>
      <c r="C86" s="7">
        <v>200</v>
      </c>
      <c r="D86" s="7" t="s">
        <v>51</v>
      </c>
    </row>
    <row r="87" spans="1:4" x14ac:dyDescent="0.3">
      <c r="A87" s="35" t="s">
        <v>55</v>
      </c>
      <c r="B87" s="44">
        <v>45860</v>
      </c>
      <c r="C87" s="7">
        <v>200</v>
      </c>
      <c r="D87" s="7" t="s">
        <v>51</v>
      </c>
    </row>
    <row r="88" spans="1:4" x14ac:dyDescent="0.3">
      <c r="A88" s="35" t="s">
        <v>55</v>
      </c>
      <c r="B88" s="44">
        <v>45861</v>
      </c>
      <c r="C88" s="7">
        <v>200</v>
      </c>
      <c r="D88" s="7" t="s">
        <v>51</v>
      </c>
    </row>
    <row r="89" spans="1:4" x14ac:dyDescent="0.3">
      <c r="A89" s="35" t="s">
        <v>55</v>
      </c>
      <c r="B89" s="44">
        <v>45863</v>
      </c>
      <c r="C89" s="7">
        <v>200</v>
      </c>
      <c r="D89" s="7" t="s">
        <v>51</v>
      </c>
    </row>
    <row r="90" spans="1:4" x14ac:dyDescent="0.3">
      <c r="A90" s="35" t="s">
        <v>57</v>
      </c>
      <c r="B90" s="44">
        <v>45859</v>
      </c>
      <c r="C90" s="7">
        <v>100</v>
      </c>
      <c r="D90" s="7" t="s">
        <v>51</v>
      </c>
    </row>
    <row r="91" spans="1:4" x14ac:dyDescent="0.3">
      <c r="A91" s="35" t="s">
        <v>57</v>
      </c>
      <c r="B91" s="44">
        <v>45860</v>
      </c>
      <c r="C91" s="7">
        <v>100</v>
      </c>
      <c r="D91" s="7" t="s">
        <v>51</v>
      </c>
    </row>
    <row r="92" spans="1:4" x14ac:dyDescent="0.3">
      <c r="A92" s="35" t="s">
        <v>57</v>
      </c>
      <c r="B92" s="44">
        <v>45861</v>
      </c>
      <c r="C92" s="7">
        <v>200</v>
      </c>
      <c r="D92" s="7" t="s">
        <v>51</v>
      </c>
    </row>
    <row r="93" spans="1:4" x14ac:dyDescent="0.3">
      <c r="A93" s="35" t="s">
        <v>57</v>
      </c>
      <c r="B93" s="44">
        <v>45862</v>
      </c>
      <c r="C93" s="7">
        <v>100</v>
      </c>
      <c r="D93" s="7" t="s">
        <v>51</v>
      </c>
    </row>
    <row r="94" spans="1:4" x14ac:dyDescent="0.3">
      <c r="A94" s="35" t="s">
        <v>57</v>
      </c>
      <c r="B94" s="44">
        <v>45863</v>
      </c>
      <c r="C94" s="7">
        <v>100</v>
      </c>
      <c r="D94" s="7" t="s">
        <v>51</v>
      </c>
    </row>
    <row r="95" spans="1:4" x14ac:dyDescent="0.3">
      <c r="A95" s="35" t="s">
        <v>25</v>
      </c>
      <c r="B95" s="44">
        <v>45838</v>
      </c>
      <c r="C95" s="7">
        <v>3750</v>
      </c>
      <c r="D95" s="7" t="s">
        <v>51</v>
      </c>
    </row>
    <row r="96" spans="1:4" x14ac:dyDescent="0.3">
      <c r="A96" s="35" t="s">
        <v>25</v>
      </c>
      <c r="B96" s="44">
        <v>45845</v>
      </c>
      <c r="C96" s="7">
        <v>1000</v>
      </c>
      <c r="D96" s="7" t="s">
        <v>51</v>
      </c>
    </row>
    <row r="97" spans="1:4" x14ac:dyDescent="0.3">
      <c r="A97" s="35" t="s">
        <v>25</v>
      </c>
      <c r="B97" s="44">
        <v>45855</v>
      </c>
      <c r="C97" s="7">
        <v>1250</v>
      </c>
      <c r="D97" s="7" t="s">
        <v>51</v>
      </c>
    </row>
    <row r="98" spans="1:4" x14ac:dyDescent="0.3">
      <c r="A98" s="34" t="s">
        <v>26</v>
      </c>
      <c r="B98" s="44">
        <v>45831</v>
      </c>
      <c r="C98" s="7">
        <v>1200</v>
      </c>
    </row>
    <row r="99" spans="1:4" x14ac:dyDescent="0.3">
      <c r="A99" s="34" t="s">
        <v>26</v>
      </c>
      <c r="B99" s="44">
        <v>45839</v>
      </c>
      <c r="C99" s="7">
        <v>600</v>
      </c>
      <c r="D99" s="7" t="s">
        <v>51</v>
      </c>
    </row>
    <row r="100" spans="1:4" x14ac:dyDescent="0.3">
      <c r="A100" s="34" t="s">
        <v>26</v>
      </c>
      <c r="B100" s="44">
        <v>45853</v>
      </c>
      <c r="C100" s="7">
        <v>600</v>
      </c>
      <c r="D100" s="7" t="s">
        <v>51</v>
      </c>
    </row>
    <row r="101" spans="1:4" x14ac:dyDescent="0.3">
      <c r="A101" s="35" t="s">
        <v>27</v>
      </c>
      <c r="B101" s="44">
        <v>45833</v>
      </c>
      <c r="C101" s="7">
        <v>1250</v>
      </c>
      <c r="D101" s="7" t="s">
        <v>51</v>
      </c>
    </row>
    <row r="102" spans="1:4" x14ac:dyDescent="0.3">
      <c r="A102" s="35" t="s">
        <v>27</v>
      </c>
      <c r="B102" s="44">
        <v>45840</v>
      </c>
      <c r="C102" s="7">
        <v>600</v>
      </c>
      <c r="D102" s="7" t="s">
        <v>51</v>
      </c>
    </row>
    <row r="103" spans="1:4" x14ac:dyDescent="0.3">
      <c r="A103" s="35" t="s">
        <v>27</v>
      </c>
      <c r="B103" s="44">
        <v>45848</v>
      </c>
      <c r="C103" s="7">
        <v>600</v>
      </c>
      <c r="D103" s="7" t="s">
        <v>51</v>
      </c>
    </row>
    <row r="104" spans="1:4" x14ac:dyDescent="0.3">
      <c r="A104" s="35" t="s">
        <v>27</v>
      </c>
      <c r="B104" s="44">
        <v>45857</v>
      </c>
      <c r="C104" s="7">
        <v>650</v>
      </c>
      <c r="D104" s="7" t="s">
        <v>51</v>
      </c>
    </row>
    <row r="105" spans="1:4" x14ac:dyDescent="0.3">
      <c r="A105" s="34" t="s">
        <v>15</v>
      </c>
      <c r="B105" s="44">
        <v>45832</v>
      </c>
      <c r="C105" s="7">
        <v>2500</v>
      </c>
      <c r="D105" s="7" t="s">
        <v>51</v>
      </c>
    </row>
    <row r="106" spans="1:4" x14ac:dyDescent="0.3">
      <c r="A106" s="34" t="s">
        <v>15</v>
      </c>
      <c r="B106" s="44">
        <v>45841</v>
      </c>
      <c r="C106" s="7">
        <v>1250</v>
      </c>
      <c r="D106" s="7" t="s">
        <v>51</v>
      </c>
    </row>
    <row r="107" spans="1:4" x14ac:dyDescent="0.3">
      <c r="A107" s="34" t="s">
        <v>15</v>
      </c>
      <c r="B107" s="44">
        <v>45851</v>
      </c>
      <c r="C107" s="7">
        <v>1250</v>
      </c>
      <c r="D107" s="7" t="s">
        <v>51</v>
      </c>
    </row>
    <row r="108" spans="1:4" x14ac:dyDescent="0.3">
      <c r="A108" s="35" t="s">
        <v>16</v>
      </c>
      <c r="B108" s="44">
        <v>45837</v>
      </c>
      <c r="C108" s="7">
        <v>1000</v>
      </c>
      <c r="D108" s="7" t="s">
        <v>51</v>
      </c>
    </row>
    <row r="109" spans="1:4" x14ac:dyDescent="0.3">
      <c r="A109" s="35" t="s">
        <v>16</v>
      </c>
      <c r="B109" s="44">
        <v>45844</v>
      </c>
      <c r="C109" s="7">
        <v>500</v>
      </c>
      <c r="D109" s="7" t="s">
        <v>58</v>
      </c>
    </row>
    <row r="110" spans="1:4" x14ac:dyDescent="0.3">
      <c r="A110" s="35" t="s">
        <v>16</v>
      </c>
      <c r="B110" s="44">
        <v>45854</v>
      </c>
      <c r="C110" s="7">
        <v>500</v>
      </c>
      <c r="D110" s="7" t="s">
        <v>51</v>
      </c>
    </row>
    <row r="111" spans="1:4" x14ac:dyDescent="0.3">
      <c r="A111" s="35" t="s">
        <v>16</v>
      </c>
      <c r="B111" s="44">
        <v>45861</v>
      </c>
      <c r="C111" s="7">
        <v>500</v>
      </c>
      <c r="D111" s="7" t="s">
        <v>58</v>
      </c>
    </row>
    <row r="112" spans="1:4" x14ac:dyDescent="0.3">
      <c r="A112" s="10" t="s">
        <v>40</v>
      </c>
      <c r="B112" s="44">
        <v>45861</v>
      </c>
      <c r="C112" s="7">
        <v>625</v>
      </c>
      <c r="D112" s="7" t="s">
        <v>51</v>
      </c>
    </row>
    <row r="113" spans="2:2" x14ac:dyDescent="0.3">
      <c r="B113" s="44">
        <v>45848</v>
      </c>
    </row>
    <row r="114" spans="2:2" x14ac:dyDescent="0.3">
      <c r="B114" s="44">
        <v>45849</v>
      </c>
    </row>
    <row r="115" spans="2:2" x14ac:dyDescent="0.3">
      <c r="B115" s="44">
        <v>45850</v>
      </c>
    </row>
    <row r="116" spans="2:2" x14ac:dyDescent="0.3">
      <c r="B116" s="44">
        <v>45851</v>
      </c>
    </row>
    <row r="117" spans="2:2" x14ac:dyDescent="0.3">
      <c r="B117" s="44">
        <v>45852</v>
      </c>
    </row>
    <row r="118" spans="2:2" x14ac:dyDescent="0.3">
      <c r="B118" s="44">
        <v>45853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3D0B5-59AD-4644-A5A1-564A10D8B842}">
  <sheetPr codeName="Sheet4"/>
  <dimension ref="A3:H13"/>
  <sheetViews>
    <sheetView workbookViewId="0">
      <selection activeCell="C21" sqref="A1:XFD1048576"/>
    </sheetView>
  </sheetViews>
  <sheetFormatPr defaultRowHeight="14.4" x14ac:dyDescent="0.3"/>
  <cols>
    <col min="1" max="1" width="25.44140625" customWidth="1"/>
    <col min="2" max="2" width="23" customWidth="1"/>
    <col min="3" max="3" width="21" customWidth="1"/>
    <col min="4" max="4" width="24.77734375" customWidth="1"/>
    <col min="5" max="5" width="12.88671875" customWidth="1"/>
    <col min="6" max="6" width="13.6640625" customWidth="1"/>
    <col min="7" max="7" width="13.44140625" customWidth="1"/>
  </cols>
  <sheetData>
    <row r="3" spans="1:8" x14ac:dyDescent="0.3">
      <c r="A3" t="s">
        <v>46</v>
      </c>
      <c r="B3" t="s">
        <v>31</v>
      </c>
      <c r="C3" t="s">
        <v>41</v>
      </c>
      <c r="D3" t="s">
        <v>42</v>
      </c>
      <c r="E3" t="s">
        <v>43</v>
      </c>
      <c r="F3" t="s">
        <v>44</v>
      </c>
      <c r="G3" t="s">
        <v>45</v>
      </c>
      <c r="H3" t="s">
        <v>47</v>
      </c>
    </row>
    <row r="4" spans="1:8" x14ac:dyDescent="0.3">
      <c r="A4">
        <f>SUM(Accounts!E2)</f>
        <v>124000</v>
      </c>
      <c r="B4">
        <f>SUM(Accounts!D1:D20)</f>
        <v>148250</v>
      </c>
      <c r="C4">
        <f>SUM(Accounts!G23)</f>
        <v>28499.999998662006</v>
      </c>
      <c r="D4">
        <f>SUM(Accounts!H23)</f>
        <v>176749.99999866198</v>
      </c>
      <c r="E4">
        <f>SUM(Accounts!I23)</f>
        <v>40750</v>
      </c>
      <c r="F4">
        <f>SUM(Accounts!J23)</f>
        <v>135999.99999866198</v>
      </c>
      <c r="G4">
        <f>SUM(Accounts!P22)</f>
        <v>16500</v>
      </c>
      <c r="H4">
        <f>SUM(Accounts!R22)</f>
        <v>33185.69</v>
      </c>
    </row>
    <row r="5" spans="1:8" x14ac:dyDescent="0.3">
      <c r="C5">
        <f>SUM(Accounts!O23)</f>
        <v>7564.3099999999995</v>
      </c>
    </row>
    <row r="11" spans="1:8" x14ac:dyDescent="0.3">
      <c r="A11" t="s">
        <v>46</v>
      </c>
      <c r="B11" t="s">
        <v>31</v>
      </c>
      <c r="C11" t="s">
        <v>41</v>
      </c>
      <c r="D11" t="s">
        <v>42</v>
      </c>
      <c r="E11" t="s">
        <v>43</v>
      </c>
      <c r="F11" t="s">
        <v>44</v>
      </c>
      <c r="G11" t="s">
        <v>45</v>
      </c>
      <c r="H11" t="s">
        <v>47</v>
      </c>
    </row>
    <row r="12" spans="1:8" x14ac:dyDescent="0.3">
      <c r="A12">
        <f>SUM(Accounts!E56)</f>
        <v>27725</v>
      </c>
      <c r="B12">
        <f>SUM(Accounts!D77)</f>
        <v>90250</v>
      </c>
      <c r="C12">
        <f>SUM(Accounts!G31)</f>
        <v>0</v>
      </c>
      <c r="D12">
        <f>SUM(Accounts!H31)</f>
        <v>0</v>
      </c>
      <c r="E12">
        <f>SUM(Accounts!I31)</f>
        <v>0</v>
      </c>
      <c r="F12">
        <f>SUM(Accounts!J31)</f>
        <v>0</v>
      </c>
      <c r="G12">
        <f>SUM(Accounts!P30)</f>
        <v>0</v>
      </c>
      <c r="H12">
        <f>SUM(Accounts!R30)</f>
        <v>0</v>
      </c>
    </row>
    <row r="13" spans="1:8" x14ac:dyDescent="0.3">
      <c r="C13">
        <f>SUM(Accounts!O31)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421E3-622C-4EA2-A874-BDAE7F4E02D9}">
  <sheetPr codeName="Sheet6" filterMode="1"/>
  <dimension ref="A1"/>
  <sheetViews>
    <sheetView workbookViewId="0"/>
  </sheetViews>
  <sheetFormatPr defaultRowHeight="14.4" x14ac:dyDescent="0.3"/>
  <sheetData>
    <row r="1" spans="1:1" x14ac:dyDescent="0.3">
      <c r="A1" t="s">
        <v>61</v>
      </c>
    </row>
  </sheetData>
  <autoFilter ref="A1" xr:uid="{0D8421E3-622C-4EA2-A874-BDAE7F4E02D9}">
    <filterColumn colId="0">
      <filters>
        <filter val="Balaji Auto"/>
      </filters>
    </filterColumn>
  </autoFilter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5B6B09-1311-42C9-9D01-D038B22A3FA4}">
          <x14:formula1>
            <xm:f>Accounts!$B$2:$B$5000</xm:f>
          </x14:formula1>
          <xm:sqref>A1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DF1275-45C0-474B-8C03-049E8D8AC0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Accounts</vt:lpstr>
      <vt:lpstr>Sheet2</vt:lpstr>
      <vt:lpstr>June</vt:lpstr>
      <vt:lpstr>Payments</vt:lpstr>
      <vt:lpstr>Sheet1</vt:lpstr>
      <vt:lpstr>Dashboard</vt:lpstr>
      <vt:lpstr>Balaji_Auto</vt:lpstr>
      <vt:lpstr>Krishna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simonbaler2821@outlook.com</cp:lastModifiedBy>
  <dcterms:created xsi:type="dcterms:W3CDTF">2025-07-17T15:10:12Z</dcterms:created>
  <dcterms:modified xsi:type="dcterms:W3CDTF">2025-07-26T18:33:20Z</dcterms:modified>
</cp:coreProperties>
</file>