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8fd133dd8dcbdb/Desktop/Tópicos III/"/>
    </mc:Choice>
  </mc:AlternateContent>
  <xr:revisionPtr revIDLastSave="2" documentId="8_{56DC890D-A6EB-4C96-9AF4-8F5C0B86AA31}" xr6:coauthVersionLast="47" xr6:coauthVersionMax="47" xr10:uidLastSave="{20CFEE4D-BE22-467A-AE81-A9D84AB27B86}"/>
  <bookViews>
    <workbookView xWindow="-108" yWindow="-108" windowWidth="23256" windowHeight="12456" xr2:uid="{30EFAB24-6F9F-4B05-8880-F76B54135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72" i="1" l="1"/>
  <c r="AX85" i="1"/>
  <c r="AY85" i="1"/>
  <c r="AZ85" i="1"/>
  <c r="AW85" i="1"/>
  <c r="AE62" i="1"/>
  <c r="BA62" i="1"/>
  <c r="BA63" i="1"/>
  <c r="BA49" i="1"/>
  <c r="BA48" i="1"/>
  <c r="BA47" i="1"/>
  <c r="BA46" i="1"/>
  <c r="BA45" i="1"/>
  <c r="BA44" i="1"/>
  <c r="BA43" i="1"/>
  <c r="BA42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37" i="1" s="1"/>
  <c r="BA38" i="1" s="1"/>
  <c r="AY20" i="1"/>
  <c r="AE60" i="1"/>
  <c r="AE58" i="1"/>
  <c r="AC20" i="1"/>
  <c r="AE63" i="1"/>
  <c r="AE49" i="1"/>
  <c r="AE48" i="1"/>
  <c r="AE47" i="1"/>
  <c r="AE46" i="1"/>
  <c r="AE45" i="1"/>
  <c r="AE44" i="1"/>
  <c r="AE43" i="1"/>
  <c r="AE42" i="1"/>
  <c r="AE50" i="1" s="1"/>
  <c r="AE51" i="1" s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37" i="1" s="1"/>
  <c r="AE38" i="1" s="1"/>
  <c r="AE24" i="1"/>
  <c r="R49" i="1"/>
  <c r="S48" i="1" s="1"/>
  <c r="R48" i="1"/>
  <c r="R46" i="1"/>
  <c r="R45" i="1"/>
  <c r="R24" i="1"/>
  <c r="R21" i="1"/>
  <c r="R26" i="1" s="1"/>
  <c r="R30" i="1" s="1"/>
  <c r="R22" i="1"/>
  <c r="R20" i="1"/>
  <c r="R19" i="1"/>
  <c r="R40" i="1" s="1"/>
  <c r="BA50" i="1" l="1"/>
  <c r="BA51" i="1" s="1"/>
  <c r="BA58" i="1" s="1"/>
  <c r="BA60" i="1" s="1"/>
  <c r="BA64" i="1" s="1"/>
  <c r="AE64" i="1"/>
  <c r="S45" i="1"/>
  <c r="R27" i="1"/>
  <c r="R31" i="1" s="1"/>
  <c r="R36" i="1"/>
  <c r="S36" i="1" s="1"/>
  <c r="R37" i="1"/>
  <c r="R39" i="1"/>
  <c r="S39" i="1" s="1"/>
  <c r="R33" i="1"/>
  <c r="R25" i="1"/>
  <c r="R34" i="1"/>
  <c r="AX87" i="1" l="1"/>
  <c r="AY87" i="1"/>
  <c r="AZ87" i="1"/>
  <c r="BA71" i="1"/>
  <c r="BA77" i="1"/>
  <c r="R28" i="1"/>
  <c r="T5" i="1"/>
  <c r="T6" i="1"/>
  <c r="T4" i="1"/>
  <c r="K14" i="1"/>
  <c r="L14" i="1" s="1"/>
  <c r="K7" i="1"/>
  <c r="L7" i="1" s="1"/>
  <c r="K5" i="1"/>
  <c r="L5" i="1" s="1"/>
  <c r="L15" i="1" s="1"/>
  <c r="L19" i="1" s="1"/>
  <c r="L21" i="1" s="1"/>
  <c r="J5" i="1"/>
  <c r="J6" i="1"/>
  <c r="J7" i="1"/>
  <c r="J8" i="1"/>
  <c r="J9" i="1"/>
  <c r="J10" i="1"/>
  <c r="K10" i="1" s="1"/>
  <c r="L10" i="1" s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  <c r="BA74" i="1" l="1"/>
  <c r="BA75" i="1" s="1"/>
  <c r="AX86" i="1"/>
  <c r="AY86" i="1"/>
  <c r="AZ86" i="1"/>
  <c r="AW86" i="1"/>
  <c r="AW87" i="1"/>
  <c r="BA87" i="1" s="1"/>
  <c r="BA85" i="1"/>
  <c r="K15" i="1"/>
  <c r="BA86" i="1" l="1"/>
</calcChain>
</file>

<file path=xl/sharedStrings.xml><?xml version="1.0" encoding="utf-8"?>
<sst xmlns="http://schemas.openxmlformats.org/spreadsheetml/2006/main" count="309" uniqueCount="188">
  <si>
    <t>ID Tarea</t>
  </si>
  <si>
    <t>Nombre Tarea</t>
  </si>
  <si>
    <t>Precedente</t>
  </si>
  <si>
    <t>Optimista</t>
  </si>
  <si>
    <t>Medio</t>
  </si>
  <si>
    <t>Pesimista</t>
  </si>
  <si>
    <t>Costo</t>
  </si>
  <si>
    <t>a</t>
  </si>
  <si>
    <t>Instalación de equipos</t>
  </si>
  <si>
    <t>-</t>
  </si>
  <si>
    <t>b</t>
  </si>
  <si>
    <t>Desarrollo del sistema</t>
  </si>
  <si>
    <t>c</t>
  </si>
  <si>
    <t>Contratación de personal</t>
  </si>
  <si>
    <t>d</t>
  </si>
  <si>
    <t>Prueba manual</t>
  </si>
  <si>
    <t>e</t>
  </si>
  <si>
    <t>Entrenamiento del personal</t>
  </si>
  <si>
    <t>f</t>
  </si>
  <si>
    <t>Prueba de equipos y modificaciones</t>
  </si>
  <si>
    <t>g</t>
  </si>
  <si>
    <t>Entrenamiento en el sistema</t>
  </si>
  <si>
    <t>a,d,e</t>
  </si>
  <si>
    <t>h</t>
  </si>
  <si>
    <t>Orientación</t>
  </si>
  <si>
    <t>i</t>
  </si>
  <si>
    <t>Pruebas del sistema</t>
  </si>
  <si>
    <t>j</t>
  </si>
  <si>
    <t>Estabilización y prueba final</t>
  </si>
  <si>
    <t>k</t>
  </si>
  <si>
    <t>Implantación</t>
  </si>
  <si>
    <t>g,h,i</t>
  </si>
  <si>
    <t>Duracion media</t>
  </si>
  <si>
    <t>Desviacion estándar</t>
  </si>
  <si>
    <t>RC1</t>
  </si>
  <si>
    <t>Varianza</t>
  </si>
  <si>
    <t>Media</t>
  </si>
  <si>
    <t>Desv est</t>
  </si>
  <si>
    <t>X</t>
  </si>
  <si>
    <t>Probabilidad</t>
  </si>
  <si>
    <t>Pregunta 1</t>
  </si>
  <si>
    <t>Pregunta 2</t>
  </si>
  <si>
    <t>Pregunta 3</t>
  </si>
  <si>
    <t>Riesgo</t>
  </si>
  <si>
    <t>Daño</t>
  </si>
  <si>
    <t>A</t>
  </si>
  <si>
    <t>B</t>
  </si>
  <si>
    <t>C</t>
  </si>
  <si>
    <t>Pregunta 4</t>
  </si>
  <si>
    <t>Fase</t>
  </si>
  <si>
    <t>Presupuesto Total</t>
  </si>
  <si>
    <t>Grado de Avance</t>
  </si>
  <si>
    <t>Gastado</t>
  </si>
  <si>
    <t>Planificado</t>
  </si>
  <si>
    <t>Inception</t>
  </si>
  <si>
    <t>Elaboration</t>
  </si>
  <si>
    <t>Construction</t>
  </si>
  <si>
    <t>Transition</t>
  </si>
  <si>
    <t>Presupuesto</t>
  </si>
  <si>
    <t>P</t>
  </si>
  <si>
    <t>G</t>
  </si>
  <si>
    <t>R</t>
  </si>
  <si>
    <t>VC</t>
  </si>
  <si>
    <t>VC = G-R</t>
  </si>
  <si>
    <t>VT</t>
  </si>
  <si>
    <t>VT = G-P</t>
  </si>
  <si>
    <t>IRC</t>
  </si>
  <si>
    <t>IRC = G/R</t>
  </si>
  <si>
    <t>IRT</t>
  </si>
  <si>
    <t>IRT = G/P</t>
  </si>
  <si>
    <t>IRC * IRT</t>
  </si>
  <si>
    <t>CAF</t>
  </si>
  <si>
    <t>CAF = Presupuesto/IRC</t>
  </si>
  <si>
    <t>TAF</t>
  </si>
  <si>
    <t>TAF = Tiempo planeado/IRT</t>
  </si>
  <si>
    <t>VCAF</t>
  </si>
  <si>
    <t>VCAF = Presupuesto - CAF</t>
  </si>
  <si>
    <t>VTAF</t>
  </si>
  <si>
    <t>VTAF = TAF - Tiempo planeado</t>
  </si>
  <si>
    <t>IRC'</t>
  </si>
  <si>
    <t>Presupuesto-G</t>
  </si>
  <si>
    <t>IRC' = (Presupuesto-G)/(Presupesto-R)</t>
  </si>
  <si>
    <t>Presupuesto-R</t>
  </si>
  <si>
    <t>IRT'</t>
  </si>
  <si>
    <t>IRT' = (Presupuesto-G)/(Presupesto-P)</t>
  </si>
  <si>
    <t>Presupuesto-P</t>
  </si>
  <si>
    <t>Si otorgan</t>
  </si>
  <si>
    <t>IRC''</t>
  </si>
  <si>
    <t>IRT''</t>
  </si>
  <si>
    <t>Presupuesto'-G</t>
  </si>
  <si>
    <t>Presupuesto'-R</t>
  </si>
  <si>
    <t>Presupuesto'-P</t>
  </si>
  <si>
    <t>IRC'' = (Presupuesto'-G)/(Presupesto'-R)</t>
  </si>
  <si>
    <t>IRT'' = (Presupuesto'-G)/(Presupesto'-P)</t>
  </si>
  <si>
    <t>Paso 1</t>
  </si>
  <si>
    <t>Puntos</t>
  </si>
  <si>
    <t>actores</t>
  </si>
  <si>
    <t>Complejo</t>
  </si>
  <si>
    <t>Paso 2</t>
  </si>
  <si>
    <t>UUCP</t>
  </si>
  <si>
    <t>Paso 3</t>
  </si>
  <si>
    <t>Factores de ajuste</t>
  </si>
  <si>
    <t>TCF</t>
  </si>
  <si>
    <t>Factor</t>
  </si>
  <si>
    <t>Descripción</t>
  </si>
  <si>
    <t>Peso</t>
  </si>
  <si>
    <t>Clasificacion</t>
  </si>
  <si>
    <t>Puntaje</t>
  </si>
  <si>
    <t>T1</t>
  </si>
  <si>
    <t>Sistema Distribuído</t>
  </si>
  <si>
    <t>T2</t>
  </si>
  <si>
    <t>Tiempo de Respuesta</t>
  </si>
  <si>
    <t>T3</t>
  </si>
  <si>
    <t>Eficiencia de usuario final</t>
  </si>
  <si>
    <t>T4</t>
  </si>
  <si>
    <t>Procesamiento complejo</t>
  </si>
  <si>
    <t>T5</t>
  </si>
  <si>
    <t>Reusabilidad</t>
  </si>
  <si>
    <t>T6</t>
  </si>
  <si>
    <t>Facilidad de instalación</t>
  </si>
  <si>
    <t>T7</t>
  </si>
  <si>
    <t>Facilidad de uso</t>
  </si>
  <si>
    <t>T8</t>
  </si>
  <si>
    <t>Portabilidad</t>
  </si>
  <si>
    <t>T9</t>
  </si>
  <si>
    <t>Facilidad de cambio</t>
  </si>
  <si>
    <t>T10</t>
  </si>
  <si>
    <t>Concurrencia</t>
  </si>
  <si>
    <t>T11</t>
  </si>
  <si>
    <t>Seguridad</t>
  </si>
  <si>
    <t>T12</t>
  </si>
  <si>
    <t>Acceso de terceros</t>
  </si>
  <si>
    <t>T13</t>
  </si>
  <si>
    <t>Entrenamiento especial requerido</t>
  </si>
  <si>
    <t>Tfactor</t>
  </si>
  <si>
    <t>EF</t>
  </si>
  <si>
    <r>
      <t xml:space="preserve">TCF = 0.6 + (0.01 * </t>
    </r>
    <r>
      <rPr>
        <b/>
        <sz val="28"/>
        <color rgb="FFFF3300"/>
        <rFont val="Arial"/>
        <family val="2"/>
      </rPr>
      <t>TFactor</t>
    </r>
    <r>
      <rPr>
        <b/>
        <sz val="28"/>
        <color rgb="FF003366"/>
        <rFont val="Arial"/>
        <family val="2"/>
      </rPr>
      <t>)</t>
    </r>
  </si>
  <si>
    <t>F1</t>
  </si>
  <si>
    <t>Familiaridad con RUP</t>
  </si>
  <si>
    <t>F2</t>
  </si>
  <si>
    <t>Experiencia en la aplicación</t>
  </si>
  <si>
    <t>F3</t>
  </si>
  <si>
    <t>Experiencia OO</t>
  </si>
  <si>
    <t>F4</t>
  </si>
  <si>
    <t>Capacidad del analista líder</t>
  </si>
  <si>
    <t>F5</t>
  </si>
  <si>
    <t>Motivación</t>
  </si>
  <si>
    <t>F6</t>
  </si>
  <si>
    <t>Requerimientos estabilizados</t>
  </si>
  <si>
    <t>F7</t>
  </si>
  <si>
    <t>Trabajadores a tiempo parcial</t>
  </si>
  <si>
    <t>F8</t>
  </si>
  <si>
    <t>Dificultad del lenguage de prog.</t>
  </si>
  <si>
    <t>Efactor</t>
  </si>
  <si>
    <r>
      <t xml:space="preserve">EF = 1.4 + (-0.03 * </t>
    </r>
    <r>
      <rPr>
        <b/>
        <sz val="32"/>
        <color rgb="FFFF3300"/>
        <rFont val="Arial"/>
        <family val="2"/>
      </rPr>
      <t>EFactor</t>
    </r>
    <r>
      <rPr>
        <b/>
        <sz val="32"/>
        <color rgb="FF003366"/>
        <rFont val="Arial"/>
        <family val="2"/>
      </rPr>
      <t>)</t>
    </r>
  </si>
  <si>
    <t>AUCP = UUCP * TCF * EF</t>
  </si>
  <si>
    <t>AUCP</t>
  </si>
  <si>
    <t xml:space="preserve">UCP </t>
  </si>
  <si>
    <t>Paso 4</t>
  </si>
  <si>
    <t>Esfuerzo</t>
  </si>
  <si>
    <t>Horas hombre</t>
  </si>
  <si>
    <t>Hombre mes</t>
  </si>
  <si>
    <t>Cocomo</t>
  </si>
  <si>
    <t>Tiempo</t>
  </si>
  <si>
    <t>meses</t>
  </si>
  <si>
    <t>personas</t>
  </si>
  <si>
    <t>Recorte al 75%</t>
  </si>
  <si>
    <t xml:space="preserve">Costo </t>
  </si>
  <si>
    <t>Dolares</t>
  </si>
  <si>
    <t>Effort</t>
  </si>
  <si>
    <t>Schedule</t>
  </si>
  <si>
    <t>Ingresar nuevo automovil</t>
  </si>
  <si>
    <t>Caso de uso</t>
  </si>
  <si>
    <t>Puntos de caso de uso (no ajustados)</t>
  </si>
  <si>
    <t xml:space="preserve">Autenticar Usuario </t>
  </si>
  <si>
    <t>Administrar Equipos</t>
  </si>
  <si>
    <t>Administrar Vehículos</t>
  </si>
  <si>
    <t>Buscar Clientes</t>
  </si>
  <si>
    <t>Listar vehículo por categoría</t>
  </si>
  <si>
    <t>Administrar plantas de revisión</t>
  </si>
  <si>
    <t>Realizar revisión de vehículo</t>
  </si>
  <si>
    <t>Consultar revisión</t>
  </si>
  <si>
    <t>Revisar auto por segunda vez</t>
  </si>
  <si>
    <t>Registrar cita para revisión</t>
  </si>
  <si>
    <t>Cancelar cita de revisión</t>
  </si>
  <si>
    <t>Si es un alumno</t>
  </si>
  <si>
    <t>Experimentado</t>
  </si>
  <si>
    <t>Asumiendo 10 horas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</si>
</sst>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8"/>
      <color rgb="FF003366"/>
      <name val="Arial"/>
      <family val="2"/>
    </font>
    <font>
      <b/>
      <sz val="28"/>
      <color rgb="FFFF3300"/>
      <name val="Arial"/>
      <family val="2"/>
    </font>
    <font>
      <b/>
      <sz val="32"/>
      <color rgb="FF003366"/>
      <name val="Arial"/>
      <family val="2"/>
    </font>
    <font>
      <b/>
      <sz val="32"/>
      <color rgb="FFFF3300"/>
      <name val="Arial"/>
      <family val="2"/>
    </font>
    <font>
      <sz val="11"/>
      <color rgb="FF000000"/>
      <name val="Arial"/>
      <family val="2"/>
    </font>
    <font>
      <sz val="9"/>
      <color rgb="FF0033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10" fontId="0" fillId="0" borderId="1" xfId="2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4" fontId="0" fillId="0" borderId="1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3" fontId="6" fillId="0" borderId="5" xfId="0" applyNumberFormat="1" applyFont="1" applyBorder="1" applyAlignment="1">
      <alignment horizontal="center" vertical="center" wrapText="1"/>
    </xf>
    <xf numFmtId="9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2" fontId="0" fillId="0" borderId="1" xfId="0" applyNumberFormat="1" applyBorder="1"/>
    <xf numFmtId="2" fontId="0" fillId="0" borderId="1" xfId="1" applyNumberFormat="1" applyFont="1" applyBorder="1"/>
    <xf numFmtId="0" fontId="7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center" vertical="center" readingOrder="1"/>
    </xf>
    <xf numFmtId="9" fontId="0" fillId="0" borderId="1" xfId="0" applyNumberFormat="1" applyBorder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indent="3" readingOrder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76ED-5262-4DBA-84E3-FA7F193D55BE}">
  <dimension ref="A1:BB87"/>
  <sheetViews>
    <sheetView tabSelected="1" topLeftCell="I29" zoomScale="110" zoomScaleNormal="141" workbookViewId="0">
      <selection activeCell="N36" sqref="N36:O36"/>
    </sheetView>
  </sheetViews>
  <sheetFormatPr defaultRowHeight="14.4" x14ac:dyDescent="0.3"/>
  <cols>
    <col min="17" max="17" width="11.88671875" customWidth="1"/>
    <col min="18" max="18" width="12.33203125" bestFit="1" customWidth="1"/>
    <col min="20" max="20" width="14.6640625" customWidth="1"/>
    <col min="26" max="26" width="13.109375" customWidth="1"/>
    <col min="27" max="27" width="8.88671875" customWidth="1"/>
    <col min="28" max="28" width="26.88671875" customWidth="1"/>
    <col min="29" max="29" width="15.5546875" customWidth="1"/>
    <col min="50" max="50" width="25.44140625" customWidth="1"/>
  </cols>
  <sheetData>
    <row r="1" spans="1:51" x14ac:dyDescent="0.3">
      <c r="A1" t="s">
        <v>40</v>
      </c>
      <c r="P1" t="s">
        <v>42</v>
      </c>
      <c r="X1" t="s">
        <v>41</v>
      </c>
    </row>
    <row r="2" spans="1:51" ht="15" thickBot="1" x14ac:dyDescent="0.35">
      <c r="X2" t="s">
        <v>7</v>
      </c>
      <c r="Y2" t="s">
        <v>171</v>
      </c>
      <c r="AT2" t="s">
        <v>10</v>
      </c>
      <c r="AU2" t="s">
        <v>171</v>
      </c>
    </row>
    <row r="3" spans="1:51" ht="27" thickBot="1" x14ac:dyDescent="0.35">
      <c r="B3" s="5" t="s">
        <v>0</v>
      </c>
      <c r="C3" s="6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7" t="s">
        <v>32</v>
      </c>
      <c r="J3" s="7" t="s">
        <v>33</v>
      </c>
      <c r="K3" s="7" t="s">
        <v>34</v>
      </c>
      <c r="L3" s="7" t="s">
        <v>35</v>
      </c>
      <c r="M3" s="1"/>
      <c r="N3" s="1"/>
      <c r="Q3" s="13" t="s">
        <v>43</v>
      </c>
      <c r="R3" s="14" t="s">
        <v>39</v>
      </c>
      <c r="S3" s="14" t="s">
        <v>44</v>
      </c>
      <c r="Y3" t="s">
        <v>94</v>
      </c>
      <c r="AC3" t="s">
        <v>95</v>
      </c>
      <c r="AU3" t="s">
        <v>94</v>
      </c>
      <c r="AY3" t="s">
        <v>95</v>
      </c>
    </row>
    <row r="4" spans="1:51" ht="40.200000000000003" thickBot="1" x14ac:dyDescent="0.35">
      <c r="B4" s="8" t="s">
        <v>7</v>
      </c>
      <c r="C4" s="9" t="s">
        <v>8</v>
      </c>
      <c r="D4" s="8" t="s">
        <v>9</v>
      </c>
      <c r="E4" s="8">
        <v>6</v>
      </c>
      <c r="F4" s="8">
        <v>8</v>
      </c>
      <c r="G4" s="8">
        <v>10</v>
      </c>
      <c r="H4" s="8">
        <v>10</v>
      </c>
      <c r="I4" s="3">
        <f>(E4+4*F4+G4)/6</f>
        <v>8</v>
      </c>
      <c r="J4" s="3">
        <f>(G4-E4)/6</f>
        <v>0.66666666666666663</v>
      </c>
      <c r="K4" s="3"/>
      <c r="L4" s="3"/>
      <c r="Q4" s="15" t="s">
        <v>45</v>
      </c>
      <c r="R4" s="16">
        <v>0.7</v>
      </c>
      <c r="S4" s="17">
        <v>100</v>
      </c>
      <c r="T4">
        <f>R4*S4</f>
        <v>70</v>
      </c>
      <c r="Z4" t="s">
        <v>96</v>
      </c>
      <c r="AA4">
        <v>1</v>
      </c>
      <c r="AB4" t="s">
        <v>97</v>
      </c>
      <c r="AC4">
        <v>3</v>
      </c>
      <c r="AV4" t="s">
        <v>96</v>
      </c>
      <c r="AW4">
        <v>1</v>
      </c>
      <c r="AX4" t="s">
        <v>97</v>
      </c>
      <c r="AY4">
        <v>3</v>
      </c>
    </row>
    <row r="5" spans="1:51" ht="40.200000000000003" thickBot="1" x14ac:dyDescent="0.35">
      <c r="B5" s="10" t="s">
        <v>10</v>
      </c>
      <c r="C5" s="11" t="s">
        <v>11</v>
      </c>
      <c r="D5" s="10" t="s">
        <v>9</v>
      </c>
      <c r="E5" s="10">
        <v>3</v>
      </c>
      <c r="F5" s="10">
        <v>6</v>
      </c>
      <c r="G5" s="10">
        <v>9</v>
      </c>
      <c r="H5" s="10">
        <v>20</v>
      </c>
      <c r="I5" s="3">
        <f t="shared" ref="I5:I14" si="0">(E5+4*F5+G5)/6</f>
        <v>6</v>
      </c>
      <c r="J5" s="3">
        <f t="shared" ref="J5:J14" si="1">(G5-E5)/6</f>
        <v>1</v>
      </c>
      <c r="K5" s="3">
        <f>J5</f>
        <v>1</v>
      </c>
      <c r="L5" s="3">
        <f>K5^2</f>
        <v>1</v>
      </c>
      <c r="Q5" s="15" t="s">
        <v>46</v>
      </c>
      <c r="R5" s="16">
        <v>0.1</v>
      </c>
      <c r="S5" s="18">
        <v>1000</v>
      </c>
      <c r="T5">
        <f t="shared" ref="T5:T6" si="2">R5*S5</f>
        <v>100</v>
      </c>
      <c r="AG5" s="35"/>
    </row>
    <row r="6" spans="1:51" ht="83.4" thickBot="1" x14ac:dyDescent="0.35">
      <c r="B6" s="8" t="s">
        <v>12</v>
      </c>
      <c r="C6" s="9" t="s">
        <v>13</v>
      </c>
      <c r="D6" s="8" t="s">
        <v>9</v>
      </c>
      <c r="E6" s="8">
        <v>1</v>
      </c>
      <c r="F6" s="8">
        <v>3</v>
      </c>
      <c r="G6" s="8">
        <v>5</v>
      </c>
      <c r="H6" s="8">
        <v>30</v>
      </c>
      <c r="I6" s="3">
        <f t="shared" si="0"/>
        <v>3</v>
      </c>
      <c r="J6" s="3">
        <f t="shared" si="1"/>
        <v>0.66666666666666663</v>
      </c>
      <c r="K6" s="3"/>
      <c r="L6" s="3"/>
      <c r="Q6" s="15" t="s">
        <v>47</v>
      </c>
      <c r="R6" s="19">
        <v>1.0000000000000001E-5</v>
      </c>
      <c r="S6" s="18">
        <v>100000</v>
      </c>
      <c r="T6">
        <f t="shared" si="2"/>
        <v>1</v>
      </c>
      <c r="Y6" t="s">
        <v>98</v>
      </c>
      <c r="Z6" s="31" t="s">
        <v>172</v>
      </c>
      <c r="AC6" s="32" t="s">
        <v>173</v>
      </c>
      <c r="AU6" t="s">
        <v>98</v>
      </c>
      <c r="AV6" s="31" t="s">
        <v>172</v>
      </c>
      <c r="AY6" s="32" t="s">
        <v>173</v>
      </c>
    </row>
    <row r="7" spans="1:51" ht="41.4" x14ac:dyDescent="0.3">
      <c r="B7" s="10" t="s">
        <v>14</v>
      </c>
      <c r="C7" s="11" t="s">
        <v>15</v>
      </c>
      <c r="D7" s="10" t="s">
        <v>10</v>
      </c>
      <c r="E7" s="10">
        <v>2</v>
      </c>
      <c r="F7" s="10">
        <v>3</v>
      </c>
      <c r="G7" s="10">
        <v>4</v>
      </c>
      <c r="H7" s="10">
        <v>40</v>
      </c>
      <c r="I7" s="3">
        <f t="shared" si="0"/>
        <v>3</v>
      </c>
      <c r="J7" s="3">
        <f t="shared" si="1"/>
        <v>0.33333333333333331</v>
      </c>
      <c r="K7" s="3">
        <f>J7</f>
        <v>0.33333333333333331</v>
      </c>
      <c r="L7" s="3">
        <f>K7^2</f>
        <v>0.1111111111111111</v>
      </c>
      <c r="Z7" s="33" t="s">
        <v>174</v>
      </c>
      <c r="AC7" s="34">
        <v>8</v>
      </c>
      <c r="AV7" s="33" t="s">
        <v>174</v>
      </c>
      <c r="AY7" s="34">
        <v>8</v>
      </c>
    </row>
    <row r="8" spans="1:51" ht="42" thickBot="1" x14ac:dyDescent="0.35">
      <c r="B8" s="8" t="s">
        <v>16</v>
      </c>
      <c r="C8" s="9" t="s">
        <v>17</v>
      </c>
      <c r="D8" s="8" t="s">
        <v>12</v>
      </c>
      <c r="E8" s="8">
        <v>3</v>
      </c>
      <c r="F8" s="8">
        <v>4</v>
      </c>
      <c r="G8" s="8">
        <v>5</v>
      </c>
      <c r="H8" s="8">
        <v>20</v>
      </c>
      <c r="I8" s="3">
        <f t="shared" si="0"/>
        <v>4</v>
      </c>
      <c r="J8" s="3">
        <f t="shared" si="1"/>
        <v>0.33333333333333331</v>
      </c>
      <c r="K8" s="3"/>
      <c r="L8" s="3"/>
      <c r="P8" t="s">
        <v>48</v>
      </c>
      <c r="Z8" s="33" t="s">
        <v>175</v>
      </c>
      <c r="AC8" s="34">
        <v>13</v>
      </c>
      <c r="AV8" s="33" t="s">
        <v>175</v>
      </c>
      <c r="AY8" s="34">
        <v>13</v>
      </c>
    </row>
    <row r="9" spans="1:51" ht="66.599999999999994" thickBot="1" x14ac:dyDescent="0.35">
      <c r="B9" s="10" t="s">
        <v>18</v>
      </c>
      <c r="C9" s="11" t="s">
        <v>19</v>
      </c>
      <c r="D9" s="10" t="s">
        <v>7</v>
      </c>
      <c r="E9" s="10">
        <v>2</v>
      </c>
      <c r="F9" s="10">
        <v>4</v>
      </c>
      <c r="G9" s="10">
        <v>12</v>
      </c>
      <c r="H9" s="10">
        <v>10</v>
      </c>
      <c r="I9" s="3">
        <f t="shared" si="0"/>
        <v>5</v>
      </c>
      <c r="J9" s="3">
        <f t="shared" si="1"/>
        <v>1.6666666666666667</v>
      </c>
      <c r="K9" s="3"/>
      <c r="L9" s="3"/>
      <c r="Q9" s="20" t="s">
        <v>49</v>
      </c>
      <c r="R9" s="21" t="s">
        <v>50</v>
      </c>
      <c r="S9" s="21" t="s">
        <v>51</v>
      </c>
      <c r="T9" s="21" t="s">
        <v>52</v>
      </c>
      <c r="U9" s="21" t="s">
        <v>53</v>
      </c>
      <c r="Z9" s="33" t="s">
        <v>176</v>
      </c>
      <c r="AC9" s="34">
        <v>8</v>
      </c>
      <c r="AV9" s="33" t="s">
        <v>176</v>
      </c>
      <c r="AY9" s="34">
        <v>8</v>
      </c>
    </row>
    <row r="10" spans="1:51" ht="53.4" thickBot="1" x14ac:dyDescent="0.35">
      <c r="B10" s="8" t="s">
        <v>20</v>
      </c>
      <c r="C10" s="9" t="s">
        <v>21</v>
      </c>
      <c r="D10" s="8" t="s">
        <v>22</v>
      </c>
      <c r="E10" s="8">
        <v>3</v>
      </c>
      <c r="F10" s="8">
        <v>7</v>
      </c>
      <c r="G10" s="8">
        <v>11</v>
      </c>
      <c r="H10" s="8">
        <v>10</v>
      </c>
      <c r="I10" s="3">
        <f t="shared" si="0"/>
        <v>7</v>
      </c>
      <c r="J10" s="3">
        <f t="shared" si="1"/>
        <v>1.3333333333333333</v>
      </c>
      <c r="K10" s="3">
        <f>J10</f>
        <v>1.3333333333333333</v>
      </c>
      <c r="L10" s="3">
        <f>K10^2</f>
        <v>1.7777777777777777</v>
      </c>
      <c r="Q10" s="22" t="s">
        <v>54</v>
      </c>
      <c r="R10" s="23">
        <v>8000</v>
      </c>
      <c r="S10" s="24">
        <v>1</v>
      </c>
      <c r="T10" s="23">
        <v>8500</v>
      </c>
      <c r="U10" s="23">
        <v>8000</v>
      </c>
      <c r="Z10" s="33" t="s">
        <v>177</v>
      </c>
      <c r="AC10" s="34">
        <v>13</v>
      </c>
      <c r="AV10" s="33" t="s">
        <v>177</v>
      </c>
      <c r="AY10" s="34">
        <v>13</v>
      </c>
    </row>
    <row r="11" spans="1:51" ht="69.599999999999994" thickBot="1" x14ac:dyDescent="0.35">
      <c r="B11" s="10" t="s">
        <v>23</v>
      </c>
      <c r="C11" s="11" t="s">
        <v>24</v>
      </c>
      <c r="D11" s="10" t="s">
        <v>12</v>
      </c>
      <c r="E11" s="10">
        <v>2</v>
      </c>
      <c r="F11" s="10">
        <v>2</v>
      </c>
      <c r="G11" s="10">
        <v>2</v>
      </c>
      <c r="H11" s="10">
        <v>10</v>
      </c>
      <c r="I11" s="3">
        <f t="shared" si="0"/>
        <v>2</v>
      </c>
      <c r="J11" s="3">
        <f t="shared" si="1"/>
        <v>0</v>
      </c>
      <c r="K11" s="3"/>
      <c r="L11" s="3"/>
      <c r="Q11" s="22" t="s">
        <v>55</v>
      </c>
      <c r="R11" s="23">
        <v>25000</v>
      </c>
      <c r="S11" s="24">
        <v>1</v>
      </c>
      <c r="T11" s="23">
        <v>28000</v>
      </c>
      <c r="U11" s="23">
        <v>25000</v>
      </c>
      <c r="Z11" s="33" t="s">
        <v>178</v>
      </c>
      <c r="AC11" s="34">
        <v>18</v>
      </c>
      <c r="AV11" s="33" t="s">
        <v>178</v>
      </c>
      <c r="AY11" s="34">
        <v>18</v>
      </c>
    </row>
    <row r="12" spans="1:51" ht="69.599999999999994" thickBot="1" x14ac:dyDescent="0.35">
      <c r="B12" s="8" t="s">
        <v>25</v>
      </c>
      <c r="C12" s="9" t="s">
        <v>26</v>
      </c>
      <c r="D12" s="8" t="s">
        <v>22</v>
      </c>
      <c r="E12" s="8">
        <v>2</v>
      </c>
      <c r="F12" s="8">
        <v>4</v>
      </c>
      <c r="G12" s="8">
        <v>6</v>
      </c>
      <c r="H12" s="8">
        <v>80</v>
      </c>
      <c r="I12" s="3">
        <f t="shared" si="0"/>
        <v>4</v>
      </c>
      <c r="J12" s="3">
        <f t="shared" si="1"/>
        <v>0.66666666666666663</v>
      </c>
      <c r="K12" s="3"/>
      <c r="L12" s="3"/>
      <c r="Q12" s="22" t="s">
        <v>56</v>
      </c>
      <c r="R12" s="23">
        <v>150000</v>
      </c>
      <c r="S12" s="24">
        <v>0.7</v>
      </c>
      <c r="T12" s="23">
        <v>120000</v>
      </c>
      <c r="U12" s="23">
        <v>120000</v>
      </c>
      <c r="Z12" s="33" t="s">
        <v>179</v>
      </c>
      <c r="AC12" s="34">
        <v>13</v>
      </c>
      <c r="AV12" s="33" t="s">
        <v>179</v>
      </c>
      <c r="AY12" s="34">
        <v>13</v>
      </c>
    </row>
    <row r="13" spans="1:51" ht="55.8" thickBot="1" x14ac:dyDescent="0.35">
      <c r="B13" s="10" t="s">
        <v>27</v>
      </c>
      <c r="C13" s="11" t="s">
        <v>28</v>
      </c>
      <c r="D13" s="10" t="s">
        <v>18</v>
      </c>
      <c r="E13" s="10">
        <v>1</v>
      </c>
      <c r="F13" s="10">
        <v>4</v>
      </c>
      <c r="G13" s="10">
        <v>7</v>
      </c>
      <c r="H13" s="10">
        <v>15</v>
      </c>
      <c r="I13" s="3">
        <f t="shared" si="0"/>
        <v>4</v>
      </c>
      <c r="J13" s="3">
        <f t="shared" si="1"/>
        <v>1</v>
      </c>
      <c r="K13" s="3"/>
      <c r="L13" s="3"/>
      <c r="Q13" s="22" t="s">
        <v>57</v>
      </c>
      <c r="R13" s="23">
        <v>15000</v>
      </c>
      <c r="S13" s="24">
        <v>0.1</v>
      </c>
      <c r="T13" s="23">
        <v>1800</v>
      </c>
      <c r="U13" s="25">
        <v>0</v>
      </c>
      <c r="Z13" s="33" t="s">
        <v>180</v>
      </c>
      <c r="AC13" s="34">
        <v>18</v>
      </c>
      <c r="AV13" s="33" t="s">
        <v>180</v>
      </c>
      <c r="AY13" s="34">
        <v>18</v>
      </c>
    </row>
    <row r="14" spans="1:51" ht="41.4" x14ac:dyDescent="0.3">
      <c r="B14" s="8" t="s">
        <v>29</v>
      </c>
      <c r="C14" s="9" t="s">
        <v>30</v>
      </c>
      <c r="D14" s="8" t="s">
        <v>31</v>
      </c>
      <c r="E14" s="8">
        <v>1</v>
      </c>
      <c r="F14" s="8">
        <v>10</v>
      </c>
      <c r="G14" s="8">
        <v>13</v>
      </c>
      <c r="H14" s="8">
        <v>20</v>
      </c>
      <c r="I14" s="3">
        <f t="shared" si="0"/>
        <v>9</v>
      </c>
      <c r="J14" s="3">
        <f t="shared" si="1"/>
        <v>2</v>
      </c>
      <c r="K14" s="3">
        <f>J14</f>
        <v>2</v>
      </c>
      <c r="L14" s="3">
        <f>K14^2</f>
        <v>4</v>
      </c>
      <c r="Z14" s="33" t="s">
        <v>181</v>
      </c>
      <c r="AC14" s="34">
        <v>13</v>
      </c>
      <c r="AV14" s="33" t="s">
        <v>181</v>
      </c>
      <c r="AY14" s="34">
        <v>13</v>
      </c>
    </row>
    <row r="15" spans="1:51" ht="55.8" thickBot="1" x14ac:dyDescent="0.35">
      <c r="K15" s="3">
        <f>SUM(K3:K14)</f>
        <v>4.6666666666666661</v>
      </c>
      <c r="L15" s="12">
        <f>SQRT(SUM(L3:L14))</f>
        <v>2.6246692913372702</v>
      </c>
      <c r="Z15" s="22" t="s">
        <v>182</v>
      </c>
      <c r="AC15" s="25">
        <v>18</v>
      </c>
      <c r="AV15" s="22" t="s">
        <v>182</v>
      </c>
      <c r="AY15" s="25">
        <v>18</v>
      </c>
    </row>
    <row r="16" spans="1:51" ht="55.2" x14ac:dyDescent="0.3">
      <c r="Z16" s="33" t="s">
        <v>183</v>
      </c>
      <c r="AC16" s="34">
        <v>13</v>
      </c>
      <c r="AV16" s="33" t="s">
        <v>183</v>
      </c>
      <c r="AY16" s="34">
        <v>13</v>
      </c>
    </row>
    <row r="17" spans="11:53" ht="41.4" customHeight="1" x14ac:dyDescent="0.3">
      <c r="Z17" s="33" t="s">
        <v>184</v>
      </c>
      <c r="AC17" s="34">
        <v>8</v>
      </c>
      <c r="AD17" s="3"/>
      <c r="AV17" s="33" t="s">
        <v>184</v>
      </c>
      <c r="AY17" s="34">
        <v>8</v>
      </c>
      <c r="AZ17" s="3"/>
    </row>
    <row r="18" spans="11:53" x14ac:dyDescent="0.3">
      <c r="K18" s="3" t="s">
        <v>36</v>
      </c>
      <c r="L18" s="3">
        <v>26</v>
      </c>
    </row>
    <row r="19" spans="11:53" x14ac:dyDescent="0.3">
      <c r="K19" s="3" t="s">
        <v>37</v>
      </c>
      <c r="L19" s="3">
        <f>L15</f>
        <v>2.6246692913372702</v>
      </c>
      <c r="Q19" s="3" t="s">
        <v>58</v>
      </c>
      <c r="R19" s="26">
        <f>SUM(R10:R13)</f>
        <v>198000</v>
      </c>
      <c r="AB19" s="36"/>
      <c r="AC19" s="36"/>
      <c r="AX19" s="36"/>
      <c r="AY19" s="36"/>
    </row>
    <row r="20" spans="11:53" x14ac:dyDescent="0.3">
      <c r="K20" s="3" t="s">
        <v>38</v>
      </c>
      <c r="L20" s="3">
        <v>29.858326116342607</v>
      </c>
      <c r="Q20" s="3" t="s">
        <v>59</v>
      </c>
      <c r="R20" s="26">
        <f>SUM(U10:U13)</f>
        <v>153000</v>
      </c>
      <c r="AB20" s="3" t="s">
        <v>99</v>
      </c>
      <c r="AC20" s="3">
        <f>SUM(AC7:AC17)</f>
        <v>143</v>
      </c>
      <c r="AX20" s="3" t="s">
        <v>99</v>
      </c>
      <c r="AY20" s="3">
        <f>SUM(AY7:AY17)</f>
        <v>143</v>
      </c>
    </row>
    <row r="21" spans="11:53" x14ac:dyDescent="0.3">
      <c r="K21" s="3" t="s">
        <v>39</v>
      </c>
      <c r="L21" s="4">
        <f>_xlfn.NORM.DIST(L20,L18,L19,1)</f>
        <v>0.92922233511626318</v>
      </c>
      <c r="Q21" s="3" t="s">
        <v>60</v>
      </c>
      <c r="R21" s="27">
        <f>SUMPRODUCT(R10:R13,S10:S13)</f>
        <v>139500</v>
      </c>
      <c r="Y21" t="s">
        <v>100</v>
      </c>
      <c r="Z21" s="36" t="s">
        <v>101</v>
      </c>
      <c r="AA21" s="36"/>
      <c r="AU21" t="s">
        <v>100</v>
      </c>
      <c r="AV21" s="36" t="s">
        <v>101</v>
      </c>
      <c r="AW21" s="36"/>
    </row>
    <row r="22" spans="11:53" x14ac:dyDescent="0.3">
      <c r="Q22" s="3" t="s">
        <v>61</v>
      </c>
      <c r="R22" s="26">
        <f>SUM(T10:T13)</f>
        <v>158300</v>
      </c>
      <c r="Z22" t="s">
        <v>102</v>
      </c>
      <c r="AV22" t="s">
        <v>102</v>
      </c>
    </row>
    <row r="23" spans="11:53" x14ac:dyDescent="0.3">
      <c r="R23" s="2"/>
      <c r="AA23" s="3" t="s">
        <v>103</v>
      </c>
      <c r="AB23" s="3" t="s">
        <v>104</v>
      </c>
      <c r="AC23" s="3" t="s">
        <v>105</v>
      </c>
      <c r="AD23" s="3" t="s">
        <v>106</v>
      </c>
      <c r="AE23" s="3" t="s">
        <v>107</v>
      </c>
      <c r="AW23" s="3" t="s">
        <v>103</v>
      </c>
      <c r="AX23" s="3" t="s">
        <v>104</v>
      </c>
      <c r="AY23" s="3" t="s">
        <v>105</v>
      </c>
      <c r="AZ23" s="3" t="s">
        <v>106</v>
      </c>
      <c r="BA23" s="3" t="s">
        <v>107</v>
      </c>
    </row>
    <row r="24" spans="11:53" x14ac:dyDescent="0.3">
      <c r="Q24" s="3" t="s">
        <v>62</v>
      </c>
      <c r="R24" s="26">
        <f>R21-R22</f>
        <v>-18800</v>
      </c>
      <c r="T24" t="s">
        <v>63</v>
      </c>
      <c r="AA24" s="3" t="s">
        <v>108</v>
      </c>
      <c r="AB24" s="3" t="s">
        <v>109</v>
      </c>
      <c r="AC24" s="3">
        <v>2</v>
      </c>
      <c r="AD24" s="3">
        <v>0</v>
      </c>
      <c r="AE24" s="3">
        <f t="shared" ref="AE24:AE27" si="3">AC24*AD24</f>
        <v>0</v>
      </c>
      <c r="AW24" s="3" t="s">
        <v>108</v>
      </c>
      <c r="AX24" s="3" t="s">
        <v>109</v>
      </c>
      <c r="AY24" s="3">
        <v>2</v>
      </c>
      <c r="AZ24" s="3">
        <v>0</v>
      </c>
      <c r="BA24" s="3">
        <f t="shared" ref="BA24:BA27" si="4">AY24*AZ24</f>
        <v>0</v>
      </c>
    </row>
    <row r="25" spans="11:53" x14ac:dyDescent="0.3">
      <c r="Q25" s="3" t="s">
        <v>64</v>
      </c>
      <c r="R25" s="26">
        <f>R21-R20</f>
        <v>-13500</v>
      </c>
      <c r="T25" t="s">
        <v>65</v>
      </c>
      <c r="AA25" s="3" t="s">
        <v>110</v>
      </c>
      <c r="AB25" s="3" t="s">
        <v>111</v>
      </c>
      <c r="AC25" s="3">
        <v>2</v>
      </c>
      <c r="AD25" s="3">
        <v>0</v>
      </c>
      <c r="AE25" s="3">
        <f t="shared" si="3"/>
        <v>0</v>
      </c>
      <c r="AW25" s="3" t="s">
        <v>110</v>
      </c>
      <c r="AX25" s="3" t="s">
        <v>111</v>
      </c>
      <c r="AY25" s="3">
        <v>2</v>
      </c>
      <c r="AZ25" s="3">
        <v>0</v>
      </c>
      <c r="BA25" s="3">
        <f t="shared" si="4"/>
        <v>0</v>
      </c>
    </row>
    <row r="26" spans="11:53" x14ac:dyDescent="0.3">
      <c r="Q26" s="3" t="s">
        <v>66</v>
      </c>
      <c r="R26" s="26">
        <f>R21/R22</f>
        <v>0.88123815540113704</v>
      </c>
      <c r="T26" t="s">
        <v>67</v>
      </c>
      <c r="AA26" s="3" t="s">
        <v>112</v>
      </c>
      <c r="AB26" s="3" t="s">
        <v>113</v>
      </c>
      <c r="AC26" s="3">
        <v>1</v>
      </c>
      <c r="AD26" s="3">
        <v>0</v>
      </c>
      <c r="AE26" s="3">
        <f t="shared" si="3"/>
        <v>0</v>
      </c>
      <c r="AW26" s="3" t="s">
        <v>112</v>
      </c>
      <c r="AX26" s="3" t="s">
        <v>113</v>
      </c>
      <c r="AY26" s="3">
        <v>1</v>
      </c>
      <c r="AZ26" s="3">
        <v>0</v>
      </c>
      <c r="BA26" s="3">
        <f t="shared" si="4"/>
        <v>0</v>
      </c>
    </row>
    <row r="27" spans="11:53" x14ac:dyDescent="0.3">
      <c r="Q27" s="3" t="s">
        <v>68</v>
      </c>
      <c r="R27" s="26">
        <f>R21/R20</f>
        <v>0.91176470588235292</v>
      </c>
      <c r="T27" t="s">
        <v>69</v>
      </c>
      <c r="AA27" s="3" t="s">
        <v>114</v>
      </c>
      <c r="AB27" s="3" t="s">
        <v>115</v>
      </c>
      <c r="AC27" s="3">
        <v>1</v>
      </c>
      <c r="AD27" s="3">
        <v>0</v>
      </c>
      <c r="AE27" s="3">
        <f t="shared" si="3"/>
        <v>0</v>
      </c>
      <c r="AW27" s="3" t="s">
        <v>114</v>
      </c>
      <c r="AX27" s="3" t="s">
        <v>115</v>
      </c>
      <c r="AY27" s="3">
        <v>1</v>
      </c>
      <c r="AZ27" s="3">
        <v>0</v>
      </c>
      <c r="BA27" s="3">
        <f t="shared" si="4"/>
        <v>0</v>
      </c>
    </row>
    <row r="28" spans="11:53" x14ac:dyDescent="0.3">
      <c r="Q28" s="3" t="s">
        <v>70</v>
      </c>
      <c r="R28" s="26">
        <f>R26*R27</f>
        <v>0.80348184757162489</v>
      </c>
      <c r="AA28" s="3" t="s">
        <v>116</v>
      </c>
      <c r="AB28" s="3" t="s">
        <v>117</v>
      </c>
      <c r="AC28" s="3">
        <v>1</v>
      </c>
      <c r="AD28" s="3">
        <v>5</v>
      </c>
      <c r="AE28" s="3">
        <f>AC28*AD28</f>
        <v>5</v>
      </c>
      <c r="AW28" s="3" t="s">
        <v>116</v>
      </c>
      <c r="AX28" s="3" t="s">
        <v>117</v>
      </c>
      <c r="AY28" s="3">
        <v>1</v>
      </c>
      <c r="AZ28" s="3">
        <v>5</v>
      </c>
      <c r="BA28" s="3">
        <f>AY28*AZ28</f>
        <v>5</v>
      </c>
    </row>
    <row r="29" spans="11:53" x14ac:dyDescent="0.3">
      <c r="R29" s="2"/>
      <c r="AA29" s="3" t="s">
        <v>118</v>
      </c>
      <c r="AB29" s="3" t="s">
        <v>119</v>
      </c>
      <c r="AC29" s="3">
        <v>0.5</v>
      </c>
      <c r="AD29" s="3">
        <v>0</v>
      </c>
      <c r="AE29" s="3">
        <f t="shared" ref="AE29:AE36" si="5">AC29*AD29</f>
        <v>0</v>
      </c>
      <c r="AW29" s="3" t="s">
        <v>118</v>
      </c>
      <c r="AX29" s="3" t="s">
        <v>119</v>
      </c>
      <c r="AY29" s="3">
        <v>0.5</v>
      </c>
      <c r="AZ29" s="3">
        <v>0</v>
      </c>
      <c r="BA29" s="3">
        <f t="shared" ref="BA29:BA36" si="6">AY29*AZ29</f>
        <v>0</v>
      </c>
    </row>
    <row r="30" spans="11:53" x14ac:dyDescent="0.3">
      <c r="Q30" s="3" t="s">
        <v>71</v>
      </c>
      <c r="R30" s="26">
        <f>R19/R26</f>
        <v>224683.87096774194</v>
      </c>
      <c r="T30" t="s">
        <v>72</v>
      </c>
      <c r="AA30" s="3" t="s">
        <v>120</v>
      </c>
      <c r="AB30" s="3" t="s">
        <v>121</v>
      </c>
      <c r="AC30" s="3">
        <v>0.5</v>
      </c>
      <c r="AD30" s="3">
        <v>0</v>
      </c>
      <c r="AE30" s="3">
        <f t="shared" si="5"/>
        <v>0</v>
      </c>
      <c r="AW30" s="3" t="s">
        <v>120</v>
      </c>
      <c r="AX30" s="3" t="s">
        <v>121</v>
      </c>
      <c r="AY30" s="3">
        <v>0.5</v>
      </c>
      <c r="AZ30" s="3">
        <v>0</v>
      </c>
      <c r="BA30" s="3">
        <f t="shared" si="6"/>
        <v>0</v>
      </c>
    </row>
    <row r="31" spans="11:53" x14ac:dyDescent="0.3">
      <c r="Q31" s="3" t="s">
        <v>73</v>
      </c>
      <c r="R31" s="26">
        <f>18/R27</f>
        <v>19.741935483870968</v>
      </c>
      <c r="T31" t="s">
        <v>74</v>
      </c>
      <c r="AA31" s="3" t="s">
        <v>122</v>
      </c>
      <c r="AB31" s="3" t="s">
        <v>123</v>
      </c>
      <c r="AC31" s="3">
        <v>2</v>
      </c>
      <c r="AD31" s="3">
        <v>0</v>
      </c>
      <c r="AE31" s="3">
        <f t="shared" si="5"/>
        <v>0</v>
      </c>
      <c r="AW31" s="3" t="s">
        <v>122</v>
      </c>
      <c r="AX31" s="3" t="s">
        <v>123</v>
      </c>
      <c r="AY31" s="3">
        <v>2</v>
      </c>
      <c r="AZ31" s="3">
        <v>0</v>
      </c>
      <c r="BA31" s="3">
        <f t="shared" si="6"/>
        <v>0</v>
      </c>
    </row>
    <row r="32" spans="11:53" x14ac:dyDescent="0.3">
      <c r="R32" s="2"/>
      <c r="AA32" s="3" t="s">
        <v>124</v>
      </c>
      <c r="AB32" s="3" t="s">
        <v>125</v>
      </c>
      <c r="AC32" s="3">
        <v>1</v>
      </c>
      <c r="AD32" s="3">
        <v>0</v>
      </c>
      <c r="AE32" s="3">
        <f t="shared" si="5"/>
        <v>0</v>
      </c>
      <c r="AW32" s="3" t="s">
        <v>124</v>
      </c>
      <c r="AX32" s="3" t="s">
        <v>125</v>
      </c>
      <c r="AY32" s="3">
        <v>1</v>
      </c>
      <c r="AZ32" s="3">
        <v>0</v>
      </c>
      <c r="BA32" s="3">
        <f t="shared" si="6"/>
        <v>0</v>
      </c>
    </row>
    <row r="33" spans="17:54" x14ac:dyDescent="0.3">
      <c r="Q33" s="3" t="s">
        <v>75</v>
      </c>
      <c r="R33" s="26">
        <f>R19-R30</f>
        <v>-26683.870967741939</v>
      </c>
      <c r="T33" t="s">
        <v>76</v>
      </c>
      <c r="AA33" s="3" t="s">
        <v>126</v>
      </c>
      <c r="AB33" s="3" t="s">
        <v>127</v>
      </c>
      <c r="AC33" s="3">
        <v>1</v>
      </c>
      <c r="AD33" s="3">
        <v>5</v>
      </c>
      <c r="AE33" s="3">
        <f t="shared" si="5"/>
        <v>5</v>
      </c>
      <c r="AW33" s="3" t="s">
        <v>126</v>
      </c>
      <c r="AX33" s="3" t="s">
        <v>127</v>
      </c>
      <c r="AY33" s="3">
        <v>1</v>
      </c>
      <c r="AZ33" s="3">
        <v>5</v>
      </c>
      <c r="BA33" s="3">
        <f t="shared" si="6"/>
        <v>5</v>
      </c>
    </row>
    <row r="34" spans="17:54" x14ac:dyDescent="0.3">
      <c r="Q34" s="3" t="s">
        <v>77</v>
      </c>
      <c r="R34" s="26">
        <f>R31-5</f>
        <v>14.741935483870968</v>
      </c>
      <c r="T34" t="s">
        <v>78</v>
      </c>
      <c r="AA34" s="3" t="s">
        <v>128</v>
      </c>
      <c r="AB34" s="3" t="s">
        <v>129</v>
      </c>
      <c r="AC34" s="3">
        <v>1</v>
      </c>
      <c r="AD34" s="3">
        <v>0</v>
      </c>
      <c r="AE34" s="3">
        <f t="shared" si="5"/>
        <v>0</v>
      </c>
      <c r="AW34" s="3" t="s">
        <v>128</v>
      </c>
      <c r="AX34" s="3" t="s">
        <v>129</v>
      </c>
      <c r="AY34" s="3">
        <v>1</v>
      </c>
      <c r="AZ34" s="3">
        <v>0</v>
      </c>
      <c r="BA34" s="3">
        <f t="shared" si="6"/>
        <v>0</v>
      </c>
    </row>
    <row r="35" spans="17:54" x14ac:dyDescent="0.3">
      <c r="R35" s="2"/>
      <c r="AA35" s="3" t="s">
        <v>130</v>
      </c>
      <c r="AB35" s="3" t="s">
        <v>131</v>
      </c>
      <c r="AC35" s="3">
        <v>1</v>
      </c>
      <c r="AD35" s="3">
        <v>0</v>
      </c>
      <c r="AE35" s="3">
        <f t="shared" si="5"/>
        <v>0</v>
      </c>
      <c r="AW35" s="3" t="s">
        <v>130</v>
      </c>
      <c r="AX35" s="3" t="s">
        <v>131</v>
      </c>
      <c r="AY35" s="3">
        <v>1</v>
      </c>
      <c r="AZ35" s="3">
        <v>0</v>
      </c>
      <c r="BA35" s="3">
        <f t="shared" si="6"/>
        <v>0</v>
      </c>
    </row>
    <row r="36" spans="17:54" x14ac:dyDescent="0.3">
      <c r="Q36" s="3" t="s">
        <v>79</v>
      </c>
      <c r="R36" s="2">
        <f>R19-R21</f>
        <v>58500</v>
      </c>
      <c r="S36" s="3">
        <f>R36/R37</f>
        <v>1.4735516372795969</v>
      </c>
      <c r="T36" t="s">
        <v>80</v>
      </c>
      <c r="U36" t="s">
        <v>81</v>
      </c>
      <c r="AA36" s="3" t="s">
        <v>132</v>
      </c>
      <c r="AB36" s="3" t="s">
        <v>133</v>
      </c>
      <c r="AC36" s="3">
        <v>1</v>
      </c>
      <c r="AD36" s="3">
        <v>0</v>
      </c>
      <c r="AE36" s="3">
        <f t="shared" si="5"/>
        <v>0</v>
      </c>
      <c r="AW36" s="3" t="s">
        <v>132</v>
      </c>
      <c r="AX36" s="3" t="s">
        <v>133</v>
      </c>
      <c r="AY36" s="3">
        <v>1</v>
      </c>
      <c r="AZ36" s="3">
        <v>0</v>
      </c>
      <c r="BA36" s="3">
        <f t="shared" si="6"/>
        <v>0</v>
      </c>
    </row>
    <row r="37" spans="17:54" x14ac:dyDescent="0.3">
      <c r="R37" s="2">
        <f>R19-R22</f>
        <v>39700</v>
      </c>
      <c r="T37" t="s">
        <v>82</v>
      </c>
      <c r="AD37" s="3" t="s">
        <v>134</v>
      </c>
      <c r="AE37" s="3">
        <f>SUM(AE24:AE36)</f>
        <v>10</v>
      </c>
      <c r="AZ37" s="3" t="s">
        <v>134</v>
      </c>
      <c r="BA37" s="3">
        <f>SUM(BA24:BA36)</f>
        <v>10</v>
      </c>
    </row>
    <row r="38" spans="17:54" x14ac:dyDescent="0.3">
      <c r="R38" s="2"/>
      <c r="AD38" s="3" t="s">
        <v>102</v>
      </c>
      <c r="AE38" s="3">
        <f>0.6+0.01*AE37</f>
        <v>0.7</v>
      </c>
      <c r="AZ38" s="3" t="s">
        <v>102</v>
      </c>
      <c r="BA38" s="3">
        <f>0.6+0.01*BA37</f>
        <v>0.7</v>
      </c>
    </row>
    <row r="39" spans="17:54" x14ac:dyDescent="0.3">
      <c r="Q39" s="3" t="s">
        <v>83</v>
      </c>
      <c r="R39" s="2">
        <f>R19-R21</f>
        <v>58500</v>
      </c>
      <c r="S39" s="3">
        <f>R39/R40</f>
        <v>1.3</v>
      </c>
      <c r="T39" t="s">
        <v>80</v>
      </c>
      <c r="U39" t="s">
        <v>84</v>
      </c>
    </row>
    <row r="40" spans="17:54" ht="35.4" x14ac:dyDescent="0.3">
      <c r="R40" s="2">
        <f>R19-R20</f>
        <v>45000</v>
      </c>
      <c r="T40" t="s">
        <v>85</v>
      </c>
      <c r="Z40" t="s">
        <v>135</v>
      </c>
      <c r="AC40" s="28" t="s">
        <v>136</v>
      </c>
      <c r="AV40" t="s">
        <v>135</v>
      </c>
      <c r="AY40" s="28" t="s">
        <v>136</v>
      </c>
    </row>
    <row r="41" spans="17:54" x14ac:dyDescent="0.3">
      <c r="R41" s="2"/>
      <c r="AA41" s="3" t="s">
        <v>103</v>
      </c>
      <c r="AB41" s="3" t="s">
        <v>104</v>
      </c>
      <c r="AC41" s="3" t="s">
        <v>105</v>
      </c>
      <c r="AD41" s="3" t="s">
        <v>106</v>
      </c>
      <c r="AE41" s="3" t="s">
        <v>107</v>
      </c>
      <c r="AW41" s="3" t="s">
        <v>103</v>
      </c>
      <c r="AX41" s="3" t="s">
        <v>104</v>
      </c>
      <c r="AY41" s="3" t="s">
        <v>105</v>
      </c>
      <c r="AZ41" s="3" t="s">
        <v>106</v>
      </c>
      <c r="BA41" s="3" t="s">
        <v>107</v>
      </c>
    </row>
    <row r="42" spans="17:54" x14ac:dyDescent="0.3">
      <c r="Q42" t="s">
        <v>86</v>
      </c>
      <c r="R42" s="2">
        <v>8000</v>
      </c>
      <c r="AA42" s="3" t="s">
        <v>137</v>
      </c>
      <c r="AB42" s="3" t="s">
        <v>138</v>
      </c>
      <c r="AC42" s="3">
        <v>1.5</v>
      </c>
      <c r="AD42" s="3">
        <v>5</v>
      </c>
      <c r="AE42" s="3">
        <f>AC42*AD42</f>
        <v>7.5</v>
      </c>
      <c r="AW42" s="3" t="s">
        <v>137</v>
      </c>
      <c r="AX42" s="3" t="s">
        <v>138</v>
      </c>
      <c r="AY42" s="3">
        <v>1.5</v>
      </c>
      <c r="AZ42" s="3">
        <v>1</v>
      </c>
      <c r="BA42" s="3">
        <f>AY42*AZ42</f>
        <v>1.5</v>
      </c>
    </row>
    <row r="43" spans="17:54" x14ac:dyDescent="0.3">
      <c r="AA43" s="3" t="s">
        <v>139</v>
      </c>
      <c r="AB43" s="3" t="s">
        <v>140</v>
      </c>
      <c r="AC43" s="3">
        <v>0.5</v>
      </c>
      <c r="AD43" s="3">
        <v>0</v>
      </c>
      <c r="AE43" s="3">
        <f t="shared" ref="AE43:AE49" si="7">AC43*AD43</f>
        <v>0</v>
      </c>
      <c r="AW43" s="3" t="s">
        <v>139</v>
      </c>
      <c r="AX43" s="3" t="s">
        <v>140</v>
      </c>
      <c r="AY43" s="3">
        <v>0.5</v>
      </c>
      <c r="AZ43" s="3">
        <v>0</v>
      </c>
      <c r="BA43" s="3">
        <f t="shared" ref="BA43:BA49" si="8">AY43*AZ43</f>
        <v>0</v>
      </c>
    </row>
    <row r="44" spans="17:54" x14ac:dyDescent="0.3">
      <c r="AA44" s="3" t="s">
        <v>141</v>
      </c>
      <c r="AB44" s="3" t="s">
        <v>142</v>
      </c>
      <c r="AC44" s="3">
        <v>1</v>
      </c>
      <c r="AD44" s="3">
        <v>5</v>
      </c>
      <c r="AE44" s="3">
        <f t="shared" si="7"/>
        <v>5</v>
      </c>
      <c r="AW44" s="3" t="s">
        <v>141</v>
      </c>
      <c r="AX44" s="3" t="s">
        <v>142</v>
      </c>
      <c r="AY44" s="3">
        <v>1</v>
      </c>
      <c r="AZ44" s="3">
        <v>2</v>
      </c>
      <c r="BA44" s="3">
        <f t="shared" si="8"/>
        <v>2</v>
      </c>
    </row>
    <row r="45" spans="17:54" x14ac:dyDescent="0.3">
      <c r="Q45" s="3" t="s">
        <v>87</v>
      </c>
      <c r="R45" s="2">
        <f>(R19+R42-R21)</f>
        <v>66500</v>
      </c>
      <c r="S45" s="3">
        <f>R45/R46</f>
        <v>1.3941299790356394</v>
      </c>
      <c r="T45" t="s">
        <v>89</v>
      </c>
      <c r="U45" t="s">
        <v>92</v>
      </c>
      <c r="AA45" s="3" t="s">
        <v>143</v>
      </c>
      <c r="AB45" s="3" t="s">
        <v>144</v>
      </c>
      <c r="AC45" s="3">
        <v>0.5</v>
      </c>
      <c r="AD45" s="3">
        <v>5</v>
      </c>
      <c r="AE45" s="3">
        <f t="shared" si="7"/>
        <v>2.5</v>
      </c>
      <c r="AF45" t="s">
        <v>186</v>
      </c>
      <c r="AW45" s="3" t="s">
        <v>143</v>
      </c>
      <c r="AX45" s="3" t="s">
        <v>144</v>
      </c>
      <c r="AY45" s="3">
        <v>0.5</v>
      </c>
      <c r="AZ45" s="3">
        <v>1</v>
      </c>
      <c r="BA45" s="3">
        <f t="shared" si="8"/>
        <v>0.5</v>
      </c>
      <c r="BB45" t="s">
        <v>185</v>
      </c>
    </row>
    <row r="46" spans="17:54" x14ac:dyDescent="0.3">
      <c r="R46" s="2">
        <f>R19+R42-R22</f>
        <v>47700</v>
      </c>
      <c r="T46" t="s">
        <v>90</v>
      </c>
      <c r="AA46" s="3" t="s">
        <v>145</v>
      </c>
      <c r="AB46" s="3" t="s">
        <v>146</v>
      </c>
      <c r="AC46" s="3">
        <v>1</v>
      </c>
      <c r="AD46" s="3">
        <v>0</v>
      </c>
      <c r="AE46" s="3">
        <f t="shared" si="7"/>
        <v>0</v>
      </c>
      <c r="AW46" s="3" t="s">
        <v>145</v>
      </c>
      <c r="AX46" s="3" t="s">
        <v>146</v>
      </c>
      <c r="AY46" s="3">
        <v>1</v>
      </c>
      <c r="AZ46" s="3">
        <v>0</v>
      </c>
      <c r="BA46" s="3">
        <f t="shared" si="8"/>
        <v>0</v>
      </c>
    </row>
    <row r="47" spans="17:54" x14ac:dyDescent="0.3">
      <c r="R47" s="2"/>
      <c r="AA47" s="3" t="s">
        <v>147</v>
      </c>
      <c r="AB47" s="3" t="s">
        <v>148</v>
      </c>
      <c r="AC47" s="3">
        <v>2</v>
      </c>
      <c r="AD47" s="3">
        <v>0</v>
      </c>
      <c r="AE47" s="3">
        <f t="shared" si="7"/>
        <v>0</v>
      </c>
      <c r="AW47" s="3" t="s">
        <v>147</v>
      </c>
      <c r="AX47" s="3" t="s">
        <v>148</v>
      </c>
      <c r="AY47" s="3">
        <v>2</v>
      </c>
      <c r="AZ47" s="3">
        <v>0</v>
      </c>
      <c r="BA47" s="3">
        <f t="shared" si="8"/>
        <v>0</v>
      </c>
    </row>
    <row r="48" spans="17:54" x14ac:dyDescent="0.3">
      <c r="Q48" s="3" t="s">
        <v>88</v>
      </c>
      <c r="R48" s="2">
        <f>R19+R42-R21</f>
        <v>66500</v>
      </c>
      <c r="S48" s="3">
        <f>R48/R49</f>
        <v>1.2547169811320755</v>
      </c>
      <c r="T48" t="s">
        <v>89</v>
      </c>
      <c r="U48" t="s">
        <v>93</v>
      </c>
      <c r="AA48" s="3" t="s">
        <v>149</v>
      </c>
      <c r="AB48" s="3" t="s">
        <v>150</v>
      </c>
      <c r="AC48" s="3">
        <v>-1</v>
      </c>
      <c r="AD48" s="3">
        <v>0</v>
      </c>
      <c r="AE48" s="3">
        <f t="shared" si="7"/>
        <v>0</v>
      </c>
      <c r="AW48" s="3" t="s">
        <v>149</v>
      </c>
      <c r="AX48" s="3" t="s">
        <v>150</v>
      </c>
      <c r="AY48" s="3">
        <v>-1</v>
      </c>
      <c r="AZ48" s="3">
        <v>0</v>
      </c>
      <c r="BA48" s="3">
        <f t="shared" si="8"/>
        <v>0</v>
      </c>
    </row>
    <row r="49" spans="18:54" x14ac:dyDescent="0.3">
      <c r="R49" s="2">
        <f>R19+R42-R20</f>
        <v>53000</v>
      </c>
      <c r="T49" t="s">
        <v>91</v>
      </c>
      <c r="AA49" s="3" t="s">
        <v>151</v>
      </c>
      <c r="AB49" s="3" t="s">
        <v>152</v>
      </c>
      <c r="AC49" s="3">
        <v>-2</v>
      </c>
      <c r="AD49" s="3">
        <v>0</v>
      </c>
      <c r="AE49" s="3">
        <f t="shared" si="7"/>
        <v>0</v>
      </c>
      <c r="AW49" s="3" t="s">
        <v>151</v>
      </c>
      <c r="AX49" s="3" t="s">
        <v>152</v>
      </c>
      <c r="AY49" s="3">
        <v>-2</v>
      </c>
      <c r="AZ49" s="3">
        <v>0</v>
      </c>
      <c r="BA49" s="3">
        <f t="shared" si="8"/>
        <v>0</v>
      </c>
    </row>
    <row r="50" spans="18:54" x14ac:dyDescent="0.3">
      <c r="AD50" s="3" t="s">
        <v>153</v>
      </c>
      <c r="AE50" s="3">
        <f>SUM(AE42:AE49)</f>
        <v>15</v>
      </c>
      <c r="AZ50" s="3" t="s">
        <v>153</v>
      </c>
      <c r="BA50" s="3">
        <f>SUM(BA42:BA49)</f>
        <v>4</v>
      </c>
    </row>
    <row r="51" spans="18:54" x14ac:dyDescent="0.3">
      <c r="AD51" s="3" t="s">
        <v>135</v>
      </c>
      <c r="AE51" s="3">
        <f>1.4-0.03*AE50</f>
        <v>0.95</v>
      </c>
      <c r="AZ51" s="3" t="s">
        <v>135</v>
      </c>
      <c r="BA51" s="3">
        <f>1.4-0.03*BA50</f>
        <v>1.2799999999999998</v>
      </c>
    </row>
    <row r="54" spans="18:54" ht="40.200000000000003" x14ac:dyDescent="0.3">
      <c r="AD54" s="29" t="s">
        <v>154</v>
      </c>
      <c r="AZ54" s="29" t="s">
        <v>154</v>
      </c>
    </row>
    <row r="56" spans="18:54" ht="40.200000000000003" x14ac:dyDescent="0.3">
      <c r="AC56" s="29" t="s">
        <v>155</v>
      </c>
      <c r="AY56" s="29" t="s">
        <v>155</v>
      </c>
    </row>
    <row r="58" spans="18:54" x14ac:dyDescent="0.3">
      <c r="AD58" s="3" t="s">
        <v>156</v>
      </c>
      <c r="AE58" s="3">
        <f>AC20*AE38*AE51</f>
        <v>95.094999999999985</v>
      </c>
      <c r="AZ58" s="3" t="s">
        <v>156</v>
      </c>
      <c r="BA58" s="3">
        <f>AY20*BA38*BA51</f>
        <v>128.12799999999999</v>
      </c>
    </row>
    <row r="60" spans="18:54" x14ac:dyDescent="0.3">
      <c r="AD60" s="3" t="s">
        <v>157</v>
      </c>
      <c r="AE60" s="3">
        <f>AE58</f>
        <v>95.094999999999985</v>
      </c>
      <c r="AZ60" s="3" t="s">
        <v>157</v>
      </c>
      <c r="BA60" s="3">
        <f>BA58</f>
        <v>128.12799999999999</v>
      </c>
    </row>
    <row r="62" spans="18:54" x14ac:dyDescent="0.3">
      <c r="Y62" t="s">
        <v>158</v>
      </c>
      <c r="AB62" t="s">
        <v>187</v>
      </c>
      <c r="AD62" s="3" t="s">
        <v>159</v>
      </c>
      <c r="AE62" s="3">
        <f>10*AE60</f>
        <v>950.94999999999982</v>
      </c>
      <c r="AF62" s="3" t="s">
        <v>160</v>
      </c>
      <c r="AU62" t="s">
        <v>158</v>
      </c>
      <c r="AX62" t="s">
        <v>187</v>
      </c>
      <c r="AZ62" s="3" t="s">
        <v>159</v>
      </c>
      <c r="BA62" s="3">
        <f>10*BA60</f>
        <v>1281.2799999999997</v>
      </c>
      <c r="BB62" s="3" t="s">
        <v>160</v>
      </c>
    </row>
    <row r="63" spans="18:54" x14ac:dyDescent="0.3">
      <c r="AE63" s="3">
        <f>8*20</f>
        <v>160</v>
      </c>
      <c r="BA63" s="3">
        <f>8*20</f>
        <v>160</v>
      </c>
    </row>
    <row r="64" spans="18:54" x14ac:dyDescent="0.3">
      <c r="AE64" s="3">
        <f>AE62/AE63</f>
        <v>5.943437499999999</v>
      </c>
      <c r="AF64" s="3" t="s">
        <v>161</v>
      </c>
      <c r="BA64" s="3">
        <f>BA62/BA63</f>
        <v>8.0079999999999991</v>
      </c>
      <c r="BB64" s="3" t="s">
        <v>161</v>
      </c>
    </row>
    <row r="70" spans="47:54" x14ac:dyDescent="0.3">
      <c r="AU70" t="s">
        <v>162</v>
      </c>
    </row>
    <row r="71" spans="47:54" x14ac:dyDescent="0.3">
      <c r="AV71" t="s">
        <v>12</v>
      </c>
      <c r="AW71">
        <v>2.5</v>
      </c>
      <c r="AZ71" s="3" t="s">
        <v>163</v>
      </c>
      <c r="BA71" s="26">
        <f>AW71*BA64^AW72</f>
        <v>5.5116185504313471</v>
      </c>
      <c r="BB71" s="3" t="s">
        <v>164</v>
      </c>
    </row>
    <row r="72" spans="47:54" x14ac:dyDescent="0.3">
      <c r="AV72" t="s">
        <v>14</v>
      </c>
      <c r="AW72">
        <v>0.38</v>
      </c>
      <c r="BA72" s="26">
        <f>BA64/BA71</f>
        <v>1.4529307365389577</v>
      </c>
      <c r="BB72" s="3" t="s">
        <v>165</v>
      </c>
    </row>
    <row r="74" spans="47:54" x14ac:dyDescent="0.3">
      <c r="AY74" t="s">
        <v>166</v>
      </c>
      <c r="BA74" s="26">
        <f>0.75*BA71</f>
        <v>4.1337139128235103</v>
      </c>
      <c r="BB74" s="3" t="s">
        <v>164</v>
      </c>
    </row>
    <row r="75" spans="47:54" x14ac:dyDescent="0.3">
      <c r="BA75" s="26">
        <f>BA64/BA74</f>
        <v>1.9372409820519436</v>
      </c>
      <c r="BB75" s="3" t="s">
        <v>165</v>
      </c>
    </row>
    <row r="77" spans="47:54" x14ac:dyDescent="0.3">
      <c r="AZ77" s="3" t="s">
        <v>167</v>
      </c>
      <c r="BA77" s="3">
        <f>BA64*AZ78</f>
        <v>6406.4</v>
      </c>
      <c r="BB77" s="3" t="s">
        <v>168</v>
      </c>
    </row>
    <row r="78" spans="47:54" x14ac:dyDescent="0.3">
      <c r="AZ78" s="3">
        <v>800</v>
      </c>
    </row>
    <row r="81" spans="48:53" x14ac:dyDescent="0.3">
      <c r="AV81" s="3"/>
      <c r="AW81" s="3" t="s">
        <v>54</v>
      </c>
      <c r="AX81" s="3" t="s">
        <v>55</v>
      </c>
      <c r="AY81" s="3" t="s">
        <v>56</v>
      </c>
      <c r="AZ81" s="3" t="s">
        <v>57</v>
      </c>
    </row>
    <row r="82" spans="48:53" x14ac:dyDescent="0.3">
      <c r="AV82" s="3" t="s">
        <v>169</v>
      </c>
      <c r="AW82" s="30">
        <v>0.05</v>
      </c>
      <c r="AX82" s="30">
        <v>0.2</v>
      </c>
      <c r="AY82" s="30">
        <v>0.65</v>
      </c>
      <c r="AZ82" s="30">
        <v>0.1</v>
      </c>
    </row>
    <row r="83" spans="48:53" x14ac:dyDescent="0.3">
      <c r="AV83" s="3" t="s">
        <v>170</v>
      </c>
      <c r="AW83" s="30">
        <v>0.1</v>
      </c>
      <c r="AX83" s="30">
        <v>0.3</v>
      </c>
      <c r="AY83" s="30">
        <v>0.5</v>
      </c>
      <c r="AZ83" s="30">
        <v>0.1</v>
      </c>
    </row>
    <row r="84" spans="48:53" x14ac:dyDescent="0.3">
      <c r="AV84" s="3"/>
      <c r="AW84" s="3"/>
      <c r="AX84" s="3"/>
      <c r="AY84" s="3"/>
      <c r="AZ84" s="3"/>
    </row>
    <row r="85" spans="48:53" x14ac:dyDescent="0.3">
      <c r="AV85" s="3" t="s">
        <v>159</v>
      </c>
      <c r="AW85" s="26">
        <f>AW82*$BA$64</f>
        <v>0.40039999999999998</v>
      </c>
      <c r="AX85" s="26">
        <f t="shared" ref="AX85:AZ85" si="9">AX82*$BA$64</f>
        <v>1.6015999999999999</v>
      </c>
      <c r="AY85" s="26">
        <f t="shared" si="9"/>
        <v>5.2051999999999996</v>
      </c>
      <c r="AZ85" s="26">
        <f t="shared" si="9"/>
        <v>0.80079999999999996</v>
      </c>
      <c r="BA85" s="2">
        <f>SUM(AW85:AZ85)</f>
        <v>8.0079999999999991</v>
      </c>
    </row>
    <row r="86" spans="48:53" x14ac:dyDescent="0.3">
      <c r="AV86" s="3" t="s">
        <v>163</v>
      </c>
      <c r="AW86" s="26">
        <f>AW83*$BA$71</f>
        <v>0.55116185504313475</v>
      </c>
      <c r="AX86" s="26">
        <f t="shared" ref="AX86:AZ86" si="10">AX83*$BA$71</f>
        <v>1.653485565129404</v>
      </c>
      <c r="AY86" s="26">
        <f t="shared" si="10"/>
        <v>2.7558092752156735</v>
      </c>
      <c r="AZ86" s="26">
        <f t="shared" si="10"/>
        <v>0.55116185504313475</v>
      </c>
      <c r="BA86" s="2">
        <f>SUM(AW86:AZ86)</f>
        <v>5.5116185504313471</v>
      </c>
    </row>
    <row r="87" spans="48:53" x14ac:dyDescent="0.3">
      <c r="AV87" s="3" t="s">
        <v>6</v>
      </c>
      <c r="AW87" s="3">
        <f>AW85*$AZ$78</f>
        <v>320.32</v>
      </c>
      <c r="AX87" s="3">
        <f t="shared" ref="AX87:AZ87" si="11">AX85*$AZ$78</f>
        <v>1281.28</v>
      </c>
      <c r="AY87" s="3">
        <f t="shared" si="11"/>
        <v>4164.16</v>
      </c>
      <c r="AZ87" s="3">
        <f t="shared" si="11"/>
        <v>640.64</v>
      </c>
      <c r="BA87">
        <f>SUM(AW87:AZ87)</f>
        <v>6406.4000000000005</v>
      </c>
    </row>
  </sheetData>
  <mergeCells count="4">
    <mergeCell ref="AB19:AC19"/>
    <mergeCell ref="Z21:AA21"/>
    <mergeCell ref="AX19:AY19"/>
    <mergeCell ref="AV21:AW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06256e7-a5f5-4758-9fca-497a6e20261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4BCE832B3C549A2C7BD9D63C5DD8B" ma:contentTypeVersion="12" ma:contentTypeDescription="Create a new document." ma:contentTypeScope="" ma:versionID="f310f28b5ee7d974e066b6371eb69a27">
  <xsd:schema xmlns:xsd="http://www.w3.org/2001/XMLSchema" xmlns:xs="http://www.w3.org/2001/XMLSchema" xmlns:p="http://schemas.microsoft.com/office/2006/metadata/properties" xmlns:ns3="806256e7-a5f5-4758-9fca-497a6e202613" xmlns:ns4="816c5ac4-aee8-43ea-b517-ac8df60c27f8" targetNamespace="http://schemas.microsoft.com/office/2006/metadata/properties" ma:root="true" ma:fieldsID="46998e4ed1e0dd2d9fd0b274de8301a8" ns3:_="" ns4:_="">
    <xsd:import namespace="806256e7-a5f5-4758-9fca-497a6e202613"/>
    <xsd:import namespace="816c5ac4-aee8-43ea-b517-ac8df60c27f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256e7-a5f5-4758-9fca-497a6e202613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c5ac4-aee8-43ea-b517-ac8df60c27f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327472-C112-4094-B8F1-9AADE063BD98}">
  <ds:schemaRefs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806256e7-a5f5-4758-9fca-497a6e202613"/>
    <ds:schemaRef ds:uri="http://schemas.microsoft.com/office/infopath/2007/PartnerControls"/>
    <ds:schemaRef ds:uri="http://schemas.openxmlformats.org/package/2006/metadata/core-properties"/>
    <ds:schemaRef ds:uri="816c5ac4-aee8-43ea-b517-ac8df60c27f8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46F351E-B20D-45C1-9879-974CBDCCE1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1AE407-F27E-4DF9-A6BC-5CCE9EF6FC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256e7-a5f5-4758-9fca-497a6e202613"/>
    <ds:schemaRef ds:uri="816c5ac4-aee8-43ea-b517-ac8df60c27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Ademar Fatama Ruiz</dc:creator>
  <cp:lastModifiedBy>Ademar Fatama Ruiz</cp:lastModifiedBy>
  <dcterms:created xsi:type="dcterms:W3CDTF">2023-10-21T13:13:43Z</dcterms:created>
  <dcterms:modified xsi:type="dcterms:W3CDTF">2023-10-21T14:49:20Z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0x0101001D54BCE832B3C549A2C7BD9D63C5DD8B</vt:lpwstr>
  </property>
</Properties>
</file>