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Sheet1" sheetId="1" r:id="rId4"/>
    <sheet state="visible" name="CSV" sheetId="2" r:id="rId5"/>
  </sheets>
  <definedNames/>
  <calcPr/>
</workbook>
</file>

<file path=xl/sharedStrings.xml><?xml version="1.0" encoding="utf-8"?>
<sst xmlns="http://schemas.openxmlformats.org/spreadsheetml/2006/main" count="1609" uniqueCount="778">
  <si>
    <t xml:space="preserve"> </t>
  </si>
  <si>
    <t>POKEMON VIOLET POKEDEX</t>
  </si>
  <si>
    <t>Progress</t>
  </si>
  <si>
    <t>Dex No.</t>
  </si>
  <si>
    <t>Pokemon</t>
  </si>
  <si>
    <t>Type</t>
  </si>
  <si>
    <t xml:space="preserve">           Locations</t>
  </si>
  <si>
    <t>Caught:</t>
  </si>
  <si>
    <t>Remaining:</t>
  </si>
  <si>
    <t>Sprigatito</t>
  </si>
  <si>
    <t>Starter Pokémon in Cabo Poco</t>
  </si>
  <si>
    <t>Floragato</t>
  </si>
  <si>
    <t>Evolve Sprigatito</t>
  </si>
  <si>
    <t>Meowscarada</t>
  </si>
  <si>
    <t>Evolve Floragato</t>
  </si>
  <si>
    <t>Fuecoco</t>
  </si>
  <si>
    <t>Crocalor</t>
  </si>
  <si>
    <t>Evolve Fuecoco</t>
  </si>
  <si>
    <t>Skeledirge</t>
  </si>
  <si>
    <t>Evolve Crocalor</t>
  </si>
  <si>
    <t>Quaxly</t>
  </si>
  <si>
    <t>Quaxwell</t>
  </si>
  <si>
    <t>Evolve Quaxly</t>
  </si>
  <si>
    <t>Quaquaval</t>
  </si>
  <si>
    <t>Evolve Quaxwell</t>
  </si>
  <si>
    <t>Lechonk</t>
  </si>
  <si>
    <t>East Province Area One, East Province Area Two, Pokemon League, South Province Area One, South Province Area Two, South Province Area Three, South Province Area Four, South Province Area Five
Tera Raid Battles: 1 Star Raid Battles</t>
  </si>
  <si>
    <t>Oinkologne</t>
  </si>
  <si>
    <t>East Province Area One, East Province Area Two, South Province Area Three, South Province Area Five, Tagtree Thicket, West Province Area Two, West Province Area Three
Tera Raid Battles: 3 Star Raid Battles</t>
  </si>
  <si>
    <t>Tarountula</t>
  </si>
  <si>
    <t>Pokemon League, South Province Area One, South Province Area Two, South Province Area Three, South Province Area Four, South Province Area Five
Tera Raid Battles: 1 Star Raid Battles</t>
  </si>
  <si>
    <t>Spidops</t>
  </si>
  <si>
    <t>East Province Area One, East Province Area Two, North Province Area Two, Socarrat Trail, Tagtree Thicket, West Province Area Three
Tera Raid Battles: 3 Star Raid Battles</t>
  </si>
  <si>
    <t>Nymble</t>
  </si>
  <si>
    <t>South Province Area Two, South Province Area Three, South Province Area Six, West Province Area One
Tera Raid Battles: 1 Star Raid Battles</t>
  </si>
  <si>
    <t>Lokix</t>
  </si>
  <si>
    <t>Alfornada Cavern, Asado Desert, Casseroya Lake, Dalizapa Passage, East Province Area Three, Glaseado Mountain, North Province Area One, North Province Area Two, North Province Area Three, South Province Area Six, West Province Area Two
Static: North Province Area Two, West Province Area One
Tera Raid Battles: 3 Star Raid Battles</t>
  </si>
  <si>
    <t>Hoppip</t>
  </si>
  <si>
    <t>South Province Area One, South Province Area Two
Tera Raid Battles: 1 Star Raid Battles</t>
  </si>
  <si>
    <t>Skiploom</t>
  </si>
  <si>
    <t>East Province Area One, East Province Area Two, South Province Area Three, South Province Area Five
Static: West Province Area Two
Tera Raid Battles: 3 Star Raid Battles</t>
  </si>
  <si>
    <t>Jumpluff</t>
  </si>
  <si>
    <t>North Province Area One, North Province Area Two, North Province Area Three, West Province Area Three</t>
  </si>
  <si>
    <t>Fletchling</t>
  </si>
  <si>
    <t>South Province Area One, South Province Area Two, South Province Area Five
Static: South Province Area One, South Province Area Two
Tera Raid Battles: 2 Star Raid Battles</t>
  </si>
  <si>
    <t>Fletchinder</t>
  </si>
  <si>
    <t>South Province Area One, South Province Area Three, South Province Area Four, South Province Area Five, West Province Area Three
Static: East Province Area One, West Province Area Two
Tera Raid Battles: 3 Star Raid Battles</t>
  </si>
  <si>
    <t>Talonflame</t>
  </si>
  <si>
    <t>Evolve Fletchinder
Static: South Province Area Three
Tera Raid Battles: 5 Star Raid Battles, 6 Star Raid Battles</t>
  </si>
  <si>
    <t>Pawmi</t>
  </si>
  <si>
    <t>South Province Area One, South Province Area Three, South Province Area Five
Static: South Province Area One, South Province Area Two, West Province Area One
Tera Raid Battles: 1 Star Raid Battles</t>
  </si>
  <si>
    <t>Pawmo</t>
  </si>
  <si>
    <t>East Province Area One, East Province Area Two, North Province Area One, North Province Area Three, South Province Area One, South Province Area Three, South Province Area Four, South Province Area Five, South Province Area Six, West Province Area One, West Province Area Two, West Province Area Three
Static: North Province Area One, North Province Area Three, West Province Area Three
Tera Raid Battles: 3 Star Raid Battles</t>
  </si>
  <si>
    <t>Pawmot</t>
  </si>
  <si>
    <t>Evolve Pawmo
Tera Raid Battles: 5 Star Raid Battles, 6 Star Raid Battles</t>
  </si>
  <si>
    <t>Houndour</t>
  </si>
  <si>
    <t>Inlet Grotto, South Province Area Four
Tera Raid Battles: 2 Star Raid Battles</t>
  </si>
  <si>
    <t>Houndoom</t>
  </si>
  <si>
    <t>North Province Area Two
Static: South Province Area Four, South Province Area Six
Tera Raid Battles: 5 Star Raid Battles</t>
  </si>
  <si>
    <t>Yungoos</t>
  </si>
  <si>
    <t>Asado Desert, East Province Area One, East Province Area Two, East Province Area Three, Inlet Grotto, South Province Area One, South Province Area Three, South Province Area Four, South Province Area Five, West Province Area One, West Province Area Two
Tera Raid Battles: 1 Star Raid Battles</t>
  </si>
  <si>
    <t>Gumshoos</t>
  </si>
  <si>
    <t>Alfornada Cavern, Asado Desert, Dalizapa Passage, East Province Area One, East Province Area Two, East Province Area Three, Glaseado Mountain, Inlet Grotto, North Province Area One, South Province Area Three, South Province Area Five, South Province Area Six, Tagtree Thicket, West Province Area One, West Province Area Two, West Province Area Three
Tera Raid Battles: 3 Star Raid Battles</t>
  </si>
  <si>
    <t>Skwovet</t>
  </si>
  <si>
    <t>Greedent</t>
  </si>
  <si>
    <t>Dalizapa Passage, North Province Area One, South Province Area Six, Tagtree Thicket, West Province Area Three
Static: Tagtree Thicket
Tera Raid Battles: 3 Star Raid Battles, 5 Star Raid Battles</t>
  </si>
  <si>
    <t>Sunkern</t>
  </si>
  <si>
    <t>South Province Area One, South Province Area Two
Static: South Province Area Two
Tera Raid Battles: 1 Star Raid Battles</t>
  </si>
  <si>
    <t>Sunflora</t>
  </si>
  <si>
    <t>East Paldean Sea, North Province Area Three, South Province Area Six, Tagtree Thicket
Static: North Province Area Two
Tera Raid Battles: 3 Star Raid Battles</t>
  </si>
  <si>
    <t>Kricketot</t>
  </si>
  <si>
    <t>South Province Area Two
Tera Raid Battles: 1 Star Raid Battles</t>
  </si>
  <si>
    <t>Kricketune</t>
  </si>
  <si>
    <t>North Province Area Two
Tera Raid Battles: 3 Star Raid Battles</t>
  </si>
  <si>
    <t>Scatterbug</t>
  </si>
  <si>
    <t>South Province Area One, South Province Area Five</t>
  </si>
  <si>
    <t>Spewpa</t>
  </si>
  <si>
    <t>South Province Area One, South Province Area Four</t>
  </si>
  <si>
    <t>Vivillon</t>
  </si>
  <si>
    <t>East Paldean Sea, North Province Area One, North Province Area Two, North Province Area Three</t>
  </si>
  <si>
    <t>Combee</t>
  </si>
  <si>
    <t>East Paldean Sea, South Province Area One, South Province Area Two, South Province Area Four, West Province Area One
Static: South Province Area Two, West Province Area One
Tera Raid Battles: 1 Star Raid Battles</t>
  </si>
  <si>
    <t>Vespiquen</t>
  </si>
  <si>
    <t>East Paldean Sea, North Province Area One, North Province Area Two, North Province Area Three, South Province Area Six
Static: South Province Area Two, West Province Area One
Tera Raid Battles: 4 Star Raid Battles</t>
  </si>
  <si>
    <t>Rookidee</t>
  </si>
  <si>
    <t>East Province Area One, East Province Area Two, East Province Area Three, South Province Area One, South Province Area Three, South Province Area Five
Tera Raid Battles: 1 Star Raid Battles</t>
  </si>
  <si>
    <t>Corvisquire</t>
  </si>
  <si>
    <t>East Province Area One, East Province Area Two, East Province Area Three, South Province Area One, South Province Area Three, South Province Area Five
Static: East Province Area One, East Province Area Three
Tera Raid Battles: 3 Star Raid Battles</t>
  </si>
  <si>
    <t>Corviknight</t>
  </si>
  <si>
    <t>Evolve Corvisquire
Static: North Province Area Two
Tera Raid Battles: 5 Star Raid Battles, 6 Star Raid Battles</t>
  </si>
  <si>
    <t>Happiny</t>
  </si>
  <si>
    <t>Pokemon League, South Province Area One, South Province Area Two, South Province Area Three, South Province Area Five, West Province Area One
Static: South Province Area One</t>
  </si>
  <si>
    <t>Chansey</t>
  </si>
  <si>
    <t>Casseroya Lake, East Province Area Two, North Province Area One, North Province Area Two, North Province Area Three, South Province Area Six, West Province Area Two, West Province Area Three
Static: South Province Area Four
Tera Raid Battles: 3 Star Raid Battles</t>
  </si>
  <si>
    <t>Blissey</t>
  </si>
  <si>
    <t>North Province Area One, North Province Area Two, North Province Area Three
Tera Raid Battles: 5 Star Raid Battles, 6 Star Raid Battles</t>
  </si>
  <si>
    <t>Azurill</t>
  </si>
  <si>
    <t>East Province Area One, South Province Area One, South Province Area Two, South Province Area Five
Static: South Province Area One
Tera Raid Battles: 1 Star Raid Battles</t>
  </si>
  <si>
    <t>Marill</t>
  </si>
  <si>
    <t>East Province Area Two, South Province Area One, South Province Area Two, South Province Area Four, South Province Area Five, West Province Area One
Tera Raid Battles: 3 Star Raid Battles</t>
  </si>
  <si>
    <t>Azumarill</t>
  </si>
  <si>
    <t>Casseroya Lake, West Province Area Two
Static: Casseroya Lake
Tera Raid Battles: 4 Star Raid Battles</t>
  </si>
  <si>
    <t>Surskit</t>
  </si>
  <si>
    <t>South Province Area One, South Province Area Two, South Province Area Five
Tera Raid Battles: 1 Star Raid Battles</t>
  </si>
  <si>
    <t>Masquerain</t>
  </si>
  <si>
    <t>South Province Area One, South Province Area Five
Tera Raid Battles: 4 Star Raid Battles</t>
  </si>
  <si>
    <t>Buizel</t>
  </si>
  <si>
    <t>East Paldean Sea, East Province Area Two, East Province Area Three, South Paldean Sea, South Province Area One, South Province Area Two, South Province Area Four, South Province Area Five, Tagtree Thicket, West Paldean Sea, West Province Area One, West Province Area Two
Static: West Province Area One
Tera Raid Battles: 2 Star Raid Battles</t>
  </si>
  <si>
    <t>Floatzel</t>
  </si>
  <si>
    <t>East Paldean Sea, Glaseado Mountain, North Paldean Sea, South Paldean Sea, West Paldean Sea, West Province Area Two, West Province Area Three
Tera Raid Battles: 4 Star Raid Battles</t>
  </si>
  <si>
    <t>Wooper</t>
  </si>
  <si>
    <t>South Province Area One, South Province Area Two, South Province Area Four, South Province Area Five
Static: South Province Area One
Tera Raid Battles: 1 Star Raid Battles</t>
  </si>
  <si>
    <t>Clodsire</t>
  </si>
  <si>
    <t>East Province Area Three, Glaseado Mountain, North Province Area One, South Province Area Five, South Province Area Six, West Province Area Three
Tera Raid Battles: 4 Star Raid Battles, 6 Star Raid Battles</t>
  </si>
  <si>
    <t>Psyduck</t>
  </si>
  <si>
    <t>Casseroya Lake, East Province Area Two, East Province Area Three, Glaseado Mountain, South Province Area One, South Province Area Four, South Province Area Five, South Province Area Six, Tagtree Thicket, West Province Area One, West Province Area Two
Tera Raid Battles: 2 Star Raid Battles</t>
  </si>
  <si>
    <t>Golduck</t>
  </si>
  <si>
    <t>Area Zero, Casseroya Lake, Glaseado Mountain, North Province Area One, North Province Area Three
Static: South Province Area Four, South Province Area Six
Tera Raid Battles: 4 Star Raid Battles</t>
  </si>
  <si>
    <t>Chewtle</t>
  </si>
  <si>
    <t>East Province Area Two, East Province Area Three, South Province Area One, South Province Area Two, South Province Area Four, South Province Area Five, West Province Area One, West Province Area Two
Tera Raid Battles: 1 Star Raid Battles</t>
  </si>
  <si>
    <t>Drednaw</t>
  </si>
  <si>
    <t>Casseroya Lake, East Province Area Two, East Province Area Three, Glaseado Mountain, South Province Area Five, South Province Area Six, West Province Area Two
Static: Casseroya Lake
Tera Raid Battles: 4 Star Raid Battles</t>
  </si>
  <si>
    <t>Igglybuff</t>
  </si>
  <si>
    <t>Pokemon League, South Province Area One, South Province Area Two
Tera Raid Battles: 1 Star Raid Battles</t>
  </si>
  <si>
    <t>Jigglypuff</t>
  </si>
  <si>
    <t>South Province Area Two, West Province Area Three
Static: South Province Area Three
Tera Raid Battles: 2 Star Raid Battles</t>
  </si>
  <si>
    <t>Wigglytuff</t>
  </si>
  <si>
    <t>North Province Area One
Tera Raid Battles: 4 Star Raid Battles</t>
  </si>
  <si>
    <t>Ralts</t>
  </si>
  <si>
    <t>South Province Area One
Static: South Province Area One
Tera Raid Battles: 1 Star Raid Battles</t>
  </si>
  <si>
    <t>Kirlia</t>
  </si>
  <si>
    <t>Cortondo, Dalizapa Passage, East Province Area Two
Static: East Province Area Three
Tera Raid Battles: 3 Star Raid Battles</t>
  </si>
  <si>
    <t>Gardevoir</t>
  </si>
  <si>
    <t>Glaseado Mountain
Static: Glaseado Mountain
Tera Raid Battles: 5 Star Raid Battles, 6 Star Raid Battles</t>
  </si>
  <si>
    <t>Gallade</t>
  </si>
  <si>
    <t>Alfornada Cavern, Dalizapa Passage, Glaseado Mountain, North Province Area One
Tera Raid Battles: 5 Star Raid Battles, 6 Star Raid Battles</t>
  </si>
  <si>
    <t>Drowzee</t>
  </si>
  <si>
    <t>South Province Area Two, South Province Area Three, South Province Area Five
Tera Raid Battles: 1 Star Raid Battles</t>
  </si>
  <si>
    <t>Hypno</t>
  </si>
  <si>
    <t>Dalizapa Passage, North Province Area Three, South Province Area Six, West Province Area One
Tera Raid Battles: 4 Star Raid Battles</t>
  </si>
  <si>
    <t>Gastly</t>
  </si>
  <si>
    <t>East Province Area Two, East Province Area Three, South Province Area One, South Province Area Three, West Province Area One
Tera Raid Battles: 2 Star Raid Battles</t>
  </si>
  <si>
    <t>Haunter</t>
  </si>
  <si>
    <t>Dalizapa Passage, Glaseado Mountain, North Province Area One
Static: West Province Area One
Tera Raid Battles: 3 Star Raid Battles</t>
  </si>
  <si>
    <t>Gengar</t>
  </si>
  <si>
    <t>Evolve Haunter
Tera Raid Battles: 5 Star Raid Battles, 6 Star Raid Battles</t>
  </si>
  <si>
    <t>Tandemaus</t>
  </si>
  <si>
    <t>East Province Area One, East Province Area Two, East Province Area Three, Pokemon League, West Province Area Two, West Province Area Three
Static: Pokemon League, West Province Area Three
Tera Raid Battles: 2 Star Raid Battles</t>
  </si>
  <si>
    <t>Maushold</t>
  </si>
  <si>
    <t>Evolve Tandemaus
Tera Raid Battles: 4 Star Raid Battles, 6 Star Raid Battles</t>
  </si>
  <si>
    <t>Pichu</t>
  </si>
  <si>
    <t>Pikachu</t>
  </si>
  <si>
    <t>East Province Area One, South Province Area Two, South Province Area Four, West Province Area Three
Static: South Province Area Two
Tera Raid Battles: 2 Star Raid Battles, 3 Star Raid Battles</t>
  </si>
  <si>
    <t>Raichu</t>
  </si>
  <si>
    <t>Area Zero, Socarrat Trail
Static: West Province Area Two
Tera Raid Battles: 4 Star Raid Battles, 5 Star Raid Battles</t>
  </si>
  <si>
    <t>Fidough</t>
  </si>
  <si>
    <t>Dachsbun</t>
  </si>
  <si>
    <t>East Province Area Three, South Province Area Six, West Province Area Three
Tera Raid Battles: 4 Star Raid Battles, 6 Star Raid Battles</t>
  </si>
  <si>
    <t>Slakoth</t>
  </si>
  <si>
    <t>South Province Area One, South Province Area Three, South Province Area Five
Tera Raid Battles: 2 Star Raid Battles</t>
  </si>
  <si>
    <t>Vigoroth</t>
  </si>
  <si>
    <t>Dalizapa Passage, North Province Area One, South Province Area Three, South Province Area Five, West Province Area Three
Tera Raid Battles: 4 Star Raid Battles</t>
  </si>
  <si>
    <t>Slaking</t>
  </si>
  <si>
    <t>North Province Area Two, Socarrat Trail
Static: North Province Area Two
Tera Raid Battles: 5 Star Raid Battles</t>
  </si>
  <si>
    <t>Bounsweet</t>
  </si>
  <si>
    <t>East Province Area One, East Province Area Two, South Province Area One, South Province Area Two
Tera Raid Battles: 1 Star Raid Battles</t>
  </si>
  <si>
    <t>Steenee</t>
  </si>
  <si>
    <t>East Province Area One, East Province Area Two
Static: West Province Area Three
Tera Raid Battles: 3 Star Raid Battles</t>
  </si>
  <si>
    <t>Tsareena</t>
  </si>
  <si>
    <t>Evolve Steenee
Static: Casseroya Lake
Tera Raid Battles: 5 Star Raid Battles</t>
  </si>
  <si>
    <t>Smoliv</t>
  </si>
  <si>
    <t>South Province Area Two
Static: South Province Area Two
Tera Raid Battles: 1 Star Raid Battles</t>
  </si>
  <si>
    <t>Dolliv</t>
  </si>
  <si>
    <t>East Paldean Sea, North Province Area Three, Tagtree Thicket
Tera Raid Battles: 3 Star Raid Battles</t>
  </si>
  <si>
    <t>Arboliva</t>
  </si>
  <si>
    <t>Evolve Dolliv
Tera Raid Battles: 5 Star Raid Battles</t>
  </si>
  <si>
    <t>Bonsly</t>
  </si>
  <si>
    <t>Sudowoodo</t>
  </si>
  <si>
    <t>Socarrat Trail, West Province Area Three
Tera Raid Battles: 3 Star Raid Battles</t>
  </si>
  <si>
    <t>Rockruff</t>
  </si>
  <si>
    <t>East Province Area Two, South Province Area One, South Province Area Four, West Province Area One
Static: West Province Area Three
Tera Raid Battles: 1 Star Raid Battles</t>
  </si>
  <si>
    <t>Lycanroc</t>
  </si>
  <si>
    <t>Midday Form: Alfornada Cavern, Dalizapa Passage, Glaseado Mountain, North Province Area One Midnight Form: Alfornada Cavern, Area Zero, Dalizapa Passage, Glaseado Mountain, North Province Area One, Dusk Form: North Province Area One
Tera Raid Battles: 4 Star Raid Battles, 6 Star Raid Battles</t>
  </si>
  <si>
    <t>Rolycoly</t>
  </si>
  <si>
    <t>East Province Area Three
Tera Raid Battles: 2 Star Raid Battles</t>
  </si>
  <si>
    <t>Carkol</t>
  </si>
  <si>
    <t>East Province Area Three
Static: East Province Area Three
Tera Raid Battles: 3 Star Raid Battles</t>
  </si>
  <si>
    <t>Coalossal</t>
  </si>
  <si>
    <t>Evolve Carkol
Tera Raid Battles: 5 Star Raid Battles</t>
  </si>
  <si>
    <t>Shinx</t>
  </si>
  <si>
    <t>South Province Area Three
Static: South Province Area Five
Tera Raid Battles: 2 Star Raid Battles</t>
  </si>
  <si>
    <t>Luxio</t>
  </si>
  <si>
    <t>South Province Area Three, South Province Area Five
Static: South Province Area Five
Tera Raid Battles: 3 Star Raid Battles</t>
  </si>
  <si>
    <t>Luxray</t>
  </si>
  <si>
    <t>North Province Area Two
Static: South Province Area Five
Tera Raid Battles: 5 Star Raid Battles</t>
  </si>
  <si>
    <t>Starly</t>
  </si>
  <si>
    <t>South Province Area One, South Province Area Two, South Province Area Four
Static: South Province Area Two
Tera Raid Battles: 1 Star Raid Battles</t>
  </si>
  <si>
    <t>Staravia</t>
  </si>
  <si>
    <t>South Province Area Four, West Province Area Two, West Province Area Three
Static: South Province Area Two, West Province Area Three
Tera Raid Battles: 3 Star Raid Battles</t>
  </si>
  <si>
    <t>Staraptor</t>
  </si>
  <si>
    <t>Casseroya Lake
Static: Casseroya Lake, South Province Area Three
Tera Raid Battles: 5 Star Raid Battles, 6 Star Raid Battles</t>
  </si>
  <si>
    <t>Oricorio</t>
  </si>
  <si>
    <t>Baile Style: East Province Area One Pom- Pom Style: South Province Area One
Tera Raid Battles: 4 Star Raid Battles</t>
  </si>
  <si>
    <t>Mareep</t>
  </si>
  <si>
    <t>South Province Area Two
Tera Raid Battles: 2 Star Raid Battles</t>
  </si>
  <si>
    <t>Flaaffy</t>
  </si>
  <si>
    <t>West Province Area Two
Static: South Province Area Four
Tera Raid Battles: 3 Star Raid Battles</t>
  </si>
  <si>
    <t>Ampharos</t>
  </si>
  <si>
    <t>Alfornada Cavern, North Province Area One
Tera Raid Battles: 4 Star Raid Battles</t>
  </si>
  <si>
    <t>Petilil</t>
  </si>
  <si>
    <t>South Province Area Four, West Province Area One
Tera Raid Battles: 1 Star Raid Battles</t>
  </si>
  <si>
    <t>Lilligant</t>
  </si>
  <si>
    <t>North Province Area Three, South Province Area Six
Static: South Province Area Four, West Province Area Three
Tera Raid Battles: 4 Star Raid Battles</t>
  </si>
  <si>
    <t>Shroomish</t>
  </si>
  <si>
    <t>South Province Area Three, South Province Area Five, West Province Area Three
Tera Raid Battles: 1 Star Raid Battles</t>
  </si>
  <si>
    <t>Breloom</t>
  </si>
  <si>
    <t>West Province Area Three
Static: West Province Area Three
Tera Raid Battles: 5 Star Raid Battles, 6 Star Raid Battles</t>
  </si>
  <si>
    <t>Applin</t>
  </si>
  <si>
    <t>East Province Area One, East Province Area Two, South Province Area One, South Province Area Two, Tagtree Thicket, West Province Area Three
Static: East Province Area One
Tera Raid Battles: 1 Star Raid Battles</t>
  </si>
  <si>
    <t>Flapple</t>
  </si>
  <si>
    <t>Evolve Applin
Tera Raid Battles: 5 Star Raid Battles</t>
  </si>
  <si>
    <t>Appletun</t>
  </si>
  <si>
    <t>Spoink</t>
  </si>
  <si>
    <t>South Province Area Three
Tera Raid Battles: 2 Star Raid Battles</t>
  </si>
  <si>
    <t>Grumpig</t>
  </si>
  <si>
    <t>Dalizapa Passage, North Province Area One, North Province Area Two
Static: South Province Area Four
Tera Raid Battles: 4 Star Raid Battles</t>
  </si>
  <si>
    <t>Squawkabilly</t>
  </si>
  <si>
    <t>East Province Area One, East Province Area Two, East Province Area Three
Static: West Province Area One
Tera Raid Battles: 4 Star Raid Battles</t>
  </si>
  <si>
    <t>Misdreavus</t>
  </si>
  <si>
    <t>Trade from Violet/Dalizapa Passage, East Province Area Two, Glaseado Mountain, South Province Area One, South Province Area Two, South Province Area Three, South Province Area Four, South Province Area Five, South Province Area Six, Tagtree Thicket, West Province Area One
Tera Raid Battles: 2 Star Raid Battles</t>
  </si>
  <si>
    <t>Mismagius</t>
  </si>
  <si>
    <t>Trade from Violet/Alfornada Cavern, Casseroya Lake, Glaseado Mountain, North Province Area One, North Province Area Two
Tera Raid Battles: 5 Star Raid Battles</t>
  </si>
  <si>
    <t>Makuhita</t>
  </si>
  <si>
    <t>Asado Desert, East Province Area One, East Province Area Two, East Province Area Three, South Province Area One, South Province Area Three, South Province Area Five, West Province Area One
Tera Raid Battles: 1 Star Raid Battles, 3 Star Raid Battles</t>
  </si>
  <si>
    <t>Hariyama</t>
  </si>
  <si>
    <t>Alfornada Cavern, Dalizapa Passage, East Province Area Three, Glaseado Mountain, West Province Area Two, West Province Area Three
Static: East Province Area Three, South Province Area Three, South Province Area Six, West Province Area Two
Tera Raid Battles: 5 Star Raid Battles</t>
  </si>
  <si>
    <t>Crabrawler</t>
  </si>
  <si>
    <t>East Province Area Two, Glaseado Mountain, South Province Area Five, West Province Area One, West Province Area Two
Static: East Province Area Two
Tera Raid Battles: 1 Star Raid Battles</t>
  </si>
  <si>
    <t>Crabominable</t>
  </si>
  <si>
    <t>Glaseado Mountain
Static: East Province Area Two
Tera Raid Battles: 4 Star Raid Battles</t>
  </si>
  <si>
    <t>Salandit</t>
  </si>
  <si>
    <t>Alfornada Cavern, Dalizapa Passage, East Province Area Two, East Province Area Three, Glaseado Mountain, West Province Area One, West Province Area Two
Static: East Province Area One
Tera Raid Battles: 2 Star Raid Battles</t>
  </si>
  <si>
    <t>Salazzle</t>
  </si>
  <si>
    <t>Alfornada Cavern, Dalizapa Passage, North Province Area One, North Province Area Two, North Province Area Three
Static: South Province Area Four</t>
  </si>
  <si>
    <t>Phanpy</t>
  </si>
  <si>
    <t>Asado Desert, South Province Area Two, South Province Area Four, West Province Area One
Static: Asado Desert
Tera Raid Battles: 2 Star Raid Battles</t>
  </si>
  <si>
    <t>Donphan</t>
  </si>
  <si>
    <t>Asado Desert, South Province Area Six, West Province Area Two
Static: Asado Desert
Tera Raid Battles: 4 Star Raid Battles</t>
  </si>
  <si>
    <t>Cufant</t>
  </si>
  <si>
    <t>Copperajah</t>
  </si>
  <si>
    <t>Casseroya Lake, Dalizapa Passage, Glaseado Mountain, North Province Area One, North Province Area Two, North Province Area Three
Static: North Province Area Two
Tera Raid Battles: 5 Star Raid Battles</t>
  </si>
  <si>
    <t>Gible</t>
  </si>
  <si>
    <t>Alfornada Cavern, West Province Area One, West Province Area Two
Tera Raid Battles: 3 Star Raid Battles</t>
  </si>
  <si>
    <t>Gabite</t>
  </si>
  <si>
    <t>Alfornada Cavern, Dalizapa Passage, Glaseado Mountain, North Province Area Two
Static: South Province Area Six, West Province Area Two
Tera Raid Battles: 4 Star Raid Battles</t>
  </si>
  <si>
    <t>Garchomp</t>
  </si>
  <si>
    <t>Great Crater of Paldea
Static: Great Crater of Paldea, West Province Area Two
Tera Raid Battles: 5 Star Raid Battles, 6 Star Raid Battles</t>
  </si>
  <si>
    <t>Nacli</t>
  </si>
  <si>
    <t>Asado Desert, East Province Area One, East Province Area Two, East Province Area Three, South Province Area Three, South Province Area Four, South Province Area Five, West Province Area One, West Province Area Two
Static: South Province Area Three
Tera Raid Battles: 1 Star Raid Battles</t>
  </si>
  <si>
    <t>Naclstack</t>
  </si>
  <si>
    <t>Alfornada Cavern, Casseroya Lake, Dalizapa Passage, Glaseado Mountain, North Province Area One, North Province Area Two, North Province Area Three, West Province Area Three
Static: South Province Area Five, West Province Area Two
Tera Raid Battles: 3 Star Raid Battles</t>
  </si>
  <si>
    <t>Garganacl</t>
  </si>
  <si>
    <t>Area Zero
Tera Raid Battles: 5 Star Raid Battles, 6 Star Raid Battles</t>
  </si>
  <si>
    <t>Wingull</t>
  </si>
  <si>
    <t>South Paldean Sea, West Paldean Sea
Tera Raid Battles: 1 Star Raid Battles</t>
  </si>
  <si>
    <t>Pelipper</t>
  </si>
  <si>
    <t>North Paldean Sea, West Paldean Sea
Tera Raid Battles: 3 Star Raid Battles, 6 Star Raid Battles</t>
  </si>
  <si>
    <t>Magikarp</t>
  </si>
  <si>
    <t>Dalizapa Passage, East Paldean Sea, East Province Area Two, East Province Area Three, North Paldean Sea, North Province Area One, South Paldean Sea, South Province Area One, South Province Area Three, South Province Area Four, South Province Area Five, South Province Area Six, Tagtree Thicket, West Paldean Sea, West Province Area Two, West Province Area Three
Tera Raid Battles: 2 Star Raid Battles, 3 Star Raid Battles</t>
  </si>
  <si>
    <t>Gyarados</t>
  </si>
  <si>
    <t>East Paldean Sea, North Paldean Sea, South Paldean Sea, West Paldean Sea
Static: Casseroya Lake
Tera Raid Battles: 5 Star Raid Battles, 6 Star Raid Battles</t>
  </si>
  <si>
    <t>Arrokuda</t>
  </si>
  <si>
    <t>East Paldean Sea, East Province Area Two, East Province Area Three, South Paldean Sea, South Province Area One, South Province Area Five, West Paldean Sea, West Province Area One, West Province Area Two
Tera Raid Battles: 2 Star Raid Battles</t>
  </si>
  <si>
    <t>Barraskewda</t>
  </si>
  <si>
    <t>East Paldean Sea, East Province Area Two, East Province Area Three, Glaseado Mountain, North Paldean Sea, North Province Area One, North Province Area Three, South Paldean Sea, West Paldean Sea, West Province Area Two
Tera Raid Battles: 4 Star Raid Battles</t>
  </si>
  <si>
    <t>Basculin</t>
  </si>
  <si>
    <t>East Province Area Two, East Province Area Three, Glaseado Mountain, South Province Area One, South Province Area Three, South Province Area Four, South Province Area Five, South Province Area Six, West Province Area One, West Province Area Two, West Province Area Three
Tera Raid Battles: 3 Star Raid Battles</t>
  </si>
  <si>
    <t>Gulpin</t>
  </si>
  <si>
    <t>Trade from Violet/East Province Area One, South Province Area Three
Tera Raid Battles: 2 Star Raid Battles</t>
  </si>
  <si>
    <t>Swalot</t>
  </si>
  <si>
    <t>Trade from Violet/Casseroya Lake
Tera Raid Battles: 4 Star Raid Battles</t>
  </si>
  <si>
    <t>Meowth</t>
  </si>
  <si>
    <t>East Province Area Three, West Province Area Three
Static: South Province Area Two
Tera Raid Battles: 2 Star Raid Battles</t>
  </si>
  <si>
    <t>Persian</t>
  </si>
  <si>
    <t>West Province Area Three
Static: South Province Area Four
Tera Raid Battles: 4 Star Raid Battles</t>
  </si>
  <si>
    <t>Drifloon</t>
  </si>
  <si>
    <t>Dalizapa Passage, East Province Area Two, Glaseado Mountain, South Province Area One, South Province Area Two, South Province Area Three, South Province Area Four, South Province Area Five, South Province Area Six, Tagtree Thicket, West Province Area One
Tera Raid Battles: 2 Star Raid Battles/Trade from Scarlet</t>
  </si>
  <si>
    <t>Drifblim</t>
  </si>
  <si>
    <t>Alfornada Cavern, Cortondo, Dalizapa Passage, Glaseado Mountain, North Province Area One
Tera Raid Battles: 4 Star Raid Battles, 5 Star Raid Battles/Trade from Scarlet</t>
  </si>
  <si>
    <t>Flabébé</t>
  </si>
  <si>
    <t>East Paldean Sea, South Province Area One, South Province Area Four, West Province Area One
Tera Raid Battles: 1 Star Raid Battles</t>
  </si>
  <si>
    <t>Floette</t>
  </si>
  <si>
    <t>East Paldean Sea, North Province Area One, North Province Area Two, North Province Area Three, South Province Area One, South Province Area Four, South Province Area Six, West Province Area One
Static: East Province Area One</t>
  </si>
  <si>
    <t>Florges</t>
  </si>
  <si>
    <t>North Province Area Three
Tera Raid Battles: 5 Star Raid Battles</t>
  </si>
  <si>
    <t>Diglett</t>
  </si>
  <si>
    <t>Alfornada Cavern, Asado Desert, East Province Area Three, Inlet Grotto, South Province Area Two
Static: East Province Area Three, South Province Area Two, South Province Area Six
Tera Raid Battles: 2 Star Raid Battles</t>
  </si>
  <si>
    <t>Dugtrio</t>
  </si>
  <si>
    <t>Alfornada Cavern, Asado Desert, Dalizapa Passage, East Province Area Three, North Province Area Two, North Province Area Three, South Province Area Two
Static: South Province Area Six
Tera Raid Battles: 4 Star Raid Battles</t>
  </si>
  <si>
    <t>Torkoal</t>
  </si>
  <si>
    <t>East Province Area Three
Static: West Province Area One
Tera Raid Battles: 4 Star Raid Battles, 6 Star Raid Battles</t>
  </si>
  <si>
    <t>Numel</t>
  </si>
  <si>
    <t>Asado Desert
Tera Raid Battles: 3 Star Raid Battles</t>
  </si>
  <si>
    <t>Camerupt</t>
  </si>
  <si>
    <t>North Province Area Two
Tera Raid Battles: 5 Star Raid Battles</t>
  </si>
  <si>
    <t>Bronzor</t>
  </si>
  <si>
    <t>East Province Area Two, South Province Area Two, South Province Area Three, South Province Area Four, South Province Area Five, West Province Area One, West Province Area Two
Tera Raid Battles: 3 Star Raid Battles</t>
  </si>
  <si>
    <t>Bronzong</t>
  </si>
  <si>
    <t>Casseroya Lake, Dalizapa Passage, Glaseado Mountain, North Province Area Two, South Province Area Six
Static: South Province Area Six
Tera Raid Battles: 5 Star Raid Battles</t>
  </si>
  <si>
    <t>Axew</t>
  </si>
  <si>
    <t>Dalizapa Passage, North Province Area One, South Province Area Three, South Province Area Five
Static: West Province Area One
Tera Raid Battles: 3 Star Raid Battles</t>
  </si>
  <si>
    <t>Fraxure</t>
  </si>
  <si>
    <t>Dalizapa Passage, North Province Area One
Tera Raid Battles: 4 Star Raid Battles</t>
  </si>
  <si>
    <t>Haxorus</t>
  </si>
  <si>
    <t>Evolve Fraxure
Tera Raid Battles: 5 Star Raid Battles, 6 Star Raid Battles</t>
  </si>
  <si>
    <t>Mankey</t>
  </si>
  <si>
    <t>South Province Area One, South Province Area Five, West Province Area One
Static: West Province Area One
Tera Raid Battles: 2 Star Raid Battles</t>
  </si>
  <si>
    <t>Primeape</t>
  </si>
  <si>
    <t>North Province Area One, West Province Area One
Static: Glaseado Mountain, South Province Area Four, West Province Area One
Tera Raid Battles: 4 Star Raid Battles</t>
  </si>
  <si>
    <t>Annihilape</t>
  </si>
  <si>
    <t>Evolve Primeape
Tera Raid Battles: 5 Star Raid Battles, 6 Star Raid Battles</t>
  </si>
  <si>
    <t>Meditite</t>
  </si>
  <si>
    <t>Alfornada Cavern, South Province Area Four, West Province Area Two
Static: South Province Area Six
Tera Raid Battles: 2 Star Raid Battles</t>
  </si>
  <si>
    <t>Medicham</t>
  </si>
  <si>
    <t>Alfornada Cavern
Static: South Province Area Six
Tera Raid Battles: 4 Star Raid Battles</t>
  </si>
  <si>
    <t>Riolu</t>
  </si>
  <si>
    <t>South Province Area Two, South Province Area Four
Static: North Province Area One, South Province Area Four
Tera Raid Battles: 3 Star Raid Battles</t>
  </si>
  <si>
    <t>Lucario</t>
  </si>
  <si>
    <t>North Province Area One, North Province Area Two
Static: Dalizapa Passage</t>
  </si>
  <si>
    <t>Charcadet</t>
  </si>
  <si>
    <t>Asado Desert, East Province Area One, East Province Area Two, East Province Area Three, South Province Area Three, South Province Area Four, South Province Area Five, Tagtree Thicket, West Province Area One, West Province Area Two, West Province Area Three
Static: South Province Area Three, South Province Area Five, West Province Area One
Tera Raid Battles: 1 Star Raid Battles, 3 Star Raid Battles</t>
  </si>
  <si>
    <t>Armarouge</t>
  </si>
  <si>
    <t>Evolve Charcadet
Tera Raid Battles: 5 Star Raid Battles, 6 Star Raid Battles</t>
  </si>
  <si>
    <t>Ceruledge</t>
  </si>
  <si>
    <t>Barboach</t>
  </si>
  <si>
    <t>East Province Area Three, South Province Area Two, South Province Area Four, South Province Area Five, Tagtree Thicket, West Province Area Two
Tera Raid Battles: 1 Star Raid Battles</t>
  </si>
  <si>
    <t>Whiscash</t>
  </si>
  <si>
    <t>Glaseado Mountain, North Province Area One, South Province Area Six, Tagtree Thicket, West Province Area Three
Tera Raid Battles: 4 Star Raid Battles</t>
  </si>
  <si>
    <t>Tadbulb</t>
  </si>
  <si>
    <t>East Province Area Two, East Province Area Three, Glaseado Mountain, South Province Area One, South Province Area Two, South Province Area Three, South Province Area Four, South Province Area Five, West Province Area Two
Static: East Province Area One
Tera Raid Battles: 1 Star Raid Battles</t>
  </si>
  <si>
    <t>Bellibolt</t>
  </si>
  <si>
    <t>East Province Area Three, Glaseado Mountain, North Province Area Three, South Province Area Four, Tagtree Thicket, West Province Area Two, West Province Area Three
Static: Casseroya Lake, South Province Area Six, Tagtree Thicket
Tera Raid Battles: 4 Star Raid Battles</t>
  </si>
  <si>
    <t>Goomy</t>
  </si>
  <si>
    <t>East Province Area Three, Glaseado Mountain, South Province Area One, South Province Area Three, South Province Area Four, South Province Area Five, West Province Area Three
Tera Raid Battles: 3 Star Raid Battles</t>
  </si>
  <si>
    <t>Sliggoo</t>
  </si>
  <si>
    <t>Casseroya Lake
Static: South Province Area Four, West Province Area Three
Tera Raid Battles: 4 Star Raid Battles</t>
  </si>
  <si>
    <t>Goodra</t>
  </si>
  <si>
    <t>Evolve Sliggoo
Tera Raid Battles: 5 Star Raid Battles, 6 Star Raid Battles</t>
  </si>
  <si>
    <t>Croagunk</t>
  </si>
  <si>
    <t>South Province Area Five, West Province Area Two
Tera Raid Battles: 2 Star Raid Battles</t>
  </si>
  <si>
    <t>Toxicroak</t>
  </si>
  <si>
    <t>Casseroya Lake
Tera Raid Battles: 4 Star Raid Battles</t>
  </si>
  <si>
    <t>Wattrel</t>
  </si>
  <si>
    <t>East Paldean Sea, East Province Area Two, South Paldean Sea, West Paldean Sea, West Province Area One
Static: East Province Area Two
Tera Raid Battles: 1 Star Raid Battles</t>
  </si>
  <si>
    <t>Kilowattrel</t>
  </si>
  <si>
    <t>Casseroya Lake, East Paldean Sea, North Paldean Sea, North Province Area One, West Paldean Sea
Tera Raid Battles: 4 Star Raid Battles, 6 Star Raid Battles</t>
  </si>
  <si>
    <t>Eevee</t>
  </si>
  <si>
    <t>South Province Area Two, West Province Area Three
Static: South Province Area Five
Tera Raid Battles: 3 Star Raid Battles, 5 Star Raid Battles</t>
  </si>
  <si>
    <t>Vaporeon</t>
  </si>
  <si>
    <t>Casseroya Lake, Glaseado Mountain, North Province Area Two, North Province Area Three, South Province Area Six, Tagtree Thicket
Static: Casseroya Lake
Tera Raid Battles: 6 Star Raid Battles</t>
  </si>
  <si>
    <t>Jolteon</t>
  </si>
  <si>
    <t>Socarrat Trail, West Province Area Two
Static: West Province Area One
Tera Raid Battles: 6 Star Raid Battles</t>
  </si>
  <si>
    <t>Flareon</t>
  </si>
  <si>
    <t>Dalizapa Passage, North Province Area One, South Province Area Six
Static: South Province Area Five
Tera Raid Battles: 6 Star Raid Battles</t>
  </si>
  <si>
    <t>Espeon</t>
  </si>
  <si>
    <t>North Province Area Three, West Province Area Three
Static: East Province Area Three
Tera Raid Battles: 6 Star Raid Battles</t>
  </si>
  <si>
    <t>Umbreon</t>
  </si>
  <si>
    <t>Alfornada Cavern, Dalizapa Passage, North Province Area One, North Province Area Two, North Province Area Three
Static: South Province Area Six
Tera Raid Battles: 6 Star Raid Battles</t>
  </si>
  <si>
    <t>Leafeon</t>
  </si>
  <si>
    <t>Socarrat Trail, West Province Area Three
Static: South Province Area Four
Tera Raid Battles: 6 Star Raid Battles</t>
  </si>
  <si>
    <t>Glaceon</t>
  </si>
  <si>
    <t>Glaseado Mountain
Static: Glaseado Mountain
Tera Raid Battles: 6 Star Raid Battles</t>
  </si>
  <si>
    <t>Sylveon</t>
  </si>
  <si>
    <t>South Province Area Six, West Province Area Three
Static: North Province Area Three
Tera Raid Battles: 6 Star Raid Battles</t>
  </si>
  <si>
    <t>Dunsparce</t>
  </si>
  <si>
    <t>Alfornada Cavern, Area Zero, Asado Desert, Dalizapa Passage, East Province Area One, East Province Area Two, East Province Area Three, South Province Area One, South Province Area Three, South Province Area Four, South Province Area Five, South Province Area Six, Tagtree Thicket, West Province Area Two, West Province Area Three
Static: South Province Area Three, South Province Area Five, South Province Area Six, West Province Area Two
Tera Raid Battles: 1 Star Raid Battles, 3 Star Raid Battles</t>
  </si>
  <si>
    <t>Dudunsparce</t>
  </si>
  <si>
    <t>Area Zero
Tera Raid Battles: 4 Star Raid Battles</t>
  </si>
  <si>
    <t>Deerling</t>
  </si>
  <si>
    <t>Spring Form: South Province Area One, South Province Area Two, South Province Area Three, South Province Area Four, South Province Area Five Summer Form: East Province Area One, East Province Area Two Autumn Form: West Province Area Two, West Province Area Three Winter Form: Dalizapa Passage, Glaseado Mountain
Tera Raid Battles: 1 Star Raid Battles</t>
  </si>
  <si>
    <t>Sawsbuck</t>
  </si>
  <si>
    <t>Autumn Form: Socarrat Trail, West Province Area Three Winter Form: Dalizapa Passage, Glaseado Mountain, North Province Area One
Static: Glaseado Mountain
Tera Raid Battles: 4 Star Raid Battles</t>
  </si>
  <si>
    <t>Girafarig</t>
  </si>
  <si>
    <t>Area Zero, West Province Area Three
Static: West Province Area Two
Tera Raid Battles: 3 Star Raid Battles</t>
  </si>
  <si>
    <t>Farigiraf</t>
  </si>
  <si>
    <t>Area Zero
Tera Raid Battles: 4 Star Raid Battles, 6 Star Raid Battles</t>
  </si>
  <si>
    <t>Grimer</t>
  </si>
  <si>
    <t>Cortondo, East Province Area Two
Tera Raid Battles: 2 Star Raid Battles</t>
  </si>
  <si>
    <t>Muk</t>
  </si>
  <si>
    <t>Evolve Grimer
Tera Raid Battles: 4 Star Raid Battles</t>
  </si>
  <si>
    <t>Maschiff</t>
  </si>
  <si>
    <t>South Province Area One, South Province Area Two, South Province Area Four, West Province Area Two, West Province Area Three
Static: South Province Area Two
Tera Raid Battles: 1 Star Raid Battles</t>
  </si>
  <si>
    <t>Mabosstiff</t>
  </si>
  <si>
    <t>West Province Area Three
Static: North Province Area Two
Tera Raid Battles: 5 Star Raid Battles, 6 Star Raid Battles</t>
  </si>
  <si>
    <t>Toxel</t>
  </si>
  <si>
    <t>South Province Area One, South Province Area Two, South Province Area Four
Static: South Province Area Four
Tera Raid Battles: 1 Star Raid Battles</t>
  </si>
  <si>
    <t>Toxtricity</t>
  </si>
  <si>
    <t>Alfornada Cavern
Tera Raid Battles: 5 Star Raid Battles</t>
  </si>
  <si>
    <t>Dedenne</t>
  </si>
  <si>
    <t>North Province Area Three, West Province Area Three
Tera Raid Battles: 3 Star Raid Battles, 4 Star Raid Battles</t>
  </si>
  <si>
    <t>Pachirisu</t>
  </si>
  <si>
    <t>South Province Area One, South Province Area Two, South Province Area Three, South Province Area Four, South Province Area Five, West Province Area Three
Static: East Province Area Two
Tera Raid Battles: 3 Star Raid Battles</t>
  </si>
  <si>
    <t>Shroodle</t>
  </si>
  <si>
    <t>East Province Area One, East Province Area Two, South Province Area One, South Province Area Two, Tagtree Thicket, West Province Area Three
Static: South Province Area One
Tera Raid Battles: 1 Star Raid Battles</t>
  </si>
  <si>
    <t>Grafaiai</t>
  </si>
  <si>
    <t>Tagtree Thicket
Static: Casseroya Lake, North Province Area Two, Tagtree Thicket
Tera Raid Battles: 4 Star Raid Battles, 6 Star Raid Battles</t>
  </si>
  <si>
    <t>Stantler</t>
  </si>
  <si>
    <t>South Province Area One, South Province Area Three, South Province Area Five
Tera Raid Battles: 3 Star Raid Battles</t>
  </si>
  <si>
    <t>Foongus</t>
  </si>
  <si>
    <t>North Province Area Two, Tagtree Thicket, West Province Area Three
Tera Raid Battles: 2 Star Raid Battles</t>
  </si>
  <si>
    <t>Amoonguss</t>
  </si>
  <si>
    <t>North Province Area Two, Socarrat Trail
Static: North Province Area Two
Tera Raid Battles: 5 Star Raid Battles, 6 Star Raid Battles</t>
  </si>
  <si>
    <t>Voltorb</t>
  </si>
  <si>
    <t>East Province Area Three, West Province Area Three
Static: West Province Area One
Tera Raid Battles: 2 Star Raid Battles</t>
  </si>
  <si>
    <t>Electrode</t>
  </si>
  <si>
    <t>West Province Area Three
Tera Raid Battles: 4 Star Raid Battles</t>
  </si>
  <si>
    <t>Magnemite</t>
  </si>
  <si>
    <t>East Province Area Two, East Province Area Three
Tera Raid Battles: 2 Star Raid Battles</t>
  </si>
  <si>
    <t>Magneton</t>
  </si>
  <si>
    <t>Dalizapa Passage, Glaseado Mountain
Static: Glaseado Mountain
Tera Raid Battles: 4 Star Raid Battles</t>
  </si>
  <si>
    <t>Magnezone</t>
  </si>
  <si>
    <t>East Province Area Two
Static: Great Crater of Paldea
Tera Raid Battles: 5 Star Raid Battles, 6 Star Raid Battles</t>
  </si>
  <si>
    <t>Ditto</t>
  </si>
  <si>
    <t>West Province Area Two, West Province Area Three
Tera Raid Battles: 3 Star Raid Battles, 4 Star Raid Battles, 5 Star Raid Battles, 6 Star Raid Battles</t>
  </si>
  <si>
    <t>Growlithe</t>
  </si>
  <si>
    <t>East Province Area Three, South Province Area Three
Static: East Province Area Two, North Province Area Two, South Province Area Three
Tera Raid Battles: 2 Star Raid Battles</t>
  </si>
  <si>
    <t>Arcanine</t>
  </si>
  <si>
    <t>North Province Area Two
Static: North Province Area Two, South Province Area Four
Tera Raid Battles: 5 Star Raid Battles</t>
  </si>
  <si>
    <t>Teddiursa</t>
  </si>
  <si>
    <t>East Province Area One, North Province Area Two
Tera Raid Battles: 2 Star Raid Battles</t>
  </si>
  <si>
    <t>Ursaring</t>
  </si>
  <si>
    <t>Dalizapa Passage, North Province Area One, North Province Area Two
Static: Dalizapa Passage, West Province Area Three
Tera Raid Battles: 4 Star Raid Battles</t>
  </si>
  <si>
    <t>Zangoose</t>
  </si>
  <si>
    <t>South Province Area One, South Province Area Three, South Province Area Five
Tera Raid Battles: 3 Star Raid Battles, 4 Star Raid Battles</t>
  </si>
  <si>
    <t>Seviper</t>
  </si>
  <si>
    <t>Swablu</t>
  </si>
  <si>
    <t>East Province Area One, South Province Area One, South Province Area Three, South Province Area Four, South Province Area Six, West Province Area One
Static: Casseroya Lake, West Province Area One
Tera Raid Battles: 1 Star Raid Battles</t>
  </si>
  <si>
    <t>Altaria</t>
  </si>
  <si>
    <t>Casseroya Lake, North Province Area One, North Province Area Two, South Province Area Six, West Province Area Three
Static: Casseroya Lake, South Province Area Six, West Province Area One
Tera Raid Battles: 5 Star Raid Battles</t>
  </si>
  <si>
    <t>Skiddo</t>
  </si>
  <si>
    <t>Asado Desert, East Province Area One, East Province Area Two, East Province Area Three, South Province Area One, South Province Area Two, South Province Area Three, South Province Area Four, South Province Area Five, West Province Area One, West Province Area Two
Tera Raid Battles: 1 Star Raid Battles</t>
  </si>
  <si>
    <t>Gogoat</t>
  </si>
  <si>
    <t>Casseroya Lake, Dalizapa Passage, North Province Area One, North Province Area Two, North Province Area Three, South Province Area Six, West Province Area Three
Static: North Province Area One, North Province Area Two
Tera Raid Battles: 4 Star Raid Battles</t>
  </si>
  <si>
    <t>Tauros</t>
  </si>
  <si>
    <t>East Province Area Two, West Province Area Two
Static: East Province Area One, East Province Area Two
Tera Raid Battles: 4 Star Raid Battles, 5 Star Raid Battles, 6 Star Raid Battles</t>
  </si>
  <si>
    <t>Litleo</t>
  </si>
  <si>
    <t>East Province Area One, East Province Area Two, South Province Area One, South Province Area Three, South Province Area Five
Tera Raid Battles: 1 Star Raid Battles</t>
  </si>
  <si>
    <t>Pyroar</t>
  </si>
  <si>
    <t>Dalizapa Passage, North Province Area One
Static: East Province Area Three
Tera Raid Battles: 4 Star Raid Battles</t>
  </si>
  <si>
    <t>Stunky</t>
  </si>
  <si>
    <t>South Province Area Three, South Province Area Five, West Province Area Two
Tera Raid Battles: 2 Star Raid Battles/Trade from Scarlet</t>
  </si>
  <si>
    <t>Skuntank</t>
  </si>
  <si>
    <t>Casseroya Lake
Tera Raid Battles: 4 Star Raid Battles/Trade from Scarlet</t>
  </si>
  <si>
    <t>Zorua</t>
  </si>
  <si>
    <t>Tagtree Thicket, West Province Area Three
Tera Raid Battles: 3 Star Raid Battles</t>
  </si>
  <si>
    <t>Zoroark</t>
  </si>
  <si>
    <t>Socarrat Trail
Tera Raid Battles: 5 Star Raid Battles</t>
  </si>
  <si>
    <t>Sneasel</t>
  </si>
  <si>
    <t>Dalizapa Passage, Glaseado Mountain
Static: Dalizapa Passage, Glaseado Mountain
Tera Raid Battles: 3 Star Raid Battles</t>
  </si>
  <si>
    <t>Weavile</t>
  </si>
  <si>
    <t>Glaseado Mountain
Static: Glaseado Mountain
Tera Raid Battles: 5 Star Raid Battles</t>
  </si>
  <si>
    <t>Murkrow</t>
  </si>
  <si>
    <t>East Province Area One, East Province Area Two, East Province Area Three, South Province Area One, South Province Area Two, South Province Area Three, South Province Area Four, South Province Area Five, Tagtree Thicket, West Province Area Two, West Province Area Three
Tera Raid Battles: 2 Star Raid Battles</t>
  </si>
  <si>
    <t>Honchkrow</t>
  </si>
  <si>
    <t>Casseroya Lake, Dalizapa Passage, North Province Area One, North Province Area Two, North Province Area Three, Socarrat Trail, South Province Area Six
Static: North Province Area Two
Tera Raid Battles: 5 Star Raid Battles</t>
  </si>
  <si>
    <t>Gothita</t>
  </si>
  <si>
    <t>East Province Area One
Tera Raid Battles: 2 Star Raid Battles</t>
  </si>
  <si>
    <t>Gothorita</t>
  </si>
  <si>
    <t>South Province Area Six
Tera Raid Battles: 3 Star Raid Battles</t>
  </si>
  <si>
    <t>Gothitelle</t>
  </si>
  <si>
    <t>South Province Area Six
Tera Raid Battles: 5 Star Raid Battles</t>
  </si>
  <si>
    <t>Sinistea</t>
  </si>
  <si>
    <t>East Province Area Three, South Province Area Six
Tera Raid Battles: 2 Star Raid Battles</t>
  </si>
  <si>
    <t>Polteageist</t>
  </si>
  <si>
    <t>Evolve Sinistea
Tera Raid Battles: 4 Star Raid Battles, 5 Star Raid Battles</t>
  </si>
  <si>
    <t>Mimikyu</t>
  </si>
  <si>
    <t>East Province Area Two, Tagtree Thicket, West Province Area Three
Static: North Province Area Two
Tera Raid Battles: 5 Star Raid Battles, 6 Star Raid Battles</t>
  </si>
  <si>
    <t>Klefki</t>
  </si>
  <si>
    <t>Glaseado Mountain, South Province Area Six</t>
  </si>
  <si>
    <t>Indeedee</t>
  </si>
  <si>
    <t>North Province Area One
Tera Raid Battles: 3 Star Raid Battles, 5 Star Raid Battles</t>
  </si>
  <si>
    <t>Bramblin</t>
  </si>
  <si>
    <t>Asado Desert, East Province Area Three
Static: East Province Area Three
Tera Raid Battles: 2 Star Raid Battles</t>
  </si>
  <si>
    <t>Brambleghast</t>
  </si>
  <si>
    <t>North Province Area One, Socarrat Trail
Tera Raid Battles: 5 Star Raid Battles</t>
  </si>
  <si>
    <t>Toedscool</t>
  </si>
  <si>
    <t>East Province Area One, East Province Area Two, Socarrat Trail, South Province Area One, South Province Area Three, South Province Area Four, South Province Area Five, Tagtree Thicket, West Province Area Two, West Province Area Three
Static: East Province Area One, West Province Area Three
Tera Raid Battles: 1 Star Raid Battles</t>
  </si>
  <si>
    <t>Toedscruel</t>
  </si>
  <si>
    <t>Socarrat Trail
Tera Raid Battles: 4 Star Raid Battles, 6 Star Raid Battles</t>
  </si>
  <si>
    <t>Tropius</t>
  </si>
  <si>
    <t>Casseroya Lake, West Province Area Three
Static: Casseroya Lake, West Province Area Two
Tera Raid Battles: 4 Star Raid Battles</t>
  </si>
  <si>
    <t>Fomantis</t>
  </si>
  <si>
    <t>South Province Area One, Tagtree Thicket
Tera Raid Battles: 1 Star Raid Battles</t>
  </si>
  <si>
    <t>Lurantis</t>
  </si>
  <si>
    <t>North Province Area One, North Province Area Two, North Province Area Three, Socarrat Trail
Static: Casseroya Lake
Tera Raid Battles: 4 Star Raid Battles</t>
  </si>
  <si>
    <t>Klawf</t>
  </si>
  <si>
    <t>South Province Area Three
Static: South Province Area Three
Tera Raid Battles: 6 Star Raid Battles</t>
  </si>
  <si>
    <t>Capsakid</t>
  </si>
  <si>
    <t>Asado Desert, West Province Area One
Static: West Province Area One
Tera Raid Battles: 2 Star Raid Battles</t>
  </si>
  <si>
    <t>Scovillain</t>
  </si>
  <si>
    <t>Dalizapa Passage, North Province Area One, North Province Area Three, South Province Area Six
Tera Raid Battles: 4 Star Raid Battles</t>
  </si>
  <si>
    <t>Cacnea</t>
  </si>
  <si>
    <t>Asado Desert
Tera Raid Battles: 2 Star Raid Battles</t>
  </si>
  <si>
    <t>Cacturne</t>
  </si>
  <si>
    <t>Evolve Cacnea
Static: Asado Desert
Tera Raid Battles: 4 Star Raid Battles</t>
  </si>
  <si>
    <t>Rellor</t>
  </si>
  <si>
    <t>Asado Desert
Tera Raid Battles: 1 Star Raid Battles</t>
  </si>
  <si>
    <t>Rabsca</t>
  </si>
  <si>
    <t>Evolve Rellor
Tera Raid Battles: 4 Star Raid Battles</t>
  </si>
  <si>
    <t>Venonat</t>
  </si>
  <si>
    <t>East Province Area One, Tagtree Thicket
Tera Raid Battles: 1 Star Raid Battles</t>
  </si>
  <si>
    <t>Venomoth</t>
  </si>
  <si>
    <t>Area Zero, North Province Area Two, Tagtree Thicket
Static: Casseroya Lake
Tera Raid Battles: 3 Star Raid Battles</t>
  </si>
  <si>
    <t>Pineco</t>
  </si>
  <si>
    <t>East Province Area One, East Province Area Two, South Province Area Four, Tagtree Thicket, West Province Area Three
Tera Raid Battles: 2 Star Raid Battles</t>
  </si>
  <si>
    <t>Forretress</t>
  </si>
  <si>
    <t>Socarrat Trail
Static: Casseroya Lake
Tera Raid Battles: 4 Star Raid Battles</t>
  </si>
  <si>
    <t>Scyther</t>
  </si>
  <si>
    <t>Casseroya Lake, North Province Area Two, South Province Area Four, South Province Area Six
Static: South Province Area Four
Tera Raid Battles: 4 Star Raid Battles, 5 Star Raid Battles</t>
  </si>
  <si>
    <t>Scizor</t>
  </si>
  <si>
    <t>Evolve Scyther
Tera Raid Battles: 5 Star Raid Battles, 6 Star Raid Battles</t>
  </si>
  <si>
    <t>Heracross</t>
  </si>
  <si>
    <t>North Province Area Two, Socarrat Trail
Static: North Province Area Two
Tera Raid Battles: 4 Star Raid Battles, 6 Star Raid Battles</t>
  </si>
  <si>
    <t>Flittle</t>
  </si>
  <si>
    <t>Asado Desert, Dalizapa Passage, East Province Area Two, North Province Area One, South Province Area One, South Province Area Four, South Province Area Five, South Province Area Six, West Province Area One
Static: West Province Area One
Tera Raid Battles: 1 Star Raid Battles</t>
  </si>
  <si>
    <t>Espathra</t>
  </si>
  <si>
    <t>Dalizapa Passage, North Province Area One, South Province Area Six
Static: Asado Desert, Dalizapa Passage
Tera Raid Battles: 4 Star Raid Battles</t>
  </si>
  <si>
    <t>Hippopotas</t>
  </si>
  <si>
    <t>Asado Desert
Static: Asado Desert
Tera Raid Battles: 3 Star Raid Battles</t>
  </si>
  <si>
    <t>Hippowdon</t>
  </si>
  <si>
    <t>Evolve Hippopotas
Static: Asado Desert
Tera Raid Battles: 5 Star Raid Battles, 6 Star Raid Battles</t>
  </si>
  <si>
    <t>Sandile</t>
  </si>
  <si>
    <t>Krokorok</t>
  </si>
  <si>
    <t>Evolve Sandile
Tera Raid Battles: 4 Star Raid Battles</t>
  </si>
  <si>
    <t>Krookodile</t>
  </si>
  <si>
    <t>Evolve Krokorok
Tera Raid Battles: 5 Star Raid Battles</t>
  </si>
  <si>
    <t>Silicobra</t>
  </si>
  <si>
    <t>Asado Desert, East Province Area Three
Tera Raid Battles: 1 Star Raid Battles</t>
  </si>
  <si>
    <t>Sandaconda</t>
  </si>
  <si>
    <t>Evolve Silicobra
Static: Asado Desert
Tera Raid Battles: 4 Star Raid Battles</t>
  </si>
  <si>
    <t>Mudbray</t>
  </si>
  <si>
    <t>Dalizapa Passage, East Province Area Two, South Province Area One, South Province Area Two, South Province Area Five, West Province Area One
Tera Raid Battles: 2 Star Raid Battles</t>
  </si>
  <si>
    <t>Mudsdale</t>
  </si>
  <si>
    <t>Dalizapa Passage, Glaseado Mountain, North Province Area One, South Province Area Six
Tera Raid Battles: 5 Star Raid Battles</t>
  </si>
  <si>
    <t>Larvesta</t>
  </si>
  <si>
    <t>Volcarona</t>
  </si>
  <si>
    <t>Bagon</t>
  </si>
  <si>
    <t>Trade from Violet/Alfornada Cavern, Dalizapa Passage, East Province Area Three, Glaseado Mountain, South Province Area One, South Province Area Three, West Province Area Two
Tera Raid Battles: 3 Star Raid Battles</t>
  </si>
  <si>
    <t>Shelgon</t>
  </si>
  <si>
    <t>Trade from Violet/Alfornada Cavern
Static: North Province Area Two
Tera Raid Battles: 4 Star Raid Battles</t>
  </si>
  <si>
    <t>Salamence</t>
  </si>
  <si>
    <t>Trade from Violet/Evolve Shelgon
Tera Raid Battles: 5 Star Raid Battles, 6 Star Raid Battles</t>
  </si>
  <si>
    <t>Tinkatink</t>
  </si>
  <si>
    <t>East Province Area Two, South Province Area Two, South Province Area Three, West Province Area One
Static: Asado Desert, South Province Area Two
Tera Raid Battles: 2 Star Raid Battles</t>
  </si>
  <si>
    <t>Tinkatuff</t>
  </si>
  <si>
    <t>Dalizapa Passage, East Province Area Two, North Province Area One, North Province Area Three, South Province Area Six, West Province Area Two
Static: Casseroya Lake, West Province Area One
Tera Raid Battles: 3 Star Raid Battles</t>
  </si>
  <si>
    <t>Tinkaton</t>
  </si>
  <si>
    <t>Evolve Tinkatuff
Tera Raid Battles: 5 Star Raid Battles, 6 Star Raid Battles</t>
  </si>
  <si>
    <t>Hatenna</t>
  </si>
  <si>
    <t>South Province Area One, South Province Area Two, South Province Area Four, West Province Area Three
Tera Raid Battles: 1 Star Raid Battles</t>
  </si>
  <si>
    <t>Hattrem</t>
  </si>
  <si>
    <t>Glaseado Mountain, South Province Area Six, Tagtree Thicket
Tera Raid Battles: 3 Star Raid Battles</t>
  </si>
  <si>
    <t>Hatterene</t>
  </si>
  <si>
    <t>Evolve Hattrem
Tera Raid Battles: 5 Star Raid Battles</t>
  </si>
  <si>
    <t>Impidimp</t>
  </si>
  <si>
    <t>Tagtree Thicket
Tera Raid Battles: 2 Star Raid Battles</t>
  </si>
  <si>
    <t>Morgrem</t>
  </si>
  <si>
    <t>Tagtree Thicket
Tera Raid Battles: 3 Star Raid Battles</t>
  </si>
  <si>
    <t>Grimmsnarl</t>
  </si>
  <si>
    <t>Evolve Morgrem
Tera Raid Battles: 5 Star Raid Battles</t>
  </si>
  <si>
    <t>Wiglett</t>
  </si>
  <si>
    <t>East Province Area Two, South Province Area Five, West Province Area One, West Province Area Two
Static: North Province Area One, South Province Area One
Tera Raid Battles: 1 Star Raid Battles</t>
  </si>
  <si>
    <t>Wugtrio</t>
  </si>
  <si>
    <t>North Province Area One, North Province Area Three, West Province Area Two
Static: North Province Area One, North Province Area Three
Tera Raid Battles: 4 Star Raid Battles</t>
  </si>
  <si>
    <t>Bombirdier</t>
  </si>
  <si>
    <t>South Province Area Six, West Paldean Sea, West Province Area One, West Province Area Three
Tera Raid Battles: 5 Star Raid Battles, 6 Star Raid Battles</t>
  </si>
  <si>
    <t>Finizen</t>
  </si>
  <si>
    <t>East Paldean Sea, North Paldean Sea, South Paldean Sea, West Paldean Sea
Static: West Province Area Two
Tera Raid Battles: 3 Star Raid Battles</t>
  </si>
  <si>
    <t>Palafin</t>
  </si>
  <si>
    <t>Evolve Finizen
Tera Raid Battles: 5 Star Raid Battles</t>
  </si>
  <si>
    <t>Varoom</t>
  </si>
  <si>
    <t>East Province Area Three, West Province Area Two
Static: East Province Area Three
Tera Raid Battles: 2 Star Raid Battles</t>
  </si>
  <si>
    <t>Revavroom</t>
  </si>
  <si>
    <t>Dalizapa Passage, North Province Area One
Static: Glaseado Mountain, North Province Area Two
Tera Raid Battles: 5 Star Raid Battles, 6 Star Raid Battles</t>
  </si>
  <si>
    <t>Cyclizar</t>
  </si>
  <si>
    <t>East Province Area Two, West Province Area Two
Static: Asado Desert, East Province Area One, West Province Area One, West Province Area Three
Tera Raid Battles: 4 Star Raid Battles, 6 Star Raid Battles</t>
  </si>
  <si>
    <t>Orthworm</t>
  </si>
  <si>
    <t>Asado Desert, East Province Area Three
Tera Raid Battles: 5 Star Raid Battles, 6 Star Raid Battles</t>
  </si>
  <si>
    <t>Sableye</t>
  </si>
  <si>
    <t>Alfornada Cavern, Dalizapa Passage, East Province Area Three, North Province Area One, West Province Area One, West Province Area Two
Static: South Province Area Six
Tera Raid Battles: 3 Star Raid Battles, 5 Star Raid Battles</t>
  </si>
  <si>
    <t>Shuppet</t>
  </si>
  <si>
    <t>East Province Area One, East Province Area Two, East Province Area Three
Tera Raid Battles: 2 Star Raid Battles</t>
  </si>
  <si>
    <t>Banette</t>
  </si>
  <si>
    <t>Alfornada Cavern, Glaseado Mountain
Tera Raid Battles: 4 Star Raid Battles</t>
  </si>
  <si>
    <t>Falinks</t>
  </si>
  <si>
    <t>North Province Area Two, West Province Area One, West Province Area Two
Static: East Province Area Three
Tera Raid Battles: 4 Star Raid Battles, 5 Star Raid Battles</t>
  </si>
  <si>
    <t>Hawlucha</t>
  </si>
  <si>
    <t>Casseroya Lake, North Province Area One, North Province Area Two, North Province Area Three, Socarrat Trail
Static: South Province Area Four, South Province Area Six
Tera Raid Battles: 4 Star Raid Battles</t>
  </si>
  <si>
    <t>Spiritomb</t>
  </si>
  <si>
    <t>Glaseado Mountain
Static: Casseroya Lake, Glaseado Mountain</t>
  </si>
  <si>
    <t>Noibat</t>
  </si>
  <si>
    <t>North Province Area One, North Province Area Two, West Province Area Two
Tera Raid Battles: 3 Star Raid Battles</t>
  </si>
  <si>
    <t>Noivern</t>
  </si>
  <si>
    <t>North Province Area One, North Province Area Two
Tera Raid Battles: 5 Star Raid Battles</t>
  </si>
  <si>
    <t>Dreepy</t>
  </si>
  <si>
    <t>Trade from Violet/East Province Area Two, East Province Area Three, Glaseado Mountain, South Province Area One, South Province Area Four, South Province Area Five, South Province Area Six, West Province Area Two, West Province Area Three
Tera Raid Battles: 3 Star Raid Battles</t>
  </si>
  <si>
    <t>Drakloak</t>
  </si>
  <si>
    <t>Trade from Violet/Casseroya Lake, Glaseado Mountain, North Province Area One, North Province Area Two, North Province Area Three
Tera Raid Battles: 4 Star Raid Battles</t>
  </si>
  <si>
    <t>Dragapult</t>
  </si>
  <si>
    <t>Trade from Violet/Evolve Drakloak
Tera Raid Battles: 5 Star Raid Battles, 6 Star Raid Battles</t>
  </si>
  <si>
    <t>Glimmet</t>
  </si>
  <si>
    <t>Alfornada Cavern, Area Zero, East Province Area Three, Glaseado Mountain, North Province Area One, North Province Area Two, West Province Area Two
Tera Raid Battles: 3 Star Raid Battles</t>
  </si>
  <si>
    <t>Glimmora</t>
  </si>
  <si>
    <t>Rotom</t>
  </si>
  <si>
    <t>East Province Area Two, West Province Area Two
Tera Raid Battles: 4 Star Raid Battles, 5 Star Raid Battles</t>
  </si>
  <si>
    <t>Greavard</t>
  </si>
  <si>
    <t>Dalizapa Passage, Glaseado Mountain, West Province Area Three
Static: Glaseado Mountain
Tera Raid Battles: 1 Star Raid Battles</t>
  </si>
  <si>
    <t>Houndstone</t>
  </si>
  <si>
    <t>Casseroya Lake, Dalizapa Passage, Glaseado Mountain, North Province Area One
Static: Glaseado Mountain, South Province Area Five
Tera Raid Battles: 4 Star Raid Battles</t>
  </si>
  <si>
    <t>Oranguru</t>
  </si>
  <si>
    <t>North Province Area Two, Tagtree Thicket
Tera Raid Battles: 3 Star Raid Battles, 5 Star Raid Battles/Trade from Scarlet</t>
  </si>
  <si>
    <t>Passimian</t>
  </si>
  <si>
    <t>Trade from Violet/North Province Area Two, Tagtree Thicket
Tera Raid Battles: 3 Star Raid Battles, 5 Star Raid Battles</t>
  </si>
  <si>
    <t>Komala</t>
  </si>
  <si>
    <t>East Province Area One, East Province Area Two, South Province Area One, Tagtree Thicket, West Province Area Three
Tera Raid Battles: 4 Star Raid Battles</t>
  </si>
  <si>
    <t>Larvitar</t>
  </si>
  <si>
    <t>Alfornada Cavern, Asado Desert, Dalizapa Passage, East Province Area Three, South Province Area Five, West Province Area One
Tera Raid Battles: 3 Star Raid Battles/Trade from Scarlet</t>
  </si>
  <si>
    <t>Pupitar</t>
  </si>
  <si>
    <t>Alfornada Cavern
Static: North Province Area Two
Tera Raid Battles: 4 Star Raid Battles/Trade from Scarlet</t>
  </si>
  <si>
    <t>Tyranitar</t>
  </si>
  <si>
    <t>Evolve Pupitar
Tera Raid Battles: 5 Star Raid Battles, 6 Star Raid Battles/Trade from Scarlet</t>
  </si>
  <si>
    <t>Stonjourner</t>
  </si>
  <si>
    <t>Asado Desert
Tera Raid Battles: 4 Star Raid Battles/Trade from Scarlet</t>
  </si>
  <si>
    <t>Eiscue</t>
  </si>
  <si>
    <t>Trade from Violet/North Paldean Sea, North Province Area Three
Tera Raid Battles: 4 Star Raid Battles</t>
  </si>
  <si>
    <t>Pincurchin</t>
  </si>
  <si>
    <t>East Province Area Two, North Province Area One, North Province Area Three, West Province Area Two
Static: Glaseado Mountain, North Province Area Three
Tera Raid Battles: 3 Star Raid Battles, 5 Star Raid Battles, 6 Star Raid Battles</t>
  </si>
  <si>
    <t>Sandygast</t>
  </si>
  <si>
    <t>East Province Area Two, South Province Area Five, West Province Area Two
Static: Asado Desert
Tera Raid Battles: 2 Star Raid Battles</t>
  </si>
  <si>
    <t>Palossand</t>
  </si>
  <si>
    <t>West Province Area Two</t>
  </si>
  <si>
    <t>Slowpoke</t>
  </si>
  <si>
    <t>Casseroya Lake, East Province Area Two, South Province Area One, South Province Area Five, West Province Area Two
Static: Casseroya Lake
Tera Raid Battles: 2 Star Raid Battles</t>
  </si>
  <si>
    <t>Slowbro</t>
  </si>
  <si>
    <t>Casseroya Lake, West Province Area Two
Static: Casseroya Lake
Tera Raid Battles: 5 Star Raid Battles</t>
  </si>
  <si>
    <t>Slowking</t>
  </si>
  <si>
    <t>Evolve Slowpoke
Tera Raid Battles: 5 Star Raid Battles, 6 Star Raid Battles</t>
  </si>
  <si>
    <t>Shellos</t>
  </si>
  <si>
    <t>West Sea: Cortondo East Sea: East Province Area One, South Province Area Five
Tera Raid Battles: 2 Star Raid Battles</t>
  </si>
  <si>
    <t>Gastrodon</t>
  </si>
  <si>
    <t>West Sea: Casseroya Lake East Sea: North Province Area One
Static: North Province Area Three
Tera Raid Battles: 4 Star Raid Battles</t>
  </si>
  <si>
    <t>Shellder</t>
  </si>
  <si>
    <t>East Paldean Sea, North Paldean Sea, South Paldean Sea, West Paldean Sea
Tera Raid Battles: 1 Star Raid Battles, 2 Star Raid Battles</t>
  </si>
  <si>
    <t>Cloyster</t>
  </si>
  <si>
    <t>East Paldean Sea, North Paldean Sea, South Paldean Sea, West Paldean Sea
Tera Raid Battles: 4 Star Raid Battles, 5 Star Raid Battles</t>
  </si>
  <si>
    <t>Qwilfish</t>
  </si>
  <si>
    <t>East Paldean Sea, North Paldean Sea, South Paldean Sea, West Paldean Sea
Tera Raid Battles: 3 Star Raid Battles</t>
  </si>
  <si>
    <t>Luvdisc</t>
  </si>
  <si>
    <t>East Paldean Sea, South Paldean Sea, West Paldean Sea
Tera Raid Battles: 2 Star Raid Battles</t>
  </si>
  <si>
    <t>Finneon</t>
  </si>
  <si>
    <t>West Paldean Sea
Tera Raid Battles: 1 Star Raid Battles, 2 Star Raid Battles</t>
  </si>
  <si>
    <t>Lumineon</t>
  </si>
  <si>
    <t>North Paldean Sea, West Paldean Sea
Tera Raid Battles: 4 Star Raid Battles</t>
  </si>
  <si>
    <t>Bruxish</t>
  </si>
  <si>
    <t>East Paldean Sea, West Paldean Sea
Tera Raid Battles: 3 Star Raid Battles</t>
  </si>
  <si>
    <t>Alomomola</t>
  </si>
  <si>
    <t>North Paldean Sea
Tera Raid Battles: 4 Star Raid Battles</t>
  </si>
  <si>
    <t>Skrelp</t>
  </si>
  <si>
    <t>East Paldean Sea, North Paldean Sea, South Paldean Sea, West Paldean Sea
Tera Raid Battles: 2 Star Raid Battles/Trade from Scarlet</t>
  </si>
  <si>
    <t>Dragalge</t>
  </si>
  <si>
    <t>North Paldean Sea
Tera Raid Battles: 5 Star Raid Battles, 6 Star Raid Battles/Trade from Scarlet</t>
  </si>
  <si>
    <t>Clauncher</t>
  </si>
  <si>
    <t>Trade from Violet/East Paldean Sea, North Paldean Sea, South Paldean Sea, West Paldean Sea
Tera Raid Battles: 2 Star Raid Battles</t>
  </si>
  <si>
    <t>Clawitzer</t>
  </si>
  <si>
    <t>Trade from Violet/North Paldean Sea, South Paldean Sea
Tera Raid Battles: 5 Star Raid Battles, 6 Star Raid Battles</t>
  </si>
  <si>
    <t>Tynamo</t>
  </si>
  <si>
    <t>North Paldean Sea, West Paldean Sea
Tera Raid Battles: 1 Star Raid Battles</t>
  </si>
  <si>
    <t>Eelektrik</t>
  </si>
  <si>
    <t>North Paldean Sea, South Paldean Sea, West Paldean Sea
Tera Raid Battles: 4 Star Raid Battles</t>
  </si>
  <si>
    <t>Eelektross</t>
  </si>
  <si>
    <t>Evolve Eelektrik
Static: North Province Area One
Tera Raid Battles: 5 Star Raid Battles</t>
  </si>
  <si>
    <t>Mareanie</t>
  </si>
  <si>
    <t>East Paldean Sea
Tera Raid Battles: 3 Star Raid Battles</t>
  </si>
  <si>
    <t>Toxapex</t>
  </si>
  <si>
    <t>Evolve Mareanie
Static: East Paldean Sea
Tera Raid Battles: 6 Star Raid Battles</t>
  </si>
  <si>
    <t>Flamigo</t>
  </si>
  <si>
    <t>Casseroya Lake, East Province Area Two, East Province Area Three, Glaseado Mountain, North Province Area One, South Province Area Four, South Province Area Five, West Province Area Two, West Province Area Three
Static: South Province Area One, South Province Area Five
Tera Raid Battles: 4 Star Raid Battles</t>
  </si>
  <si>
    <t>Dratini</t>
  </si>
  <si>
    <t>Casseroya Lake, North Province Area Two, South Province Area Six
Tera Raid Battles: 3 Star Raid Battles</t>
  </si>
  <si>
    <t>Dragonair</t>
  </si>
  <si>
    <t>Casseroya Lake
Static: Casseroya Lake, South Province Area Six
Tera Raid Battles: 4 Star Raid Battles</t>
  </si>
  <si>
    <t>Dragonite</t>
  </si>
  <si>
    <t>North Province Area Two
Static: Casseroya Lake, North Province Area Two
Tera Raid Battles: 5 Star Raid Battles, 6 Star Raid Battles</t>
  </si>
  <si>
    <t>Snom</t>
  </si>
  <si>
    <t>Dalizapa Passage, Glaseado Mountain
Tera Raid Battles: 1 Star Raid Battles</t>
  </si>
  <si>
    <t>Frosmoth</t>
  </si>
  <si>
    <t>Glaseado Mountain, North Province Area One
Static: Glaseado Mountain
Tera Raid Battles: 4 Star Raid Battles, 6 Star Raid Battles</t>
  </si>
  <si>
    <t>Snover</t>
  </si>
  <si>
    <t>Glaseado Mountain
Tera Raid Battles: 3 Star Raid Battles</t>
  </si>
  <si>
    <t>Abomasnow</t>
  </si>
  <si>
    <t>Glaseado Mountain
Tera Raid Battles: 5 Star Raid Battles</t>
  </si>
  <si>
    <t>Delibird</t>
  </si>
  <si>
    <t>Cubchoo</t>
  </si>
  <si>
    <t>Dalizapa Passage, Glaseado Mountain
Static: Glaseado Mountain
Tera Raid Battles: 3 Star Raid Battles</t>
  </si>
  <si>
    <t>Beartic</t>
  </si>
  <si>
    <t>Glaseado Mountain
Static: Glaseado Mountain
Tera Raid Battles: 4 Star Raid Battles</t>
  </si>
  <si>
    <t>Snorunt</t>
  </si>
  <si>
    <t>Dalizapa Passage, Glaseado Mountain
Tera Raid Battles: 2 Star Raid Battles</t>
  </si>
  <si>
    <t>Glalie</t>
  </si>
  <si>
    <t>Froslass</t>
  </si>
  <si>
    <t>Glaseado Mountain
Static: Dalizapa Passage, Glaseado Mountain
Tera Raid Battles: 5 Star Raid Battles</t>
  </si>
  <si>
    <t>Cryogonal</t>
  </si>
  <si>
    <t>Glaseado Mountain
Tera Raid Battles: 4 Star Raid Battles</t>
  </si>
  <si>
    <t>Cetoddle</t>
  </si>
  <si>
    <t>Dalizapa Passage, Glaseado Mountain
Static: Dalizapa Passage, West Province Area Three
Tera Raid Battles: 3 Star Raid Battles</t>
  </si>
  <si>
    <t>Cetitan</t>
  </si>
  <si>
    <t>Bergmite</t>
  </si>
  <si>
    <t>Casseroya Lake, Glaseado Mountain, North Paldean Sea
Static: Glaseado Mountain
Tera Raid Battles: 3 Star Raid Battles</t>
  </si>
  <si>
    <t>Avalugg</t>
  </si>
  <si>
    <t>Casseroya Lake, Glaseado Mountain, North Paldean Sea
Static: Casseroya Lake, Dalizapa Passage
Tera Raid Battles: 5 Star Raid Battles, 6 Star Raid Battles</t>
  </si>
  <si>
    <t>Rufflet</t>
  </si>
  <si>
    <t>Asado Desert, Dalizapa Passage, East Province Area Three, Glaseado Mountain, North Province Area One, North Province Area Two, South Province Area One, South Province Area Three, South Province Area Four, South Province Area Six
Static: South Province Area Four
Tera Raid Battles: 3 Star Raid Battles</t>
  </si>
  <si>
    <t>Braviary</t>
  </si>
  <si>
    <t>Asado Desert
Static: Asado Desert, North Province Area One
Tera Raid Battles: 5 Star Raid Battles</t>
  </si>
  <si>
    <t>Pawniard</t>
  </si>
  <si>
    <t>East Province Area Three, Inlet Grotto, North Province Area Two, South Province Area Five
Tera Raid Battles: 2 Star Raid Battles</t>
  </si>
  <si>
    <t>Bisharp</t>
  </si>
  <si>
    <t>Area Zero, North Province Area Two
Tera Raid Battles: 4 Star Raid Battles</t>
  </si>
  <si>
    <t>Kingambit</t>
  </si>
  <si>
    <t>Evolve Bisharp
Tera Raid Battles: 5 Star Raid Battles, 6 Star Raid Battles</t>
  </si>
  <si>
    <t>Deino</t>
  </si>
  <si>
    <t>Alfornada Cavern, Dalizapa Passage, Glaseado Mountain, North Province Area Two
Tera Raid Battles: 3 Star Raid Battles/Trade from Scarlet</t>
  </si>
  <si>
    <t>Zweilous</t>
  </si>
  <si>
    <t>Area Zero, Glaseado Mountain, North Province Area Two
Tera Raid Battles: 4 Star Raid Battles/Trade from Scarlet</t>
  </si>
  <si>
    <t>Hydreigon</t>
  </si>
  <si>
    <t>Evolve Zweilous
Tera Raid Battles: 5 Star Raid Battles, 6 Star Raid Battles/Trade from Scarlet</t>
  </si>
  <si>
    <t>Veluza</t>
  </si>
  <si>
    <t>Casseroya Lake, North Paldean Sea, West Paldean Sea
Static: Casseroya Lake, East Province Area One, Glaseado Mountain
Tera Raid Battles: 4 Star Raid Battles</t>
  </si>
  <si>
    <t>Dondozo</t>
  </si>
  <si>
    <t>Casseroya Lake
Tera Raid Battles: 5 Star Raid Battles, 6 Star Raid Battles</t>
  </si>
  <si>
    <t>Tatsugiri</t>
  </si>
  <si>
    <t>Casseroya Lake
Static: Casseroya Lake
Tera Raid Battles: 5 Star Raid Battles</t>
  </si>
  <si>
    <t>Great Tusk</t>
  </si>
  <si>
    <t>Area Zero/Trade from Scarlet</t>
  </si>
  <si>
    <t>Scream Tail</t>
  </si>
  <si>
    <t>Brute Bonnet</t>
  </si>
  <si>
    <t>Flutter Mane</t>
  </si>
  <si>
    <t>Slither Wing</t>
  </si>
  <si>
    <t>Sandy Shocks</t>
  </si>
  <si>
    <t>Iron Treads</t>
  </si>
  <si>
    <t>Trade from Violet/Area Zero</t>
  </si>
  <si>
    <t>Iron Bundle</t>
  </si>
  <si>
    <t>Iron Hands</t>
  </si>
  <si>
    <t>Iron Jugulis</t>
  </si>
  <si>
    <t>Iron Moth</t>
  </si>
  <si>
    <t>Iron Thorns</t>
  </si>
  <si>
    <t>Frigibax</t>
  </si>
  <si>
    <t>Glaseado Mountain
Static: Glaseado Mountain
Tera Raid Battles: 3 Star Raid Battles</t>
  </si>
  <si>
    <t>Arctibax</t>
  </si>
  <si>
    <t>Glaseado Mountain
Static: Glaseado Mountain</t>
  </si>
  <si>
    <t>Baxcalibur</t>
  </si>
  <si>
    <t>Evolve Arctibax
Tera Raid Battles: 5 Star Raid Battles, 6 Star Raid Battles</t>
  </si>
  <si>
    <t>Gimmighoul</t>
  </si>
  <si>
    <t>All over Paldea</t>
  </si>
  <si>
    <t>Gholdengo</t>
  </si>
  <si>
    <t>Evolve Gimmighoul</t>
  </si>
  <si>
    <t>Wo-Chien</t>
  </si>
  <si>
    <t>West Province Area One</t>
  </si>
  <si>
    <t>Chien-Pao</t>
  </si>
  <si>
    <t>South Province Area One</t>
  </si>
  <si>
    <t>Ting-Lu</t>
  </si>
  <si>
    <t>Socarrat Trail</t>
  </si>
  <si>
    <t>Chi-Yu</t>
  </si>
  <si>
    <t>North Province Area Two</t>
  </si>
  <si>
    <t>Roaring Moon</t>
  </si>
  <si>
    <t>Iron Valiant</t>
  </si>
  <si>
    <t>Koraidon</t>
  </si>
  <si>
    <t>Miraidon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</si>
</sst>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rgb="FF000000"/>
      <name val="Roboto"/>
    </font>
    <font>
      <b/>
      <i/>
      <sz val="36.0"/>
      <color rgb="FF000000"/>
      <name val="Roboto"/>
    </font>
    <font>
      <b/>
      <color theme="1"/>
      <name val="Arial"/>
      <scheme val="minor"/>
    </font>
    <font/>
    <font>
      <b/>
      <sz val="12.0"/>
      <color theme="1"/>
      <name val="Arial"/>
      <scheme val="minor"/>
    </font>
    <font>
      <b/>
      <sz val="10.0"/>
      <color rgb="FF000000"/>
      <name val="Roboto"/>
    </font>
    <font>
      <b/>
      <sz val="11.0"/>
      <color rgb="FF000000"/>
      <name val="Inconsolata"/>
    </font>
    <font>
      <sz val="12.0"/>
      <color rgb="FF000000"/>
      <name val="Roboto"/>
    </font>
    <font>
      <color theme="1"/>
      <name val="Arial"/>
    </font>
    <font>
      <sz val="11.0"/>
      <color rgb="FF4D5156"/>
      <name val="Roboto"/>
    </font>
    <font>
      <color theme="1"/>
      <name val="Arial"/>
      <scheme val="minor"/>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left" readingOrder="0" vertical="center"/>
    </xf>
    <xf borderId="0" fillId="0" fontId="3" numFmtId="0" xfId="0" applyFont="1"/>
    <xf borderId="1" fillId="2" fontId="1" numFmtId="0" xfId="0" applyAlignment="1" applyBorder="1" applyFont="1">
      <alignment horizontal="center" readingOrder="0" vertical="center"/>
    </xf>
    <xf borderId="2" fillId="0" fontId="4" numFmtId="0" xfId="0" applyBorder="1" applyFont="1"/>
    <xf borderId="3"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5" fillId="0" fontId="4" numFmtId="0" xfId="0" applyBorder="1" applyFont="1"/>
    <xf borderId="4" fillId="2" fontId="5" numFmtId="0" xfId="0" applyAlignment="1" applyBorder="1" applyFont="1">
      <alignment horizontal="center" readingOrder="0" vertical="center"/>
    </xf>
    <xf borderId="4" fillId="2" fontId="1" numFmtId="0" xfId="0" applyAlignment="1" applyBorder="1" applyFont="1">
      <alignment horizontal="left" readingOrder="0" vertical="center"/>
    </xf>
    <xf borderId="6" fillId="0" fontId="4" numFmtId="0" xfId="0" applyBorder="1" applyFont="1"/>
    <xf borderId="7" fillId="3" fontId="6" numFmtId="0" xfId="0" applyAlignment="1" applyBorder="1" applyFill="1" applyFont="1">
      <alignment horizontal="left" readingOrder="0" vertical="center"/>
    </xf>
    <xf borderId="7" fillId="3" fontId="7" numFmtId="0" xfId="0" applyAlignment="1" applyBorder="1" applyFont="1">
      <alignment horizontal="left"/>
    </xf>
    <xf borderId="8" fillId="0" fontId="4" numFmtId="0" xfId="0" applyBorder="1" applyFont="1"/>
    <xf borderId="9" fillId="0" fontId="4" numFmtId="0" xfId="0" applyBorder="1" applyFont="1"/>
    <xf borderId="10" fillId="0" fontId="4" numFmtId="0" xfId="0" applyBorder="1" applyFont="1"/>
    <xf borderId="7" fillId="3" fontId="7" numFmtId="0" xfId="0" applyAlignment="1" applyBorder="1" applyFont="1">
      <alignment horizontal="left" readingOrder="0"/>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 fillId="0" fontId="8" numFmtId="0" xfId="0" applyAlignment="1" applyBorder="1" applyFont="1">
      <alignment horizontal="center" readingOrder="0"/>
    </xf>
    <xf borderId="7" fillId="0" fontId="8" numFmtId="0" xfId="0" applyAlignment="1" applyBorder="1" applyFont="1">
      <alignment horizontal="left" readingOrder="0" vertical="center"/>
    </xf>
    <xf borderId="7" fillId="2" fontId="9" numFmtId="0" xfId="0" applyAlignment="1" applyBorder="1" applyFont="1">
      <alignment vertical="center"/>
    </xf>
    <xf borderId="1" fillId="0" fontId="8" numFmtId="0" xfId="0" applyAlignment="1" applyBorder="1" applyFont="1">
      <alignment horizontal="left" readingOrder="0" vertical="center"/>
    </xf>
    <xf borderId="15" fillId="0" fontId="4" numFmtId="0" xfId="0" applyBorder="1" applyFont="1"/>
    <xf borderId="0" fillId="0" fontId="9" numFmtId="0" xfId="0" applyAlignment="1" applyFont="1">
      <alignment shrinkToFit="0" vertical="bottom" wrapText="0"/>
    </xf>
    <xf borderId="0" fillId="0" fontId="9" numFmtId="0" xfId="0" applyAlignment="1" applyFont="1">
      <alignment vertical="bottom"/>
    </xf>
    <xf borderId="0" fillId="4" fontId="10" numFmtId="0" xfId="0" applyAlignment="1" applyFill="1" applyFont="1">
      <alignment readingOrder="0"/>
    </xf>
    <xf borderId="0" fillId="0" fontId="11" numFmtId="0" xfId="0" applyAlignment="1" applyFont="1">
      <alignment horizontal="center" readingOrder="0"/>
    </xf>
    <xf borderId="0" fillId="0" fontId="11" numFmtId="0" xfId="0" applyAlignment="1" applyFont="1">
      <alignment horizontal="left"/>
    </xf>
    <xf borderId="0" fillId="2" fontId="9" numFmtId="0" xfId="0" applyAlignment="1" applyFont="1">
      <alignment vertical="bottom"/>
    </xf>
    <xf borderId="0" fillId="0" fontId="11" numFmtId="0" xfId="0" applyAlignment="1" applyFont="1">
      <alignment horizontal="center"/>
    </xf>
  </cellXfs>
  <cellStyles count="1">
    <cellStyle xfId="0" name="Normal" builtinId="0"/>
  </cellStyles>
  <dxfs count="3">
    <dxf>
      <font/>
      <fill>
        <patternFill patternType="none"/>
      </fill>
      <border/>
    </dxf>
    <dxf>
      <font/>
      <fill>
        <patternFill patternType="solid">
          <fgColor rgb="FFFCE8B2"/>
          <bgColor rgb="FFFCE8B2"/>
        </patternFill>
      </fill>
      <border/>
    </dxf>
    <dxf>
      <font/>
      <fill>
        <patternFill patternType="solid">
          <fgColor rgb="FFFFFEEE"/>
          <bgColor rgb="FFFFFEE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9.38"/>
    <col customWidth="1" min="2" max="2" width="9.13"/>
    <col customWidth="1" min="3" max="3" width="11.5"/>
    <col customWidth="1" min="4" max="4" width="18.0"/>
    <col customWidth="1" min="5" max="5" width="7.25"/>
    <col customWidth="1" min="6" max="7" width="7.63"/>
    <col customWidth="1" min="8" max="8" width="115.13"/>
    <col customWidth="1" min="10" max="10" width="106.5"/>
  </cols>
  <sheetData>
    <row r="1" ht="48.75" customHeight="1">
      <c r="A1" s="1" t="s">
        <v>0</v>
      </c>
      <c r="C1" s="2" t="s">
        <v>1</v>
      </c>
      <c r="K1" s="3"/>
      <c r="L1" s="3"/>
      <c r="M1" s="3"/>
      <c r="N1" s="3"/>
      <c r="O1" s="3"/>
      <c r="P1" s="3"/>
      <c r="Q1" s="3"/>
      <c r="R1" s="3"/>
      <c r="S1" s="3"/>
      <c r="T1" s="3"/>
      <c r="U1" s="3"/>
      <c r="V1" s="3"/>
      <c r="W1" s="3"/>
      <c r="X1" s="3"/>
      <c r="Y1" s="3"/>
      <c r="Z1" s="3"/>
      <c r="AA1" s="3"/>
    </row>
    <row r="2" ht="24.0" customHeight="1">
      <c r="A2" s="4" t="s">
        <v>2</v>
      </c>
      <c r="B2" s="5"/>
      <c r="C2" s="6" t="s">
        <v>3</v>
      </c>
      <c r="D2" s="7" t="s">
        <v>4</v>
      </c>
      <c r="E2" s="8"/>
      <c r="F2" s="9" t="s">
        <v>5</v>
      </c>
      <c r="G2" s="8"/>
      <c r="H2" s="10" t="s">
        <v>6</v>
      </c>
      <c r="I2" s="11"/>
      <c r="J2" s="8"/>
      <c r="K2" s="3"/>
      <c r="L2" s="3"/>
      <c r="M2" s="3"/>
      <c r="N2" s="3"/>
      <c r="O2" s="3"/>
      <c r="P2" s="3"/>
      <c r="Q2" s="3"/>
      <c r="R2" s="3"/>
      <c r="S2" s="3"/>
      <c r="T2" s="3"/>
      <c r="U2" s="3"/>
      <c r="V2" s="3"/>
      <c r="W2" s="3"/>
      <c r="X2" s="3"/>
      <c r="Y2" s="3"/>
      <c r="Z2" s="3"/>
      <c r="AA2" s="3"/>
    </row>
    <row r="3">
      <c r="A3" s="12" t="s">
        <v>7</v>
      </c>
      <c r="B3" s="13">
        <f>COUNTIF(A:A, TRUE)</f>
        <v>0</v>
      </c>
      <c r="C3" s="14"/>
      <c r="D3" s="15"/>
      <c r="E3" s="16"/>
      <c r="F3" s="15"/>
      <c r="G3" s="16"/>
      <c r="H3" s="15"/>
      <c r="J3" s="16"/>
      <c r="K3" s="3"/>
      <c r="L3" s="3"/>
      <c r="M3" s="3"/>
      <c r="N3" s="3"/>
      <c r="O3" s="3"/>
      <c r="P3" s="3"/>
      <c r="Q3" s="3"/>
      <c r="R3" s="3"/>
      <c r="S3" s="3"/>
      <c r="T3" s="3"/>
      <c r="U3" s="3"/>
      <c r="V3" s="3"/>
      <c r="W3" s="3"/>
      <c r="X3" s="3"/>
      <c r="Y3" s="3"/>
      <c r="Z3" s="3"/>
      <c r="AA3" s="3"/>
    </row>
    <row r="4">
      <c r="A4" s="12" t="s">
        <v>8</v>
      </c>
      <c r="B4" s="17">
        <v>0.0</v>
      </c>
      <c r="C4" s="18"/>
      <c r="D4" s="19"/>
      <c r="E4" s="20"/>
      <c r="F4" s="19"/>
      <c r="G4" s="20"/>
      <c r="H4" s="19"/>
      <c r="I4" s="21"/>
      <c r="J4" s="20"/>
      <c r="K4" s="3"/>
      <c r="L4" s="3"/>
      <c r="M4" s="3"/>
      <c r="N4" s="3"/>
      <c r="O4" s="3"/>
      <c r="P4" s="3"/>
      <c r="Q4" s="3"/>
      <c r="R4" s="3"/>
      <c r="S4" s="3"/>
      <c r="T4" s="3"/>
      <c r="U4" s="3"/>
      <c r="V4" s="3"/>
      <c r="W4" s="3"/>
      <c r="X4" s="3"/>
      <c r="Y4" s="3"/>
      <c r="Z4" s="3"/>
      <c r="AA4" s="3"/>
    </row>
    <row r="5" ht="47.25" customHeight="1">
      <c r="A5" s="22" t="b">
        <v>0</v>
      </c>
      <c r="B5" s="5"/>
      <c r="C5" s="23">
        <v>1.0</v>
      </c>
      <c r="D5" s="23" t="s">
        <v>9</v>
      </c>
      <c r="E5" s="24" t="str">
        <f>IMAGE("https://www.serebii.net/scarletviolet/pokemon/small/906.png")</f>
        <v/>
      </c>
      <c r="F5" s="24" t="str">
        <f t="shared" ref="F5:F7" si="1">IMAGE("https://www.serebii.net/pokedex-bw/type/grass.gif")</f>
        <v/>
      </c>
      <c r="G5" s="24"/>
      <c r="H5" s="25" t="s">
        <v>10</v>
      </c>
      <c r="I5" s="26"/>
      <c r="J5" s="5"/>
      <c r="K5" s="27"/>
    </row>
    <row r="6" ht="47.25" customHeight="1">
      <c r="A6" s="22" t="b">
        <v>0</v>
      </c>
      <c r="B6" s="5"/>
      <c r="C6" s="23">
        <v>2.0</v>
      </c>
      <c r="D6" s="23" t="s">
        <v>11</v>
      </c>
      <c r="E6" s="24" t="str">
        <f>IMAGE("https://www.serebii.net/scarletviolet/pokemon/small/907.png")</f>
        <v/>
      </c>
      <c r="F6" s="24" t="str">
        <f t="shared" si="1"/>
        <v/>
      </c>
      <c r="G6" s="24"/>
      <c r="H6" s="25" t="s">
        <v>12</v>
      </c>
      <c r="I6" s="26"/>
      <c r="J6" s="5"/>
      <c r="K6" s="27"/>
    </row>
    <row r="7" ht="47.25" customHeight="1">
      <c r="A7" s="22" t="b">
        <v>0</v>
      </c>
      <c r="B7" s="5"/>
      <c r="C7" s="23">
        <v>3.0</v>
      </c>
      <c r="D7" s="23" t="s">
        <v>13</v>
      </c>
      <c r="E7" s="24" t="str">
        <f>IMAGE("https://www.serebii.net/scarletviolet/pokemon/small/908.png")</f>
        <v/>
      </c>
      <c r="F7" s="24" t="str">
        <f t="shared" si="1"/>
        <v/>
      </c>
      <c r="G7" s="24" t="str">
        <f>IMAGE("https://www.serebii.net/pokedex-bw/type/dark.gif")</f>
        <v/>
      </c>
      <c r="H7" s="25" t="s">
        <v>14</v>
      </c>
      <c r="I7" s="26"/>
      <c r="J7" s="5"/>
      <c r="K7" s="27"/>
    </row>
    <row r="8" ht="47.25" customHeight="1">
      <c r="A8" s="22" t="b">
        <v>0</v>
      </c>
      <c r="B8" s="5"/>
      <c r="C8" s="23">
        <v>4.0</v>
      </c>
      <c r="D8" s="23" t="s">
        <v>15</v>
      </c>
      <c r="E8" s="24" t="str">
        <f>IMAGE("https://www.serebii.net/scarletviolet/pokemon/small/909.png")</f>
        <v/>
      </c>
      <c r="F8" s="24" t="str">
        <f t="shared" ref="F8:F10" si="2">IMAGE("https://www.serebii.net/pokedex-bw/type/fire.gif")</f>
        <v/>
      </c>
      <c r="G8" s="24"/>
      <c r="H8" s="25" t="s">
        <v>10</v>
      </c>
      <c r="I8" s="26"/>
      <c r="J8" s="5"/>
      <c r="K8" s="27"/>
    </row>
    <row r="9" ht="47.25" customHeight="1">
      <c r="A9" s="22" t="b">
        <v>0</v>
      </c>
      <c r="B9" s="5"/>
      <c r="C9" s="23">
        <v>5.0</v>
      </c>
      <c r="D9" s="23" t="s">
        <v>16</v>
      </c>
      <c r="E9" s="24" t="str">
        <f>IMAGE("https://www.serebii.net/scarletviolet/pokemon/small/910.png")</f>
        <v/>
      </c>
      <c r="F9" s="24" t="str">
        <f t="shared" si="2"/>
        <v/>
      </c>
      <c r="G9" s="24"/>
      <c r="H9" s="25" t="s">
        <v>17</v>
      </c>
      <c r="I9" s="26"/>
      <c r="J9" s="5"/>
      <c r="K9" s="28"/>
    </row>
    <row r="10" ht="47.25" customHeight="1">
      <c r="A10" s="22" t="b">
        <v>0</v>
      </c>
      <c r="B10" s="5"/>
      <c r="C10" s="23">
        <v>6.0</v>
      </c>
      <c r="D10" s="23" t="s">
        <v>18</v>
      </c>
      <c r="E10" s="24" t="str">
        <f>IMAGE("https://www.serebii.net/scarletviolet/pokemon/small/911.png")</f>
        <v/>
      </c>
      <c r="F10" s="24" t="str">
        <f t="shared" si="2"/>
        <v/>
      </c>
      <c r="G10" s="24" t="str">
        <f>IMAGE("https://www.serebii.net/pokedex-bw/type/ghost.gif")</f>
        <v/>
      </c>
      <c r="H10" s="25" t="s">
        <v>19</v>
      </c>
      <c r="I10" s="26"/>
      <c r="J10" s="5"/>
      <c r="K10" s="28"/>
    </row>
    <row r="11" ht="47.25" customHeight="1">
      <c r="A11" s="22" t="b">
        <v>0</v>
      </c>
      <c r="B11" s="5"/>
      <c r="C11" s="23">
        <v>7.0</v>
      </c>
      <c r="D11" s="23" t="s">
        <v>20</v>
      </c>
      <c r="E11" s="24" t="str">
        <f>IMAGE("https://www.serebii.net/scarletviolet/pokemon/small/912.png")</f>
        <v/>
      </c>
      <c r="F11" s="24" t="str">
        <f t="shared" ref="F11:F13" si="3">IMAGE("https://www.serebii.net/pokedex-bw/type/water.gif")</f>
        <v/>
      </c>
      <c r="G11" s="24"/>
      <c r="H11" s="25" t="s">
        <v>10</v>
      </c>
      <c r="I11" s="26"/>
      <c r="J11" s="5"/>
      <c r="K11" s="27"/>
    </row>
    <row r="12" ht="47.25" customHeight="1">
      <c r="A12" s="22" t="b">
        <v>0</v>
      </c>
      <c r="B12" s="5"/>
      <c r="C12" s="23">
        <v>8.0</v>
      </c>
      <c r="D12" s="23" t="s">
        <v>21</v>
      </c>
      <c r="E12" s="24" t="str">
        <f>IMAGE("https://www.serebii.net/scarletviolet/pokemon/small/913.png")</f>
        <v/>
      </c>
      <c r="F12" s="24" t="str">
        <f t="shared" si="3"/>
        <v/>
      </c>
      <c r="G12" s="24"/>
      <c r="H12" s="25" t="s">
        <v>22</v>
      </c>
      <c r="I12" s="26"/>
      <c r="J12" s="5"/>
      <c r="K12" s="28"/>
    </row>
    <row r="13" ht="47.25" customHeight="1">
      <c r="A13" s="22" t="b">
        <v>0</v>
      </c>
      <c r="B13" s="5"/>
      <c r="C13" s="23">
        <v>9.0</v>
      </c>
      <c r="D13" s="23" t="s">
        <v>23</v>
      </c>
      <c r="E13" s="24" t="str">
        <f>IMAGE("https://www.serebii.net/scarletviolet/pokemon/small/914.png")</f>
        <v/>
      </c>
      <c r="F13" s="24" t="str">
        <f t="shared" si="3"/>
        <v/>
      </c>
      <c r="G13" s="24" t="str">
        <f>IMAGE("https://www.serebii.net/pokedex-bw/type/fighting.gif")</f>
        <v/>
      </c>
      <c r="H13" s="25" t="s">
        <v>24</v>
      </c>
      <c r="I13" s="26"/>
      <c r="J13" s="5"/>
      <c r="K13" s="27"/>
    </row>
    <row r="14" ht="47.25" customHeight="1">
      <c r="A14" s="22" t="b">
        <v>0</v>
      </c>
      <c r="B14" s="5"/>
      <c r="C14" s="23">
        <v>10.0</v>
      </c>
      <c r="D14" s="23" t="s">
        <v>25</v>
      </c>
      <c r="E14" s="24" t="str">
        <f>IMAGE("https://www.serebii.net/scarletviolet/pokemon/small/915.png")</f>
        <v/>
      </c>
      <c r="F14" s="24" t="str">
        <f t="shared" ref="F14:F15" si="4">IMAGE("https://www.serebii.net/pokedex-bw/type/normal.gif")</f>
        <v/>
      </c>
      <c r="G14" s="24"/>
      <c r="H14" s="25" t="s">
        <v>26</v>
      </c>
      <c r="I14" s="26"/>
      <c r="J14" s="5"/>
      <c r="K14" s="27"/>
    </row>
    <row r="15" ht="47.25" customHeight="1">
      <c r="A15" s="22" t="b">
        <v>0</v>
      </c>
      <c r="B15" s="5"/>
      <c r="C15" s="23">
        <v>11.0</v>
      </c>
      <c r="D15" s="23" t="s">
        <v>27</v>
      </c>
      <c r="E15" s="24" t="str">
        <f>IMAGE("https://www.serebii.net/scarletviolet/pokemon/small/916.png")</f>
        <v/>
      </c>
      <c r="F15" s="24" t="str">
        <f t="shared" si="4"/>
        <v/>
      </c>
      <c r="G15" s="24"/>
      <c r="H15" s="25" t="s">
        <v>28</v>
      </c>
      <c r="I15" s="26"/>
      <c r="J15" s="5"/>
      <c r="K15" s="27"/>
    </row>
    <row r="16" ht="47.25" customHeight="1">
      <c r="A16" s="22" t="b">
        <v>0</v>
      </c>
      <c r="B16" s="5"/>
      <c r="C16" s="23">
        <v>12.0</v>
      </c>
      <c r="D16" s="23" t="s">
        <v>29</v>
      </c>
      <c r="E16" s="24" t="str">
        <f>IMAGE("https://www.serebii.net/scarletviolet/pokemon/small/918.png")</f>
        <v/>
      </c>
      <c r="F16" s="24" t="str">
        <f t="shared" ref="F16:F19" si="5">IMAGE("https://www.serebii.net/pokedex-bw/type/bug.gif")</f>
        <v/>
      </c>
      <c r="G16" s="24"/>
      <c r="H16" s="25" t="s">
        <v>30</v>
      </c>
      <c r="I16" s="26"/>
      <c r="J16" s="5"/>
      <c r="K16" s="27"/>
    </row>
    <row r="17" ht="47.25" customHeight="1">
      <c r="A17" s="22" t="b">
        <v>0</v>
      </c>
      <c r="B17" s="5"/>
      <c r="C17" s="23">
        <v>13.0</v>
      </c>
      <c r="D17" s="23" t="s">
        <v>31</v>
      </c>
      <c r="E17" s="24" t="str">
        <f>IMAGE("https://www.serebii.net/scarletviolet/pokemon/small/919.png")</f>
        <v/>
      </c>
      <c r="F17" s="24" t="str">
        <f t="shared" si="5"/>
        <v/>
      </c>
      <c r="G17" s="24"/>
      <c r="H17" s="25" t="s">
        <v>32</v>
      </c>
      <c r="I17" s="26"/>
      <c r="J17" s="5"/>
      <c r="K17" s="27"/>
    </row>
    <row r="18" ht="47.25" customHeight="1">
      <c r="A18" s="22" t="b">
        <v>0</v>
      </c>
      <c r="B18" s="5"/>
      <c r="C18" s="23">
        <v>14.0</v>
      </c>
      <c r="D18" s="23" t="s">
        <v>33</v>
      </c>
      <c r="E18" s="24" t="str">
        <f>IMAGE("https://www.serebii.net/scarletviolet/pokemon/small/920.png")</f>
        <v/>
      </c>
      <c r="F18" s="24" t="str">
        <f t="shared" si="5"/>
        <v/>
      </c>
      <c r="G18" s="24"/>
      <c r="H18" s="25" t="s">
        <v>34</v>
      </c>
      <c r="I18" s="26"/>
      <c r="J18" s="5"/>
      <c r="K18" s="27"/>
    </row>
    <row r="19" ht="47.25" customHeight="1">
      <c r="A19" s="22" t="b">
        <v>0</v>
      </c>
      <c r="B19" s="5"/>
      <c r="C19" s="23">
        <v>15.0</v>
      </c>
      <c r="D19" s="23" t="s">
        <v>35</v>
      </c>
      <c r="E19" s="24" t="str">
        <f>IMAGE("https://www.serebii.net/scarletviolet/pokemon/small/921.png")</f>
        <v/>
      </c>
      <c r="F19" s="24" t="str">
        <f t="shared" si="5"/>
        <v/>
      </c>
      <c r="G19" s="24" t="str">
        <f>IMAGE("https://www.serebii.net/pokedex-bw/type/dark.gif")</f>
        <v/>
      </c>
      <c r="H19" s="25" t="s">
        <v>36</v>
      </c>
      <c r="I19" s="26"/>
      <c r="J19" s="5"/>
      <c r="K19" s="27"/>
    </row>
    <row r="20" ht="47.25" customHeight="1">
      <c r="A20" s="22" t="b">
        <v>0</v>
      </c>
      <c r="B20" s="5"/>
      <c r="C20" s="23">
        <v>16.0</v>
      </c>
      <c r="D20" s="23" t="s">
        <v>37</v>
      </c>
      <c r="E20" s="24" t="str">
        <f>IMAGE("https://www.serebii.net/scarletviolet/pokemon/small/187.png")</f>
        <v/>
      </c>
      <c r="F20" s="24" t="str">
        <f t="shared" ref="F20:F22" si="6">IMAGE("https://www.serebii.net/pokedex-bw/type/grass.gif")</f>
        <v/>
      </c>
      <c r="G20" s="24" t="str">
        <f t="shared" ref="G20:G25" si="7">IMAGE("https://www.serebii.net/pokedex-bw/type/flying.gif")</f>
        <v/>
      </c>
      <c r="H20" s="25" t="s">
        <v>38</v>
      </c>
      <c r="I20" s="26"/>
      <c r="J20" s="5"/>
      <c r="K20" s="27"/>
    </row>
    <row r="21" ht="47.25" customHeight="1">
      <c r="A21" s="22" t="b">
        <v>0</v>
      </c>
      <c r="B21" s="5"/>
      <c r="C21" s="23">
        <v>17.0</v>
      </c>
      <c r="D21" s="23" t="s">
        <v>39</v>
      </c>
      <c r="E21" s="24" t="str">
        <f>IMAGE("https://www.serebii.net/scarletviolet/pokemon/small/188.png")</f>
        <v/>
      </c>
      <c r="F21" s="24" t="str">
        <f t="shared" si="6"/>
        <v/>
      </c>
      <c r="G21" s="24" t="str">
        <f t="shared" si="7"/>
        <v/>
      </c>
      <c r="H21" s="25" t="s">
        <v>40</v>
      </c>
      <c r="I21" s="26"/>
      <c r="J21" s="5"/>
      <c r="K21" s="27"/>
    </row>
    <row r="22" ht="47.25" customHeight="1">
      <c r="A22" s="22" t="b">
        <v>0</v>
      </c>
      <c r="B22" s="5"/>
      <c r="C22" s="23">
        <v>18.0</v>
      </c>
      <c r="D22" s="23" t="s">
        <v>41</v>
      </c>
      <c r="E22" s="24" t="str">
        <f>IMAGE("https://www.serebii.net/scarletviolet/pokemon/small/189.png")</f>
        <v/>
      </c>
      <c r="F22" s="24" t="str">
        <f t="shared" si="6"/>
        <v/>
      </c>
      <c r="G22" s="24" t="str">
        <f t="shared" si="7"/>
        <v/>
      </c>
      <c r="H22" s="25" t="s">
        <v>42</v>
      </c>
      <c r="I22" s="26"/>
      <c r="J22" s="5"/>
      <c r="K22" s="27"/>
    </row>
    <row r="23" ht="47.25" customHeight="1">
      <c r="A23" s="22" t="b">
        <v>0</v>
      </c>
      <c r="B23" s="5"/>
      <c r="C23" s="23">
        <v>19.0</v>
      </c>
      <c r="D23" s="23" t="s">
        <v>43</v>
      </c>
      <c r="E23" s="24" t="str">
        <f>IMAGE("https://www.serebii.net/scarletviolet/pokemon/small/661.png")</f>
        <v/>
      </c>
      <c r="F23" s="24" t="str">
        <f>IMAGE("https://www.serebii.net/pokedex-bw/type/normal.gif")</f>
        <v/>
      </c>
      <c r="G23" s="24" t="str">
        <f t="shared" si="7"/>
        <v/>
      </c>
      <c r="H23" s="25" t="s">
        <v>44</v>
      </c>
      <c r="I23" s="26"/>
      <c r="J23" s="5"/>
      <c r="K23" s="27"/>
    </row>
    <row r="24" ht="47.25" customHeight="1">
      <c r="A24" s="22" t="b">
        <v>0</v>
      </c>
      <c r="B24" s="5"/>
      <c r="C24" s="23">
        <v>20.0</v>
      </c>
      <c r="D24" s="23" t="s">
        <v>45</v>
      </c>
      <c r="E24" s="24" t="str">
        <f>IMAGE("https://www.serebii.net/scarletviolet/pokemon/small/662.png")</f>
        <v/>
      </c>
      <c r="F24" s="24" t="str">
        <f t="shared" ref="F24:F25" si="8">IMAGE("https://www.serebii.net/pokedex-bw/type/fire.gif")</f>
        <v/>
      </c>
      <c r="G24" s="24" t="str">
        <f t="shared" si="7"/>
        <v/>
      </c>
      <c r="H24" s="25" t="s">
        <v>46</v>
      </c>
      <c r="I24" s="26"/>
      <c r="J24" s="5"/>
      <c r="K24" s="27"/>
    </row>
    <row r="25" ht="47.25" customHeight="1">
      <c r="A25" s="22" t="b">
        <v>0</v>
      </c>
      <c r="B25" s="5"/>
      <c r="C25" s="23">
        <v>21.0</v>
      </c>
      <c r="D25" s="23" t="s">
        <v>47</v>
      </c>
      <c r="E25" s="24" t="str">
        <f>IMAGE("https://www.serebii.net/scarletviolet/pokemon/small/663.png")</f>
        <v/>
      </c>
      <c r="F25" s="24" t="str">
        <f t="shared" si="8"/>
        <v/>
      </c>
      <c r="G25" s="24" t="str">
        <f t="shared" si="7"/>
        <v/>
      </c>
      <c r="H25" s="25" t="s">
        <v>48</v>
      </c>
      <c r="I25" s="26"/>
      <c r="J25" s="5"/>
      <c r="K25" s="27"/>
    </row>
    <row r="26" ht="47.25" customHeight="1">
      <c r="A26" s="22" t="b">
        <v>0</v>
      </c>
      <c r="B26" s="5"/>
      <c r="C26" s="23">
        <v>22.0</v>
      </c>
      <c r="D26" s="23" t="s">
        <v>49</v>
      </c>
      <c r="E26" s="24" t="str">
        <f>IMAGE("https://www.serebii.net/scarletviolet/pokemon/small/954.png")</f>
        <v/>
      </c>
      <c r="F26" s="24" t="str">
        <f t="shared" ref="F26:F28" si="9">IMAGE("https://www.serebii.net/pokedex-bw/type/electric.gif")</f>
        <v/>
      </c>
      <c r="G26" s="24"/>
      <c r="H26" s="25" t="s">
        <v>50</v>
      </c>
      <c r="I26" s="26"/>
      <c r="J26" s="5"/>
      <c r="K26" s="27"/>
    </row>
    <row r="27" ht="47.25" customHeight="1">
      <c r="A27" s="22" t="b">
        <v>0</v>
      </c>
      <c r="B27" s="5"/>
      <c r="C27" s="23">
        <v>23.0</v>
      </c>
      <c r="D27" s="23" t="s">
        <v>51</v>
      </c>
      <c r="E27" s="24" t="str">
        <f>IMAGE("https://www.serebii.net/scarletviolet/pokemon/small/955.png")</f>
        <v/>
      </c>
      <c r="F27" s="24" t="str">
        <f t="shared" si="9"/>
        <v/>
      </c>
      <c r="G27" s="24" t="str">
        <f t="shared" ref="G27:G28" si="10">IMAGE("https://www.serebii.net/pokedex-bw/type/fighting.gif")</f>
        <v/>
      </c>
      <c r="H27" s="25" t="s">
        <v>52</v>
      </c>
      <c r="I27" s="26"/>
      <c r="J27" s="5"/>
      <c r="K27" s="27"/>
    </row>
    <row r="28" ht="47.25" customHeight="1">
      <c r="A28" s="22" t="b">
        <v>0</v>
      </c>
      <c r="B28" s="5"/>
      <c r="C28" s="23">
        <v>24.0</v>
      </c>
      <c r="D28" s="23" t="s">
        <v>53</v>
      </c>
      <c r="E28" s="24" t="str">
        <f>IMAGE("https://www.serebii.net/scarletviolet/pokemon/small/956.png")</f>
        <v/>
      </c>
      <c r="F28" s="24" t="str">
        <f t="shared" si="9"/>
        <v/>
      </c>
      <c r="G28" s="24" t="str">
        <f t="shared" si="10"/>
        <v/>
      </c>
      <c r="H28" s="25" t="s">
        <v>54</v>
      </c>
      <c r="I28" s="26"/>
      <c r="J28" s="5"/>
      <c r="K28" s="27"/>
    </row>
    <row r="29" ht="47.25" customHeight="1">
      <c r="A29" s="22" t="b">
        <v>0</v>
      </c>
      <c r="B29" s="5"/>
      <c r="C29" s="23">
        <v>25.0</v>
      </c>
      <c r="D29" s="23" t="s">
        <v>55</v>
      </c>
      <c r="E29" s="24" t="str">
        <f>IMAGE("https://www.serebii.net/scarletviolet/pokemon/small/228.png")</f>
        <v/>
      </c>
      <c r="F29" s="24" t="str">
        <f t="shared" ref="F29:F30" si="11">IMAGE("https://www.serebii.net/pokedex-bw/type/dark.gif")</f>
        <v/>
      </c>
      <c r="G29" s="24" t="str">
        <f t="shared" ref="G29:G30" si="12">IMAGE("https://www.serebii.net/pokedex-bw/type/fire.gif")</f>
        <v/>
      </c>
      <c r="H29" s="25" t="s">
        <v>56</v>
      </c>
      <c r="I29" s="26"/>
      <c r="J29" s="5"/>
      <c r="K29" s="27"/>
    </row>
    <row r="30" ht="47.25" customHeight="1">
      <c r="A30" s="22" t="b">
        <v>0</v>
      </c>
      <c r="B30" s="5"/>
      <c r="C30" s="23">
        <v>26.0</v>
      </c>
      <c r="D30" s="23" t="s">
        <v>57</v>
      </c>
      <c r="E30" s="24" t="str">
        <f>IMAGE("https://www.serebii.net/scarletviolet/pokemon/small/229.png")</f>
        <v/>
      </c>
      <c r="F30" s="24" t="str">
        <f t="shared" si="11"/>
        <v/>
      </c>
      <c r="G30" s="24" t="str">
        <f t="shared" si="12"/>
        <v/>
      </c>
      <c r="H30" s="25" t="s">
        <v>58</v>
      </c>
      <c r="I30" s="26"/>
      <c r="J30" s="5"/>
      <c r="K30" s="27"/>
    </row>
    <row r="31" ht="47.25" customHeight="1">
      <c r="A31" s="22" t="b">
        <v>0</v>
      </c>
      <c r="B31" s="5"/>
      <c r="C31" s="23">
        <v>27.0</v>
      </c>
      <c r="D31" s="23" t="s">
        <v>59</v>
      </c>
      <c r="E31" s="24" t="str">
        <f>IMAGE("https://www.serebii.net/scarletviolet/pokemon/small/734.png")</f>
        <v/>
      </c>
      <c r="F31" s="24" t="str">
        <f t="shared" ref="F31:F34" si="13">IMAGE("https://www.serebii.net/pokedex-bw/type/normal.gif")</f>
        <v/>
      </c>
      <c r="G31" s="24"/>
      <c r="H31" s="25" t="s">
        <v>60</v>
      </c>
      <c r="I31" s="26"/>
      <c r="J31" s="5"/>
      <c r="K31" s="27"/>
    </row>
    <row r="32" ht="47.25" customHeight="1">
      <c r="A32" s="22" t="b">
        <v>0</v>
      </c>
      <c r="B32" s="5"/>
      <c r="C32" s="23">
        <v>28.0</v>
      </c>
      <c r="D32" s="23" t="s">
        <v>61</v>
      </c>
      <c r="E32" s="24" t="str">
        <f>IMAGE("https://www.serebii.net/scarletviolet/pokemon/small/735.png")</f>
        <v/>
      </c>
      <c r="F32" s="24" t="str">
        <f t="shared" si="13"/>
        <v/>
      </c>
      <c r="G32" s="24"/>
      <c r="H32" s="25" t="s">
        <v>62</v>
      </c>
      <c r="I32" s="26"/>
      <c r="J32" s="5"/>
      <c r="K32" s="27"/>
    </row>
    <row r="33" ht="47.25" customHeight="1">
      <c r="A33" s="22" t="b">
        <v>0</v>
      </c>
      <c r="B33" s="5"/>
      <c r="C33" s="23">
        <v>29.0</v>
      </c>
      <c r="D33" s="23" t="s">
        <v>63</v>
      </c>
      <c r="E33" s="24" t="str">
        <f>IMAGE("https://www.serebii.net/scarletviolet/pokemon/small/819.png")</f>
        <v/>
      </c>
      <c r="F33" s="24" t="str">
        <f t="shared" si="13"/>
        <v/>
      </c>
      <c r="G33" s="24"/>
      <c r="H33" s="25" t="s">
        <v>38</v>
      </c>
      <c r="I33" s="26"/>
      <c r="J33" s="5"/>
      <c r="K33" s="27"/>
    </row>
    <row r="34" ht="47.25" customHeight="1">
      <c r="A34" s="22" t="b">
        <v>0</v>
      </c>
      <c r="B34" s="5"/>
      <c r="C34" s="23">
        <v>30.0</v>
      </c>
      <c r="D34" s="23" t="s">
        <v>64</v>
      </c>
      <c r="E34" s="24" t="str">
        <f>IMAGE("https://www.serebii.net/scarletviolet/pokemon/small/820.png")</f>
        <v/>
      </c>
      <c r="F34" s="24" t="str">
        <f t="shared" si="13"/>
        <v/>
      </c>
      <c r="G34" s="24"/>
      <c r="H34" s="25" t="s">
        <v>65</v>
      </c>
      <c r="I34" s="26"/>
      <c r="J34" s="5"/>
      <c r="K34" s="27"/>
    </row>
    <row r="35" ht="47.25" customHeight="1">
      <c r="A35" s="22" t="b">
        <v>0</v>
      </c>
      <c r="B35" s="5"/>
      <c r="C35" s="23">
        <v>31.0</v>
      </c>
      <c r="D35" s="23" t="s">
        <v>66</v>
      </c>
      <c r="E35" s="24" t="str">
        <f>IMAGE("https://www.serebii.net/scarletviolet/pokemon/small/191.png")</f>
        <v/>
      </c>
      <c r="F35" s="24" t="str">
        <f t="shared" ref="F35:F36" si="14">IMAGE("https://www.serebii.net/pokedex-bw/type/grass.gif")</f>
        <v/>
      </c>
      <c r="G35" s="24"/>
      <c r="H35" s="25" t="s">
        <v>67</v>
      </c>
      <c r="I35" s="26"/>
      <c r="J35" s="5"/>
      <c r="K35" s="27"/>
    </row>
    <row r="36" ht="47.25" customHeight="1">
      <c r="A36" s="22" t="b">
        <v>0</v>
      </c>
      <c r="B36" s="5"/>
      <c r="C36" s="23">
        <v>32.0</v>
      </c>
      <c r="D36" s="23" t="s">
        <v>68</v>
      </c>
      <c r="E36" s="24" t="str">
        <f>IMAGE("https://www.serebii.net/scarletviolet/pokemon/small/192.png")</f>
        <v/>
      </c>
      <c r="F36" s="24" t="str">
        <f t="shared" si="14"/>
        <v/>
      </c>
      <c r="G36" s="24"/>
      <c r="H36" s="25" t="s">
        <v>69</v>
      </c>
      <c r="I36" s="26"/>
      <c r="J36" s="5"/>
      <c r="K36" s="27"/>
    </row>
    <row r="37" ht="47.25" customHeight="1">
      <c r="A37" s="22" t="b">
        <v>0</v>
      </c>
      <c r="B37" s="5"/>
      <c r="C37" s="23">
        <v>33.0</v>
      </c>
      <c r="D37" s="23" t="s">
        <v>70</v>
      </c>
      <c r="E37" s="24" t="str">
        <f>IMAGE("https://www.serebii.net/scarletviolet/pokemon/small/401.png")</f>
        <v/>
      </c>
      <c r="F37" s="24" t="str">
        <f t="shared" ref="F37:F43" si="15">IMAGE("https://www.serebii.net/pokedex-bw/type/bug.gif")</f>
        <v/>
      </c>
      <c r="G37" s="24"/>
      <c r="H37" s="25" t="s">
        <v>71</v>
      </c>
      <c r="I37" s="26"/>
      <c r="J37" s="5"/>
      <c r="K37" s="27"/>
    </row>
    <row r="38" ht="47.25" customHeight="1">
      <c r="A38" s="22" t="b">
        <v>0</v>
      </c>
      <c r="B38" s="5"/>
      <c r="C38" s="23">
        <v>34.0</v>
      </c>
      <c r="D38" s="23" t="s">
        <v>72</v>
      </c>
      <c r="E38" s="24" t="str">
        <f>IMAGE("https://www.serebii.net/scarletviolet/pokemon/small/402.png")</f>
        <v/>
      </c>
      <c r="F38" s="24" t="str">
        <f t="shared" si="15"/>
        <v/>
      </c>
      <c r="G38" s="24"/>
      <c r="H38" s="25" t="s">
        <v>73</v>
      </c>
      <c r="I38" s="26"/>
      <c r="J38" s="5"/>
      <c r="K38" s="27"/>
    </row>
    <row r="39" ht="47.25" customHeight="1">
      <c r="A39" s="22" t="b">
        <v>0</v>
      </c>
      <c r="B39" s="5"/>
      <c r="C39" s="23">
        <v>35.0</v>
      </c>
      <c r="D39" s="23" t="s">
        <v>74</v>
      </c>
      <c r="E39" s="24" t="str">
        <f>IMAGE("https://www.serebii.net/scarletviolet/pokemon/small/664.png")</f>
        <v/>
      </c>
      <c r="F39" s="24" t="str">
        <f t="shared" si="15"/>
        <v/>
      </c>
      <c r="G39" s="24"/>
      <c r="H39" s="25" t="s">
        <v>75</v>
      </c>
      <c r="I39" s="26"/>
      <c r="J39" s="5"/>
      <c r="K39" s="27"/>
    </row>
    <row r="40" ht="47.25" customHeight="1">
      <c r="A40" s="22" t="b">
        <v>0</v>
      </c>
      <c r="B40" s="5"/>
      <c r="C40" s="23">
        <v>36.0</v>
      </c>
      <c r="D40" s="23" t="s">
        <v>76</v>
      </c>
      <c r="E40" s="24" t="str">
        <f>IMAGE("https://www.serebii.net/scarletviolet/pokemon/small/665.png")</f>
        <v/>
      </c>
      <c r="F40" s="24" t="str">
        <f t="shared" si="15"/>
        <v/>
      </c>
      <c r="G40" s="24"/>
      <c r="H40" s="25" t="s">
        <v>77</v>
      </c>
      <c r="I40" s="26"/>
      <c r="J40" s="5"/>
      <c r="K40" s="27"/>
    </row>
    <row r="41" ht="47.25" customHeight="1">
      <c r="A41" s="22" t="b">
        <v>0</v>
      </c>
      <c r="B41" s="5"/>
      <c r="C41" s="23">
        <v>37.0</v>
      </c>
      <c r="D41" s="23" t="s">
        <v>78</v>
      </c>
      <c r="E41" s="24" t="str">
        <f>IMAGE("https://www.serebii.net/scarletviolet/pokemon/small/666.png")</f>
        <v/>
      </c>
      <c r="F41" s="24" t="str">
        <f t="shared" si="15"/>
        <v/>
      </c>
      <c r="G41" s="24" t="str">
        <f t="shared" ref="G41:G43" si="16">IMAGE("https://www.serebii.net/pokedex-bw/type/flying.gif")</f>
        <v/>
      </c>
      <c r="H41" s="25" t="s">
        <v>79</v>
      </c>
      <c r="I41" s="26"/>
      <c r="J41" s="5"/>
      <c r="K41" s="27"/>
    </row>
    <row r="42" ht="47.25" customHeight="1">
      <c r="A42" s="22" t="b">
        <v>0</v>
      </c>
      <c r="B42" s="5"/>
      <c r="C42" s="23">
        <v>38.0</v>
      </c>
      <c r="D42" s="23" t="s">
        <v>80</v>
      </c>
      <c r="E42" s="24" t="str">
        <f>IMAGE("https://www.serebii.net/scarletviolet/pokemon/small/415.png")</f>
        <v/>
      </c>
      <c r="F42" s="24" t="str">
        <f t="shared" si="15"/>
        <v/>
      </c>
      <c r="G42" s="24" t="str">
        <f t="shared" si="16"/>
        <v/>
      </c>
      <c r="H42" s="25" t="s">
        <v>81</v>
      </c>
      <c r="I42" s="26"/>
      <c r="J42" s="5"/>
      <c r="K42" s="27"/>
    </row>
    <row r="43" ht="47.25" customHeight="1">
      <c r="A43" s="22" t="b">
        <v>0</v>
      </c>
      <c r="B43" s="5"/>
      <c r="C43" s="23">
        <v>39.0</v>
      </c>
      <c r="D43" s="23" t="s">
        <v>82</v>
      </c>
      <c r="E43" s="24" t="str">
        <f>IMAGE("https://www.serebii.net/scarletviolet/pokemon/small/416.png")</f>
        <v/>
      </c>
      <c r="F43" s="24" t="str">
        <f t="shared" si="15"/>
        <v/>
      </c>
      <c r="G43" s="24" t="str">
        <f t="shared" si="16"/>
        <v/>
      </c>
      <c r="H43" s="25" t="s">
        <v>83</v>
      </c>
      <c r="I43" s="26"/>
      <c r="J43" s="5"/>
      <c r="K43" s="27"/>
    </row>
    <row r="44" ht="47.25" customHeight="1">
      <c r="A44" s="22" t="b">
        <v>0</v>
      </c>
      <c r="B44" s="5"/>
      <c r="C44" s="23">
        <v>40.0</v>
      </c>
      <c r="D44" s="23" t="s">
        <v>84</v>
      </c>
      <c r="E44" s="24" t="str">
        <f>IMAGE("https://www.serebii.net/scarletviolet/pokemon/small/821.png")</f>
        <v/>
      </c>
      <c r="F44" s="24" t="str">
        <f t="shared" ref="F44:F46" si="17">IMAGE("https://www.serebii.net/pokedex-bw/type/flying.gif")</f>
        <v/>
      </c>
      <c r="G44" s="24"/>
      <c r="H44" s="25" t="s">
        <v>85</v>
      </c>
      <c r="I44" s="26"/>
      <c r="J44" s="5"/>
      <c r="K44" s="27"/>
    </row>
    <row r="45" ht="47.25" customHeight="1">
      <c r="A45" s="22" t="b">
        <v>0</v>
      </c>
      <c r="B45" s="5"/>
      <c r="C45" s="23">
        <v>41.0</v>
      </c>
      <c r="D45" s="23" t="s">
        <v>86</v>
      </c>
      <c r="E45" s="24" t="str">
        <f>IMAGE("https://www.serebii.net/scarletviolet/pokemon/small/822.png")</f>
        <v/>
      </c>
      <c r="F45" s="24" t="str">
        <f t="shared" si="17"/>
        <v/>
      </c>
      <c r="G45" s="24"/>
      <c r="H45" s="25" t="s">
        <v>87</v>
      </c>
      <c r="I45" s="26"/>
      <c r="J45" s="5"/>
      <c r="K45" s="27"/>
    </row>
    <row r="46" ht="47.25" customHeight="1">
      <c r="A46" s="22" t="b">
        <v>0</v>
      </c>
      <c r="B46" s="5"/>
      <c r="C46" s="23">
        <v>42.0</v>
      </c>
      <c r="D46" s="23" t="s">
        <v>88</v>
      </c>
      <c r="E46" s="24" t="str">
        <f>IMAGE("https://www.serebii.net/scarletviolet/pokemon/small/823.png")</f>
        <v/>
      </c>
      <c r="F46" s="24" t="str">
        <f t="shared" si="17"/>
        <v/>
      </c>
      <c r="G46" s="24" t="str">
        <f>IMAGE("https://www.serebii.net/pokedex-bw/type/steel.gif")</f>
        <v/>
      </c>
      <c r="H46" s="25" t="s">
        <v>89</v>
      </c>
      <c r="I46" s="26"/>
      <c r="J46" s="5"/>
      <c r="K46" s="27"/>
    </row>
    <row r="47" ht="47.25" customHeight="1">
      <c r="A47" s="22" t="b">
        <v>0</v>
      </c>
      <c r="B47" s="5"/>
      <c r="C47" s="23">
        <v>43.0</v>
      </c>
      <c r="D47" s="23" t="s">
        <v>90</v>
      </c>
      <c r="E47" s="24" t="str">
        <f>IMAGE("https://www.serebii.net/scarletviolet/pokemon/small/440.png")</f>
        <v/>
      </c>
      <c r="F47" s="24" t="str">
        <f t="shared" ref="F47:F50" si="18">IMAGE("https://www.serebii.net/pokedex-bw/type/normal.gif")</f>
        <v/>
      </c>
      <c r="G47" s="24"/>
      <c r="H47" s="25" t="s">
        <v>91</v>
      </c>
      <c r="I47" s="26"/>
      <c r="J47" s="5"/>
      <c r="K47" s="27"/>
    </row>
    <row r="48" ht="47.25" customHeight="1">
      <c r="A48" s="22" t="b">
        <v>0</v>
      </c>
      <c r="B48" s="5"/>
      <c r="C48" s="23">
        <v>44.0</v>
      </c>
      <c r="D48" s="23" t="s">
        <v>92</v>
      </c>
      <c r="E48" s="24" t="str">
        <f>IMAGE("https://www.serebii.net/scarletviolet/pokemon/small/113.png")</f>
        <v/>
      </c>
      <c r="F48" s="24" t="str">
        <f t="shared" si="18"/>
        <v/>
      </c>
      <c r="G48" s="24"/>
      <c r="H48" s="25" t="s">
        <v>93</v>
      </c>
      <c r="I48" s="26"/>
      <c r="J48" s="5"/>
      <c r="K48" s="27"/>
    </row>
    <row r="49" ht="47.25" customHeight="1">
      <c r="A49" s="22" t="b">
        <v>0</v>
      </c>
      <c r="B49" s="5"/>
      <c r="C49" s="23">
        <v>45.0</v>
      </c>
      <c r="D49" s="23" t="s">
        <v>94</v>
      </c>
      <c r="E49" s="24" t="str">
        <f>IMAGE("https://www.serebii.net/scarletviolet/pokemon/small/242.png")</f>
        <v/>
      </c>
      <c r="F49" s="24" t="str">
        <f t="shared" si="18"/>
        <v/>
      </c>
      <c r="G49" s="24"/>
      <c r="H49" s="25" t="s">
        <v>95</v>
      </c>
      <c r="I49" s="26"/>
      <c r="J49" s="5"/>
      <c r="K49" s="27"/>
    </row>
    <row r="50" ht="47.25" customHeight="1">
      <c r="A50" s="22" t="b">
        <v>0</v>
      </c>
      <c r="B50" s="5"/>
      <c r="C50" s="23">
        <v>46.0</v>
      </c>
      <c r="D50" s="23" t="s">
        <v>96</v>
      </c>
      <c r="E50" s="24" t="str">
        <f>IMAGE("https://www.serebii.net/scarletviolet/pokemon/small/298.png")</f>
        <v/>
      </c>
      <c r="F50" s="24" t="str">
        <f t="shared" si="18"/>
        <v/>
      </c>
      <c r="G50" s="24" t="str">
        <f t="shared" ref="G50:G52" si="19">IMAGE("https://www.serebii.net/pokedex-bw/type/fairy.gif")</f>
        <v/>
      </c>
      <c r="H50" s="25" t="s">
        <v>97</v>
      </c>
      <c r="I50" s="26"/>
      <c r="J50" s="5"/>
      <c r="K50" s="27"/>
    </row>
    <row r="51" ht="47.25" customHeight="1">
      <c r="A51" s="22" t="b">
        <v>0</v>
      </c>
      <c r="B51" s="5"/>
      <c r="C51" s="23">
        <v>47.0</v>
      </c>
      <c r="D51" s="23" t="s">
        <v>98</v>
      </c>
      <c r="E51" s="24" t="str">
        <f>IMAGE("https://www.serebii.net/scarletviolet/pokemon/small/183.png")</f>
        <v/>
      </c>
      <c r="F51" s="24" t="str">
        <f t="shared" ref="F51:F52" si="20">IMAGE("https://www.serebii.net/pokedex-bw/type/water.gif")</f>
        <v/>
      </c>
      <c r="G51" s="24" t="str">
        <f t="shared" si="19"/>
        <v/>
      </c>
      <c r="H51" s="25" t="s">
        <v>99</v>
      </c>
      <c r="I51" s="26"/>
      <c r="J51" s="5"/>
      <c r="K51" s="27"/>
    </row>
    <row r="52" ht="47.25" customHeight="1">
      <c r="A52" s="22" t="b">
        <v>0</v>
      </c>
      <c r="B52" s="5"/>
      <c r="C52" s="23">
        <v>48.0</v>
      </c>
      <c r="D52" s="23" t="s">
        <v>100</v>
      </c>
      <c r="E52" s="24" t="str">
        <f>IMAGE("https://www.serebii.net/scarletviolet/pokemon/small/184.png")</f>
        <v/>
      </c>
      <c r="F52" s="24" t="str">
        <f t="shared" si="20"/>
        <v/>
      </c>
      <c r="G52" s="24" t="str">
        <f t="shared" si="19"/>
        <v/>
      </c>
      <c r="H52" s="25" t="s">
        <v>101</v>
      </c>
      <c r="I52" s="26"/>
      <c r="J52" s="5"/>
      <c r="K52" s="27"/>
    </row>
    <row r="53" ht="47.25" customHeight="1">
      <c r="A53" s="22" t="b">
        <v>0</v>
      </c>
      <c r="B53" s="5"/>
      <c r="C53" s="23">
        <v>49.0</v>
      </c>
      <c r="D53" s="23" t="s">
        <v>102</v>
      </c>
      <c r="E53" s="24" t="str">
        <f>IMAGE("https://www.serebii.net/scarletviolet/pokemon/small/283.png")</f>
        <v/>
      </c>
      <c r="F53" s="24" t="str">
        <f t="shared" ref="F53:F54" si="21">IMAGE("https://www.serebii.net/pokedex-bw/type/bug.gif")</f>
        <v/>
      </c>
      <c r="G53" s="24" t="str">
        <f>IMAGE("https://www.serebii.net/pokedex-bw/type/water.gif")</f>
        <v/>
      </c>
      <c r="H53" s="25" t="s">
        <v>103</v>
      </c>
      <c r="I53" s="26"/>
      <c r="J53" s="5"/>
      <c r="K53" s="27"/>
    </row>
    <row r="54" ht="47.25" customHeight="1">
      <c r="A54" s="22" t="b">
        <v>0</v>
      </c>
      <c r="B54" s="5"/>
      <c r="C54" s="23">
        <v>50.0</v>
      </c>
      <c r="D54" s="23" t="s">
        <v>104</v>
      </c>
      <c r="E54" s="24" t="str">
        <f>IMAGE("https://www.serebii.net/scarletviolet/pokemon/small/284.png")</f>
        <v/>
      </c>
      <c r="F54" s="24" t="str">
        <f t="shared" si="21"/>
        <v/>
      </c>
      <c r="G54" s="24" t="str">
        <f>IMAGE("https://www.serebii.net/pokedex-bw/type/flying.gif")</f>
        <v/>
      </c>
      <c r="H54" s="25" t="s">
        <v>105</v>
      </c>
      <c r="I54" s="26"/>
      <c r="J54" s="5"/>
      <c r="K54" s="27"/>
    </row>
    <row r="55" ht="47.25" customHeight="1">
      <c r="A55" s="22" t="b">
        <v>0</v>
      </c>
      <c r="B55" s="5"/>
      <c r="C55" s="23">
        <v>51.0</v>
      </c>
      <c r="D55" s="23" t="s">
        <v>106</v>
      </c>
      <c r="E55" s="24" t="str">
        <f>IMAGE("https://www.serebii.net/scarletviolet/pokemon/small/418.png")</f>
        <v/>
      </c>
      <c r="F55" s="24" t="str">
        <f t="shared" ref="F55:F56" si="22">IMAGE("https://www.serebii.net/pokedex-bw/type/water.gif")</f>
        <v/>
      </c>
      <c r="G55" s="24"/>
      <c r="H55" s="25" t="s">
        <v>107</v>
      </c>
      <c r="I55" s="26"/>
      <c r="J55" s="5"/>
      <c r="K55" s="27"/>
    </row>
    <row r="56" ht="47.25" customHeight="1">
      <c r="A56" s="22" t="b">
        <v>0</v>
      </c>
      <c r="B56" s="5"/>
      <c r="C56" s="23">
        <v>52.0</v>
      </c>
      <c r="D56" s="23" t="s">
        <v>108</v>
      </c>
      <c r="E56" s="24" t="str">
        <f>IMAGE("https://www.serebii.net/scarletviolet/pokemon/small/419.png")</f>
        <v/>
      </c>
      <c r="F56" s="24" t="str">
        <f t="shared" si="22"/>
        <v/>
      </c>
      <c r="G56" s="24"/>
      <c r="H56" s="25" t="s">
        <v>109</v>
      </c>
      <c r="I56" s="26"/>
      <c r="J56" s="5"/>
      <c r="K56" s="27"/>
    </row>
    <row r="57" ht="47.25" customHeight="1">
      <c r="A57" s="22" t="b">
        <v>0</v>
      </c>
      <c r="B57" s="5"/>
      <c r="C57" s="23">
        <v>53.0</v>
      </c>
      <c r="D57" s="23" t="s">
        <v>110</v>
      </c>
      <c r="E57" s="24" t="str">
        <f>IMAGE("https://www.serebii.net/scarletviolet/pokemon/small/194-p.png")</f>
        <v/>
      </c>
      <c r="F57" s="24" t="str">
        <f t="shared" ref="F57:F58" si="23">IMAGE("https://www.serebii.net/pokedex-bw/type/poison.gif")</f>
        <v/>
      </c>
      <c r="G57" s="24" t="str">
        <f t="shared" ref="G57:G58" si="24">IMAGE("https://www.serebii.net/pokedex-bw/type/ground.gif")</f>
        <v/>
      </c>
      <c r="H57" s="25" t="s">
        <v>111</v>
      </c>
      <c r="I57" s="26"/>
      <c r="J57" s="5"/>
      <c r="K57" s="27"/>
    </row>
    <row r="58" ht="47.25" customHeight="1">
      <c r="A58" s="29" t="b">
        <v>0</v>
      </c>
      <c r="B58" s="29" t="b">
        <v>0</v>
      </c>
      <c r="C58" s="23">
        <v>54.0</v>
      </c>
      <c r="D58" s="23" t="s">
        <v>112</v>
      </c>
      <c r="E58" s="24" t="str">
        <f>IMAGE("https://www.serebii.net/scarletviolet/pokemon/small/1009.png")</f>
        <v/>
      </c>
      <c r="F58" s="24" t="str">
        <f t="shared" si="23"/>
        <v/>
      </c>
      <c r="G58" s="24" t="str">
        <f t="shared" si="24"/>
        <v/>
      </c>
      <c r="H58" s="25" t="s">
        <v>113</v>
      </c>
      <c r="I58" s="26"/>
      <c r="J58" s="5"/>
      <c r="K58" s="27"/>
    </row>
    <row r="59" ht="47.25" customHeight="1">
      <c r="A59" s="22" t="b">
        <v>0</v>
      </c>
      <c r="B59" s="5"/>
      <c r="C59" s="23">
        <v>55.0</v>
      </c>
      <c r="D59" s="23" t="s">
        <v>114</v>
      </c>
      <c r="E59" s="24" t="str">
        <f>IMAGE("https://www.serebii.net/scarletviolet/pokemon/small/054.png")</f>
        <v/>
      </c>
      <c r="F59" s="24" t="str">
        <f t="shared" ref="F59:F62" si="25">IMAGE("https://www.serebii.net/pokedex-bw/type/water.gif")</f>
        <v/>
      </c>
      <c r="G59" s="24"/>
      <c r="H59" s="25" t="s">
        <v>115</v>
      </c>
      <c r="I59" s="26"/>
      <c r="J59" s="5"/>
      <c r="K59" s="27"/>
    </row>
    <row r="60" ht="47.25" customHeight="1">
      <c r="A60" s="22" t="b">
        <v>0</v>
      </c>
      <c r="B60" s="5"/>
      <c r="C60" s="23">
        <v>56.0</v>
      </c>
      <c r="D60" s="23" t="s">
        <v>116</v>
      </c>
      <c r="E60" s="24" t="str">
        <f>IMAGE("https://www.serebii.net/scarletviolet/pokemon/small/055.png")</f>
        <v/>
      </c>
      <c r="F60" s="24" t="str">
        <f t="shared" si="25"/>
        <v/>
      </c>
      <c r="G60" s="24"/>
      <c r="H60" s="25" t="s">
        <v>117</v>
      </c>
      <c r="I60" s="26"/>
      <c r="J60" s="5"/>
      <c r="K60" s="27"/>
    </row>
    <row r="61" ht="47.25" customHeight="1">
      <c r="A61" s="22" t="b">
        <v>0</v>
      </c>
      <c r="B61" s="5"/>
      <c r="C61" s="23">
        <v>57.0</v>
      </c>
      <c r="D61" s="23" t="s">
        <v>118</v>
      </c>
      <c r="E61" s="24" t="str">
        <f>IMAGE("https://www.serebii.net/scarletviolet/pokemon/small/833.png")</f>
        <v/>
      </c>
      <c r="F61" s="24" t="str">
        <f t="shared" si="25"/>
        <v/>
      </c>
      <c r="G61" s="24"/>
      <c r="H61" s="25" t="s">
        <v>119</v>
      </c>
      <c r="I61" s="26"/>
      <c r="J61" s="5"/>
      <c r="K61" s="27"/>
    </row>
    <row r="62" ht="47.25" customHeight="1">
      <c r="A62" s="22" t="b">
        <v>0</v>
      </c>
      <c r="B62" s="5"/>
      <c r="C62" s="23">
        <v>58.0</v>
      </c>
      <c r="D62" s="23" t="s">
        <v>120</v>
      </c>
      <c r="E62" s="24" t="str">
        <f>IMAGE("https://www.serebii.net/scarletviolet/pokemon/small/834.png")</f>
        <v/>
      </c>
      <c r="F62" s="24" t="str">
        <f t="shared" si="25"/>
        <v/>
      </c>
      <c r="G62" s="24" t="str">
        <f>IMAGE("https://www.serebii.net/pokedex-bw/type/rock.gif")</f>
        <v/>
      </c>
      <c r="H62" s="25" t="s">
        <v>121</v>
      </c>
      <c r="I62" s="26"/>
      <c r="J62" s="5"/>
      <c r="K62" s="27"/>
    </row>
    <row r="63" ht="47.25" customHeight="1">
      <c r="A63" s="22" t="b">
        <v>0</v>
      </c>
      <c r="B63" s="5"/>
      <c r="C63" s="23">
        <v>59.0</v>
      </c>
      <c r="D63" s="23" t="s">
        <v>122</v>
      </c>
      <c r="E63" s="24" t="str">
        <f>IMAGE("https://www.serebii.net/scarletviolet/pokemon/small/174.png")</f>
        <v/>
      </c>
      <c r="F63" s="24" t="str">
        <f t="shared" ref="F63:F65" si="26">IMAGE("https://www.serebii.net/pokedex-bw/type/normal.gif")</f>
        <v/>
      </c>
      <c r="G63" s="24" t="str">
        <f t="shared" ref="G63:G68" si="27">IMAGE("https://www.serebii.net/pokedex-bw/type/fairy.gif")</f>
        <v/>
      </c>
      <c r="H63" s="25" t="s">
        <v>123</v>
      </c>
      <c r="I63" s="26"/>
      <c r="J63" s="5"/>
      <c r="K63" s="27"/>
    </row>
    <row r="64" ht="47.25" customHeight="1">
      <c r="A64" s="22" t="b">
        <v>0</v>
      </c>
      <c r="B64" s="5"/>
      <c r="C64" s="23">
        <v>60.0</v>
      </c>
      <c r="D64" s="23" t="s">
        <v>124</v>
      </c>
      <c r="E64" s="24" t="str">
        <f>IMAGE("https://www.serebii.net/scarletviolet/pokemon/small/039.png")</f>
        <v/>
      </c>
      <c r="F64" s="24" t="str">
        <f t="shared" si="26"/>
        <v/>
      </c>
      <c r="G64" s="24" t="str">
        <f t="shared" si="27"/>
        <v/>
      </c>
      <c r="H64" s="25" t="s">
        <v>125</v>
      </c>
      <c r="I64" s="26"/>
      <c r="J64" s="5"/>
      <c r="K64" s="27"/>
    </row>
    <row r="65" ht="47.25" customHeight="1">
      <c r="A65" s="22" t="b">
        <v>0</v>
      </c>
      <c r="B65" s="5"/>
      <c r="C65" s="23">
        <v>61.0</v>
      </c>
      <c r="D65" s="23" t="s">
        <v>126</v>
      </c>
      <c r="E65" s="24" t="str">
        <f>IMAGE("https://www.serebii.net/scarletviolet/pokemon/small/040.png")</f>
        <v/>
      </c>
      <c r="F65" s="24" t="str">
        <f t="shared" si="26"/>
        <v/>
      </c>
      <c r="G65" s="24" t="str">
        <f t="shared" si="27"/>
        <v/>
      </c>
      <c r="H65" s="25" t="s">
        <v>127</v>
      </c>
      <c r="I65" s="26"/>
      <c r="J65" s="5"/>
      <c r="K65" s="27"/>
    </row>
    <row r="66" ht="47.25" customHeight="1">
      <c r="A66" s="22" t="b">
        <v>0</v>
      </c>
      <c r="B66" s="5"/>
      <c r="C66" s="23">
        <v>62.0</v>
      </c>
      <c r="D66" s="23" t="s">
        <v>128</v>
      </c>
      <c r="E66" s="24" t="str">
        <f>IMAGE("https://www.serebii.net/scarletviolet/pokemon/small/280.png")</f>
        <v/>
      </c>
      <c r="F66" s="24" t="str">
        <f t="shared" ref="F66:F71" si="28">IMAGE("https://www.serebii.net/pokedex-bw/type/psychic.gif")</f>
        <v/>
      </c>
      <c r="G66" s="24" t="str">
        <f t="shared" si="27"/>
        <v/>
      </c>
      <c r="H66" s="25" t="s">
        <v>129</v>
      </c>
      <c r="I66" s="26"/>
      <c r="J66" s="5"/>
      <c r="K66" s="27"/>
    </row>
    <row r="67" ht="47.25" customHeight="1">
      <c r="A67" s="22" t="b">
        <v>0</v>
      </c>
      <c r="B67" s="5"/>
      <c r="C67" s="23">
        <v>63.0</v>
      </c>
      <c r="D67" s="23" t="s">
        <v>130</v>
      </c>
      <c r="E67" s="24" t="str">
        <f>IMAGE("https://www.serebii.net/scarletviolet/pokemon/small/281.png")</f>
        <v/>
      </c>
      <c r="F67" s="24" t="str">
        <f t="shared" si="28"/>
        <v/>
      </c>
      <c r="G67" s="24" t="str">
        <f t="shared" si="27"/>
        <v/>
      </c>
      <c r="H67" s="25" t="s">
        <v>131</v>
      </c>
      <c r="I67" s="26"/>
      <c r="J67" s="5"/>
      <c r="K67" s="27"/>
    </row>
    <row r="68" ht="47.25" customHeight="1">
      <c r="A68" s="22" t="b">
        <v>0</v>
      </c>
      <c r="B68" s="5"/>
      <c r="C68" s="23">
        <v>64.0</v>
      </c>
      <c r="D68" s="23" t="s">
        <v>132</v>
      </c>
      <c r="E68" s="24" t="str">
        <f>IMAGE("https://www.serebii.net/scarletviolet/pokemon/small/282.png")</f>
        <v/>
      </c>
      <c r="F68" s="24" t="str">
        <f t="shared" si="28"/>
        <v/>
      </c>
      <c r="G68" s="24" t="str">
        <f t="shared" si="27"/>
        <v/>
      </c>
      <c r="H68" s="25" t="s">
        <v>133</v>
      </c>
      <c r="I68" s="26"/>
      <c r="J68" s="5"/>
      <c r="K68" s="27"/>
    </row>
    <row r="69" ht="47.25" customHeight="1">
      <c r="A69" s="22" t="b">
        <v>0</v>
      </c>
      <c r="B69" s="5"/>
      <c r="C69" s="23">
        <v>65.0</v>
      </c>
      <c r="D69" s="23" t="s">
        <v>134</v>
      </c>
      <c r="E69" s="24" t="str">
        <f>IMAGE("https://www.serebii.net/scarletviolet/pokemon/small/475.png")</f>
        <v/>
      </c>
      <c r="F69" s="24" t="str">
        <f t="shared" si="28"/>
        <v/>
      </c>
      <c r="G69" s="24" t="str">
        <f>IMAGE("https://www.serebii.net/pokedex-bw/type/fighting.gif")</f>
        <v/>
      </c>
      <c r="H69" s="25" t="s">
        <v>135</v>
      </c>
      <c r="I69" s="26"/>
      <c r="J69" s="5"/>
      <c r="K69" s="27"/>
    </row>
    <row r="70" ht="47.25" customHeight="1">
      <c r="A70" s="22" t="b">
        <v>0</v>
      </c>
      <c r="B70" s="5"/>
      <c r="C70" s="23">
        <v>66.0</v>
      </c>
      <c r="D70" s="23" t="s">
        <v>136</v>
      </c>
      <c r="E70" s="24" t="str">
        <f>IMAGE("https://www.serebii.net/scarletviolet/pokemon/small/096.png")</f>
        <v/>
      </c>
      <c r="F70" s="24" t="str">
        <f t="shared" si="28"/>
        <v/>
      </c>
      <c r="G70" s="24"/>
      <c r="H70" s="25" t="s">
        <v>137</v>
      </c>
      <c r="I70" s="26"/>
      <c r="J70" s="5"/>
      <c r="K70" s="27"/>
    </row>
    <row r="71" ht="47.25" customHeight="1">
      <c r="A71" s="22" t="b">
        <v>0</v>
      </c>
      <c r="B71" s="5"/>
      <c r="C71" s="23">
        <v>67.0</v>
      </c>
      <c r="D71" s="23" t="s">
        <v>138</v>
      </c>
      <c r="E71" s="24" t="str">
        <f>IMAGE("https://www.serebii.net/scarletviolet/pokemon/small/097.png")</f>
        <v/>
      </c>
      <c r="F71" s="24" t="str">
        <f t="shared" si="28"/>
        <v/>
      </c>
      <c r="G71" s="24"/>
      <c r="H71" s="25" t="s">
        <v>139</v>
      </c>
      <c r="I71" s="26"/>
      <c r="J71" s="5"/>
      <c r="K71" s="27"/>
    </row>
    <row r="72" ht="47.25" customHeight="1">
      <c r="A72" s="22" t="b">
        <v>0</v>
      </c>
      <c r="B72" s="5"/>
      <c r="C72" s="23">
        <v>68.0</v>
      </c>
      <c r="D72" s="23" t="s">
        <v>140</v>
      </c>
      <c r="E72" s="24" t="str">
        <f>IMAGE("https://www.serebii.net/scarletviolet/pokemon/small/092.png")</f>
        <v/>
      </c>
      <c r="F72" s="24" t="str">
        <f t="shared" ref="F72:F74" si="29">IMAGE("https://www.serebii.net/pokedex-bw/type/ghost.gif")</f>
        <v/>
      </c>
      <c r="G72" s="24" t="str">
        <f t="shared" ref="G72:G74" si="30">IMAGE("https://www.serebii.net/pokedex-bw/type/poison.gif")</f>
        <v/>
      </c>
      <c r="H72" s="25" t="s">
        <v>141</v>
      </c>
      <c r="I72" s="26"/>
      <c r="J72" s="5"/>
      <c r="K72" s="27"/>
    </row>
    <row r="73" ht="47.25" customHeight="1">
      <c r="A73" s="22" t="b">
        <v>0</v>
      </c>
      <c r="B73" s="5"/>
      <c r="C73" s="23">
        <v>69.0</v>
      </c>
      <c r="D73" s="23" t="s">
        <v>142</v>
      </c>
      <c r="E73" s="24" t="str">
        <f>IMAGE("https://www.serebii.net/scarletviolet/pokemon/small/093.png")</f>
        <v/>
      </c>
      <c r="F73" s="24" t="str">
        <f t="shared" si="29"/>
        <v/>
      </c>
      <c r="G73" s="24" t="str">
        <f t="shared" si="30"/>
        <v/>
      </c>
      <c r="H73" s="25" t="s">
        <v>143</v>
      </c>
      <c r="I73" s="26"/>
      <c r="J73" s="5"/>
      <c r="K73" s="27"/>
    </row>
    <row r="74" ht="47.25" customHeight="1">
      <c r="A74" s="22" t="b">
        <v>0</v>
      </c>
      <c r="B74" s="5"/>
      <c r="C74" s="23">
        <v>70.0</v>
      </c>
      <c r="D74" s="23" t="s">
        <v>144</v>
      </c>
      <c r="E74" s="24" t="str">
        <f>IMAGE("https://www.serebii.net/scarletviolet/pokemon/small/094.png")</f>
        <v/>
      </c>
      <c r="F74" s="24" t="str">
        <f t="shared" si="29"/>
        <v/>
      </c>
      <c r="G74" s="24" t="str">
        <f t="shared" si="30"/>
        <v/>
      </c>
      <c r="H74" s="25" t="s">
        <v>145</v>
      </c>
      <c r="I74" s="26"/>
      <c r="J74" s="5"/>
      <c r="K74" s="27"/>
    </row>
    <row r="75" ht="47.25" customHeight="1">
      <c r="A75" s="22" t="b">
        <v>0</v>
      </c>
      <c r="B75" s="5"/>
      <c r="C75" s="23">
        <v>71.0</v>
      </c>
      <c r="D75" s="23" t="s">
        <v>146</v>
      </c>
      <c r="E75" s="24" t="str">
        <f>IMAGE("https://www.serebii.net/scarletviolet/pokemon/small/945.png")</f>
        <v/>
      </c>
      <c r="F75" s="24" t="str">
        <f t="shared" ref="F75:F76" si="31">IMAGE("https://www.serebii.net/pokedex-bw/type/normal.gif")</f>
        <v/>
      </c>
      <c r="G75" s="24"/>
      <c r="H75" s="25" t="s">
        <v>147</v>
      </c>
      <c r="I75" s="26"/>
      <c r="J75" s="5"/>
      <c r="K75" s="27"/>
    </row>
    <row r="76" ht="47.25" customHeight="1">
      <c r="A76" s="22" t="b">
        <v>0</v>
      </c>
      <c r="B76" s="5"/>
      <c r="C76" s="23">
        <v>72.0</v>
      </c>
      <c r="D76" s="23" t="s">
        <v>148</v>
      </c>
      <c r="E76" s="24" t="str">
        <f>IMAGE("https://www.serebii.net/scarletviolet/pokemon/small/946.png")</f>
        <v/>
      </c>
      <c r="F76" s="24" t="str">
        <f t="shared" si="31"/>
        <v/>
      </c>
      <c r="G76" s="24"/>
      <c r="H76" s="25" t="s">
        <v>149</v>
      </c>
      <c r="I76" s="26"/>
      <c r="J76" s="5"/>
      <c r="K76" s="27"/>
    </row>
    <row r="77" ht="47.25" customHeight="1">
      <c r="A77" s="22" t="b">
        <v>0</v>
      </c>
      <c r="B77" s="5"/>
      <c r="C77" s="23">
        <v>73.0</v>
      </c>
      <c r="D77" s="23" t="s">
        <v>150</v>
      </c>
      <c r="E77" s="24" t="str">
        <f>IMAGE("https://www.serebii.net/scarletviolet/pokemon/small/172.png")</f>
        <v/>
      </c>
      <c r="F77" s="24" t="str">
        <f t="shared" ref="F77:F79" si="32">IMAGE("https://www.serebii.net/pokedex-bw/type/electric.gif")</f>
        <v/>
      </c>
      <c r="G77" s="24"/>
      <c r="H77" s="25" t="s">
        <v>38</v>
      </c>
      <c r="I77" s="26"/>
      <c r="J77" s="5"/>
      <c r="K77" s="27"/>
    </row>
    <row r="78" ht="47.25" customHeight="1">
      <c r="A78" s="22" t="b">
        <v>0</v>
      </c>
      <c r="B78" s="5"/>
      <c r="C78" s="23">
        <v>74.0</v>
      </c>
      <c r="D78" s="23" t="s">
        <v>151</v>
      </c>
      <c r="E78" s="24" t="str">
        <f>IMAGE("https://www.serebii.net/scarletviolet/pokemon/small/025.png")</f>
        <v/>
      </c>
      <c r="F78" s="24" t="str">
        <f t="shared" si="32"/>
        <v/>
      </c>
      <c r="G78" s="24"/>
      <c r="H78" s="25" t="s">
        <v>152</v>
      </c>
      <c r="I78" s="26"/>
      <c r="J78" s="5"/>
      <c r="K78" s="27"/>
    </row>
    <row r="79" ht="47.25" customHeight="1">
      <c r="A79" s="22" t="b">
        <v>0</v>
      </c>
      <c r="B79" s="5"/>
      <c r="C79" s="23">
        <v>75.0</v>
      </c>
      <c r="D79" s="23" t="s">
        <v>153</v>
      </c>
      <c r="E79" s="24" t="str">
        <f>IMAGE("https://www.serebii.net/scarletviolet/pokemon/small/026.png")</f>
        <v/>
      </c>
      <c r="F79" s="24" t="str">
        <f t="shared" si="32"/>
        <v/>
      </c>
      <c r="G79" s="24"/>
      <c r="H79" s="25" t="s">
        <v>154</v>
      </c>
      <c r="I79" s="26"/>
      <c r="J79" s="5"/>
      <c r="K79" s="27"/>
    </row>
    <row r="80" ht="47.25" customHeight="1">
      <c r="A80" s="22" t="b">
        <v>0</v>
      </c>
      <c r="B80" s="5"/>
      <c r="C80" s="23">
        <v>76.0</v>
      </c>
      <c r="D80" s="23" t="s">
        <v>155</v>
      </c>
      <c r="E80" s="24" t="str">
        <f>IMAGE("https://www.serebii.net/scarletviolet/pokemon/small/970.png")</f>
        <v/>
      </c>
      <c r="F80" s="24" t="str">
        <f t="shared" ref="F80:F81" si="33">IMAGE("https://www.serebii.net/pokedex-bw/type/fairy.gif")</f>
        <v/>
      </c>
      <c r="G80" s="24"/>
      <c r="H80" s="25" t="s">
        <v>38</v>
      </c>
      <c r="I80" s="26"/>
      <c r="J80" s="5"/>
      <c r="K80" s="27"/>
    </row>
    <row r="81" ht="47.25" customHeight="1">
      <c r="A81" s="22" t="b">
        <v>0</v>
      </c>
      <c r="B81" s="5"/>
      <c r="C81" s="23">
        <v>77.0</v>
      </c>
      <c r="D81" s="23" t="s">
        <v>156</v>
      </c>
      <c r="E81" s="24" t="str">
        <f>IMAGE("https://www.serebii.net/scarletviolet/pokemon/small/971.png")</f>
        <v/>
      </c>
      <c r="F81" s="24" t="str">
        <f t="shared" si="33"/>
        <v/>
      </c>
      <c r="G81" s="24"/>
      <c r="H81" s="25" t="s">
        <v>157</v>
      </c>
      <c r="I81" s="26"/>
      <c r="J81" s="5"/>
      <c r="K81" s="27"/>
    </row>
    <row r="82" ht="47.25" customHeight="1">
      <c r="A82" s="22" t="b">
        <v>0</v>
      </c>
      <c r="B82" s="5"/>
      <c r="C82" s="23">
        <v>78.0</v>
      </c>
      <c r="D82" s="23" t="s">
        <v>158</v>
      </c>
      <c r="E82" s="24" t="str">
        <f>IMAGE("https://www.serebii.net/scarletviolet/pokemon/small/287.png")</f>
        <v/>
      </c>
      <c r="F82" s="24" t="str">
        <f t="shared" ref="F82:F84" si="34">IMAGE("https://www.serebii.net/pokedex-bw/type/normal.gif")</f>
        <v/>
      </c>
      <c r="G82" s="24"/>
      <c r="H82" s="25" t="s">
        <v>159</v>
      </c>
      <c r="I82" s="26"/>
      <c r="J82" s="5"/>
      <c r="K82" s="27"/>
    </row>
    <row r="83" ht="47.25" customHeight="1">
      <c r="A83" s="22" t="b">
        <v>0</v>
      </c>
      <c r="B83" s="5"/>
      <c r="C83" s="23">
        <v>79.0</v>
      </c>
      <c r="D83" s="23" t="s">
        <v>160</v>
      </c>
      <c r="E83" s="24" t="str">
        <f>IMAGE("https://www.serebii.net/scarletviolet/pokemon/small/288.png")</f>
        <v/>
      </c>
      <c r="F83" s="24" t="str">
        <f t="shared" si="34"/>
        <v/>
      </c>
      <c r="G83" s="24"/>
      <c r="H83" s="25" t="s">
        <v>161</v>
      </c>
      <c r="I83" s="26"/>
      <c r="J83" s="5"/>
      <c r="K83" s="27"/>
    </row>
    <row r="84" ht="47.25" customHeight="1">
      <c r="A84" s="22" t="b">
        <v>0</v>
      </c>
      <c r="B84" s="5"/>
      <c r="C84" s="23">
        <v>80.0</v>
      </c>
      <c r="D84" s="23" t="s">
        <v>162</v>
      </c>
      <c r="E84" s="24" t="str">
        <f>IMAGE("https://www.serebii.net/scarletviolet/pokemon/small/289.png")</f>
        <v/>
      </c>
      <c r="F84" s="24" t="str">
        <f t="shared" si="34"/>
        <v/>
      </c>
      <c r="G84" s="24"/>
      <c r="H84" s="25" t="s">
        <v>163</v>
      </c>
      <c r="I84" s="26"/>
      <c r="J84" s="5"/>
      <c r="K84" s="27"/>
    </row>
    <row r="85" ht="47.25" customHeight="1">
      <c r="A85" s="22" t="b">
        <v>0</v>
      </c>
      <c r="B85" s="5"/>
      <c r="C85" s="23">
        <v>81.0</v>
      </c>
      <c r="D85" s="23" t="s">
        <v>164</v>
      </c>
      <c r="E85" s="24" t="str">
        <f>IMAGE("https://www.serebii.net/scarletviolet/pokemon/small/761.png")</f>
        <v/>
      </c>
      <c r="F85" s="24" t="str">
        <f t="shared" ref="F85:F90" si="35">IMAGE("https://www.serebii.net/pokedex-bw/type/grass.gif")</f>
        <v/>
      </c>
      <c r="G85" s="24"/>
      <c r="H85" s="25" t="s">
        <v>165</v>
      </c>
      <c r="I85" s="26"/>
      <c r="J85" s="5"/>
      <c r="K85" s="27"/>
    </row>
    <row r="86" ht="47.25" customHeight="1">
      <c r="A86" s="22" t="b">
        <v>0</v>
      </c>
      <c r="B86" s="5"/>
      <c r="C86" s="23">
        <v>82.0</v>
      </c>
      <c r="D86" s="23" t="s">
        <v>166</v>
      </c>
      <c r="E86" s="24" t="str">
        <f>IMAGE("https://www.serebii.net/scarletviolet/pokemon/small/762.png")</f>
        <v/>
      </c>
      <c r="F86" s="24" t="str">
        <f t="shared" si="35"/>
        <v/>
      </c>
      <c r="G86" s="24"/>
      <c r="H86" s="25" t="s">
        <v>167</v>
      </c>
      <c r="I86" s="26"/>
      <c r="J86" s="5"/>
      <c r="K86" s="27"/>
    </row>
    <row r="87" ht="47.25" customHeight="1">
      <c r="A87" s="22" t="b">
        <v>0</v>
      </c>
      <c r="B87" s="5"/>
      <c r="C87" s="23">
        <v>83.0</v>
      </c>
      <c r="D87" s="23" t="s">
        <v>168</v>
      </c>
      <c r="E87" s="24" t="str">
        <f>IMAGE("https://www.serebii.net/scarletviolet/pokemon/small/763.png")</f>
        <v/>
      </c>
      <c r="F87" s="24" t="str">
        <f t="shared" si="35"/>
        <v/>
      </c>
      <c r="G87" s="24"/>
      <c r="H87" s="25" t="s">
        <v>169</v>
      </c>
      <c r="I87" s="26"/>
      <c r="J87" s="5"/>
      <c r="K87" s="27"/>
    </row>
    <row r="88" ht="47.25" customHeight="1">
      <c r="A88" s="22" t="b">
        <v>0</v>
      </c>
      <c r="B88" s="5"/>
      <c r="C88" s="23">
        <v>84.0</v>
      </c>
      <c r="D88" s="23" t="s">
        <v>170</v>
      </c>
      <c r="E88" s="24" t="str">
        <f>IMAGE("https://www.serebii.net/scarletviolet/pokemon/small/935.png")</f>
        <v/>
      </c>
      <c r="F88" s="24" t="str">
        <f t="shared" si="35"/>
        <v/>
      </c>
      <c r="G88" s="24" t="str">
        <f t="shared" ref="G88:G90" si="36">IMAGE("https://www.serebii.net/pokedex-bw/type/normal.gif")</f>
        <v/>
      </c>
      <c r="H88" s="25" t="s">
        <v>171</v>
      </c>
      <c r="I88" s="26"/>
      <c r="J88" s="5"/>
      <c r="K88" s="27"/>
    </row>
    <row r="89" ht="47.25" customHeight="1">
      <c r="A89" s="22" t="b">
        <v>0</v>
      </c>
      <c r="B89" s="5"/>
      <c r="C89" s="23">
        <v>85.0</v>
      </c>
      <c r="D89" s="23" t="s">
        <v>172</v>
      </c>
      <c r="E89" s="24" t="str">
        <f>IMAGE("https://www.serebii.net/scarletviolet/pokemon/small/936.png")</f>
        <v/>
      </c>
      <c r="F89" s="24" t="str">
        <f t="shared" si="35"/>
        <v/>
      </c>
      <c r="G89" s="24" t="str">
        <f t="shared" si="36"/>
        <v/>
      </c>
      <c r="H89" s="25" t="s">
        <v>173</v>
      </c>
      <c r="I89" s="26"/>
      <c r="J89" s="5"/>
      <c r="K89" s="27"/>
    </row>
    <row r="90" ht="47.25" customHeight="1">
      <c r="A90" s="22" t="b">
        <v>0</v>
      </c>
      <c r="B90" s="5"/>
      <c r="C90" s="23">
        <v>86.0</v>
      </c>
      <c r="D90" s="23" t="s">
        <v>174</v>
      </c>
      <c r="E90" s="24" t="str">
        <f>IMAGE("https://www.serebii.net/scarletviolet/pokemon/small/937.png")</f>
        <v/>
      </c>
      <c r="F90" s="24" t="str">
        <f t="shared" si="35"/>
        <v/>
      </c>
      <c r="G90" s="24" t="str">
        <f t="shared" si="36"/>
        <v/>
      </c>
      <c r="H90" s="25" t="s">
        <v>175</v>
      </c>
      <c r="I90" s="26"/>
      <c r="J90" s="5"/>
      <c r="K90" s="27"/>
    </row>
    <row r="91" ht="47.25" customHeight="1">
      <c r="A91" s="22" t="b">
        <v>0</v>
      </c>
      <c r="B91" s="5"/>
      <c r="C91" s="23">
        <v>87.0</v>
      </c>
      <c r="D91" s="23" t="s">
        <v>176</v>
      </c>
      <c r="E91" s="24" t="str">
        <f>IMAGE("https://www.serebii.net/scarletviolet/pokemon/small/438.png")</f>
        <v/>
      </c>
      <c r="F91" s="24" t="str">
        <f t="shared" ref="F91:F97" si="37">IMAGE("https://www.serebii.net/pokedex-bw/type/rock.gif")</f>
        <v/>
      </c>
      <c r="G91" s="24"/>
      <c r="H91" s="25" t="s">
        <v>38</v>
      </c>
      <c r="I91" s="26"/>
      <c r="J91" s="5"/>
      <c r="K91" s="27"/>
    </row>
    <row r="92" ht="47.25" customHeight="1">
      <c r="A92" s="22" t="b">
        <v>0</v>
      </c>
      <c r="B92" s="5"/>
      <c r="C92" s="23">
        <v>88.0</v>
      </c>
      <c r="D92" s="23" t="s">
        <v>177</v>
      </c>
      <c r="E92" s="24" t="str">
        <f>IMAGE("https://www.serebii.net/scarletviolet/pokemon/small/185.png")</f>
        <v/>
      </c>
      <c r="F92" s="24" t="str">
        <f t="shared" si="37"/>
        <v/>
      </c>
      <c r="G92" s="24"/>
      <c r="H92" s="25" t="s">
        <v>178</v>
      </c>
      <c r="I92" s="26"/>
      <c r="J92" s="5"/>
      <c r="K92" s="27"/>
    </row>
    <row r="93" ht="47.25" customHeight="1">
      <c r="A93" s="22" t="b">
        <v>0</v>
      </c>
      <c r="B93" s="5"/>
      <c r="C93" s="23">
        <v>89.0</v>
      </c>
      <c r="D93" s="23" t="s">
        <v>179</v>
      </c>
      <c r="E93" s="24" t="str">
        <f>IMAGE("https://www.serebii.net/scarletviolet/pokemon/small/744.png")</f>
        <v/>
      </c>
      <c r="F93" s="24" t="str">
        <f t="shared" si="37"/>
        <v/>
      </c>
      <c r="G93" s="24"/>
      <c r="H93" s="25" t="s">
        <v>180</v>
      </c>
      <c r="I93" s="26"/>
      <c r="J93" s="5"/>
      <c r="K93" s="27"/>
    </row>
    <row r="94" ht="47.25" customHeight="1">
      <c r="A94" s="22" t="b">
        <v>0</v>
      </c>
      <c r="B94" s="5"/>
      <c r="C94" s="23">
        <v>90.0</v>
      </c>
      <c r="D94" s="23" t="s">
        <v>181</v>
      </c>
      <c r="E94" s="24" t="str">
        <f>IMAGE("https://www.serebii.net/scarletviolet/pokemon/small/745.png")</f>
        <v/>
      </c>
      <c r="F94" s="24" t="str">
        <f t="shared" si="37"/>
        <v/>
      </c>
      <c r="G94" s="24"/>
      <c r="H94" s="25" t="s">
        <v>182</v>
      </c>
      <c r="I94" s="26"/>
      <c r="J94" s="5"/>
      <c r="K94" s="27"/>
    </row>
    <row r="95" ht="47.25" customHeight="1">
      <c r="A95" s="22" t="b">
        <v>0</v>
      </c>
      <c r="B95" s="5"/>
      <c r="C95" s="23">
        <v>91.0</v>
      </c>
      <c r="D95" s="23" t="s">
        <v>183</v>
      </c>
      <c r="E95" s="24" t="str">
        <f>IMAGE("https://www.serebii.net/scarletviolet/pokemon/small/837.png")</f>
        <v/>
      </c>
      <c r="F95" s="24" t="str">
        <f t="shared" si="37"/>
        <v/>
      </c>
      <c r="G95" s="24"/>
      <c r="H95" s="25" t="s">
        <v>184</v>
      </c>
      <c r="I95" s="26"/>
      <c r="J95" s="5"/>
      <c r="K95" s="27"/>
    </row>
    <row r="96" ht="47.25" customHeight="1">
      <c r="A96" s="22" t="b">
        <v>0</v>
      </c>
      <c r="B96" s="5"/>
      <c r="C96" s="23">
        <v>92.0</v>
      </c>
      <c r="D96" s="23" t="s">
        <v>185</v>
      </c>
      <c r="E96" s="24" t="str">
        <f>IMAGE("https://www.serebii.net/scarletviolet/pokemon/small/838.png")</f>
        <v/>
      </c>
      <c r="F96" s="24" t="str">
        <f t="shared" si="37"/>
        <v/>
      </c>
      <c r="G96" s="24" t="str">
        <f t="shared" ref="G96:G97" si="38">IMAGE("https://www.serebii.net/pokedex-bw/type/fire.gif")</f>
        <v/>
      </c>
      <c r="H96" s="25" t="s">
        <v>186</v>
      </c>
      <c r="I96" s="26"/>
      <c r="J96" s="5"/>
      <c r="K96" s="27"/>
    </row>
    <row r="97" ht="47.25" customHeight="1">
      <c r="A97" s="22" t="b">
        <v>0</v>
      </c>
      <c r="B97" s="5"/>
      <c r="C97" s="23">
        <v>93.0</v>
      </c>
      <c r="D97" s="23" t="s">
        <v>187</v>
      </c>
      <c r="E97" s="24" t="str">
        <f>IMAGE("https://www.serebii.net/scarletviolet/pokemon/small/839.png")</f>
        <v/>
      </c>
      <c r="F97" s="24" t="str">
        <f t="shared" si="37"/>
        <v/>
      </c>
      <c r="G97" s="24" t="str">
        <f t="shared" si="38"/>
        <v/>
      </c>
      <c r="H97" s="25" t="s">
        <v>188</v>
      </c>
      <c r="I97" s="26"/>
      <c r="J97" s="5"/>
      <c r="K97" s="27"/>
    </row>
    <row r="98" ht="47.25" customHeight="1">
      <c r="A98" s="22" t="b">
        <v>0</v>
      </c>
      <c r="B98" s="5"/>
      <c r="C98" s="23">
        <v>94.0</v>
      </c>
      <c r="D98" s="23" t="s">
        <v>189</v>
      </c>
      <c r="E98" s="24" t="str">
        <f>IMAGE("https://www.serebii.net/scarletviolet/pokemon/small/403.png")</f>
        <v/>
      </c>
      <c r="F98" s="24" t="str">
        <f t="shared" ref="F98:F100" si="39">IMAGE("https://www.serebii.net/pokedex-bw/type/electric.gif")</f>
        <v/>
      </c>
      <c r="G98" s="24"/>
      <c r="H98" s="25" t="s">
        <v>190</v>
      </c>
      <c r="I98" s="26"/>
      <c r="J98" s="5"/>
      <c r="K98" s="27"/>
    </row>
    <row r="99" ht="47.25" customHeight="1">
      <c r="A99" s="22" t="b">
        <v>0</v>
      </c>
      <c r="B99" s="5"/>
      <c r="C99" s="23">
        <v>95.0</v>
      </c>
      <c r="D99" s="23" t="s">
        <v>191</v>
      </c>
      <c r="E99" s="24" t="str">
        <f>IMAGE("https://www.serebii.net/scarletviolet/pokemon/small/404.png")</f>
        <v/>
      </c>
      <c r="F99" s="24" t="str">
        <f t="shared" si="39"/>
        <v/>
      </c>
      <c r="G99" s="24"/>
      <c r="H99" s="25" t="s">
        <v>192</v>
      </c>
      <c r="I99" s="26"/>
      <c r="J99" s="5"/>
      <c r="K99" s="27"/>
    </row>
    <row r="100" ht="47.25" customHeight="1">
      <c r="A100" s="22" t="b">
        <v>0</v>
      </c>
      <c r="B100" s="5"/>
      <c r="C100" s="23">
        <v>96.0</v>
      </c>
      <c r="D100" s="23" t="s">
        <v>193</v>
      </c>
      <c r="E100" s="24" t="str">
        <f>IMAGE("https://www.serebii.net/scarletviolet/pokemon/small/405.png")</f>
        <v/>
      </c>
      <c r="F100" s="24" t="str">
        <f t="shared" si="39"/>
        <v/>
      </c>
      <c r="G100" s="24"/>
      <c r="H100" s="25" t="s">
        <v>194</v>
      </c>
      <c r="I100" s="26"/>
      <c r="J100" s="5"/>
      <c r="K100" s="27"/>
    </row>
    <row r="101" ht="47.25" customHeight="1">
      <c r="A101" s="22" t="b">
        <v>0</v>
      </c>
      <c r="B101" s="5"/>
      <c r="C101" s="23">
        <v>97.0</v>
      </c>
      <c r="D101" s="23" t="s">
        <v>195</v>
      </c>
      <c r="E101" s="24" t="str">
        <f>IMAGE("https://www.serebii.net/scarletviolet/pokemon/small/396.png")</f>
        <v/>
      </c>
      <c r="F101" s="24" t="str">
        <f t="shared" ref="F101:F103" si="40">IMAGE("https://www.serebii.net/pokedex-bw/type/normal.gif")</f>
        <v/>
      </c>
      <c r="G101" s="24" t="str">
        <f t="shared" ref="G101:G104" si="41">IMAGE("https://www.serebii.net/pokedex-bw/type/flying.gif")</f>
        <v/>
      </c>
      <c r="H101" s="25" t="s">
        <v>196</v>
      </c>
      <c r="I101" s="26"/>
      <c r="J101" s="5"/>
      <c r="K101" s="27"/>
    </row>
    <row r="102" ht="47.25" customHeight="1">
      <c r="A102" s="22" t="b">
        <v>0</v>
      </c>
      <c r="B102" s="5"/>
      <c r="C102" s="23">
        <v>98.0</v>
      </c>
      <c r="D102" s="23" t="s">
        <v>197</v>
      </c>
      <c r="E102" s="24" t="str">
        <f>IMAGE("https://www.serebii.net/scarletviolet/pokemon/small/397.png")</f>
        <v/>
      </c>
      <c r="F102" s="24" t="str">
        <f t="shared" si="40"/>
        <v/>
      </c>
      <c r="G102" s="24" t="str">
        <f t="shared" si="41"/>
        <v/>
      </c>
      <c r="H102" s="25" t="s">
        <v>198</v>
      </c>
      <c r="I102" s="26"/>
      <c r="J102" s="5"/>
      <c r="K102" s="27"/>
    </row>
    <row r="103" ht="47.25" customHeight="1">
      <c r="A103" s="22" t="b">
        <v>0</v>
      </c>
      <c r="B103" s="5"/>
      <c r="C103" s="23">
        <v>99.0</v>
      </c>
      <c r="D103" s="23" t="s">
        <v>199</v>
      </c>
      <c r="E103" s="24" t="str">
        <f>IMAGE("https://www.serebii.net/scarletviolet/pokemon/small/398.png")</f>
        <v/>
      </c>
      <c r="F103" s="24" t="str">
        <f t="shared" si="40"/>
        <v/>
      </c>
      <c r="G103" s="24" t="str">
        <f t="shared" si="41"/>
        <v/>
      </c>
      <c r="H103" s="25" t="s">
        <v>200</v>
      </c>
      <c r="I103" s="26"/>
      <c r="J103" s="5"/>
      <c r="K103" s="27"/>
    </row>
    <row r="104" ht="47.25" customHeight="1">
      <c r="A104" s="22" t="b">
        <v>0</v>
      </c>
      <c r="B104" s="5"/>
      <c r="C104" s="23">
        <v>100.0</v>
      </c>
      <c r="D104" s="23" t="s">
        <v>201</v>
      </c>
      <c r="E104" s="24" t="str">
        <f>IMAGE("https://www.serebii.net/scarletviolet/pokemon/small/741.png")</f>
        <v/>
      </c>
      <c r="F104" s="24" t="str">
        <f>IMAGE("https://www.serebii.net/pokedex-bw/type/fire.gif")</f>
        <v/>
      </c>
      <c r="G104" s="24" t="str">
        <f t="shared" si="41"/>
        <v/>
      </c>
      <c r="H104" s="25" t="s">
        <v>202</v>
      </c>
      <c r="I104" s="26"/>
      <c r="J104" s="5"/>
      <c r="K104" s="27"/>
    </row>
    <row r="105" ht="47.25" customHeight="1">
      <c r="A105" s="22" t="b">
        <v>0</v>
      </c>
      <c r="B105" s="5"/>
      <c r="C105" s="23">
        <v>101.0</v>
      </c>
      <c r="D105" s="23" t="s">
        <v>203</v>
      </c>
      <c r="E105" s="24" t="str">
        <f>IMAGE("https://www.serebii.net/scarletviolet/pokemon/small/179.png")</f>
        <v/>
      </c>
      <c r="F105" s="24" t="str">
        <f t="shared" ref="F105:F107" si="42">IMAGE("https://www.serebii.net/pokedex-bw/type/electric.gif")</f>
        <v/>
      </c>
      <c r="G105" s="24"/>
      <c r="H105" s="25" t="s">
        <v>204</v>
      </c>
      <c r="I105" s="26"/>
      <c r="J105" s="5"/>
      <c r="K105" s="27"/>
    </row>
    <row r="106" ht="47.25" customHeight="1">
      <c r="A106" s="22" t="b">
        <v>0</v>
      </c>
      <c r="B106" s="5"/>
      <c r="C106" s="23">
        <v>102.0</v>
      </c>
      <c r="D106" s="23" t="s">
        <v>205</v>
      </c>
      <c r="E106" s="24" t="str">
        <f>IMAGE("https://www.serebii.net/scarletviolet/pokemon/small/180.png")</f>
        <v/>
      </c>
      <c r="F106" s="24" t="str">
        <f t="shared" si="42"/>
        <v/>
      </c>
      <c r="G106" s="24"/>
      <c r="H106" s="25" t="s">
        <v>206</v>
      </c>
      <c r="I106" s="26"/>
      <c r="J106" s="5"/>
      <c r="K106" s="27"/>
    </row>
    <row r="107" ht="47.25" customHeight="1">
      <c r="A107" s="22" t="b">
        <v>0</v>
      </c>
      <c r="B107" s="5"/>
      <c r="C107" s="23">
        <v>103.0</v>
      </c>
      <c r="D107" s="23" t="s">
        <v>207</v>
      </c>
      <c r="E107" s="24" t="str">
        <f>IMAGE("https://www.serebii.net/scarletviolet/pokemon/small/181.png")</f>
        <v/>
      </c>
      <c r="F107" s="24" t="str">
        <f t="shared" si="42"/>
        <v/>
      </c>
      <c r="G107" s="24"/>
      <c r="H107" s="25" t="s">
        <v>208</v>
      </c>
      <c r="I107" s="26"/>
      <c r="J107" s="5"/>
      <c r="K107" s="27"/>
    </row>
    <row r="108" ht="47.25" customHeight="1">
      <c r="A108" s="22" t="b">
        <v>0</v>
      </c>
      <c r="B108" s="5"/>
      <c r="C108" s="23">
        <v>104.0</v>
      </c>
      <c r="D108" s="23" t="s">
        <v>209</v>
      </c>
      <c r="E108" s="24" t="str">
        <f>IMAGE("https://www.serebii.net/scarletviolet/pokemon/small/548.png")</f>
        <v/>
      </c>
      <c r="F108" s="24" t="str">
        <f t="shared" ref="F108:F114" si="43">IMAGE("https://www.serebii.net/pokedex-bw/type/grass.gif")</f>
        <v/>
      </c>
      <c r="G108" s="24"/>
      <c r="H108" s="25" t="s">
        <v>210</v>
      </c>
      <c r="I108" s="26"/>
      <c r="J108" s="5"/>
      <c r="K108" s="27"/>
    </row>
    <row r="109" ht="47.25" customHeight="1">
      <c r="A109" s="22" t="b">
        <v>0</v>
      </c>
      <c r="B109" s="5"/>
      <c r="C109" s="23">
        <v>105.0</v>
      </c>
      <c r="D109" s="23" t="s">
        <v>211</v>
      </c>
      <c r="E109" s="24" t="str">
        <f>IMAGE("https://www.serebii.net/scarletviolet/pokemon/small/549.png")</f>
        <v/>
      </c>
      <c r="F109" s="24" t="str">
        <f t="shared" si="43"/>
        <v/>
      </c>
      <c r="G109" s="24"/>
      <c r="H109" s="25" t="s">
        <v>212</v>
      </c>
      <c r="I109" s="26"/>
      <c r="J109" s="5"/>
      <c r="K109" s="27"/>
    </row>
    <row r="110" ht="47.25" customHeight="1">
      <c r="A110" s="22" t="b">
        <v>0</v>
      </c>
      <c r="B110" s="5"/>
      <c r="C110" s="23">
        <v>106.0</v>
      </c>
      <c r="D110" s="23" t="s">
        <v>213</v>
      </c>
      <c r="E110" s="24" t="str">
        <f>IMAGE("https://www.serebii.net/scarletviolet/pokemon/small/285.png")</f>
        <v/>
      </c>
      <c r="F110" s="24" t="str">
        <f t="shared" si="43"/>
        <v/>
      </c>
      <c r="G110" s="24"/>
      <c r="H110" s="25" t="s">
        <v>214</v>
      </c>
      <c r="I110" s="26"/>
      <c r="J110" s="5"/>
      <c r="K110" s="27"/>
    </row>
    <row r="111" ht="47.25" customHeight="1">
      <c r="A111" s="22" t="b">
        <v>0</v>
      </c>
      <c r="B111" s="5"/>
      <c r="C111" s="23">
        <v>107.0</v>
      </c>
      <c r="D111" s="23" t="s">
        <v>215</v>
      </c>
      <c r="E111" s="24" t="str">
        <f>IMAGE("https://www.serebii.net/scarletviolet/pokemon/small/286.png")</f>
        <v/>
      </c>
      <c r="F111" s="24" t="str">
        <f t="shared" si="43"/>
        <v/>
      </c>
      <c r="G111" s="24" t="str">
        <f>IMAGE("https://www.serebii.net/pokedex-bw/type/fighting.gif")</f>
        <v/>
      </c>
      <c r="H111" s="25" t="s">
        <v>216</v>
      </c>
      <c r="I111" s="26"/>
      <c r="J111" s="5"/>
      <c r="K111" s="27"/>
    </row>
    <row r="112" ht="47.25" customHeight="1">
      <c r="A112" s="22" t="b">
        <v>0</v>
      </c>
      <c r="B112" s="5"/>
      <c r="C112" s="23">
        <v>108.0</v>
      </c>
      <c r="D112" s="23" t="s">
        <v>217</v>
      </c>
      <c r="E112" s="24" t="str">
        <f>IMAGE("https://www.serebii.net/scarletviolet/pokemon/small/840.png")</f>
        <v/>
      </c>
      <c r="F112" s="24" t="str">
        <f t="shared" si="43"/>
        <v/>
      </c>
      <c r="G112" s="24" t="str">
        <f t="shared" ref="G112:G114" si="44">IMAGE("https://www.serebii.net/pokedex-bw/type/dragon.gif")</f>
        <v/>
      </c>
      <c r="H112" s="25" t="s">
        <v>218</v>
      </c>
      <c r="I112" s="26"/>
      <c r="J112" s="5"/>
      <c r="K112" s="27"/>
    </row>
    <row r="113" ht="47.25" customHeight="1">
      <c r="A113" s="22" t="b">
        <v>0</v>
      </c>
      <c r="B113" s="5"/>
      <c r="C113" s="23">
        <v>109.0</v>
      </c>
      <c r="D113" s="23" t="s">
        <v>219</v>
      </c>
      <c r="E113" s="24" t="str">
        <f>IMAGE("https://www.serebii.net/scarletviolet/pokemon/small/841.png")</f>
        <v/>
      </c>
      <c r="F113" s="24" t="str">
        <f t="shared" si="43"/>
        <v/>
      </c>
      <c r="G113" s="24" t="str">
        <f t="shared" si="44"/>
        <v/>
      </c>
      <c r="H113" s="25" t="s">
        <v>220</v>
      </c>
      <c r="I113" s="26"/>
      <c r="J113" s="5"/>
      <c r="K113" s="27"/>
    </row>
    <row r="114" ht="47.25" customHeight="1">
      <c r="A114" s="22" t="b">
        <v>0</v>
      </c>
      <c r="B114" s="5"/>
      <c r="C114" s="23">
        <v>110.0</v>
      </c>
      <c r="D114" s="23" t="s">
        <v>221</v>
      </c>
      <c r="E114" s="24" t="str">
        <f>IMAGE("https://www.serebii.net/scarletviolet/pokemon/small/842.png")</f>
        <v/>
      </c>
      <c r="F114" s="24" t="str">
        <f t="shared" si="43"/>
        <v/>
      </c>
      <c r="G114" s="24" t="str">
        <f t="shared" si="44"/>
        <v/>
      </c>
      <c r="H114" s="25" t="s">
        <v>220</v>
      </c>
      <c r="I114" s="26"/>
      <c r="J114" s="5"/>
      <c r="K114" s="27"/>
    </row>
    <row r="115" ht="47.25" customHeight="1">
      <c r="A115" s="22" t="b">
        <v>0</v>
      </c>
      <c r="B115" s="5"/>
      <c r="C115" s="23">
        <v>111.0</v>
      </c>
      <c r="D115" s="23" t="s">
        <v>222</v>
      </c>
      <c r="E115" s="24" t="str">
        <f>IMAGE("https://www.serebii.net/scarletviolet/pokemon/small/325.png")</f>
        <v/>
      </c>
      <c r="F115" s="24" t="str">
        <f t="shared" ref="F115:F116" si="45">IMAGE("https://www.serebii.net/pokedex-bw/type/psychic.gif")</f>
        <v/>
      </c>
      <c r="G115" s="24"/>
      <c r="H115" s="25" t="s">
        <v>223</v>
      </c>
      <c r="I115" s="26"/>
      <c r="J115" s="5"/>
      <c r="K115" s="27"/>
    </row>
    <row r="116" ht="47.25" customHeight="1">
      <c r="A116" s="22" t="b">
        <v>0</v>
      </c>
      <c r="B116" s="5"/>
      <c r="C116" s="23">
        <v>112.0</v>
      </c>
      <c r="D116" s="23" t="s">
        <v>224</v>
      </c>
      <c r="E116" s="24" t="str">
        <f>IMAGE("https://www.serebii.net/scarletviolet/pokemon/small/326.png")</f>
        <v/>
      </c>
      <c r="F116" s="24" t="str">
        <f t="shared" si="45"/>
        <v/>
      </c>
      <c r="G116" s="24"/>
      <c r="H116" s="25" t="s">
        <v>225</v>
      </c>
      <c r="I116" s="26"/>
      <c r="J116" s="5"/>
      <c r="K116" s="27"/>
    </row>
    <row r="117" ht="47.25" customHeight="1">
      <c r="A117" s="22" t="b">
        <v>0</v>
      </c>
      <c r="B117" s="5"/>
      <c r="C117" s="23">
        <v>113.0</v>
      </c>
      <c r="D117" s="23" t="s">
        <v>226</v>
      </c>
      <c r="E117" s="24" t="str">
        <f>IMAGE("https://www.serebii.net/scarletviolet/pokemon/small/960.png")</f>
        <v/>
      </c>
      <c r="F117" s="24" t="str">
        <f>IMAGE("https://www.serebii.net/pokedex-bw/type/normal.gif")</f>
        <v/>
      </c>
      <c r="G117" s="24" t="str">
        <f>IMAGE("https://www.serebii.net/pokedex-bw/type/flying.gif")</f>
        <v/>
      </c>
      <c r="H117" s="25" t="s">
        <v>227</v>
      </c>
      <c r="I117" s="26"/>
      <c r="J117" s="5"/>
      <c r="K117" s="27"/>
    </row>
    <row r="118" ht="47.25" customHeight="1">
      <c r="A118" s="22" t="b">
        <v>0</v>
      </c>
      <c r="B118" s="5"/>
      <c r="C118" s="23">
        <v>114.0</v>
      </c>
      <c r="D118" s="23" t="s">
        <v>228</v>
      </c>
      <c r="E118" s="24" t="str">
        <f>IMAGE("https://www.serebii.net/scarletviolet/pokemon/small/200.png")</f>
        <v/>
      </c>
      <c r="F118" s="24" t="str">
        <f t="shared" ref="F118:F119" si="46">IMAGE("https://www.serebii.net/pokedex-bw/type/ghost.gif")</f>
        <v/>
      </c>
      <c r="G118" s="24"/>
      <c r="H118" s="25" t="s">
        <v>229</v>
      </c>
      <c r="I118" s="26"/>
      <c r="J118" s="5"/>
      <c r="K118" s="27"/>
    </row>
    <row r="119" ht="47.25" customHeight="1">
      <c r="A119" s="22" t="b">
        <v>0</v>
      </c>
      <c r="B119" s="5"/>
      <c r="C119" s="23">
        <v>115.0</v>
      </c>
      <c r="D119" s="23" t="s">
        <v>230</v>
      </c>
      <c r="E119" s="24" t="str">
        <f>IMAGE("https://www.serebii.net/scarletviolet/pokemon/small/429.png")</f>
        <v/>
      </c>
      <c r="F119" s="24" t="str">
        <f t="shared" si="46"/>
        <v/>
      </c>
      <c r="G119" s="24"/>
      <c r="H119" s="25" t="s">
        <v>231</v>
      </c>
      <c r="I119" s="26"/>
      <c r="J119" s="5"/>
      <c r="K119" s="27"/>
    </row>
    <row r="120" ht="47.25" customHeight="1">
      <c r="A120" s="22" t="b">
        <v>0</v>
      </c>
      <c r="B120" s="5"/>
      <c r="C120" s="23">
        <v>116.0</v>
      </c>
      <c r="D120" s="23" t="s">
        <v>232</v>
      </c>
      <c r="E120" s="24" t="str">
        <f>IMAGE("https://www.serebii.net/scarletviolet/pokemon/small/296.png")</f>
        <v/>
      </c>
      <c r="F120" s="24" t="str">
        <f t="shared" ref="F120:F123" si="47">IMAGE("https://www.serebii.net/pokedex-bw/type/fighting.gif")</f>
        <v/>
      </c>
      <c r="G120" s="24"/>
      <c r="H120" s="25" t="s">
        <v>233</v>
      </c>
      <c r="I120" s="26"/>
      <c r="J120" s="5"/>
      <c r="K120" s="27"/>
    </row>
    <row r="121" ht="47.25" customHeight="1">
      <c r="A121" s="22" t="b">
        <v>0</v>
      </c>
      <c r="B121" s="5"/>
      <c r="C121" s="23">
        <v>117.0</v>
      </c>
      <c r="D121" s="23" t="s">
        <v>234</v>
      </c>
      <c r="E121" s="24" t="str">
        <f>IMAGE("https://www.serebii.net/scarletviolet/pokemon/small/297.png")</f>
        <v/>
      </c>
      <c r="F121" s="24" t="str">
        <f t="shared" si="47"/>
        <v/>
      </c>
      <c r="G121" s="24"/>
      <c r="H121" s="25" t="s">
        <v>235</v>
      </c>
      <c r="I121" s="26"/>
      <c r="J121" s="5"/>
      <c r="K121" s="27"/>
    </row>
    <row r="122" ht="47.25" customHeight="1">
      <c r="A122" s="22" t="b">
        <v>0</v>
      </c>
      <c r="B122" s="5"/>
      <c r="C122" s="23">
        <v>118.0</v>
      </c>
      <c r="D122" s="23" t="s">
        <v>236</v>
      </c>
      <c r="E122" s="24" t="str">
        <f>IMAGE("https://www.serebii.net/scarletviolet/pokemon/small/739.png")</f>
        <v/>
      </c>
      <c r="F122" s="24" t="str">
        <f t="shared" si="47"/>
        <v/>
      </c>
      <c r="G122" s="24"/>
      <c r="H122" s="25" t="s">
        <v>237</v>
      </c>
      <c r="I122" s="26"/>
      <c r="J122" s="5"/>
      <c r="K122" s="27"/>
    </row>
    <row r="123" ht="47.25" customHeight="1">
      <c r="A123" s="22" t="b">
        <v>0</v>
      </c>
      <c r="B123" s="5"/>
      <c r="C123" s="23">
        <v>119.0</v>
      </c>
      <c r="D123" s="23" t="s">
        <v>238</v>
      </c>
      <c r="E123" s="24" t="str">
        <f>IMAGE("https://www.serebii.net/scarletviolet/pokemon/small/740.png")</f>
        <v/>
      </c>
      <c r="F123" s="24" t="str">
        <f t="shared" si="47"/>
        <v/>
      </c>
      <c r="G123" s="24" t="str">
        <f>IMAGE("https://www.serebii.net/pokedex-bw/type/ice.gif")</f>
        <v/>
      </c>
      <c r="H123" s="25" t="s">
        <v>239</v>
      </c>
      <c r="I123" s="26"/>
      <c r="J123" s="5"/>
      <c r="K123" s="27"/>
    </row>
    <row r="124" ht="47.25" customHeight="1">
      <c r="A124" s="22" t="b">
        <v>0</v>
      </c>
      <c r="B124" s="5"/>
      <c r="C124" s="23">
        <v>120.0</v>
      </c>
      <c r="D124" s="23" t="s">
        <v>240</v>
      </c>
      <c r="E124" s="24" t="str">
        <f>IMAGE("https://www.serebii.net/scarletviolet/pokemon/small/757.png")</f>
        <v/>
      </c>
      <c r="F124" s="24" t="str">
        <f t="shared" ref="F124:F125" si="48">IMAGE("https://www.serebii.net/pokedex-bw/type/poison.gif")</f>
        <v/>
      </c>
      <c r="G124" s="24" t="str">
        <f t="shared" ref="G124:G125" si="49">IMAGE("https://www.serebii.net/pokedex-bw/type/fire.gif")</f>
        <v/>
      </c>
      <c r="H124" s="25" t="s">
        <v>241</v>
      </c>
      <c r="I124" s="26"/>
      <c r="J124" s="5"/>
      <c r="K124" s="27"/>
    </row>
    <row r="125" ht="47.25" customHeight="1">
      <c r="A125" s="22" t="b">
        <v>0</v>
      </c>
      <c r="B125" s="5"/>
      <c r="C125" s="23">
        <v>121.0</v>
      </c>
      <c r="D125" s="23" t="s">
        <v>242</v>
      </c>
      <c r="E125" s="24" t="str">
        <f>IMAGE("https://www.serebii.net/scarletviolet/pokemon/small/758.png")</f>
        <v/>
      </c>
      <c r="F125" s="24" t="str">
        <f t="shared" si="48"/>
        <v/>
      </c>
      <c r="G125" s="24" t="str">
        <f t="shared" si="49"/>
        <v/>
      </c>
      <c r="H125" s="25" t="s">
        <v>243</v>
      </c>
      <c r="I125" s="26"/>
      <c r="J125" s="5"/>
      <c r="K125" s="27"/>
    </row>
    <row r="126" ht="47.25" customHeight="1">
      <c r="A126" s="22" t="b">
        <v>0</v>
      </c>
      <c r="B126" s="5"/>
      <c r="C126" s="23">
        <v>122.0</v>
      </c>
      <c r="D126" s="23" t="s">
        <v>244</v>
      </c>
      <c r="E126" s="24" t="str">
        <f>IMAGE("https://www.serebii.net/scarletviolet/pokemon/small/231.png")</f>
        <v/>
      </c>
      <c r="F126" s="24" t="str">
        <f t="shared" ref="F126:F127" si="50">IMAGE("https://www.serebii.net/pokedex-bw/type/ground.gif")</f>
        <v/>
      </c>
      <c r="G126" s="24"/>
      <c r="H126" s="25" t="s">
        <v>245</v>
      </c>
      <c r="I126" s="26"/>
      <c r="J126" s="5"/>
      <c r="K126" s="27"/>
    </row>
    <row r="127" ht="47.25" customHeight="1">
      <c r="A127" s="22" t="b">
        <v>0</v>
      </c>
      <c r="B127" s="5"/>
      <c r="C127" s="23">
        <v>123.0</v>
      </c>
      <c r="D127" s="23" t="s">
        <v>246</v>
      </c>
      <c r="E127" s="24" t="str">
        <f>IMAGE("https://www.serebii.net/scarletviolet/pokemon/small/232.png")</f>
        <v/>
      </c>
      <c r="F127" s="24" t="str">
        <f t="shared" si="50"/>
        <v/>
      </c>
      <c r="G127" s="24"/>
      <c r="H127" s="25" t="s">
        <v>247</v>
      </c>
      <c r="I127" s="26"/>
      <c r="J127" s="5"/>
      <c r="K127" s="27"/>
    </row>
    <row r="128" ht="47.25" customHeight="1">
      <c r="A128" s="22" t="b">
        <v>0</v>
      </c>
      <c r="B128" s="5"/>
      <c r="C128" s="23">
        <v>124.0</v>
      </c>
      <c r="D128" s="23" t="s">
        <v>248</v>
      </c>
      <c r="E128" s="24" t="str">
        <f>IMAGE("https://www.serebii.net/scarletviolet/pokemon/small/878.png")</f>
        <v/>
      </c>
      <c r="F128" s="24" t="str">
        <f t="shared" ref="F128:F129" si="51">IMAGE("https://www.serebii.net/pokedex-bw/type/steel.gif")</f>
        <v/>
      </c>
      <c r="G128" s="24"/>
      <c r="H128" s="25" t="s">
        <v>184</v>
      </c>
      <c r="I128" s="26"/>
      <c r="J128" s="5"/>
      <c r="K128" s="27"/>
    </row>
    <row r="129" ht="47.25" customHeight="1">
      <c r="A129" s="22" t="b">
        <v>0</v>
      </c>
      <c r="B129" s="5"/>
      <c r="C129" s="23">
        <v>125.0</v>
      </c>
      <c r="D129" s="23" t="s">
        <v>249</v>
      </c>
      <c r="E129" s="24" t="str">
        <f>IMAGE("https://www.serebii.net/scarletviolet/pokemon/small/879.png")</f>
        <v/>
      </c>
      <c r="F129" s="24" t="str">
        <f t="shared" si="51"/>
        <v/>
      </c>
      <c r="G129" s="24"/>
      <c r="H129" s="25" t="s">
        <v>250</v>
      </c>
      <c r="I129" s="26"/>
      <c r="J129" s="5"/>
      <c r="K129" s="27"/>
    </row>
    <row r="130" ht="47.25" customHeight="1">
      <c r="A130" s="22" t="b">
        <v>0</v>
      </c>
      <c r="B130" s="5"/>
      <c r="C130" s="23">
        <v>126.0</v>
      </c>
      <c r="D130" s="23" t="s">
        <v>251</v>
      </c>
      <c r="E130" s="24" t="str">
        <f>IMAGE("https://www.serebii.net/scarletviolet/pokemon/small/443.png")</f>
        <v/>
      </c>
      <c r="F130" s="24" t="str">
        <f t="shared" ref="F130:F132" si="52">IMAGE("https://www.serebii.net/pokedex-bw/type/dragon.gif")</f>
        <v/>
      </c>
      <c r="G130" s="24" t="str">
        <f t="shared" ref="G130:G132" si="53">IMAGE("https://www.serebii.net/pokedex-bw/type/ground.gif")</f>
        <v/>
      </c>
      <c r="H130" s="25" t="s">
        <v>252</v>
      </c>
      <c r="I130" s="26"/>
      <c r="J130" s="5"/>
      <c r="K130" s="27"/>
    </row>
    <row r="131" ht="47.25" customHeight="1">
      <c r="A131" s="22" t="b">
        <v>0</v>
      </c>
      <c r="B131" s="5"/>
      <c r="C131" s="23">
        <v>127.0</v>
      </c>
      <c r="D131" s="23" t="s">
        <v>253</v>
      </c>
      <c r="E131" s="24" t="str">
        <f>IMAGE("https://www.serebii.net/scarletviolet/pokemon/small/444.png")</f>
        <v/>
      </c>
      <c r="F131" s="24" t="str">
        <f t="shared" si="52"/>
        <v/>
      </c>
      <c r="G131" s="24" t="str">
        <f t="shared" si="53"/>
        <v/>
      </c>
      <c r="H131" s="25" t="s">
        <v>254</v>
      </c>
      <c r="I131" s="26"/>
      <c r="J131" s="5"/>
      <c r="K131" s="27"/>
    </row>
    <row r="132" ht="47.25" customHeight="1">
      <c r="A132" s="22" t="b">
        <v>0</v>
      </c>
      <c r="B132" s="5"/>
      <c r="C132" s="23">
        <v>128.0</v>
      </c>
      <c r="D132" s="23" t="s">
        <v>255</v>
      </c>
      <c r="E132" s="24" t="str">
        <f>IMAGE("https://www.serebii.net/scarletviolet/pokemon/small/445.png")</f>
        <v/>
      </c>
      <c r="F132" s="24" t="str">
        <f t="shared" si="52"/>
        <v/>
      </c>
      <c r="G132" s="24" t="str">
        <f t="shared" si="53"/>
        <v/>
      </c>
      <c r="H132" s="25" t="s">
        <v>256</v>
      </c>
      <c r="I132" s="26"/>
      <c r="J132" s="5"/>
      <c r="K132" s="27"/>
    </row>
    <row r="133" ht="47.25" customHeight="1">
      <c r="A133" s="22" t="b">
        <v>0</v>
      </c>
      <c r="B133" s="5"/>
      <c r="C133" s="23">
        <v>129.0</v>
      </c>
      <c r="D133" s="23" t="s">
        <v>257</v>
      </c>
      <c r="E133" s="24" t="str">
        <f>IMAGE("https://www.serebii.net/scarletviolet/pokemon/small/963.png")</f>
        <v/>
      </c>
      <c r="F133" s="24" t="str">
        <f t="shared" ref="F133:F135" si="54">IMAGE("https://www.serebii.net/pokedex-bw/type/rock.gif")</f>
        <v/>
      </c>
      <c r="G133" s="24"/>
      <c r="H133" s="25" t="s">
        <v>258</v>
      </c>
      <c r="I133" s="26"/>
      <c r="J133" s="5"/>
      <c r="K133" s="27"/>
    </row>
    <row r="134" ht="47.25" customHeight="1">
      <c r="A134" s="22" t="b">
        <v>0</v>
      </c>
      <c r="B134" s="5"/>
      <c r="C134" s="23">
        <v>130.0</v>
      </c>
      <c r="D134" s="23" t="s">
        <v>259</v>
      </c>
      <c r="E134" s="24" t="str">
        <f>IMAGE("https://www.serebii.net/scarletviolet/pokemon/small/964.png")</f>
        <v/>
      </c>
      <c r="F134" s="24" t="str">
        <f t="shared" si="54"/>
        <v/>
      </c>
      <c r="G134" s="24"/>
      <c r="H134" s="25" t="s">
        <v>260</v>
      </c>
      <c r="I134" s="26"/>
      <c r="J134" s="5"/>
      <c r="K134" s="27"/>
    </row>
    <row r="135" ht="47.25" customHeight="1">
      <c r="A135" s="22" t="b">
        <v>0</v>
      </c>
      <c r="B135" s="5"/>
      <c r="C135" s="23">
        <v>131.0</v>
      </c>
      <c r="D135" s="23" t="s">
        <v>261</v>
      </c>
      <c r="E135" s="24" t="str">
        <f>IMAGE("https://www.serebii.net/scarletviolet/pokemon/small/965.png")</f>
        <v/>
      </c>
      <c r="F135" s="24" t="str">
        <f t="shared" si="54"/>
        <v/>
      </c>
      <c r="G135" s="24"/>
      <c r="H135" s="25" t="s">
        <v>262</v>
      </c>
      <c r="I135" s="26"/>
      <c r="J135" s="5"/>
      <c r="K135" s="27"/>
    </row>
    <row r="136" ht="47.25" customHeight="1">
      <c r="A136" s="22" t="b">
        <v>0</v>
      </c>
      <c r="B136" s="5"/>
      <c r="C136" s="23">
        <v>132.0</v>
      </c>
      <c r="D136" s="23" t="s">
        <v>263</v>
      </c>
      <c r="E136" s="24" t="str">
        <f>IMAGE("https://www.serebii.net/scarletviolet/pokemon/small/278.png")</f>
        <v/>
      </c>
      <c r="F136" s="24" t="str">
        <f t="shared" ref="F136:F142" si="55">IMAGE("https://www.serebii.net/pokedex-bw/type/water.gif")</f>
        <v/>
      </c>
      <c r="G136" s="24" t="str">
        <f t="shared" ref="G136:G137" si="56">IMAGE("https://www.serebii.net/pokedex-bw/type/flying.gif")</f>
        <v/>
      </c>
      <c r="H136" s="25" t="s">
        <v>264</v>
      </c>
      <c r="I136" s="26"/>
      <c r="J136" s="5"/>
      <c r="K136" s="27"/>
    </row>
    <row r="137" ht="47.25" customHeight="1">
      <c r="A137" s="22" t="b">
        <v>0</v>
      </c>
      <c r="B137" s="5"/>
      <c r="C137" s="23">
        <v>133.0</v>
      </c>
      <c r="D137" s="23" t="s">
        <v>265</v>
      </c>
      <c r="E137" s="24" t="str">
        <f>IMAGE("https://www.serebii.net/scarletviolet/pokemon/small/279.png")</f>
        <v/>
      </c>
      <c r="F137" s="24" t="str">
        <f t="shared" si="55"/>
        <v/>
      </c>
      <c r="G137" s="24" t="str">
        <f t="shared" si="56"/>
        <v/>
      </c>
      <c r="H137" s="25" t="s">
        <v>266</v>
      </c>
      <c r="I137" s="26"/>
      <c r="J137" s="5"/>
      <c r="K137" s="27"/>
    </row>
    <row r="138" ht="47.25" customHeight="1">
      <c r="A138" s="22" t="b">
        <v>0</v>
      </c>
      <c r="B138" s="5"/>
      <c r="C138" s="23">
        <v>134.0</v>
      </c>
      <c r="D138" s="23" t="s">
        <v>267</v>
      </c>
      <c r="E138" s="24" t="str">
        <f>IMAGE("https://www.serebii.net/scarletviolet/pokemon/small/129.png")</f>
        <v/>
      </c>
      <c r="F138" s="24" t="str">
        <f t="shared" si="55"/>
        <v/>
      </c>
      <c r="G138" s="24"/>
      <c r="H138" s="25" t="s">
        <v>268</v>
      </c>
      <c r="I138" s="26"/>
      <c r="J138" s="5"/>
      <c r="K138" s="27"/>
    </row>
    <row r="139" ht="47.25" customHeight="1">
      <c r="A139" s="22" t="b">
        <v>0</v>
      </c>
      <c r="B139" s="5"/>
      <c r="C139" s="23">
        <v>135.0</v>
      </c>
      <c r="D139" s="23" t="s">
        <v>269</v>
      </c>
      <c r="E139" s="24" t="str">
        <f>IMAGE("https://www.serebii.net/scarletviolet/pokemon/small/130.png")</f>
        <v/>
      </c>
      <c r="F139" s="24" t="str">
        <f t="shared" si="55"/>
        <v/>
      </c>
      <c r="G139" s="24" t="str">
        <f>IMAGE("https://www.serebii.net/pokedex-bw/type/flying.gif")</f>
        <v/>
      </c>
      <c r="H139" s="25" t="s">
        <v>270</v>
      </c>
      <c r="I139" s="26"/>
      <c r="J139" s="5"/>
      <c r="K139" s="27"/>
    </row>
    <row r="140" ht="47.25" customHeight="1">
      <c r="A140" s="22" t="b">
        <v>0</v>
      </c>
      <c r="B140" s="5"/>
      <c r="C140" s="23">
        <v>136.0</v>
      </c>
      <c r="D140" s="23" t="s">
        <v>271</v>
      </c>
      <c r="E140" s="24" t="str">
        <f>IMAGE("https://www.serebii.net/scarletviolet/pokemon/small/846.png")</f>
        <v/>
      </c>
      <c r="F140" s="24" t="str">
        <f t="shared" si="55"/>
        <v/>
      </c>
      <c r="G140" s="24"/>
      <c r="H140" s="25" t="s">
        <v>272</v>
      </c>
      <c r="I140" s="26"/>
      <c r="J140" s="5"/>
      <c r="K140" s="27"/>
    </row>
    <row r="141" ht="47.25" customHeight="1">
      <c r="A141" s="22" t="b">
        <v>0</v>
      </c>
      <c r="B141" s="5"/>
      <c r="C141" s="23">
        <v>137.0</v>
      </c>
      <c r="D141" s="23" t="s">
        <v>273</v>
      </c>
      <c r="E141" s="24" t="str">
        <f>IMAGE("https://www.serebii.net/scarletviolet/pokemon/small/847.png")</f>
        <v/>
      </c>
      <c r="F141" s="24" t="str">
        <f t="shared" si="55"/>
        <v/>
      </c>
      <c r="G141" s="24"/>
      <c r="H141" s="25" t="s">
        <v>274</v>
      </c>
      <c r="I141" s="26"/>
      <c r="J141" s="5"/>
      <c r="K141" s="27"/>
    </row>
    <row r="142" ht="47.25" customHeight="1">
      <c r="A142" s="22" t="b">
        <v>0</v>
      </c>
      <c r="B142" s="5"/>
      <c r="C142" s="23">
        <v>138.0</v>
      </c>
      <c r="D142" s="23" t="s">
        <v>275</v>
      </c>
      <c r="E142" s="24" t="str">
        <f>IMAGE("https://www.serebii.net/scarletviolet/pokemon/small/550.png")</f>
        <v/>
      </c>
      <c r="F142" s="24" t="str">
        <f t="shared" si="55"/>
        <v/>
      </c>
      <c r="G142" s="24"/>
      <c r="H142" s="25" t="s">
        <v>276</v>
      </c>
      <c r="I142" s="26"/>
      <c r="J142" s="5"/>
      <c r="K142" s="27"/>
    </row>
    <row r="143" ht="47.25" customHeight="1">
      <c r="A143" s="22" t="b">
        <v>0</v>
      </c>
      <c r="B143" s="5"/>
      <c r="C143" s="23">
        <v>139.0</v>
      </c>
      <c r="D143" s="23" t="s">
        <v>277</v>
      </c>
      <c r="E143" s="24" t="str">
        <f>IMAGE("https://www.serebii.net/scarletviolet/pokemon/small/316.png")</f>
        <v/>
      </c>
      <c r="F143" s="24" t="str">
        <f t="shared" ref="F143:F144" si="57">IMAGE("https://www.serebii.net/pokedex-bw/type/poison.gif")</f>
        <v/>
      </c>
      <c r="G143" s="24"/>
      <c r="H143" s="25" t="s">
        <v>278</v>
      </c>
      <c r="I143" s="26"/>
      <c r="J143" s="5"/>
      <c r="K143" s="27"/>
    </row>
    <row r="144" ht="47.25" customHeight="1">
      <c r="A144" s="22" t="b">
        <v>0</v>
      </c>
      <c r="B144" s="5"/>
      <c r="C144" s="23">
        <v>140.0</v>
      </c>
      <c r="D144" s="23" t="s">
        <v>279</v>
      </c>
      <c r="E144" s="24" t="str">
        <f>IMAGE("https://www.serebii.net/scarletviolet/pokemon/small/317.png")</f>
        <v/>
      </c>
      <c r="F144" s="24" t="str">
        <f t="shared" si="57"/>
        <v/>
      </c>
      <c r="G144" s="24"/>
      <c r="H144" s="25" t="s">
        <v>280</v>
      </c>
      <c r="I144" s="26"/>
      <c r="J144" s="5"/>
      <c r="K144" s="27"/>
    </row>
    <row r="145" ht="47.25" customHeight="1">
      <c r="A145" s="22" t="b">
        <v>0</v>
      </c>
      <c r="B145" s="5"/>
      <c r="C145" s="23">
        <v>141.0</v>
      </c>
      <c r="D145" s="23" t="s">
        <v>281</v>
      </c>
      <c r="E145" s="24" t="str">
        <f>IMAGE("https://www.serebii.net/scarletviolet/pokemon/small/052.png")</f>
        <v/>
      </c>
      <c r="F145" s="24" t="str">
        <f t="shared" ref="F145:F146" si="58">IMAGE("https://www.serebii.net/pokedex-bw/type/normal.gif")</f>
        <v/>
      </c>
      <c r="G145" s="24"/>
      <c r="H145" s="25" t="s">
        <v>282</v>
      </c>
      <c r="I145" s="26"/>
      <c r="J145" s="5"/>
      <c r="K145" s="27"/>
    </row>
    <row r="146" ht="47.25" customHeight="1">
      <c r="A146" s="22" t="b">
        <v>0</v>
      </c>
      <c r="B146" s="5"/>
      <c r="C146" s="23">
        <v>142.0</v>
      </c>
      <c r="D146" s="23" t="s">
        <v>283</v>
      </c>
      <c r="E146" s="24" t="str">
        <f>IMAGE("https://www.serebii.net/scarletviolet/pokemon/small/053.png")</f>
        <v/>
      </c>
      <c r="F146" s="24" t="str">
        <f t="shared" si="58"/>
        <v/>
      </c>
      <c r="G146" s="24"/>
      <c r="H146" s="25" t="s">
        <v>284</v>
      </c>
      <c r="I146" s="26"/>
      <c r="J146" s="5"/>
      <c r="K146" s="27"/>
    </row>
    <row r="147" ht="47.25" customHeight="1">
      <c r="A147" s="22" t="b">
        <v>0</v>
      </c>
      <c r="B147" s="5"/>
      <c r="C147" s="23">
        <v>143.0</v>
      </c>
      <c r="D147" s="23" t="s">
        <v>285</v>
      </c>
      <c r="E147" s="24" t="str">
        <f>IMAGE("https://www.serebii.net/scarletviolet/pokemon/small/425.png")</f>
        <v/>
      </c>
      <c r="F147" s="24" t="str">
        <f t="shared" ref="F147:F148" si="59">IMAGE("https://www.serebii.net/pokedex-bw/type/ghost.gif")</f>
        <v/>
      </c>
      <c r="G147" s="24" t="str">
        <f t="shared" ref="G147:G148" si="60">IMAGE("https://www.serebii.net/pokedex-bw/type/flying.gif")</f>
        <v/>
      </c>
      <c r="H147" s="25" t="s">
        <v>286</v>
      </c>
      <c r="I147" s="26"/>
      <c r="J147" s="5"/>
      <c r="K147" s="27"/>
    </row>
    <row r="148" ht="47.25" customHeight="1">
      <c r="A148" s="22" t="b">
        <v>0</v>
      </c>
      <c r="B148" s="5"/>
      <c r="C148" s="23">
        <v>144.0</v>
      </c>
      <c r="D148" s="23" t="s">
        <v>287</v>
      </c>
      <c r="E148" s="24" t="str">
        <f>IMAGE("https://www.serebii.net/scarletviolet/pokemon/small/426.png")</f>
        <v/>
      </c>
      <c r="F148" s="24" t="str">
        <f t="shared" si="59"/>
        <v/>
      </c>
      <c r="G148" s="24" t="str">
        <f t="shared" si="60"/>
        <v/>
      </c>
      <c r="H148" s="25" t="s">
        <v>288</v>
      </c>
      <c r="I148" s="26"/>
      <c r="J148" s="5"/>
      <c r="K148" s="27"/>
    </row>
    <row r="149" ht="47.25" customHeight="1">
      <c r="A149" s="22" t="b">
        <v>0</v>
      </c>
      <c r="B149" s="5"/>
      <c r="C149" s="23">
        <v>145.0</v>
      </c>
      <c r="D149" s="23" t="s">
        <v>289</v>
      </c>
      <c r="E149" s="24" t="str">
        <f>IMAGE("https://www.serebii.net/scarletviolet/pokemon/small/669.png")</f>
        <v/>
      </c>
      <c r="F149" s="24" t="str">
        <f t="shared" ref="F149:F151" si="61">IMAGE("https://www.serebii.net/pokedex-bw/type/fairy.gif")</f>
        <v/>
      </c>
      <c r="G149" s="24"/>
      <c r="H149" s="25" t="s">
        <v>290</v>
      </c>
      <c r="I149" s="26"/>
      <c r="J149" s="5"/>
      <c r="K149" s="27"/>
    </row>
    <row r="150" ht="47.25" customHeight="1">
      <c r="A150" s="22" t="b">
        <v>0</v>
      </c>
      <c r="B150" s="5"/>
      <c r="C150" s="23">
        <v>146.0</v>
      </c>
      <c r="D150" s="23" t="s">
        <v>291</v>
      </c>
      <c r="E150" s="24" t="str">
        <f>IMAGE("https://www.serebii.net/scarletviolet/pokemon/small/670.png")</f>
        <v/>
      </c>
      <c r="F150" s="24" t="str">
        <f t="shared" si="61"/>
        <v/>
      </c>
      <c r="G150" s="24"/>
      <c r="H150" s="25" t="s">
        <v>292</v>
      </c>
      <c r="I150" s="26"/>
      <c r="J150" s="5"/>
      <c r="K150" s="27"/>
    </row>
    <row r="151" ht="47.25" customHeight="1">
      <c r="A151" s="22" t="b">
        <v>0</v>
      </c>
      <c r="B151" s="5"/>
      <c r="C151" s="23">
        <v>147.0</v>
      </c>
      <c r="D151" s="23" t="s">
        <v>293</v>
      </c>
      <c r="E151" s="24" t="str">
        <f>IMAGE("https://www.serebii.net/scarletviolet/pokemon/small/671.png")</f>
        <v/>
      </c>
      <c r="F151" s="24" t="str">
        <f t="shared" si="61"/>
        <v/>
      </c>
      <c r="G151" s="24"/>
      <c r="H151" s="25" t="s">
        <v>294</v>
      </c>
      <c r="I151" s="26"/>
      <c r="J151" s="5"/>
      <c r="K151" s="27"/>
    </row>
    <row r="152" ht="47.25" customHeight="1">
      <c r="A152" s="22" t="b">
        <v>0</v>
      </c>
      <c r="B152" s="5"/>
      <c r="C152" s="23">
        <v>148.0</v>
      </c>
      <c r="D152" s="23" t="s">
        <v>295</v>
      </c>
      <c r="E152" s="24" t="str">
        <f>IMAGE("https://www.serebii.net/scarletviolet/pokemon/small/050.png")</f>
        <v/>
      </c>
      <c r="F152" s="24" t="str">
        <f t="shared" ref="F152:F153" si="62">IMAGE("https://www.serebii.net/pokedex-bw/type/ground.gif")</f>
        <v/>
      </c>
      <c r="G152" s="24"/>
      <c r="H152" s="25" t="s">
        <v>296</v>
      </c>
      <c r="I152" s="26"/>
      <c r="J152" s="5"/>
      <c r="K152" s="27"/>
    </row>
    <row r="153" ht="47.25" customHeight="1">
      <c r="A153" s="22" t="b">
        <v>0</v>
      </c>
      <c r="B153" s="5"/>
      <c r="C153" s="23">
        <v>149.0</v>
      </c>
      <c r="D153" s="23" t="s">
        <v>297</v>
      </c>
      <c r="E153" s="24" t="str">
        <f>IMAGE("https://www.serebii.net/scarletviolet/pokemon/small/051.png")</f>
        <v/>
      </c>
      <c r="F153" s="24" t="str">
        <f t="shared" si="62"/>
        <v/>
      </c>
      <c r="G153" s="24"/>
      <c r="H153" s="25" t="s">
        <v>298</v>
      </c>
      <c r="I153" s="26"/>
      <c r="J153" s="5"/>
      <c r="K153" s="27"/>
    </row>
    <row r="154" ht="47.25" customHeight="1">
      <c r="A154" s="22" t="b">
        <v>0</v>
      </c>
      <c r="B154" s="5"/>
      <c r="C154" s="23">
        <v>150.0</v>
      </c>
      <c r="D154" s="23" t="s">
        <v>299</v>
      </c>
      <c r="E154" s="24" t="str">
        <f>IMAGE("https://www.serebii.net/scarletviolet/pokemon/small/324.png")</f>
        <v/>
      </c>
      <c r="F154" s="24" t="str">
        <f t="shared" ref="F154:F156" si="63">IMAGE("https://www.serebii.net/pokedex-bw/type/fire.gif")</f>
        <v/>
      </c>
      <c r="G154" s="24"/>
      <c r="H154" s="25" t="s">
        <v>300</v>
      </c>
      <c r="I154" s="26"/>
      <c r="J154" s="5"/>
      <c r="K154" s="27"/>
    </row>
    <row r="155" ht="47.25" customHeight="1">
      <c r="A155" s="22" t="b">
        <v>0</v>
      </c>
      <c r="B155" s="5"/>
      <c r="C155" s="23">
        <v>151.0</v>
      </c>
      <c r="D155" s="23" t="s">
        <v>301</v>
      </c>
      <c r="E155" s="24" t="str">
        <f>IMAGE("https://www.serebii.net/scarletviolet/pokemon/small/322.png")</f>
        <v/>
      </c>
      <c r="F155" s="24" t="str">
        <f t="shared" si="63"/>
        <v/>
      </c>
      <c r="G155" s="24" t="str">
        <f t="shared" ref="G155:G156" si="64">IMAGE("https://www.serebii.net/pokedex-bw/type/ground.gif")</f>
        <v/>
      </c>
      <c r="H155" s="25" t="s">
        <v>302</v>
      </c>
      <c r="I155" s="26"/>
      <c r="J155" s="5"/>
      <c r="K155" s="27"/>
    </row>
    <row r="156" ht="47.25" customHeight="1">
      <c r="A156" s="22" t="b">
        <v>0</v>
      </c>
      <c r="B156" s="5"/>
      <c r="C156" s="23">
        <v>152.0</v>
      </c>
      <c r="D156" s="23" t="s">
        <v>303</v>
      </c>
      <c r="E156" s="24" t="str">
        <f>IMAGE("https://www.serebii.net/scarletviolet/pokemon/small/323.png")</f>
        <v/>
      </c>
      <c r="F156" s="24" t="str">
        <f t="shared" si="63"/>
        <v/>
      </c>
      <c r="G156" s="24" t="str">
        <f t="shared" si="64"/>
        <v/>
      </c>
      <c r="H156" s="25" t="s">
        <v>304</v>
      </c>
      <c r="I156" s="26"/>
      <c r="J156" s="5"/>
      <c r="K156" s="27"/>
    </row>
    <row r="157" ht="47.25" customHeight="1">
      <c r="A157" s="22" t="b">
        <v>0</v>
      </c>
      <c r="B157" s="5"/>
      <c r="C157" s="23">
        <v>153.0</v>
      </c>
      <c r="D157" s="23" t="s">
        <v>305</v>
      </c>
      <c r="E157" s="24" t="str">
        <f>IMAGE("https://www.serebii.net/scarletviolet/pokemon/small/436.png")</f>
        <v/>
      </c>
      <c r="F157" s="24" t="str">
        <f t="shared" ref="F157:F158" si="65">IMAGE("https://www.serebii.net/pokedex-bw/type/steel.gif")</f>
        <v/>
      </c>
      <c r="G157" s="24" t="str">
        <f t="shared" ref="G157:G158" si="66">IMAGE("https://www.serebii.net/pokedex-bw/type/psychic.gif")</f>
        <v/>
      </c>
      <c r="H157" s="25" t="s">
        <v>306</v>
      </c>
      <c r="I157" s="26"/>
      <c r="J157" s="5"/>
      <c r="K157" s="27"/>
    </row>
    <row r="158" ht="47.25" customHeight="1">
      <c r="A158" s="22" t="b">
        <v>0</v>
      </c>
      <c r="B158" s="5"/>
      <c r="C158" s="23">
        <v>154.0</v>
      </c>
      <c r="D158" s="23" t="s">
        <v>307</v>
      </c>
      <c r="E158" s="24" t="str">
        <f>IMAGE("https://www.serebii.net/scarletviolet/pokemon/small/437.png")</f>
        <v/>
      </c>
      <c r="F158" s="24" t="str">
        <f t="shared" si="65"/>
        <v/>
      </c>
      <c r="G158" s="24" t="str">
        <f t="shared" si="66"/>
        <v/>
      </c>
      <c r="H158" s="25" t="s">
        <v>308</v>
      </c>
      <c r="I158" s="26"/>
      <c r="J158" s="5"/>
      <c r="K158" s="27"/>
    </row>
    <row r="159" ht="47.25" customHeight="1">
      <c r="A159" s="22" t="b">
        <v>0</v>
      </c>
      <c r="B159" s="5"/>
      <c r="C159" s="23">
        <v>155.0</v>
      </c>
      <c r="D159" s="23" t="s">
        <v>309</v>
      </c>
      <c r="E159" s="24" t="str">
        <f>IMAGE("https://www.serebii.net/scarletviolet/pokemon/small/610.png")</f>
        <v/>
      </c>
      <c r="F159" s="24" t="str">
        <f t="shared" ref="F159:F161" si="67">IMAGE("https://www.serebii.net/pokedex-bw/type/dragon.gif")</f>
        <v/>
      </c>
      <c r="G159" s="24"/>
      <c r="H159" s="25" t="s">
        <v>310</v>
      </c>
      <c r="I159" s="26"/>
      <c r="J159" s="5"/>
      <c r="K159" s="27"/>
    </row>
    <row r="160" ht="47.25" customHeight="1">
      <c r="A160" s="22" t="b">
        <v>0</v>
      </c>
      <c r="B160" s="5"/>
      <c r="C160" s="23">
        <v>156.0</v>
      </c>
      <c r="D160" s="23" t="s">
        <v>311</v>
      </c>
      <c r="E160" s="24" t="str">
        <f>IMAGE("https://www.serebii.net/scarletviolet/pokemon/small/611.png")</f>
        <v/>
      </c>
      <c r="F160" s="24" t="str">
        <f t="shared" si="67"/>
        <v/>
      </c>
      <c r="G160" s="24"/>
      <c r="H160" s="25" t="s">
        <v>312</v>
      </c>
      <c r="I160" s="26"/>
      <c r="J160" s="5"/>
      <c r="K160" s="27"/>
    </row>
    <row r="161" ht="47.25" customHeight="1">
      <c r="A161" s="22" t="b">
        <v>0</v>
      </c>
      <c r="B161" s="5"/>
      <c r="C161" s="23">
        <v>157.0</v>
      </c>
      <c r="D161" s="23" t="s">
        <v>313</v>
      </c>
      <c r="E161" s="24" t="str">
        <f>IMAGE("https://www.serebii.net/scarletviolet/pokemon/small/612.png")</f>
        <v/>
      </c>
      <c r="F161" s="24" t="str">
        <f t="shared" si="67"/>
        <v/>
      </c>
      <c r="G161" s="24"/>
      <c r="H161" s="25" t="s">
        <v>314</v>
      </c>
      <c r="I161" s="26"/>
      <c r="J161" s="5"/>
      <c r="K161" s="27"/>
    </row>
    <row r="162" ht="47.25" customHeight="1">
      <c r="A162" s="22" t="b">
        <v>0</v>
      </c>
      <c r="B162" s="5"/>
      <c r="C162" s="23">
        <v>158.0</v>
      </c>
      <c r="D162" s="23" t="s">
        <v>315</v>
      </c>
      <c r="E162" s="24" t="str">
        <f>IMAGE("https://www.serebii.net/scarletviolet/pokemon/small/056.png")</f>
        <v/>
      </c>
      <c r="F162" s="24" t="str">
        <f t="shared" ref="F162:F168" si="68">IMAGE("https://www.serebii.net/pokedex-bw/type/fighting.gif")</f>
        <v/>
      </c>
      <c r="G162" s="24"/>
      <c r="H162" s="25" t="s">
        <v>316</v>
      </c>
      <c r="I162" s="26"/>
      <c r="J162" s="5"/>
      <c r="K162" s="27"/>
    </row>
    <row r="163" ht="47.25" customHeight="1">
      <c r="A163" s="22" t="b">
        <v>0</v>
      </c>
      <c r="B163" s="5"/>
      <c r="C163" s="23">
        <v>159.0</v>
      </c>
      <c r="D163" s="23" t="s">
        <v>317</v>
      </c>
      <c r="E163" s="24" t="str">
        <f>IMAGE("https://www.serebii.net/scarletviolet/pokemon/small/057.png")</f>
        <v/>
      </c>
      <c r="F163" s="24" t="str">
        <f t="shared" si="68"/>
        <v/>
      </c>
      <c r="G163" s="24"/>
      <c r="H163" s="25" t="s">
        <v>318</v>
      </c>
      <c r="I163" s="26"/>
      <c r="J163" s="5"/>
      <c r="K163" s="27"/>
    </row>
    <row r="164" ht="47.25" customHeight="1">
      <c r="A164" s="22" t="b">
        <v>0</v>
      </c>
      <c r="B164" s="5"/>
      <c r="C164" s="23">
        <v>160.0</v>
      </c>
      <c r="D164" s="23" t="s">
        <v>319</v>
      </c>
      <c r="E164" s="24" t="str">
        <f>IMAGE("https://www.serebii.net/scarletviolet/pokemon/small/1010.png")</f>
        <v/>
      </c>
      <c r="F164" s="24" t="str">
        <f t="shared" si="68"/>
        <v/>
      </c>
      <c r="G164" s="24" t="str">
        <f>IMAGE("https://www.serebii.net/pokedex-bw/type/ghost.gif")</f>
        <v/>
      </c>
      <c r="H164" s="25" t="s">
        <v>320</v>
      </c>
      <c r="I164" s="26"/>
      <c r="J164" s="5"/>
      <c r="K164" s="27"/>
    </row>
    <row r="165" ht="47.25" customHeight="1">
      <c r="A165" s="22" t="b">
        <v>0</v>
      </c>
      <c r="B165" s="5"/>
      <c r="C165" s="23">
        <v>161.0</v>
      </c>
      <c r="D165" s="23" t="s">
        <v>321</v>
      </c>
      <c r="E165" s="24" t="str">
        <f>IMAGE("https://www.serebii.net/scarletviolet/pokemon/small/307.png")</f>
        <v/>
      </c>
      <c r="F165" s="24" t="str">
        <f t="shared" si="68"/>
        <v/>
      </c>
      <c r="G165" s="24" t="str">
        <f t="shared" ref="G165:G166" si="69">IMAGE("https://www.serebii.net/pokedex-bw/type/psychic.gif")</f>
        <v/>
      </c>
      <c r="H165" s="25" t="s">
        <v>322</v>
      </c>
      <c r="I165" s="26"/>
      <c r="J165" s="5"/>
      <c r="K165" s="27"/>
    </row>
    <row r="166" ht="47.25" customHeight="1">
      <c r="A166" s="22" t="b">
        <v>0</v>
      </c>
      <c r="B166" s="5"/>
      <c r="C166" s="23">
        <v>162.0</v>
      </c>
      <c r="D166" s="23" t="s">
        <v>323</v>
      </c>
      <c r="E166" s="24" t="str">
        <f>IMAGE("https://www.serebii.net/scarletviolet/pokemon/small/308.png")</f>
        <v/>
      </c>
      <c r="F166" s="24" t="str">
        <f t="shared" si="68"/>
        <v/>
      </c>
      <c r="G166" s="24" t="str">
        <f t="shared" si="69"/>
        <v/>
      </c>
      <c r="H166" s="25" t="s">
        <v>324</v>
      </c>
      <c r="I166" s="26"/>
      <c r="J166" s="5"/>
      <c r="K166" s="27"/>
    </row>
    <row r="167" ht="47.25" customHeight="1">
      <c r="A167" s="22" t="b">
        <v>0</v>
      </c>
      <c r="B167" s="5"/>
      <c r="C167" s="23">
        <v>163.0</v>
      </c>
      <c r="D167" s="23" t="s">
        <v>325</v>
      </c>
      <c r="E167" s="24" t="str">
        <f>IMAGE("https://www.serebii.net/scarletviolet/pokemon/small/447.png")</f>
        <v/>
      </c>
      <c r="F167" s="24" t="str">
        <f t="shared" si="68"/>
        <v/>
      </c>
      <c r="G167" s="24"/>
      <c r="H167" s="25" t="s">
        <v>326</v>
      </c>
      <c r="I167" s="26"/>
      <c r="J167" s="5"/>
      <c r="K167" s="27"/>
    </row>
    <row r="168" ht="47.25" customHeight="1">
      <c r="A168" s="22" t="b">
        <v>0</v>
      </c>
      <c r="B168" s="5"/>
      <c r="C168" s="23">
        <v>164.0</v>
      </c>
      <c r="D168" s="23" t="s">
        <v>327</v>
      </c>
      <c r="E168" s="24" t="str">
        <f>IMAGE("https://www.serebii.net/scarletviolet/pokemon/small/448.png")</f>
        <v/>
      </c>
      <c r="F168" s="24" t="str">
        <f t="shared" si="68"/>
        <v/>
      </c>
      <c r="G168" s="24" t="str">
        <f>IMAGE("https://www.serebii.net/pokedex-bw/type/steel.gif")</f>
        <v/>
      </c>
      <c r="H168" s="25" t="s">
        <v>328</v>
      </c>
      <c r="I168" s="26"/>
      <c r="J168" s="5"/>
      <c r="K168" s="27"/>
    </row>
    <row r="169" ht="47.25" customHeight="1">
      <c r="A169" s="22" t="b">
        <v>0</v>
      </c>
      <c r="B169" s="5"/>
      <c r="C169" s="23">
        <v>165.0</v>
      </c>
      <c r="D169" s="23" t="s">
        <v>329</v>
      </c>
      <c r="E169" s="24" t="str">
        <f>IMAGE("https://www.serebii.net/scarletviolet/pokemon/small/1003.png")</f>
        <v/>
      </c>
      <c r="F169" s="24" t="str">
        <f t="shared" ref="F169:F171" si="70">IMAGE("https://www.serebii.net/pokedex-bw/type/fire.gif")</f>
        <v/>
      </c>
      <c r="G169" s="24"/>
      <c r="H169" s="25" t="s">
        <v>330</v>
      </c>
      <c r="I169" s="26"/>
      <c r="J169" s="5"/>
      <c r="K169" s="27"/>
    </row>
    <row r="170" ht="47.25" customHeight="1">
      <c r="A170" s="22" t="b">
        <v>0</v>
      </c>
      <c r="B170" s="5"/>
      <c r="C170" s="23">
        <v>166.0</v>
      </c>
      <c r="D170" s="23" t="s">
        <v>331</v>
      </c>
      <c r="E170" s="24" t="str">
        <f>IMAGE("https://www.serebii.net/scarletviolet/pokemon/small/1004.png")</f>
        <v/>
      </c>
      <c r="F170" s="24" t="str">
        <f t="shared" si="70"/>
        <v/>
      </c>
      <c r="G170" s="24" t="str">
        <f>IMAGE("https://www.serebii.net/pokedex-bw/type/psychic.gif")</f>
        <v/>
      </c>
      <c r="H170" s="25" t="s">
        <v>332</v>
      </c>
      <c r="I170" s="26"/>
      <c r="J170" s="5"/>
      <c r="K170" s="27"/>
    </row>
    <row r="171" ht="47.25" customHeight="1">
      <c r="A171" s="22" t="b">
        <v>0</v>
      </c>
      <c r="B171" s="5"/>
      <c r="C171" s="23">
        <v>167.0</v>
      </c>
      <c r="D171" s="23" t="s">
        <v>333</v>
      </c>
      <c r="E171" s="24" t="str">
        <f>IMAGE("https://www.serebii.net/scarletviolet/pokemon/small/1005.png")</f>
        <v/>
      </c>
      <c r="F171" s="24" t="str">
        <f t="shared" si="70"/>
        <v/>
      </c>
      <c r="G171" s="24" t="str">
        <f>IMAGE("https://www.serebii.net/pokedex-bw/type/ghost.gif")</f>
        <v/>
      </c>
      <c r="H171" s="25" t="s">
        <v>332</v>
      </c>
      <c r="I171" s="26"/>
      <c r="J171" s="5"/>
      <c r="K171" s="27"/>
    </row>
    <row r="172" ht="47.25" customHeight="1">
      <c r="A172" s="22" t="b">
        <v>0</v>
      </c>
      <c r="B172" s="5"/>
      <c r="C172" s="23">
        <v>168.0</v>
      </c>
      <c r="D172" s="23" t="s">
        <v>334</v>
      </c>
      <c r="E172" s="24" t="str">
        <f>IMAGE("https://www.serebii.net/scarletviolet/pokemon/small/339.png")</f>
        <v/>
      </c>
      <c r="F172" s="24" t="str">
        <f t="shared" ref="F172:F173" si="71">IMAGE("https://www.serebii.net/pokedex-bw/type/water.gif")</f>
        <v/>
      </c>
      <c r="G172" s="24" t="str">
        <f t="shared" ref="G172:G173" si="72">IMAGE("https://www.serebii.net/pokedex-bw/type/ground.gif")</f>
        <v/>
      </c>
      <c r="H172" s="25" t="s">
        <v>335</v>
      </c>
      <c r="I172" s="26"/>
      <c r="J172" s="5"/>
      <c r="K172" s="27"/>
    </row>
    <row r="173" ht="47.25" customHeight="1">
      <c r="A173" s="22" t="b">
        <v>0</v>
      </c>
      <c r="B173" s="5"/>
      <c r="C173" s="23">
        <v>169.0</v>
      </c>
      <c r="D173" s="23" t="s">
        <v>336</v>
      </c>
      <c r="E173" s="24" t="str">
        <f>IMAGE("https://www.serebii.net/scarletviolet/pokemon/small/340.png")</f>
        <v/>
      </c>
      <c r="F173" s="24" t="str">
        <f t="shared" si="71"/>
        <v/>
      </c>
      <c r="G173" s="24" t="str">
        <f t="shared" si="72"/>
        <v/>
      </c>
      <c r="H173" s="25" t="s">
        <v>337</v>
      </c>
      <c r="I173" s="26"/>
      <c r="J173" s="5"/>
      <c r="K173" s="27"/>
    </row>
    <row r="174" ht="47.25" customHeight="1">
      <c r="A174" s="22" t="b">
        <v>0</v>
      </c>
      <c r="B174" s="5"/>
      <c r="C174" s="23">
        <v>170.0</v>
      </c>
      <c r="D174" s="23" t="s">
        <v>338</v>
      </c>
      <c r="E174" s="24" t="str">
        <f>IMAGE("https://www.serebii.net/scarletviolet/pokemon/small/940.png")</f>
        <v/>
      </c>
      <c r="F174" s="24" t="str">
        <f t="shared" ref="F174:F175" si="73">IMAGE("https://www.serebii.net/pokedex-bw/type/electric.gif")</f>
        <v/>
      </c>
      <c r="G174" s="24"/>
      <c r="H174" s="25" t="s">
        <v>339</v>
      </c>
      <c r="I174" s="26"/>
      <c r="J174" s="5"/>
      <c r="K174" s="27"/>
    </row>
    <row r="175" ht="47.25" customHeight="1">
      <c r="A175" s="22" t="b">
        <v>0</v>
      </c>
      <c r="B175" s="5"/>
      <c r="C175" s="23">
        <v>171.0</v>
      </c>
      <c r="D175" s="23" t="s">
        <v>340</v>
      </c>
      <c r="E175" s="24" t="str">
        <f>IMAGE("https://www.serebii.net/scarletviolet/pokemon/small/941.png")</f>
        <v/>
      </c>
      <c r="F175" s="24" t="str">
        <f t="shared" si="73"/>
        <v/>
      </c>
      <c r="G175" s="24"/>
      <c r="H175" s="25" t="s">
        <v>341</v>
      </c>
      <c r="I175" s="26"/>
      <c r="J175" s="5"/>
      <c r="K175" s="27"/>
    </row>
    <row r="176" ht="47.25" customHeight="1">
      <c r="A176" s="22" t="b">
        <v>0</v>
      </c>
      <c r="B176" s="5"/>
      <c r="C176" s="23">
        <v>172.0</v>
      </c>
      <c r="D176" s="23" t="s">
        <v>342</v>
      </c>
      <c r="E176" s="24" t="str">
        <f>IMAGE("https://www.serebii.net/scarletviolet/pokemon/small/704.png")</f>
        <v/>
      </c>
      <c r="F176" s="24" t="str">
        <f t="shared" ref="F176:F178" si="74">IMAGE("https://www.serebii.net/pokedex-bw/type/dragon.gif")</f>
        <v/>
      </c>
      <c r="G176" s="24"/>
      <c r="H176" s="25" t="s">
        <v>343</v>
      </c>
      <c r="I176" s="26"/>
      <c r="J176" s="5"/>
      <c r="K176" s="27"/>
    </row>
    <row r="177" ht="47.25" customHeight="1">
      <c r="A177" s="22" t="b">
        <v>0</v>
      </c>
      <c r="B177" s="5"/>
      <c r="C177" s="23">
        <v>173.0</v>
      </c>
      <c r="D177" s="23" t="s">
        <v>344</v>
      </c>
      <c r="E177" s="24" t="str">
        <f>IMAGE("https://www.serebii.net/scarletviolet/pokemon/small/705.png")</f>
        <v/>
      </c>
      <c r="F177" s="24" t="str">
        <f t="shared" si="74"/>
        <v/>
      </c>
      <c r="G177" s="24"/>
      <c r="H177" s="25" t="s">
        <v>345</v>
      </c>
      <c r="I177" s="26"/>
      <c r="J177" s="5"/>
      <c r="K177" s="27"/>
    </row>
    <row r="178" ht="47.25" customHeight="1">
      <c r="A178" s="22" t="b">
        <v>0</v>
      </c>
      <c r="B178" s="5"/>
      <c r="C178" s="23">
        <v>174.0</v>
      </c>
      <c r="D178" s="23" t="s">
        <v>346</v>
      </c>
      <c r="E178" s="24" t="str">
        <f>IMAGE("https://www.serebii.net/scarletviolet/pokemon/small/706.png")</f>
        <v/>
      </c>
      <c r="F178" s="24" t="str">
        <f t="shared" si="74"/>
        <v/>
      </c>
      <c r="G178" s="24"/>
      <c r="H178" s="25" t="s">
        <v>347</v>
      </c>
      <c r="I178" s="26"/>
      <c r="J178" s="5"/>
      <c r="K178" s="27"/>
    </row>
    <row r="179" ht="47.25" customHeight="1">
      <c r="A179" s="22" t="b">
        <v>0</v>
      </c>
      <c r="B179" s="5"/>
      <c r="C179" s="23">
        <v>175.0</v>
      </c>
      <c r="D179" s="23" t="s">
        <v>348</v>
      </c>
      <c r="E179" s="24" t="str">
        <f>IMAGE("https://www.serebii.net/scarletviolet/pokemon/small/453.png")</f>
        <v/>
      </c>
      <c r="F179" s="24" t="str">
        <f t="shared" ref="F179:F180" si="75">IMAGE("https://www.serebii.net/pokedex-bw/type/poison.gif")</f>
        <v/>
      </c>
      <c r="G179" s="24" t="str">
        <f t="shared" ref="G179:G180" si="76">IMAGE("https://www.serebii.net/pokedex-bw/type/fighting.gif")</f>
        <v/>
      </c>
      <c r="H179" s="25" t="s">
        <v>349</v>
      </c>
      <c r="I179" s="26"/>
      <c r="J179" s="5"/>
      <c r="K179" s="27"/>
    </row>
    <row r="180" ht="47.25" customHeight="1">
      <c r="A180" s="22" t="b">
        <v>0</v>
      </c>
      <c r="B180" s="5"/>
      <c r="C180" s="23">
        <v>176.0</v>
      </c>
      <c r="D180" s="23" t="s">
        <v>350</v>
      </c>
      <c r="E180" s="24" t="str">
        <f>IMAGE("https://www.serebii.net/scarletviolet/pokemon/small/454.png")</f>
        <v/>
      </c>
      <c r="F180" s="24" t="str">
        <f t="shared" si="75"/>
        <v/>
      </c>
      <c r="G180" s="24" t="str">
        <f t="shared" si="76"/>
        <v/>
      </c>
      <c r="H180" s="25" t="s">
        <v>351</v>
      </c>
      <c r="I180" s="26"/>
      <c r="J180" s="5"/>
      <c r="K180" s="27"/>
    </row>
    <row r="181" ht="47.25" customHeight="1">
      <c r="A181" s="22" t="b">
        <v>0</v>
      </c>
      <c r="B181" s="5"/>
      <c r="C181" s="23">
        <v>177.0</v>
      </c>
      <c r="D181" s="23" t="s">
        <v>352</v>
      </c>
      <c r="E181" s="24" t="str">
        <f>IMAGE("https://www.serebii.net/scarletviolet/pokemon/small/957.png")</f>
        <v/>
      </c>
      <c r="F181" s="24" t="str">
        <f t="shared" ref="F181:F182" si="77">IMAGE("https://www.serebii.net/pokedex-bw/type/electric.gif")</f>
        <v/>
      </c>
      <c r="G181" s="24" t="str">
        <f t="shared" ref="G181:G182" si="78">IMAGE("https://www.serebii.net/pokedex-bw/type/flying.gif")</f>
        <v/>
      </c>
      <c r="H181" s="25" t="s">
        <v>353</v>
      </c>
      <c r="I181" s="26"/>
      <c r="J181" s="5"/>
      <c r="K181" s="27"/>
    </row>
    <row r="182" ht="47.25" customHeight="1">
      <c r="A182" s="22" t="b">
        <v>0</v>
      </c>
      <c r="B182" s="5"/>
      <c r="C182" s="23">
        <v>178.0</v>
      </c>
      <c r="D182" s="23" t="s">
        <v>354</v>
      </c>
      <c r="E182" s="24" t="str">
        <f>IMAGE("https://www.serebii.net/scarletviolet/pokemon/small/958.png")</f>
        <v/>
      </c>
      <c r="F182" s="24" t="str">
        <f t="shared" si="77"/>
        <v/>
      </c>
      <c r="G182" s="24" t="str">
        <f t="shared" si="78"/>
        <v/>
      </c>
      <c r="H182" s="25" t="s">
        <v>355</v>
      </c>
      <c r="I182" s="26"/>
      <c r="J182" s="5"/>
      <c r="K182" s="27"/>
    </row>
    <row r="183" ht="47.25" customHeight="1">
      <c r="A183" s="22" t="b">
        <v>0</v>
      </c>
      <c r="B183" s="5"/>
      <c r="C183" s="23">
        <v>179.0</v>
      </c>
      <c r="D183" s="23" t="s">
        <v>356</v>
      </c>
      <c r="E183" s="24" t="str">
        <f>IMAGE("https://www.serebii.net/scarletviolet/pokemon/small/133.png")</f>
        <v/>
      </c>
      <c r="F183" s="24" t="str">
        <f>IMAGE("https://www.serebii.net/pokedex-bw/type/normal.gif")</f>
        <v/>
      </c>
      <c r="G183" s="24"/>
      <c r="H183" s="25" t="s">
        <v>357</v>
      </c>
      <c r="I183" s="26"/>
      <c r="J183" s="5"/>
      <c r="K183" s="27"/>
    </row>
    <row r="184" ht="47.25" customHeight="1">
      <c r="A184" s="22" t="b">
        <v>0</v>
      </c>
      <c r="B184" s="5"/>
      <c r="C184" s="23">
        <v>180.0</v>
      </c>
      <c r="D184" s="23" t="s">
        <v>358</v>
      </c>
      <c r="E184" s="24" t="str">
        <f>IMAGE("https://www.serebii.net/scarletviolet/pokemon/small/134.png")</f>
        <v/>
      </c>
      <c r="F184" s="24" t="str">
        <f>IMAGE("https://www.serebii.net/pokedex-bw/type/water.gif")</f>
        <v/>
      </c>
      <c r="G184" s="24"/>
      <c r="H184" s="25" t="s">
        <v>359</v>
      </c>
      <c r="I184" s="26"/>
      <c r="J184" s="5"/>
      <c r="K184" s="27"/>
    </row>
    <row r="185" ht="47.25" customHeight="1">
      <c r="A185" s="22" t="b">
        <v>0</v>
      </c>
      <c r="B185" s="5"/>
      <c r="C185" s="23">
        <v>181.0</v>
      </c>
      <c r="D185" s="23" t="s">
        <v>360</v>
      </c>
      <c r="E185" s="24" t="str">
        <f>IMAGE("https://www.serebii.net/scarletviolet/pokemon/small/135.png")</f>
        <v/>
      </c>
      <c r="F185" s="24" t="str">
        <f>IMAGE("https://www.serebii.net/pokedex-bw/type/electric.gif")</f>
        <v/>
      </c>
      <c r="G185" s="24"/>
      <c r="H185" s="25" t="s">
        <v>361</v>
      </c>
      <c r="I185" s="26"/>
      <c r="J185" s="5"/>
      <c r="K185" s="27"/>
    </row>
    <row r="186" ht="47.25" customHeight="1">
      <c r="A186" s="22" t="b">
        <v>0</v>
      </c>
      <c r="B186" s="5"/>
      <c r="C186" s="23">
        <v>182.0</v>
      </c>
      <c r="D186" s="23" t="s">
        <v>362</v>
      </c>
      <c r="E186" s="24" t="str">
        <f>IMAGE("https://www.serebii.net/scarletviolet/pokemon/small/136.png")</f>
        <v/>
      </c>
      <c r="F186" s="24" t="str">
        <f>IMAGE("https://www.serebii.net/pokedex-bw/type/fire.gif")</f>
        <v/>
      </c>
      <c r="G186" s="24"/>
      <c r="H186" s="25" t="s">
        <v>363</v>
      </c>
      <c r="I186" s="26"/>
      <c r="J186" s="5"/>
      <c r="K186" s="27"/>
    </row>
    <row r="187" ht="47.25" customHeight="1">
      <c r="A187" s="22" t="b">
        <v>0</v>
      </c>
      <c r="B187" s="5"/>
      <c r="C187" s="23">
        <v>183.0</v>
      </c>
      <c r="D187" s="23" t="s">
        <v>364</v>
      </c>
      <c r="E187" s="24" t="str">
        <f>IMAGE("https://www.serebii.net/scarletviolet/pokemon/small/196.png")</f>
        <v/>
      </c>
      <c r="F187" s="24" t="str">
        <f>IMAGE("https://www.serebii.net/pokedex-bw/type/psychic.gif")</f>
        <v/>
      </c>
      <c r="G187" s="24"/>
      <c r="H187" s="25" t="s">
        <v>365</v>
      </c>
      <c r="I187" s="26"/>
      <c r="J187" s="5"/>
      <c r="K187" s="27"/>
    </row>
    <row r="188" ht="47.25" customHeight="1">
      <c r="A188" s="22" t="b">
        <v>0</v>
      </c>
      <c r="B188" s="5"/>
      <c r="C188" s="23">
        <v>184.0</v>
      </c>
      <c r="D188" s="23" t="s">
        <v>366</v>
      </c>
      <c r="E188" s="24" t="str">
        <f>IMAGE("https://www.serebii.net/scarletviolet/pokemon/small/197.png")</f>
        <v/>
      </c>
      <c r="F188" s="24" t="str">
        <f>IMAGE("https://www.serebii.net/pokedex-bw/type/dark.gif")</f>
        <v/>
      </c>
      <c r="G188" s="24"/>
      <c r="H188" s="25" t="s">
        <v>367</v>
      </c>
      <c r="I188" s="26"/>
      <c r="J188" s="5"/>
      <c r="K188" s="27"/>
    </row>
    <row r="189" ht="47.25" customHeight="1">
      <c r="A189" s="22" t="b">
        <v>0</v>
      </c>
      <c r="B189" s="5"/>
      <c r="C189" s="23">
        <v>185.0</v>
      </c>
      <c r="D189" s="23" t="s">
        <v>368</v>
      </c>
      <c r="E189" s="24" t="str">
        <f>IMAGE("https://www.serebii.net/scarletviolet/pokemon/small/470.png")</f>
        <v/>
      </c>
      <c r="F189" s="24" t="str">
        <f>IMAGE("https://www.serebii.net/pokedex-bw/type/grass.gif")</f>
        <v/>
      </c>
      <c r="G189" s="24"/>
      <c r="H189" s="25" t="s">
        <v>369</v>
      </c>
      <c r="I189" s="26"/>
      <c r="J189" s="5"/>
      <c r="K189" s="27"/>
    </row>
    <row r="190" ht="47.25" customHeight="1">
      <c r="A190" s="22" t="b">
        <v>0</v>
      </c>
      <c r="B190" s="5"/>
      <c r="C190" s="23">
        <v>186.0</v>
      </c>
      <c r="D190" s="23" t="s">
        <v>370</v>
      </c>
      <c r="E190" s="24" t="str">
        <f>IMAGE("https://www.serebii.net/scarletviolet/pokemon/small/471.png")</f>
        <v/>
      </c>
      <c r="F190" s="24" t="str">
        <f>IMAGE("https://www.serebii.net/pokedex-bw/type/ice.gif")</f>
        <v/>
      </c>
      <c r="G190" s="24"/>
      <c r="H190" s="25" t="s">
        <v>371</v>
      </c>
      <c r="I190" s="26"/>
      <c r="J190" s="5"/>
      <c r="K190" s="27"/>
    </row>
    <row r="191" ht="47.25" customHeight="1">
      <c r="A191" s="22" t="b">
        <v>0</v>
      </c>
      <c r="B191" s="5"/>
      <c r="C191" s="23">
        <v>187.0</v>
      </c>
      <c r="D191" s="23" t="s">
        <v>372</v>
      </c>
      <c r="E191" s="24" t="str">
        <f>IMAGE("https://www.serebii.net/scarletviolet/pokemon/small/700.png")</f>
        <v/>
      </c>
      <c r="F191" s="24" t="str">
        <f>IMAGE("https://www.serebii.net/pokedex-bw/type/fairy.gif")</f>
        <v/>
      </c>
      <c r="G191" s="24"/>
      <c r="H191" s="25" t="s">
        <v>373</v>
      </c>
      <c r="I191" s="26"/>
      <c r="J191" s="5"/>
      <c r="K191" s="27"/>
    </row>
    <row r="192" ht="47.25" customHeight="1">
      <c r="A192" s="22" t="b">
        <v>0</v>
      </c>
      <c r="B192" s="5"/>
      <c r="C192" s="23">
        <v>188.0</v>
      </c>
      <c r="D192" s="23" t="s">
        <v>374</v>
      </c>
      <c r="E192" s="24" t="str">
        <f>IMAGE("https://www.serebii.net/scarletviolet/pokemon/small/206.png")</f>
        <v/>
      </c>
      <c r="F192" s="24" t="str">
        <f t="shared" ref="F192:F197" si="79">IMAGE("https://www.serebii.net/pokedex-bw/type/normal.gif")</f>
        <v/>
      </c>
      <c r="G192" s="24"/>
      <c r="H192" s="25" t="s">
        <v>375</v>
      </c>
      <c r="I192" s="26"/>
      <c r="J192" s="5"/>
      <c r="K192" s="27"/>
    </row>
    <row r="193" ht="47.25" customHeight="1">
      <c r="A193" s="22" t="b">
        <v>0</v>
      </c>
      <c r="B193" s="5"/>
      <c r="C193" s="23">
        <v>189.0</v>
      </c>
      <c r="D193" s="23" t="s">
        <v>376</v>
      </c>
      <c r="E193" s="24" t="str">
        <f>IMAGE("https://www.serebii.net/scarletviolet/pokemon/small/917.png")</f>
        <v/>
      </c>
      <c r="F193" s="24" t="str">
        <f t="shared" si="79"/>
        <v/>
      </c>
      <c r="G193" s="24"/>
      <c r="H193" s="25" t="s">
        <v>377</v>
      </c>
      <c r="I193" s="26"/>
      <c r="J193" s="5"/>
      <c r="K193" s="27"/>
    </row>
    <row r="194" ht="47.25" customHeight="1">
      <c r="A194" s="22" t="b">
        <v>0</v>
      </c>
      <c r="B194" s="5"/>
      <c r="C194" s="23">
        <v>190.0</v>
      </c>
      <c r="D194" s="23" t="s">
        <v>378</v>
      </c>
      <c r="E194" s="24" t="str">
        <f>IMAGE("https://www.serebii.net/scarletviolet/pokemon/small/585.png")</f>
        <v/>
      </c>
      <c r="F194" s="24" t="str">
        <f t="shared" si="79"/>
        <v/>
      </c>
      <c r="G194" s="24" t="str">
        <f t="shared" ref="G194:G195" si="80">IMAGE("https://www.serebii.net/pokedex-bw/type/grass.gif")</f>
        <v/>
      </c>
      <c r="H194" s="25" t="s">
        <v>379</v>
      </c>
      <c r="I194" s="26"/>
      <c r="J194" s="5"/>
      <c r="K194" s="27"/>
    </row>
    <row r="195" ht="47.25" customHeight="1">
      <c r="A195" s="22" t="b">
        <v>0</v>
      </c>
      <c r="B195" s="5"/>
      <c r="C195" s="23">
        <v>191.0</v>
      </c>
      <c r="D195" s="23" t="s">
        <v>380</v>
      </c>
      <c r="E195" s="24" t="str">
        <f>IMAGE("https://www.serebii.net/scarletviolet/pokemon/small/586.png")</f>
        <v/>
      </c>
      <c r="F195" s="24" t="str">
        <f t="shared" si="79"/>
        <v/>
      </c>
      <c r="G195" s="24" t="str">
        <f t="shared" si="80"/>
        <v/>
      </c>
      <c r="H195" s="25" t="s">
        <v>381</v>
      </c>
      <c r="I195" s="26"/>
      <c r="J195" s="5"/>
      <c r="K195" s="27"/>
    </row>
    <row r="196" ht="47.25" customHeight="1">
      <c r="A196" s="22" t="b">
        <v>0</v>
      </c>
      <c r="B196" s="5"/>
      <c r="C196" s="23">
        <v>192.0</v>
      </c>
      <c r="D196" s="23" t="s">
        <v>382</v>
      </c>
      <c r="E196" s="24" t="str">
        <f>IMAGE("https://www.serebii.net/scarletviolet/pokemon/small/203.png")</f>
        <v/>
      </c>
      <c r="F196" s="24" t="str">
        <f t="shared" si="79"/>
        <v/>
      </c>
      <c r="G196" s="24" t="str">
        <f t="shared" ref="G196:G197" si="81">IMAGE("https://www.serebii.net/pokedex-bw/type/psychic.gif")</f>
        <v/>
      </c>
      <c r="H196" s="25" t="s">
        <v>383</v>
      </c>
      <c r="I196" s="26"/>
      <c r="J196" s="5"/>
      <c r="K196" s="27"/>
    </row>
    <row r="197" ht="47.25" customHeight="1">
      <c r="A197" s="22" t="b">
        <v>0</v>
      </c>
      <c r="B197" s="5"/>
      <c r="C197" s="23">
        <v>193.0</v>
      </c>
      <c r="D197" s="23" t="s">
        <v>384</v>
      </c>
      <c r="E197" s="24" t="str">
        <f>IMAGE("https://www.serebii.net/scarletviolet/pokemon/small/928.png")</f>
        <v/>
      </c>
      <c r="F197" s="24" t="str">
        <f t="shared" si="79"/>
        <v/>
      </c>
      <c r="G197" s="24" t="str">
        <f t="shared" si="81"/>
        <v/>
      </c>
      <c r="H197" s="25" t="s">
        <v>385</v>
      </c>
      <c r="I197" s="26"/>
      <c r="J197" s="5"/>
      <c r="K197" s="27"/>
    </row>
    <row r="198" ht="47.25" customHeight="1">
      <c r="A198" s="22" t="b">
        <v>0</v>
      </c>
      <c r="B198" s="5"/>
      <c r="C198" s="23">
        <v>194.0</v>
      </c>
      <c r="D198" s="23" t="s">
        <v>386</v>
      </c>
      <c r="E198" s="24" t="str">
        <f>IMAGE("https://www.serebii.net/scarletviolet/pokemon/small/088.png")</f>
        <v/>
      </c>
      <c r="F198" s="24" t="str">
        <f t="shared" ref="F198:F199" si="82">IMAGE("https://www.serebii.net/pokedex-bw/type/poison.gif")</f>
        <v/>
      </c>
      <c r="G198" s="24"/>
      <c r="H198" s="25" t="s">
        <v>387</v>
      </c>
      <c r="I198" s="26"/>
      <c r="J198" s="5"/>
      <c r="K198" s="27"/>
    </row>
    <row r="199" ht="47.25" customHeight="1">
      <c r="A199" s="22" t="b">
        <v>0</v>
      </c>
      <c r="B199" s="5"/>
      <c r="C199" s="23">
        <v>195.0</v>
      </c>
      <c r="D199" s="23" t="s">
        <v>388</v>
      </c>
      <c r="E199" s="24" t="str">
        <f>IMAGE("https://www.serebii.net/scarletviolet/pokemon/small/089.png")</f>
        <v/>
      </c>
      <c r="F199" s="24" t="str">
        <f t="shared" si="82"/>
        <v/>
      </c>
      <c r="G199" s="24"/>
      <c r="H199" s="25" t="s">
        <v>389</v>
      </c>
      <c r="I199" s="26"/>
      <c r="J199" s="5"/>
      <c r="K199" s="27"/>
    </row>
    <row r="200" ht="47.25" customHeight="1">
      <c r="A200" s="22" t="b">
        <v>0</v>
      </c>
      <c r="B200" s="5"/>
      <c r="C200" s="23">
        <v>196.0</v>
      </c>
      <c r="D200" s="23" t="s">
        <v>390</v>
      </c>
      <c r="E200" s="24" t="str">
        <f>IMAGE("https://www.serebii.net/scarletviolet/pokemon/small/972.png")</f>
        <v/>
      </c>
      <c r="F200" s="24" t="str">
        <f t="shared" ref="F200:F201" si="83">IMAGE("https://www.serebii.net/pokedex-bw/type/dark.gif")</f>
        <v/>
      </c>
      <c r="G200" s="24"/>
      <c r="H200" s="25" t="s">
        <v>391</v>
      </c>
      <c r="I200" s="26"/>
      <c r="J200" s="5"/>
      <c r="K200" s="27"/>
    </row>
    <row r="201" ht="47.25" customHeight="1">
      <c r="A201" s="22" t="b">
        <v>0</v>
      </c>
      <c r="B201" s="5"/>
      <c r="C201" s="23">
        <v>197.0</v>
      </c>
      <c r="D201" s="23" t="s">
        <v>392</v>
      </c>
      <c r="E201" s="24" t="str">
        <f>IMAGE("https://www.serebii.net/scarletviolet/pokemon/small/973.png")</f>
        <v/>
      </c>
      <c r="F201" s="24" t="str">
        <f t="shared" si="83"/>
        <v/>
      </c>
      <c r="G201" s="24"/>
      <c r="H201" s="25" t="s">
        <v>393</v>
      </c>
      <c r="I201" s="26"/>
      <c r="J201" s="5"/>
      <c r="K201" s="27"/>
    </row>
    <row r="202" ht="47.25" customHeight="1">
      <c r="A202" s="22" t="b">
        <v>0</v>
      </c>
      <c r="B202" s="5"/>
      <c r="C202" s="23">
        <v>198.0</v>
      </c>
      <c r="D202" s="23" t="s">
        <v>394</v>
      </c>
      <c r="E202" s="24" t="str">
        <f>IMAGE("https://www.serebii.net/scarletviolet/pokemon/small/848.png")</f>
        <v/>
      </c>
      <c r="F202" s="24" t="str">
        <f t="shared" ref="F202:F205" si="84">IMAGE("https://www.serebii.net/pokedex-bw/type/electric.gif")</f>
        <v/>
      </c>
      <c r="G202" s="24" t="str">
        <f t="shared" ref="G202:G203" si="85">IMAGE("https://www.serebii.net/pokedex-bw/type/poison.gif")</f>
        <v/>
      </c>
      <c r="H202" s="25" t="s">
        <v>395</v>
      </c>
      <c r="I202" s="26"/>
      <c r="J202" s="5"/>
      <c r="K202" s="27"/>
    </row>
    <row r="203" ht="47.25" customHeight="1">
      <c r="A203" s="22" t="b">
        <v>0</v>
      </c>
      <c r="B203" s="5"/>
      <c r="C203" s="23">
        <v>199.0</v>
      </c>
      <c r="D203" s="23" t="s">
        <v>396</v>
      </c>
      <c r="E203" s="24" t="str">
        <f>IMAGE("https://www.serebii.net/scarletviolet/pokemon/small/849.png")</f>
        <v/>
      </c>
      <c r="F203" s="24" t="str">
        <f t="shared" si="84"/>
        <v/>
      </c>
      <c r="G203" s="24" t="str">
        <f t="shared" si="85"/>
        <v/>
      </c>
      <c r="H203" s="25" t="s">
        <v>397</v>
      </c>
      <c r="I203" s="26"/>
      <c r="J203" s="5"/>
      <c r="K203" s="27"/>
    </row>
    <row r="204" ht="47.25" customHeight="1">
      <c r="A204" s="22" t="b">
        <v>0</v>
      </c>
      <c r="B204" s="5"/>
      <c r="C204" s="23">
        <v>200.0</v>
      </c>
      <c r="D204" s="23" t="s">
        <v>398</v>
      </c>
      <c r="E204" s="24" t="str">
        <f>IMAGE("https://www.serebii.net/scarletviolet/pokemon/small/702.png")</f>
        <v/>
      </c>
      <c r="F204" s="24" t="str">
        <f t="shared" si="84"/>
        <v/>
      </c>
      <c r="G204" s="24" t="str">
        <f>IMAGE("https://www.serebii.net/pokedex-bw/type/fairy.gif")</f>
        <v/>
      </c>
      <c r="H204" s="25" t="s">
        <v>399</v>
      </c>
      <c r="I204" s="26"/>
      <c r="J204" s="5"/>
      <c r="K204" s="27"/>
    </row>
    <row r="205" ht="47.25" customHeight="1">
      <c r="A205" s="22" t="b">
        <v>0</v>
      </c>
      <c r="B205" s="5"/>
      <c r="C205" s="23">
        <v>201.0</v>
      </c>
      <c r="D205" s="23" t="s">
        <v>400</v>
      </c>
      <c r="E205" s="24" t="str">
        <f>IMAGE("https://www.serebii.net/scarletviolet/pokemon/small/417.png")</f>
        <v/>
      </c>
      <c r="F205" s="24" t="str">
        <f t="shared" si="84"/>
        <v/>
      </c>
      <c r="G205" s="24"/>
      <c r="H205" s="25" t="s">
        <v>401</v>
      </c>
      <c r="I205" s="26"/>
      <c r="J205" s="5"/>
      <c r="K205" s="27"/>
    </row>
    <row r="206" ht="47.25" customHeight="1">
      <c r="A206" s="22" t="b">
        <v>0</v>
      </c>
      <c r="B206" s="5"/>
      <c r="C206" s="23">
        <v>202.0</v>
      </c>
      <c r="D206" s="23" t="s">
        <v>402</v>
      </c>
      <c r="E206" s="24" t="str">
        <f>IMAGE("https://www.serebii.net/scarletviolet/pokemon/small/968.png")</f>
        <v/>
      </c>
      <c r="F206" s="24" t="str">
        <f t="shared" ref="F206:F207" si="86">IMAGE("https://www.serebii.net/pokedex-bw/type/poison.gif")</f>
        <v/>
      </c>
      <c r="G206" s="24" t="str">
        <f t="shared" ref="G206:G207" si="87">IMAGE("https://www.serebii.net/pokedex-bw/type/normal.gif")</f>
        <v/>
      </c>
      <c r="H206" s="25" t="s">
        <v>403</v>
      </c>
      <c r="I206" s="26"/>
      <c r="J206" s="5"/>
      <c r="K206" s="27"/>
    </row>
    <row r="207" ht="47.25" customHeight="1">
      <c r="A207" s="22" t="b">
        <v>0</v>
      </c>
      <c r="B207" s="5"/>
      <c r="C207" s="23">
        <v>203.0</v>
      </c>
      <c r="D207" s="23" t="s">
        <v>404</v>
      </c>
      <c r="E207" s="24" t="str">
        <f>IMAGE("https://www.serebii.net/scarletviolet/pokemon/small/969.png")</f>
        <v/>
      </c>
      <c r="F207" s="24" t="str">
        <f t="shared" si="86"/>
        <v/>
      </c>
      <c r="G207" s="24" t="str">
        <f t="shared" si="87"/>
        <v/>
      </c>
      <c r="H207" s="25" t="s">
        <v>405</v>
      </c>
      <c r="I207" s="26"/>
      <c r="J207" s="5"/>
      <c r="K207" s="27"/>
    </row>
    <row r="208" ht="47.25" customHeight="1">
      <c r="A208" s="22" t="b">
        <v>0</v>
      </c>
      <c r="B208" s="5"/>
      <c r="C208" s="23">
        <v>204.0</v>
      </c>
      <c r="D208" s="23" t="s">
        <v>406</v>
      </c>
      <c r="E208" s="24" t="str">
        <f>IMAGE("https://www.serebii.net/scarletviolet/pokemon/small/234.png")</f>
        <v/>
      </c>
      <c r="F208" s="24" t="str">
        <f>IMAGE("https://www.serebii.net/pokedex-bw/type/normal.gif")</f>
        <v/>
      </c>
      <c r="G208" s="24"/>
      <c r="H208" s="25" t="s">
        <v>407</v>
      </c>
      <c r="I208" s="26"/>
      <c r="J208" s="5"/>
      <c r="K208" s="27"/>
    </row>
    <row r="209" ht="47.25" customHeight="1">
      <c r="A209" s="22" t="b">
        <v>0</v>
      </c>
      <c r="B209" s="5"/>
      <c r="C209" s="23">
        <v>205.0</v>
      </c>
      <c r="D209" s="23" t="s">
        <v>408</v>
      </c>
      <c r="E209" s="24" t="str">
        <f>IMAGE("https://www.serebii.net/scarletviolet/pokemon/small/590.png")</f>
        <v/>
      </c>
      <c r="F209" s="24" t="str">
        <f t="shared" ref="F209:F210" si="88">IMAGE("https://www.serebii.net/pokedex-bw/type/grass.gif")</f>
        <v/>
      </c>
      <c r="G209" s="24" t="str">
        <f t="shared" ref="G209:G210" si="89">IMAGE("https://www.serebii.net/pokedex-bw/type/poison.gif")</f>
        <v/>
      </c>
      <c r="H209" s="25" t="s">
        <v>409</v>
      </c>
      <c r="I209" s="26"/>
      <c r="J209" s="5"/>
      <c r="K209" s="27"/>
    </row>
    <row r="210" ht="47.25" customHeight="1">
      <c r="A210" s="22" t="b">
        <v>0</v>
      </c>
      <c r="B210" s="5"/>
      <c r="C210" s="23">
        <v>206.0</v>
      </c>
      <c r="D210" s="23" t="s">
        <v>410</v>
      </c>
      <c r="E210" s="24" t="str">
        <f>IMAGE("https://www.serebii.net/scarletviolet/pokemon/small/591.png")</f>
        <v/>
      </c>
      <c r="F210" s="24" t="str">
        <f t="shared" si="88"/>
        <v/>
      </c>
      <c r="G210" s="24" t="str">
        <f t="shared" si="89"/>
        <v/>
      </c>
      <c r="H210" s="25" t="s">
        <v>411</v>
      </c>
      <c r="I210" s="26"/>
      <c r="J210" s="5"/>
      <c r="K210" s="27"/>
    </row>
    <row r="211" ht="47.25" customHeight="1">
      <c r="A211" s="22" t="b">
        <v>0</v>
      </c>
      <c r="B211" s="5"/>
      <c r="C211" s="23">
        <v>207.0</v>
      </c>
      <c r="D211" s="23" t="s">
        <v>412</v>
      </c>
      <c r="E211" s="24" t="str">
        <f>IMAGE("https://www.serebii.net/scarletviolet/pokemon/small/100.png")</f>
        <v/>
      </c>
      <c r="F211" s="24" t="str">
        <f t="shared" ref="F211:F215" si="90">IMAGE("https://www.serebii.net/pokedex-bw/type/electric.gif")</f>
        <v/>
      </c>
      <c r="G211" s="24"/>
      <c r="H211" s="25" t="s">
        <v>413</v>
      </c>
      <c r="I211" s="26"/>
      <c r="J211" s="5"/>
      <c r="K211" s="27"/>
    </row>
    <row r="212" ht="47.25" customHeight="1">
      <c r="A212" s="22" t="b">
        <v>0</v>
      </c>
      <c r="B212" s="5"/>
      <c r="C212" s="23">
        <v>208.0</v>
      </c>
      <c r="D212" s="23" t="s">
        <v>414</v>
      </c>
      <c r="E212" s="24" t="str">
        <f>IMAGE("https://www.serebii.net/scarletviolet/pokemon/small/101.png")</f>
        <v/>
      </c>
      <c r="F212" s="24" t="str">
        <f t="shared" si="90"/>
        <v/>
      </c>
      <c r="G212" s="24"/>
      <c r="H212" s="25" t="s">
        <v>415</v>
      </c>
      <c r="I212" s="26"/>
      <c r="J212" s="5"/>
      <c r="K212" s="27"/>
    </row>
    <row r="213" ht="47.25" customHeight="1">
      <c r="A213" s="22" t="b">
        <v>0</v>
      </c>
      <c r="B213" s="5"/>
      <c r="C213" s="23">
        <v>209.0</v>
      </c>
      <c r="D213" s="23" t="s">
        <v>416</v>
      </c>
      <c r="E213" s="24" t="str">
        <f>IMAGE("https://www.serebii.net/scarletviolet/pokemon/small/081.png")</f>
        <v/>
      </c>
      <c r="F213" s="24" t="str">
        <f t="shared" si="90"/>
        <v/>
      </c>
      <c r="G213" s="24" t="str">
        <f t="shared" ref="G213:G215" si="91">IMAGE("https://www.serebii.net/pokedex-bw/type/steel.gif")</f>
        <v/>
      </c>
      <c r="H213" s="25" t="s">
        <v>417</v>
      </c>
      <c r="I213" s="26"/>
      <c r="J213" s="5"/>
      <c r="K213" s="27"/>
    </row>
    <row r="214" ht="47.25" customHeight="1">
      <c r="A214" s="22" t="b">
        <v>0</v>
      </c>
      <c r="B214" s="5"/>
      <c r="C214" s="23">
        <v>210.0</v>
      </c>
      <c r="D214" s="23" t="s">
        <v>418</v>
      </c>
      <c r="E214" s="24" t="str">
        <f>IMAGE("https://www.serebii.net/scarletviolet/pokemon/small/082.png")</f>
        <v/>
      </c>
      <c r="F214" s="24" t="str">
        <f t="shared" si="90"/>
        <v/>
      </c>
      <c r="G214" s="24" t="str">
        <f t="shared" si="91"/>
        <v/>
      </c>
      <c r="H214" s="25" t="s">
        <v>419</v>
      </c>
      <c r="I214" s="26"/>
      <c r="J214" s="5"/>
      <c r="K214" s="27"/>
    </row>
    <row r="215" ht="47.25" customHeight="1">
      <c r="A215" s="22" t="b">
        <v>0</v>
      </c>
      <c r="B215" s="5"/>
      <c r="C215" s="23">
        <v>211.0</v>
      </c>
      <c r="D215" s="23" t="s">
        <v>420</v>
      </c>
      <c r="E215" s="24" t="str">
        <f>IMAGE("https://www.serebii.net/scarletviolet/pokemon/small/462.png")</f>
        <v/>
      </c>
      <c r="F215" s="24" t="str">
        <f t="shared" si="90"/>
        <v/>
      </c>
      <c r="G215" s="24" t="str">
        <f t="shared" si="91"/>
        <v/>
      </c>
      <c r="H215" s="25" t="s">
        <v>421</v>
      </c>
      <c r="I215" s="26"/>
      <c r="J215" s="5"/>
      <c r="K215" s="27"/>
    </row>
    <row r="216" ht="47.25" customHeight="1">
      <c r="A216" s="22" t="b">
        <v>0</v>
      </c>
      <c r="B216" s="5"/>
      <c r="C216" s="23">
        <v>212.0</v>
      </c>
      <c r="D216" s="23" t="s">
        <v>422</v>
      </c>
      <c r="E216" s="24" t="str">
        <f>IMAGE("https://www.serebii.net/scarletviolet/pokemon/small/132.png")</f>
        <v/>
      </c>
      <c r="F216" s="24" t="str">
        <f>IMAGE("https://www.serebii.net/pokedex-bw/type/normal.gif")</f>
        <v/>
      </c>
      <c r="G216" s="24"/>
      <c r="H216" s="25" t="s">
        <v>423</v>
      </c>
      <c r="I216" s="26"/>
      <c r="J216" s="5"/>
      <c r="K216" s="27"/>
    </row>
    <row r="217" ht="47.25" customHeight="1">
      <c r="A217" s="22" t="b">
        <v>0</v>
      </c>
      <c r="B217" s="5"/>
      <c r="C217" s="23">
        <v>213.0</v>
      </c>
      <c r="D217" s="23" t="s">
        <v>424</v>
      </c>
      <c r="E217" s="24" t="str">
        <f>IMAGE("https://www.serebii.net/scarletviolet/pokemon/small/058.png")</f>
        <v/>
      </c>
      <c r="F217" s="24" t="str">
        <f t="shared" ref="F217:F218" si="92">IMAGE("https://www.serebii.net/pokedex-bw/type/fire.gif")</f>
        <v/>
      </c>
      <c r="G217" s="24"/>
      <c r="H217" s="25" t="s">
        <v>425</v>
      </c>
      <c r="I217" s="26"/>
      <c r="J217" s="5"/>
      <c r="K217" s="27"/>
    </row>
    <row r="218" ht="47.25" customHeight="1">
      <c r="A218" s="22" t="b">
        <v>0</v>
      </c>
      <c r="B218" s="5"/>
      <c r="C218" s="23">
        <v>214.0</v>
      </c>
      <c r="D218" s="23" t="s">
        <v>426</v>
      </c>
      <c r="E218" s="24" t="str">
        <f>IMAGE("https://www.serebii.net/scarletviolet/pokemon/small/059.png")</f>
        <v/>
      </c>
      <c r="F218" s="24" t="str">
        <f t="shared" si="92"/>
        <v/>
      </c>
      <c r="G218" s="24"/>
      <c r="H218" s="25" t="s">
        <v>427</v>
      </c>
      <c r="I218" s="26"/>
      <c r="J218" s="5"/>
      <c r="K218" s="27"/>
    </row>
    <row r="219" ht="47.25" customHeight="1">
      <c r="A219" s="22" t="b">
        <v>0</v>
      </c>
      <c r="B219" s="5"/>
      <c r="C219" s="23">
        <v>215.0</v>
      </c>
      <c r="D219" s="23" t="s">
        <v>428</v>
      </c>
      <c r="E219" s="24" t="str">
        <f>IMAGE("https://www.serebii.net/scarletviolet/pokemon/small/216.png")</f>
        <v/>
      </c>
      <c r="F219" s="24" t="str">
        <f t="shared" ref="F219:F221" si="93">IMAGE("https://www.serebii.net/pokedex-bw/type/normal.gif")</f>
        <v/>
      </c>
      <c r="G219" s="24"/>
      <c r="H219" s="25" t="s">
        <v>429</v>
      </c>
      <c r="I219" s="26"/>
      <c r="J219" s="5"/>
      <c r="K219" s="27"/>
    </row>
    <row r="220" ht="47.25" customHeight="1">
      <c r="A220" s="22" t="b">
        <v>0</v>
      </c>
      <c r="B220" s="5"/>
      <c r="C220" s="23">
        <v>216.0</v>
      </c>
      <c r="D220" s="23" t="s">
        <v>430</v>
      </c>
      <c r="E220" s="24" t="str">
        <f>IMAGE("https://www.serebii.net/scarletviolet/pokemon/small/217.png")</f>
        <v/>
      </c>
      <c r="F220" s="24" t="str">
        <f t="shared" si="93"/>
        <v/>
      </c>
      <c r="G220" s="24"/>
      <c r="H220" s="25" t="s">
        <v>431</v>
      </c>
      <c r="I220" s="26"/>
      <c r="J220" s="5"/>
      <c r="K220" s="27"/>
    </row>
    <row r="221" ht="47.25" customHeight="1">
      <c r="A221" s="22" t="b">
        <v>0</v>
      </c>
      <c r="B221" s="5"/>
      <c r="C221" s="23">
        <v>217.0</v>
      </c>
      <c r="D221" s="23" t="s">
        <v>432</v>
      </c>
      <c r="E221" s="24" t="str">
        <f>IMAGE("https://www.serebii.net/scarletviolet/pokemon/small/335.png")</f>
        <v/>
      </c>
      <c r="F221" s="24" t="str">
        <f t="shared" si="93"/>
        <v/>
      </c>
      <c r="G221" s="24"/>
      <c r="H221" s="25" t="s">
        <v>433</v>
      </c>
      <c r="I221" s="26"/>
      <c r="J221" s="5"/>
      <c r="K221" s="27"/>
    </row>
    <row r="222" ht="47.25" customHeight="1">
      <c r="A222" s="22" t="b">
        <v>0</v>
      </c>
      <c r="B222" s="5"/>
      <c r="C222" s="23">
        <v>218.0</v>
      </c>
      <c r="D222" s="23" t="s">
        <v>434</v>
      </c>
      <c r="E222" s="24" t="str">
        <f>IMAGE("https://www.serebii.net/scarletviolet/pokemon/small/336.png")</f>
        <v/>
      </c>
      <c r="F222" s="24" t="str">
        <f>IMAGE("https://www.serebii.net/pokedex-bw/type/poison.gif")</f>
        <v/>
      </c>
      <c r="G222" s="24"/>
      <c r="H222" s="25" t="s">
        <v>433</v>
      </c>
      <c r="I222" s="26"/>
      <c r="J222" s="5"/>
      <c r="K222" s="27"/>
    </row>
    <row r="223" ht="47.25" customHeight="1">
      <c r="A223" s="22" t="b">
        <v>0</v>
      </c>
      <c r="B223" s="5"/>
      <c r="C223" s="23">
        <v>219.0</v>
      </c>
      <c r="D223" s="23" t="s">
        <v>435</v>
      </c>
      <c r="E223" s="24" t="str">
        <f>IMAGE("https://www.serebii.net/scarletviolet/pokemon/small/333.png")</f>
        <v/>
      </c>
      <c r="F223" s="24" t="str">
        <f>IMAGE("https://www.serebii.net/pokedex-bw/type/normal.gif")</f>
        <v/>
      </c>
      <c r="G223" s="24" t="str">
        <f t="shared" ref="G223:G224" si="94">IMAGE("https://www.serebii.net/pokedex-bw/type/flying.gif")</f>
        <v/>
      </c>
      <c r="H223" s="25" t="s">
        <v>436</v>
      </c>
      <c r="I223" s="26"/>
      <c r="J223" s="5"/>
      <c r="K223" s="27"/>
    </row>
    <row r="224" ht="47.25" customHeight="1">
      <c r="A224" s="22" t="b">
        <v>0</v>
      </c>
      <c r="B224" s="5"/>
      <c r="C224" s="23">
        <v>220.0</v>
      </c>
      <c r="D224" s="23" t="s">
        <v>437</v>
      </c>
      <c r="E224" s="24" t="str">
        <f>IMAGE("https://www.serebii.net/scarletviolet/pokemon/small/334.png")</f>
        <v/>
      </c>
      <c r="F224" s="24" t="str">
        <f>IMAGE("https://www.serebii.net/pokedex-bw/type/dragon.gif")</f>
        <v/>
      </c>
      <c r="G224" s="24" t="str">
        <f t="shared" si="94"/>
        <v/>
      </c>
      <c r="H224" s="25" t="s">
        <v>438</v>
      </c>
      <c r="I224" s="26"/>
      <c r="J224" s="5"/>
      <c r="K224" s="27"/>
    </row>
    <row r="225" ht="47.25" customHeight="1">
      <c r="A225" s="22" t="b">
        <v>0</v>
      </c>
      <c r="B225" s="5"/>
      <c r="C225" s="23">
        <v>221.0</v>
      </c>
      <c r="D225" s="23" t="s">
        <v>439</v>
      </c>
      <c r="E225" s="24" t="str">
        <f>IMAGE("https://www.serebii.net/scarletviolet/pokemon/small/672.png")</f>
        <v/>
      </c>
      <c r="F225" s="24" t="str">
        <f t="shared" ref="F225:F226" si="95">IMAGE("https://www.serebii.net/pokedex-bw/type/grass.gif")</f>
        <v/>
      </c>
      <c r="G225" s="24"/>
      <c r="H225" s="25" t="s">
        <v>440</v>
      </c>
      <c r="I225" s="26"/>
      <c r="J225" s="5"/>
      <c r="K225" s="27"/>
    </row>
    <row r="226" ht="47.25" customHeight="1">
      <c r="A226" s="22" t="b">
        <v>0</v>
      </c>
      <c r="B226" s="5"/>
      <c r="C226" s="23">
        <v>222.0</v>
      </c>
      <c r="D226" s="23" t="s">
        <v>441</v>
      </c>
      <c r="E226" s="24" t="str">
        <f>IMAGE("https://www.serebii.net/scarletviolet/pokemon/small/673.png")</f>
        <v/>
      </c>
      <c r="F226" s="24" t="str">
        <f t="shared" si="95"/>
        <v/>
      </c>
      <c r="G226" s="24"/>
      <c r="H226" s="25" t="s">
        <v>442</v>
      </c>
      <c r="I226" s="26"/>
      <c r="J226" s="5"/>
      <c r="K226" s="27"/>
    </row>
    <row r="227" ht="47.25" customHeight="1">
      <c r="A227" s="22" t="b">
        <v>0</v>
      </c>
      <c r="B227" s="5"/>
      <c r="C227" s="23">
        <v>223.0</v>
      </c>
      <c r="D227" s="23" t="s">
        <v>443</v>
      </c>
      <c r="E227" s="24" t="str">
        <f>IMAGE("https://www.serebii.net/scarletviolet/pokemon/small/128-p.png")</f>
        <v/>
      </c>
      <c r="F227" s="24" t="str">
        <f>IMAGE("https://www.serebii.net/pokedex-bw/type/fighting.gif")</f>
        <v/>
      </c>
      <c r="G227" s="24"/>
      <c r="H227" s="25" t="s">
        <v>444</v>
      </c>
      <c r="I227" s="26"/>
      <c r="J227" s="5"/>
      <c r="K227" s="27"/>
    </row>
    <row r="228" ht="47.25" customHeight="1">
      <c r="A228" s="22" t="b">
        <v>0</v>
      </c>
      <c r="B228" s="5"/>
      <c r="C228" s="23">
        <v>224.0</v>
      </c>
      <c r="D228" s="23" t="s">
        <v>445</v>
      </c>
      <c r="E228" s="24" t="str">
        <f>IMAGE("https://www.serebii.net/scarletviolet/pokemon/small/667.png")</f>
        <v/>
      </c>
      <c r="F228" s="24" t="str">
        <f t="shared" ref="F228:F229" si="96">IMAGE("https://www.serebii.net/pokedex-bw/type/fire.gif")</f>
        <v/>
      </c>
      <c r="G228" s="24" t="str">
        <f t="shared" ref="G228:G229" si="97">IMAGE("https://www.serebii.net/pokedex-bw/type/normal.gif")</f>
        <v/>
      </c>
      <c r="H228" s="25" t="s">
        <v>446</v>
      </c>
      <c r="I228" s="26"/>
      <c r="J228" s="5"/>
      <c r="K228" s="27"/>
    </row>
    <row r="229" ht="47.25" customHeight="1">
      <c r="A229" s="22" t="b">
        <v>0</v>
      </c>
      <c r="B229" s="5"/>
      <c r="C229" s="23">
        <v>225.0</v>
      </c>
      <c r="D229" s="23" t="s">
        <v>447</v>
      </c>
      <c r="E229" s="24" t="str">
        <f>IMAGE("https://www.serebii.net/scarletviolet/pokemon/small/668.png")</f>
        <v/>
      </c>
      <c r="F229" s="24" t="str">
        <f t="shared" si="96"/>
        <v/>
      </c>
      <c r="G229" s="24" t="str">
        <f t="shared" si="97"/>
        <v/>
      </c>
      <c r="H229" s="25" t="s">
        <v>448</v>
      </c>
      <c r="I229" s="26"/>
      <c r="J229" s="5"/>
      <c r="K229" s="27"/>
    </row>
    <row r="230" ht="47.25" customHeight="1">
      <c r="A230" s="22" t="b">
        <v>0</v>
      </c>
      <c r="B230" s="5"/>
      <c r="C230" s="23">
        <v>226.0</v>
      </c>
      <c r="D230" s="23" t="s">
        <v>449</v>
      </c>
      <c r="E230" s="24" t="str">
        <f>IMAGE("https://www.serebii.net/scarletviolet/pokemon/small/434.png")</f>
        <v/>
      </c>
      <c r="F230" s="24" t="str">
        <f t="shared" ref="F230:F231" si="98">IMAGE("https://www.serebii.net/pokedex-bw/type/poison.gif")</f>
        <v/>
      </c>
      <c r="G230" s="24" t="str">
        <f t="shared" ref="G230:G231" si="99">IMAGE("https://www.serebii.net/pokedex-bw/type/dark.gif")</f>
        <v/>
      </c>
      <c r="H230" s="25" t="s">
        <v>450</v>
      </c>
      <c r="I230" s="26"/>
      <c r="J230" s="5"/>
      <c r="K230" s="27"/>
    </row>
    <row r="231" ht="47.25" customHeight="1">
      <c r="A231" s="22" t="b">
        <v>0</v>
      </c>
      <c r="B231" s="5"/>
      <c r="C231" s="23">
        <v>227.0</v>
      </c>
      <c r="D231" s="23" t="s">
        <v>451</v>
      </c>
      <c r="E231" s="24" t="str">
        <f>IMAGE("https://www.serebii.net/scarletviolet/pokemon/small/435.png")</f>
        <v/>
      </c>
      <c r="F231" s="24" t="str">
        <f t="shared" si="98"/>
        <v/>
      </c>
      <c r="G231" s="24" t="str">
        <f t="shared" si="99"/>
        <v/>
      </c>
      <c r="H231" s="25" t="s">
        <v>452</v>
      </c>
      <c r="I231" s="26"/>
      <c r="J231" s="5"/>
      <c r="K231" s="27"/>
    </row>
    <row r="232" ht="47.25" customHeight="1">
      <c r="A232" s="22" t="b">
        <v>0</v>
      </c>
      <c r="B232" s="5"/>
      <c r="C232" s="23">
        <v>228.0</v>
      </c>
      <c r="D232" s="23" t="s">
        <v>453</v>
      </c>
      <c r="E232" s="24" t="str">
        <f>IMAGE("https://www.serebii.net/scarletviolet/pokemon/small/570.png")</f>
        <v/>
      </c>
      <c r="F232" s="24" t="str">
        <f t="shared" ref="F232:F237" si="100">IMAGE("https://www.serebii.net/pokedex-bw/type/dark.gif")</f>
        <v/>
      </c>
      <c r="G232" s="24"/>
      <c r="H232" s="25" t="s">
        <v>454</v>
      </c>
      <c r="I232" s="26"/>
      <c r="J232" s="5"/>
      <c r="K232" s="27"/>
    </row>
    <row r="233" ht="47.25" customHeight="1">
      <c r="A233" s="22" t="b">
        <v>0</v>
      </c>
      <c r="B233" s="5"/>
      <c r="C233" s="23">
        <v>229.0</v>
      </c>
      <c r="D233" s="23" t="s">
        <v>455</v>
      </c>
      <c r="E233" s="24" t="str">
        <f>IMAGE("https://www.serebii.net/scarletviolet/pokemon/small/571.png")</f>
        <v/>
      </c>
      <c r="F233" s="24" t="str">
        <f t="shared" si="100"/>
        <v/>
      </c>
      <c r="G233" s="24"/>
      <c r="H233" s="25" t="s">
        <v>456</v>
      </c>
      <c r="I233" s="26"/>
      <c r="J233" s="5"/>
      <c r="K233" s="27"/>
    </row>
    <row r="234" ht="47.25" customHeight="1">
      <c r="A234" s="22" t="b">
        <v>0</v>
      </c>
      <c r="B234" s="5"/>
      <c r="C234" s="23">
        <v>230.0</v>
      </c>
      <c r="D234" s="23" t="s">
        <v>457</v>
      </c>
      <c r="E234" s="24" t="str">
        <f>IMAGE("https://www.serebii.net/scarletviolet/pokemon/small/215.png")</f>
        <v/>
      </c>
      <c r="F234" s="24" t="str">
        <f t="shared" si="100"/>
        <v/>
      </c>
      <c r="G234" s="24" t="str">
        <f t="shared" ref="G234:G235" si="101">IMAGE("https://www.serebii.net/pokedex-bw/type/ice.gif")</f>
        <v/>
      </c>
      <c r="H234" s="25" t="s">
        <v>458</v>
      </c>
      <c r="I234" s="26"/>
      <c r="J234" s="5"/>
      <c r="K234" s="27"/>
    </row>
    <row r="235" ht="47.25" customHeight="1">
      <c r="A235" s="22" t="b">
        <v>0</v>
      </c>
      <c r="B235" s="5"/>
      <c r="C235" s="23">
        <v>231.0</v>
      </c>
      <c r="D235" s="23" t="s">
        <v>459</v>
      </c>
      <c r="E235" s="24" t="str">
        <f>IMAGE("https://www.serebii.net/scarletviolet/pokemon/small/461.png")</f>
        <v/>
      </c>
      <c r="F235" s="24" t="str">
        <f t="shared" si="100"/>
        <v/>
      </c>
      <c r="G235" s="24" t="str">
        <f t="shared" si="101"/>
        <v/>
      </c>
      <c r="H235" s="25" t="s">
        <v>460</v>
      </c>
      <c r="I235" s="26"/>
      <c r="J235" s="5"/>
      <c r="K235" s="27"/>
    </row>
    <row r="236" ht="47.25" customHeight="1">
      <c r="A236" s="22" t="b">
        <v>0</v>
      </c>
      <c r="B236" s="5"/>
      <c r="C236" s="23">
        <v>232.0</v>
      </c>
      <c r="D236" s="23" t="s">
        <v>461</v>
      </c>
      <c r="E236" s="24" t="str">
        <f>IMAGE("https://www.serebii.net/scarletviolet/pokemon/small/198.png")</f>
        <v/>
      </c>
      <c r="F236" s="24" t="str">
        <f t="shared" si="100"/>
        <v/>
      </c>
      <c r="G236" s="24" t="str">
        <f t="shared" ref="G236:G237" si="102">IMAGE("https://www.serebii.net/pokedex-bw/type/flying.gif")</f>
        <v/>
      </c>
      <c r="H236" s="25" t="s">
        <v>462</v>
      </c>
      <c r="I236" s="26"/>
      <c r="J236" s="5"/>
      <c r="K236" s="27"/>
    </row>
    <row r="237" ht="47.25" customHeight="1">
      <c r="A237" s="22" t="b">
        <v>0</v>
      </c>
      <c r="B237" s="5"/>
      <c r="C237" s="23">
        <v>233.0</v>
      </c>
      <c r="D237" s="23" t="s">
        <v>463</v>
      </c>
      <c r="E237" s="24" t="str">
        <f>IMAGE("https://www.serebii.net/scarletviolet/pokemon/small/430.png")</f>
        <v/>
      </c>
      <c r="F237" s="24" t="str">
        <f t="shared" si="100"/>
        <v/>
      </c>
      <c r="G237" s="24" t="str">
        <f t="shared" si="102"/>
        <v/>
      </c>
      <c r="H237" s="25" t="s">
        <v>464</v>
      </c>
      <c r="I237" s="26"/>
      <c r="J237" s="5"/>
      <c r="K237" s="27"/>
    </row>
    <row r="238" ht="47.25" customHeight="1">
      <c r="A238" s="22" t="b">
        <v>0</v>
      </c>
      <c r="B238" s="5"/>
      <c r="C238" s="23">
        <v>234.0</v>
      </c>
      <c r="D238" s="23" t="s">
        <v>465</v>
      </c>
      <c r="E238" s="24" t="str">
        <f>IMAGE("https://www.serebii.net/scarletviolet/pokemon/small/574.png")</f>
        <v/>
      </c>
      <c r="F238" s="24" t="str">
        <f t="shared" ref="F238:F240" si="103">IMAGE("https://www.serebii.net/pokedex-bw/type/psychic.gif")</f>
        <v/>
      </c>
      <c r="G238" s="24"/>
      <c r="H238" s="25" t="s">
        <v>466</v>
      </c>
      <c r="I238" s="26"/>
      <c r="J238" s="5"/>
      <c r="K238" s="27"/>
    </row>
    <row r="239" ht="47.25" customHeight="1">
      <c r="A239" s="22" t="b">
        <v>0</v>
      </c>
      <c r="B239" s="5"/>
      <c r="C239" s="23">
        <v>235.0</v>
      </c>
      <c r="D239" s="23" t="s">
        <v>467</v>
      </c>
      <c r="E239" s="24" t="str">
        <f>IMAGE("https://www.serebii.net/scarletviolet/pokemon/small/575.png")</f>
        <v/>
      </c>
      <c r="F239" s="24" t="str">
        <f t="shared" si="103"/>
        <v/>
      </c>
      <c r="G239" s="24"/>
      <c r="H239" s="25" t="s">
        <v>468</v>
      </c>
      <c r="I239" s="26"/>
      <c r="J239" s="5"/>
      <c r="K239" s="27"/>
    </row>
    <row r="240" ht="47.25" customHeight="1">
      <c r="A240" s="22" t="b">
        <v>0</v>
      </c>
      <c r="B240" s="5"/>
      <c r="C240" s="23">
        <v>236.0</v>
      </c>
      <c r="D240" s="23" t="s">
        <v>469</v>
      </c>
      <c r="E240" s="24" t="str">
        <f>IMAGE("https://www.serebii.net/scarletviolet/pokemon/small/576.png")</f>
        <v/>
      </c>
      <c r="F240" s="24" t="str">
        <f t="shared" si="103"/>
        <v/>
      </c>
      <c r="G240" s="24"/>
      <c r="H240" s="25" t="s">
        <v>470</v>
      </c>
      <c r="I240" s="26"/>
      <c r="J240" s="5"/>
      <c r="K240" s="27"/>
    </row>
    <row r="241" ht="47.25" customHeight="1">
      <c r="A241" s="22" t="b">
        <v>0</v>
      </c>
      <c r="B241" s="5"/>
      <c r="C241" s="23">
        <v>237.0</v>
      </c>
      <c r="D241" s="23" t="s">
        <v>471</v>
      </c>
      <c r="E241" s="24" t="str">
        <f>IMAGE("https://www.serebii.net/scarletviolet/pokemon/small/854.png")</f>
        <v/>
      </c>
      <c r="F241" s="24" t="str">
        <f t="shared" ref="F241:F243" si="104">IMAGE("https://www.serebii.net/pokedex-bw/type/ghost.gif")</f>
        <v/>
      </c>
      <c r="G241" s="24"/>
      <c r="H241" s="25" t="s">
        <v>472</v>
      </c>
      <c r="I241" s="26"/>
      <c r="J241" s="5"/>
      <c r="K241" s="27"/>
    </row>
    <row r="242" ht="47.25" customHeight="1">
      <c r="A242" s="22" t="b">
        <v>0</v>
      </c>
      <c r="B242" s="5"/>
      <c r="C242" s="23">
        <v>238.0</v>
      </c>
      <c r="D242" s="23" t="s">
        <v>473</v>
      </c>
      <c r="E242" s="24" t="str">
        <f>IMAGE("https://www.serebii.net/scarletviolet/pokemon/small/855.png")</f>
        <v/>
      </c>
      <c r="F242" s="24" t="str">
        <f t="shared" si="104"/>
        <v/>
      </c>
      <c r="G242" s="24"/>
      <c r="H242" s="25" t="s">
        <v>474</v>
      </c>
      <c r="I242" s="26"/>
      <c r="J242" s="5"/>
      <c r="K242" s="27"/>
    </row>
    <row r="243" ht="47.25" customHeight="1">
      <c r="A243" s="22" t="b">
        <v>0</v>
      </c>
      <c r="B243" s="5"/>
      <c r="C243" s="23">
        <v>239.0</v>
      </c>
      <c r="D243" s="23" t="s">
        <v>475</v>
      </c>
      <c r="E243" s="24" t="str">
        <f>IMAGE("https://www.serebii.net/scarletviolet/pokemon/small/778.png")</f>
        <v/>
      </c>
      <c r="F243" s="24" t="str">
        <f t="shared" si="104"/>
        <v/>
      </c>
      <c r="G243" s="24" t="str">
        <f t="shared" ref="G243:G244" si="105">IMAGE("https://www.serebii.net/pokedex-bw/type/fairy.gif")</f>
        <v/>
      </c>
      <c r="H243" s="25" t="s">
        <v>476</v>
      </c>
      <c r="I243" s="26"/>
      <c r="J243" s="5"/>
      <c r="K243" s="27"/>
    </row>
    <row r="244" ht="47.25" customHeight="1">
      <c r="A244" s="22" t="b">
        <v>0</v>
      </c>
      <c r="B244" s="5"/>
      <c r="C244" s="23">
        <v>240.0</v>
      </c>
      <c r="D244" s="23" t="s">
        <v>477</v>
      </c>
      <c r="E244" s="24" t="str">
        <f>IMAGE("https://www.serebii.net/scarletviolet/pokemon/small/707.png")</f>
        <v/>
      </c>
      <c r="F244" s="24" t="str">
        <f>IMAGE("https://www.serebii.net/pokedex-bw/type/steel.gif")</f>
        <v/>
      </c>
      <c r="G244" s="24" t="str">
        <f t="shared" si="105"/>
        <v/>
      </c>
      <c r="H244" s="25" t="s">
        <v>478</v>
      </c>
      <c r="I244" s="26"/>
      <c r="J244" s="5"/>
      <c r="K244" s="27"/>
    </row>
    <row r="245" ht="47.25" customHeight="1">
      <c r="A245" s="22" t="b">
        <v>0</v>
      </c>
      <c r="B245" s="5"/>
      <c r="C245" s="23">
        <v>241.0</v>
      </c>
      <c r="D245" s="23" t="s">
        <v>479</v>
      </c>
      <c r="E245" s="24" t="str">
        <f>IMAGE("https://www.serebii.net/scarletviolet/pokemon/small/876.png")</f>
        <v/>
      </c>
      <c r="F245" s="24" t="str">
        <f>IMAGE("https://www.serebii.net/pokedex-bw/type/psychic.gif")</f>
        <v/>
      </c>
      <c r="G245" s="24" t="str">
        <f>IMAGE("https://www.serebii.net/pokedex-bw/type/normal.gif")</f>
        <v/>
      </c>
      <c r="H245" s="25" t="s">
        <v>480</v>
      </c>
      <c r="I245" s="26"/>
      <c r="J245" s="5"/>
      <c r="K245" s="27"/>
    </row>
    <row r="246" ht="47.25" customHeight="1">
      <c r="A246" s="22" t="b">
        <v>0</v>
      </c>
      <c r="B246" s="5"/>
      <c r="C246" s="23">
        <v>242.0</v>
      </c>
      <c r="D246" s="23" t="s">
        <v>481</v>
      </c>
      <c r="E246" s="24" t="str">
        <f>IMAGE("https://www.serebii.net/scarletviolet/pokemon/small/974.png")</f>
        <v/>
      </c>
      <c r="F246" s="24" t="str">
        <f t="shared" ref="F246:F247" si="106">IMAGE("https://www.serebii.net/pokedex-bw/type/grass.gif")</f>
        <v/>
      </c>
      <c r="G246" s="24" t="str">
        <f t="shared" ref="G246:G247" si="107">IMAGE("https://www.serebii.net/pokedex-bw/type/ghost.gif")</f>
        <v/>
      </c>
      <c r="H246" s="25" t="s">
        <v>482</v>
      </c>
      <c r="I246" s="26"/>
      <c r="J246" s="5"/>
      <c r="K246" s="27"/>
    </row>
    <row r="247" ht="47.25" customHeight="1">
      <c r="A247" s="22" t="b">
        <v>0</v>
      </c>
      <c r="B247" s="5"/>
      <c r="C247" s="23">
        <v>243.0</v>
      </c>
      <c r="D247" s="23" t="s">
        <v>483</v>
      </c>
      <c r="E247" s="24" t="str">
        <f>IMAGE("https://www.serebii.net/scarletviolet/pokemon/small/975.png")</f>
        <v/>
      </c>
      <c r="F247" s="24" t="str">
        <f t="shared" si="106"/>
        <v/>
      </c>
      <c r="G247" s="24" t="str">
        <f t="shared" si="107"/>
        <v/>
      </c>
      <c r="H247" s="25" t="s">
        <v>484</v>
      </c>
      <c r="I247" s="26"/>
      <c r="J247" s="5"/>
      <c r="K247" s="27"/>
    </row>
    <row r="248" ht="47.25" customHeight="1">
      <c r="A248" s="22" t="b">
        <v>0</v>
      </c>
      <c r="B248" s="5"/>
      <c r="C248" s="23">
        <v>244.0</v>
      </c>
      <c r="D248" s="23" t="s">
        <v>485</v>
      </c>
      <c r="E248" s="24" t="str">
        <f>IMAGE("https://www.serebii.net/scarletviolet/pokemon/small/1006.png")</f>
        <v/>
      </c>
      <c r="F248" s="24" t="str">
        <f t="shared" ref="F248:F249" si="108">IMAGE("https://www.serebii.net/pokedex-bw/type/ground.gif")</f>
        <v/>
      </c>
      <c r="G248" s="24" t="str">
        <f t="shared" ref="G248:G249" si="109">IMAGE("https://www.serebii.net/pokedex-bw/type/grass.gif")</f>
        <v/>
      </c>
      <c r="H248" s="25" t="s">
        <v>486</v>
      </c>
      <c r="I248" s="26"/>
      <c r="J248" s="5"/>
      <c r="K248" s="27"/>
    </row>
    <row r="249" ht="47.25" customHeight="1">
      <c r="A249" s="22" t="b">
        <v>0</v>
      </c>
      <c r="B249" s="5"/>
      <c r="C249" s="23">
        <v>245.0</v>
      </c>
      <c r="D249" s="23" t="s">
        <v>487</v>
      </c>
      <c r="E249" s="24" t="str">
        <f>IMAGE("https://www.serebii.net/scarletviolet/pokemon/small/1007.png")</f>
        <v/>
      </c>
      <c r="F249" s="24" t="str">
        <f t="shared" si="108"/>
        <v/>
      </c>
      <c r="G249" s="24" t="str">
        <f t="shared" si="109"/>
        <v/>
      </c>
      <c r="H249" s="25" t="s">
        <v>488</v>
      </c>
      <c r="I249" s="26"/>
      <c r="J249" s="5"/>
      <c r="K249" s="27"/>
    </row>
    <row r="250" ht="47.25" customHeight="1">
      <c r="A250" s="22" t="b">
        <v>0</v>
      </c>
      <c r="B250" s="5"/>
      <c r="C250" s="23">
        <v>246.0</v>
      </c>
      <c r="D250" s="23" t="s">
        <v>489</v>
      </c>
      <c r="E250" s="24" t="str">
        <f>IMAGE("https://www.serebii.net/scarletviolet/pokemon/small/357.png")</f>
        <v/>
      </c>
      <c r="F250" s="24" t="str">
        <f t="shared" ref="F250:F252" si="110">IMAGE("https://www.serebii.net/pokedex-bw/type/grass.gif")</f>
        <v/>
      </c>
      <c r="G250" s="24" t="str">
        <f>IMAGE("https://www.serebii.net/pokedex-bw/type/flying.gif")</f>
        <v/>
      </c>
      <c r="H250" s="25" t="s">
        <v>490</v>
      </c>
      <c r="I250" s="26"/>
      <c r="J250" s="5"/>
      <c r="K250" s="27"/>
    </row>
    <row r="251" ht="47.25" customHeight="1">
      <c r="A251" s="22" t="b">
        <v>0</v>
      </c>
      <c r="B251" s="5"/>
      <c r="C251" s="23">
        <v>247.0</v>
      </c>
      <c r="D251" s="23" t="s">
        <v>491</v>
      </c>
      <c r="E251" s="24" t="str">
        <f>IMAGE("https://www.serebii.net/scarletviolet/pokemon/small/753.png")</f>
        <v/>
      </c>
      <c r="F251" s="24" t="str">
        <f t="shared" si="110"/>
        <v/>
      </c>
      <c r="G251" s="24"/>
      <c r="H251" s="25" t="s">
        <v>492</v>
      </c>
      <c r="I251" s="26"/>
      <c r="J251" s="5"/>
      <c r="K251" s="27"/>
    </row>
    <row r="252" ht="47.25" customHeight="1">
      <c r="A252" s="22" t="b">
        <v>0</v>
      </c>
      <c r="B252" s="5"/>
      <c r="C252" s="23">
        <v>248.0</v>
      </c>
      <c r="D252" s="23" t="s">
        <v>493</v>
      </c>
      <c r="E252" s="24" t="str">
        <f>IMAGE("https://www.serebii.net/scarletviolet/pokemon/small/754.png")</f>
        <v/>
      </c>
      <c r="F252" s="24" t="str">
        <f t="shared" si="110"/>
        <v/>
      </c>
      <c r="G252" s="24"/>
      <c r="H252" s="25" t="s">
        <v>494</v>
      </c>
      <c r="I252" s="26"/>
      <c r="J252" s="5"/>
      <c r="K252" s="27"/>
    </row>
    <row r="253" ht="47.25" customHeight="1">
      <c r="A253" s="22" t="b">
        <v>0</v>
      </c>
      <c r="B253" s="5"/>
      <c r="C253" s="23">
        <v>249.0</v>
      </c>
      <c r="D253" s="23" t="s">
        <v>495</v>
      </c>
      <c r="E253" s="24" t="str">
        <f>IMAGE("https://www.serebii.net/scarletviolet/pokemon/small/962.png")</f>
        <v/>
      </c>
      <c r="F253" s="24" t="str">
        <f>IMAGE("https://www.serebii.net/pokedex-bw/type/rock.gif")</f>
        <v/>
      </c>
      <c r="G253" s="24"/>
      <c r="H253" s="25" t="s">
        <v>496</v>
      </c>
      <c r="I253" s="26"/>
      <c r="J253" s="5"/>
      <c r="K253" s="27"/>
    </row>
    <row r="254" ht="47.25" customHeight="1">
      <c r="A254" s="22" t="b">
        <v>0</v>
      </c>
      <c r="B254" s="5"/>
      <c r="C254" s="23">
        <v>250.0</v>
      </c>
      <c r="D254" s="23" t="s">
        <v>497</v>
      </c>
      <c r="E254" s="24" t="str">
        <f>IMAGE("https://www.serebii.net/scarletviolet/pokemon/small/938.png")</f>
        <v/>
      </c>
      <c r="F254" s="24" t="str">
        <f t="shared" ref="F254:F257" si="111">IMAGE("https://www.serebii.net/pokedex-bw/type/grass.gif")</f>
        <v/>
      </c>
      <c r="G254" s="24"/>
      <c r="H254" s="25" t="s">
        <v>498</v>
      </c>
      <c r="I254" s="26"/>
      <c r="J254" s="5"/>
      <c r="K254" s="27"/>
    </row>
    <row r="255" ht="47.25" customHeight="1">
      <c r="A255" s="22" t="b">
        <v>0</v>
      </c>
      <c r="B255" s="5"/>
      <c r="C255" s="23">
        <v>251.0</v>
      </c>
      <c r="D255" s="23" t="s">
        <v>499</v>
      </c>
      <c r="E255" s="24" t="str">
        <f>IMAGE("https://www.serebii.net/scarletviolet/pokemon/small/939.png")</f>
        <v/>
      </c>
      <c r="F255" s="24" t="str">
        <f t="shared" si="111"/>
        <v/>
      </c>
      <c r="G255" s="24" t="str">
        <f>IMAGE("https://www.serebii.net/pokedex-bw/type/fire.gif")</f>
        <v/>
      </c>
      <c r="H255" s="25" t="s">
        <v>500</v>
      </c>
      <c r="I255" s="26"/>
      <c r="J255" s="5"/>
      <c r="K255" s="27"/>
    </row>
    <row r="256" ht="47.25" customHeight="1">
      <c r="A256" s="22" t="b">
        <v>0</v>
      </c>
      <c r="B256" s="5"/>
      <c r="C256" s="23">
        <v>252.0</v>
      </c>
      <c r="D256" s="23" t="s">
        <v>501</v>
      </c>
      <c r="E256" s="24" t="str">
        <f>IMAGE("https://www.serebii.net/scarletviolet/pokemon/small/331.png")</f>
        <v/>
      </c>
      <c r="F256" s="24" t="str">
        <f t="shared" si="111"/>
        <v/>
      </c>
      <c r="G256" s="24"/>
      <c r="H256" s="25" t="s">
        <v>502</v>
      </c>
      <c r="I256" s="26"/>
      <c r="J256" s="5"/>
      <c r="K256" s="27"/>
    </row>
    <row r="257" ht="47.25" customHeight="1">
      <c r="A257" s="22" t="b">
        <v>0</v>
      </c>
      <c r="B257" s="5"/>
      <c r="C257" s="23">
        <v>253.0</v>
      </c>
      <c r="D257" s="23" t="s">
        <v>503</v>
      </c>
      <c r="E257" s="24" t="str">
        <f>IMAGE("https://www.serebii.net/scarletviolet/pokemon/small/332.png")</f>
        <v/>
      </c>
      <c r="F257" s="24" t="str">
        <f t="shared" si="111"/>
        <v/>
      </c>
      <c r="G257" s="24" t="str">
        <f>IMAGE("https://www.serebii.net/pokedex-bw/type/dark.gif")</f>
        <v/>
      </c>
      <c r="H257" s="25" t="s">
        <v>504</v>
      </c>
      <c r="I257" s="26"/>
      <c r="J257" s="5"/>
      <c r="K257" s="27"/>
    </row>
    <row r="258" ht="47.25" customHeight="1">
      <c r="A258" s="22" t="b">
        <v>0</v>
      </c>
      <c r="B258" s="5"/>
      <c r="C258" s="23">
        <v>254.0</v>
      </c>
      <c r="D258" s="23" t="s">
        <v>505</v>
      </c>
      <c r="E258" s="24" t="str">
        <f>IMAGE("https://www.serebii.net/scarletviolet/pokemon/small/922.png")</f>
        <v/>
      </c>
      <c r="F258" s="24" t="str">
        <f t="shared" ref="F258:F266" si="112">IMAGE("https://www.serebii.net/pokedex-bw/type/bug.gif")</f>
        <v/>
      </c>
      <c r="G258" s="24"/>
      <c r="H258" s="25" t="s">
        <v>506</v>
      </c>
      <c r="I258" s="26"/>
      <c r="J258" s="5"/>
      <c r="K258" s="27"/>
    </row>
    <row r="259" ht="47.25" customHeight="1">
      <c r="A259" s="22" t="b">
        <v>0</v>
      </c>
      <c r="B259" s="5"/>
      <c r="C259" s="23">
        <v>255.0</v>
      </c>
      <c r="D259" s="23" t="s">
        <v>507</v>
      </c>
      <c r="E259" s="24" t="str">
        <f>IMAGE("https://www.serebii.net/scarletviolet/pokemon/small/923.png")</f>
        <v/>
      </c>
      <c r="F259" s="24" t="str">
        <f t="shared" si="112"/>
        <v/>
      </c>
      <c r="G259" s="24" t="str">
        <f>IMAGE("https://www.serebii.net/pokedex-bw/type/psychic.gif")</f>
        <v/>
      </c>
      <c r="H259" s="25" t="s">
        <v>508</v>
      </c>
      <c r="I259" s="26"/>
      <c r="J259" s="5"/>
      <c r="K259" s="27"/>
    </row>
    <row r="260" ht="47.25" customHeight="1">
      <c r="A260" s="22" t="b">
        <v>0</v>
      </c>
      <c r="B260" s="5"/>
      <c r="C260" s="23">
        <v>256.0</v>
      </c>
      <c r="D260" s="23" t="s">
        <v>509</v>
      </c>
      <c r="E260" s="24" t="str">
        <f>IMAGE("https://www.serebii.net/scarletviolet/pokemon/small/048.png")</f>
        <v/>
      </c>
      <c r="F260" s="24" t="str">
        <f t="shared" si="112"/>
        <v/>
      </c>
      <c r="G260" s="24" t="str">
        <f t="shared" ref="G260:G261" si="113">IMAGE("https://www.serebii.net/pokedex-bw/type/poison.gif")</f>
        <v/>
      </c>
      <c r="H260" s="25" t="s">
        <v>510</v>
      </c>
      <c r="I260" s="26"/>
      <c r="J260" s="5"/>
      <c r="K260" s="27"/>
    </row>
    <row r="261" ht="47.25" customHeight="1">
      <c r="A261" s="22" t="b">
        <v>0</v>
      </c>
      <c r="B261" s="5"/>
      <c r="C261" s="23">
        <v>257.0</v>
      </c>
      <c r="D261" s="23" t="s">
        <v>511</v>
      </c>
      <c r="E261" s="24" t="str">
        <f>IMAGE("https://www.serebii.net/scarletviolet/pokemon/small/049.png")</f>
        <v/>
      </c>
      <c r="F261" s="24" t="str">
        <f t="shared" si="112"/>
        <v/>
      </c>
      <c r="G261" s="24" t="str">
        <f t="shared" si="113"/>
        <v/>
      </c>
      <c r="H261" s="25" t="s">
        <v>512</v>
      </c>
      <c r="I261" s="26"/>
      <c r="J261" s="5"/>
      <c r="K261" s="27"/>
    </row>
    <row r="262" ht="47.25" customHeight="1">
      <c r="A262" s="22" t="b">
        <v>0</v>
      </c>
      <c r="B262" s="5"/>
      <c r="C262" s="23">
        <v>258.0</v>
      </c>
      <c r="D262" s="23" t="s">
        <v>513</v>
      </c>
      <c r="E262" s="24" t="str">
        <f>IMAGE("https://www.serebii.net/scarletviolet/pokemon/small/204.png")</f>
        <v/>
      </c>
      <c r="F262" s="24" t="str">
        <f t="shared" si="112"/>
        <v/>
      </c>
      <c r="G262" s="24"/>
      <c r="H262" s="25" t="s">
        <v>514</v>
      </c>
      <c r="I262" s="26"/>
      <c r="J262" s="5"/>
      <c r="K262" s="27"/>
    </row>
    <row r="263" ht="47.25" customHeight="1">
      <c r="A263" s="22" t="b">
        <v>0</v>
      </c>
      <c r="B263" s="5"/>
      <c r="C263" s="23">
        <v>259.0</v>
      </c>
      <c r="D263" s="23" t="s">
        <v>515</v>
      </c>
      <c r="E263" s="24" t="str">
        <f>IMAGE("https://www.serebii.net/scarletviolet/pokemon/small/205.png")</f>
        <v/>
      </c>
      <c r="F263" s="24" t="str">
        <f t="shared" si="112"/>
        <v/>
      </c>
      <c r="G263" s="24" t="str">
        <f>IMAGE("https://www.serebii.net/pokedex-bw/type/steel.gif")</f>
        <v/>
      </c>
      <c r="H263" s="25" t="s">
        <v>516</v>
      </c>
      <c r="I263" s="26"/>
      <c r="J263" s="5"/>
      <c r="K263" s="27"/>
    </row>
    <row r="264" ht="47.25" customHeight="1">
      <c r="A264" s="22" t="b">
        <v>0</v>
      </c>
      <c r="B264" s="5"/>
      <c r="C264" s="23">
        <v>260.0</v>
      </c>
      <c r="D264" s="23" t="s">
        <v>517</v>
      </c>
      <c r="E264" s="24" t="str">
        <f>IMAGE("https://www.serebii.net/scarletviolet/pokemon/small/123.png")</f>
        <v/>
      </c>
      <c r="F264" s="24" t="str">
        <f t="shared" si="112"/>
        <v/>
      </c>
      <c r="G264" s="24" t="str">
        <f>IMAGE("https://www.serebii.net/pokedex-bw/type/flying.gif")</f>
        <v/>
      </c>
      <c r="H264" s="25" t="s">
        <v>518</v>
      </c>
      <c r="I264" s="26"/>
      <c r="J264" s="5"/>
      <c r="K264" s="27"/>
    </row>
    <row r="265" ht="47.25" customHeight="1">
      <c r="A265" s="22" t="b">
        <v>0</v>
      </c>
      <c r="B265" s="5"/>
      <c r="C265" s="23">
        <v>261.0</v>
      </c>
      <c r="D265" s="23" t="s">
        <v>519</v>
      </c>
      <c r="E265" s="24" t="str">
        <f>IMAGE("https://www.serebii.net/scarletviolet/pokemon/small/212.png")</f>
        <v/>
      </c>
      <c r="F265" s="24" t="str">
        <f t="shared" si="112"/>
        <v/>
      </c>
      <c r="G265" s="24" t="str">
        <f>IMAGE("https://www.serebii.net/pokedex-bw/type/steel.gif")</f>
        <v/>
      </c>
      <c r="H265" s="25" t="s">
        <v>520</v>
      </c>
      <c r="I265" s="26"/>
      <c r="J265" s="5"/>
      <c r="K265" s="27"/>
    </row>
    <row r="266" ht="47.25" customHeight="1">
      <c r="A266" s="22" t="b">
        <v>0</v>
      </c>
      <c r="B266" s="5"/>
      <c r="C266" s="23">
        <v>262.0</v>
      </c>
      <c r="D266" s="23" t="s">
        <v>521</v>
      </c>
      <c r="E266" s="24" t="str">
        <f>IMAGE("https://www.serebii.net/scarletviolet/pokemon/small/214.png")</f>
        <v/>
      </c>
      <c r="F266" s="24" t="str">
        <f t="shared" si="112"/>
        <v/>
      </c>
      <c r="G266" s="24" t="str">
        <f>IMAGE("https://www.serebii.net/pokedex-bw/type/fighting.gif")</f>
        <v/>
      </c>
      <c r="H266" s="25" t="s">
        <v>522</v>
      </c>
      <c r="I266" s="26"/>
      <c r="J266" s="5"/>
      <c r="K266" s="27"/>
    </row>
    <row r="267" ht="47.25" customHeight="1">
      <c r="A267" s="22" t="b">
        <v>0</v>
      </c>
      <c r="B267" s="5"/>
      <c r="C267" s="23">
        <v>263.0</v>
      </c>
      <c r="D267" s="23" t="s">
        <v>523</v>
      </c>
      <c r="E267" s="24" t="str">
        <f>IMAGE("https://www.serebii.net/scarletviolet/pokemon/small/926.png")</f>
        <v/>
      </c>
      <c r="F267" s="24" t="str">
        <f t="shared" ref="F267:F268" si="114">IMAGE("https://www.serebii.net/pokedex-bw/type/psychic.gif")</f>
        <v/>
      </c>
      <c r="G267" s="24"/>
      <c r="H267" s="25" t="s">
        <v>524</v>
      </c>
      <c r="I267" s="26"/>
      <c r="J267" s="5"/>
      <c r="K267" s="27"/>
    </row>
    <row r="268" ht="47.25" customHeight="1">
      <c r="A268" s="22" t="b">
        <v>0</v>
      </c>
      <c r="B268" s="5"/>
      <c r="C268" s="23">
        <v>264.0</v>
      </c>
      <c r="D268" s="23" t="s">
        <v>525</v>
      </c>
      <c r="E268" s="24" t="str">
        <f>IMAGE("https://www.serebii.net/scarletviolet/pokemon/small/927.png")</f>
        <v/>
      </c>
      <c r="F268" s="24" t="str">
        <f t="shared" si="114"/>
        <v/>
      </c>
      <c r="G268" s="24"/>
      <c r="H268" s="25" t="s">
        <v>526</v>
      </c>
      <c r="I268" s="26"/>
      <c r="J268" s="5"/>
      <c r="K268" s="27"/>
    </row>
    <row r="269" ht="47.25" customHeight="1">
      <c r="A269" s="22" t="b">
        <v>0</v>
      </c>
      <c r="B269" s="5"/>
      <c r="C269" s="23">
        <v>265.0</v>
      </c>
      <c r="D269" s="23" t="s">
        <v>527</v>
      </c>
      <c r="E269" s="24" t="str">
        <f>IMAGE("https://www.serebii.net/scarletviolet/pokemon/small/449.png")</f>
        <v/>
      </c>
      <c r="F269" s="24" t="str">
        <f t="shared" ref="F269:F277" si="115">IMAGE("https://www.serebii.net/pokedex-bw/type/ground.gif")</f>
        <v/>
      </c>
      <c r="G269" s="24"/>
      <c r="H269" s="25" t="s">
        <v>528</v>
      </c>
      <c r="I269" s="26"/>
      <c r="J269" s="5"/>
      <c r="K269" s="27"/>
    </row>
    <row r="270" ht="47.25" customHeight="1">
      <c r="A270" s="22" t="b">
        <v>0</v>
      </c>
      <c r="B270" s="5"/>
      <c r="C270" s="23">
        <v>266.0</v>
      </c>
      <c r="D270" s="23" t="s">
        <v>529</v>
      </c>
      <c r="E270" s="24" t="str">
        <f>IMAGE("https://www.serebii.net/scarletviolet/pokemon/small/450.png")</f>
        <v/>
      </c>
      <c r="F270" s="24" t="str">
        <f t="shared" si="115"/>
        <v/>
      </c>
      <c r="G270" s="24"/>
      <c r="H270" s="25" t="s">
        <v>530</v>
      </c>
      <c r="I270" s="26"/>
      <c r="J270" s="5"/>
      <c r="K270" s="27"/>
    </row>
    <row r="271" ht="47.25" customHeight="1">
      <c r="A271" s="22" t="b">
        <v>0</v>
      </c>
      <c r="B271" s="5"/>
      <c r="C271" s="23">
        <v>267.0</v>
      </c>
      <c r="D271" s="23" t="s">
        <v>531</v>
      </c>
      <c r="E271" s="24" t="str">
        <f>IMAGE("https://www.serebii.net/scarletviolet/pokemon/small/551.png")</f>
        <v/>
      </c>
      <c r="F271" s="24" t="str">
        <f t="shared" si="115"/>
        <v/>
      </c>
      <c r="G271" s="24" t="str">
        <f t="shared" ref="G271:G273" si="116">IMAGE("https://www.serebii.net/pokedex-bw/type/dark.gif")</f>
        <v/>
      </c>
      <c r="H271" s="25" t="s">
        <v>502</v>
      </c>
      <c r="I271" s="26"/>
      <c r="J271" s="5"/>
      <c r="K271" s="27"/>
    </row>
    <row r="272" ht="47.25" customHeight="1">
      <c r="A272" s="22" t="b">
        <v>0</v>
      </c>
      <c r="B272" s="5"/>
      <c r="C272" s="23">
        <v>268.0</v>
      </c>
      <c r="D272" s="23" t="s">
        <v>532</v>
      </c>
      <c r="E272" s="24" t="str">
        <f>IMAGE("https://www.serebii.net/scarletviolet/pokemon/small/552.png")</f>
        <v/>
      </c>
      <c r="F272" s="24" t="str">
        <f t="shared" si="115"/>
        <v/>
      </c>
      <c r="G272" s="24" t="str">
        <f t="shared" si="116"/>
        <v/>
      </c>
      <c r="H272" s="25" t="s">
        <v>533</v>
      </c>
      <c r="I272" s="26"/>
      <c r="J272" s="5"/>
      <c r="K272" s="27"/>
    </row>
    <row r="273" ht="47.25" customHeight="1">
      <c r="A273" s="22" t="b">
        <v>0</v>
      </c>
      <c r="B273" s="5"/>
      <c r="C273" s="23">
        <v>269.0</v>
      </c>
      <c r="D273" s="23" t="s">
        <v>534</v>
      </c>
      <c r="E273" s="24" t="str">
        <f>IMAGE("https://www.serebii.net/scarletviolet/pokemon/small/553.png")</f>
        <v/>
      </c>
      <c r="F273" s="24" t="str">
        <f t="shared" si="115"/>
        <v/>
      </c>
      <c r="G273" s="24" t="str">
        <f t="shared" si="116"/>
        <v/>
      </c>
      <c r="H273" s="25" t="s">
        <v>535</v>
      </c>
      <c r="I273" s="26"/>
      <c r="J273" s="5"/>
      <c r="K273" s="27"/>
    </row>
    <row r="274" ht="47.25" customHeight="1">
      <c r="A274" s="22" t="b">
        <v>0</v>
      </c>
      <c r="B274" s="5"/>
      <c r="C274" s="23">
        <v>270.0</v>
      </c>
      <c r="D274" s="23" t="s">
        <v>536</v>
      </c>
      <c r="E274" s="24" t="str">
        <f>IMAGE("https://www.serebii.net/scarletviolet/pokemon/small/843.png")</f>
        <v/>
      </c>
      <c r="F274" s="24" t="str">
        <f t="shared" si="115"/>
        <v/>
      </c>
      <c r="G274" s="24"/>
      <c r="H274" s="25" t="s">
        <v>537</v>
      </c>
      <c r="I274" s="26"/>
      <c r="J274" s="5"/>
      <c r="K274" s="27"/>
    </row>
    <row r="275" ht="47.25" customHeight="1">
      <c r="A275" s="22" t="b">
        <v>0</v>
      </c>
      <c r="B275" s="5"/>
      <c r="C275" s="23">
        <v>271.0</v>
      </c>
      <c r="D275" s="23" t="s">
        <v>538</v>
      </c>
      <c r="E275" s="24" t="str">
        <f>IMAGE("https://www.serebii.net/scarletviolet/pokemon/small/844.png")</f>
        <v/>
      </c>
      <c r="F275" s="24" t="str">
        <f t="shared" si="115"/>
        <v/>
      </c>
      <c r="G275" s="24"/>
      <c r="H275" s="25" t="s">
        <v>539</v>
      </c>
      <c r="I275" s="26"/>
      <c r="J275" s="5"/>
      <c r="K275" s="27"/>
    </row>
    <row r="276" ht="47.25" customHeight="1">
      <c r="A276" s="22" t="b">
        <v>0</v>
      </c>
      <c r="B276" s="5"/>
      <c r="C276" s="23">
        <v>272.0</v>
      </c>
      <c r="D276" s="23" t="s">
        <v>540</v>
      </c>
      <c r="E276" s="24" t="str">
        <f>IMAGE("https://www.serebii.net/scarletviolet/pokemon/small/749.png")</f>
        <v/>
      </c>
      <c r="F276" s="24" t="str">
        <f t="shared" si="115"/>
        <v/>
      </c>
      <c r="G276" s="24"/>
      <c r="H276" s="25" t="s">
        <v>541</v>
      </c>
      <c r="I276" s="26"/>
      <c r="J276" s="5"/>
      <c r="K276" s="27"/>
    </row>
    <row r="277" ht="47.25" customHeight="1">
      <c r="A277" s="22" t="b">
        <v>0</v>
      </c>
      <c r="B277" s="5"/>
      <c r="C277" s="23">
        <v>273.0</v>
      </c>
      <c r="D277" s="23" t="s">
        <v>542</v>
      </c>
      <c r="E277" s="24" t="str">
        <f>IMAGE("https://www.serebii.net/scarletviolet/pokemon/small/750.png")</f>
        <v/>
      </c>
      <c r="F277" s="24" t="str">
        <f t="shared" si="115"/>
        <v/>
      </c>
      <c r="G277" s="24"/>
      <c r="H277" s="25" t="s">
        <v>543</v>
      </c>
      <c r="I277" s="26"/>
      <c r="J277" s="5"/>
      <c r="K277" s="27"/>
    </row>
    <row r="278" ht="47.25" customHeight="1">
      <c r="A278" s="22" t="b">
        <v>0</v>
      </c>
      <c r="B278" s="5"/>
      <c r="C278" s="23">
        <v>274.0</v>
      </c>
      <c r="D278" s="23" t="s">
        <v>544</v>
      </c>
      <c r="E278" s="24" t="str">
        <f>IMAGE("https://www.serebii.net/scarletviolet/pokemon/small/636.png")</f>
        <v/>
      </c>
      <c r="F278" s="24" t="str">
        <f t="shared" ref="F278:F279" si="117">IMAGE("https://www.serebii.net/pokedex-bw/type/bug.gif")</f>
        <v/>
      </c>
      <c r="G278" s="24" t="str">
        <f t="shared" ref="G278:G279" si="118">IMAGE("https://www.serebii.net/pokedex-bw/type/fire.gif")</f>
        <v/>
      </c>
      <c r="H278" s="25" t="s">
        <v>302</v>
      </c>
      <c r="I278" s="26"/>
      <c r="J278" s="5"/>
      <c r="K278" s="27"/>
    </row>
    <row r="279" ht="47.25" customHeight="1">
      <c r="A279" s="22" t="b">
        <v>0</v>
      </c>
      <c r="B279" s="5"/>
      <c r="C279" s="23">
        <v>275.0</v>
      </c>
      <c r="D279" s="23" t="s">
        <v>545</v>
      </c>
      <c r="E279" s="24" t="str">
        <f>IMAGE("https://www.serebii.net/scarletviolet/pokemon/small/637.png")</f>
        <v/>
      </c>
      <c r="F279" s="24" t="str">
        <f t="shared" si="117"/>
        <v/>
      </c>
      <c r="G279" s="24" t="str">
        <f t="shared" si="118"/>
        <v/>
      </c>
      <c r="H279" s="25" t="s">
        <v>262</v>
      </c>
      <c r="I279" s="26"/>
      <c r="J279" s="5"/>
      <c r="K279" s="27"/>
    </row>
    <row r="280" ht="47.25" customHeight="1">
      <c r="A280" s="22" t="b">
        <v>0</v>
      </c>
      <c r="B280" s="5"/>
      <c r="C280" s="23">
        <v>276.0</v>
      </c>
      <c r="D280" s="23" t="s">
        <v>546</v>
      </c>
      <c r="E280" s="24" t="str">
        <f>IMAGE("https://www.serebii.net/scarletviolet/pokemon/small/371.png")</f>
        <v/>
      </c>
      <c r="F280" s="24" t="str">
        <f t="shared" ref="F280:F282" si="119">IMAGE("https://www.serebii.net/pokedex-bw/type/dragon.gif")</f>
        <v/>
      </c>
      <c r="G280" s="24"/>
      <c r="H280" s="25" t="s">
        <v>547</v>
      </c>
      <c r="I280" s="26"/>
      <c r="J280" s="5"/>
      <c r="K280" s="27"/>
    </row>
    <row r="281" ht="47.25" customHeight="1">
      <c r="A281" s="22" t="b">
        <v>0</v>
      </c>
      <c r="B281" s="5"/>
      <c r="C281" s="23">
        <v>277.0</v>
      </c>
      <c r="D281" s="23" t="s">
        <v>548</v>
      </c>
      <c r="E281" s="24" t="str">
        <f>IMAGE("https://www.serebii.net/scarletviolet/pokemon/small/372.png")</f>
        <v/>
      </c>
      <c r="F281" s="24" t="str">
        <f t="shared" si="119"/>
        <v/>
      </c>
      <c r="G281" s="24"/>
      <c r="H281" s="25" t="s">
        <v>549</v>
      </c>
      <c r="I281" s="26"/>
      <c r="J281" s="5"/>
      <c r="K281" s="27"/>
    </row>
    <row r="282" ht="47.25" customHeight="1">
      <c r="A282" s="22" t="b">
        <v>0</v>
      </c>
      <c r="B282" s="5"/>
      <c r="C282" s="23">
        <v>278.0</v>
      </c>
      <c r="D282" s="23" t="s">
        <v>550</v>
      </c>
      <c r="E282" s="24" t="str">
        <f>IMAGE("https://www.serebii.net/scarletviolet/pokemon/small/373.png")</f>
        <v/>
      </c>
      <c r="F282" s="24" t="str">
        <f t="shared" si="119"/>
        <v/>
      </c>
      <c r="G282" s="24" t="str">
        <f>IMAGE("https://www.serebii.net/pokedex-bw/type/flying.gif")</f>
        <v/>
      </c>
      <c r="H282" s="25" t="s">
        <v>551</v>
      </c>
      <c r="I282" s="26"/>
      <c r="J282" s="5"/>
      <c r="K282" s="27"/>
    </row>
    <row r="283" ht="47.25" customHeight="1">
      <c r="A283" s="22" t="b">
        <v>0</v>
      </c>
      <c r="B283" s="5"/>
      <c r="C283" s="23">
        <v>279.0</v>
      </c>
      <c r="D283" s="23" t="s">
        <v>552</v>
      </c>
      <c r="E283" s="24" t="str">
        <f>IMAGE("https://www.serebii.net/scarletviolet/pokemon/small/1000.png")</f>
        <v/>
      </c>
      <c r="F283" s="24" t="str">
        <f t="shared" ref="F283:F285" si="120">IMAGE("https://www.serebii.net/pokedex-bw/type/fairy.gif")</f>
        <v/>
      </c>
      <c r="G283" s="24" t="str">
        <f t="shared" ref="G283:G285" si="121">IMAGE("https://www.serebii.net/pokedex-bw/type/steel.gif")</f>
        <v/>
      </c>
      <c r="H283" s="25" t="s">
        <v>553</v>
      </c>
      <c r="I283" s="26"/>
      <c r="J283" s="5"/>
      <c r="K283" s="27"/>
    </row>
    <row r="284" ht="47.25" customHeight="1">
      <c r="A284" s="22" t="b">
        <v>0</v>
      </c>
      <c r="B284" s="5"/>
      <c r="C284" s="23">
        <v>280.0</v>
      </c>
      <c r="D284" s="23" t="s">
        <v>554</v>
      </c>
      <c r="E284" s="24" t="str">
        <f>IMAGE("https://www.serebii.net/scarletviolet/pokemon/small/1001.png")</f>
        <v/>
      </c>
      <c r="F284" s="24" t="str">
        <f t="shared" si="120"/>
        <v/>
      </c>
      <c r="G284" s="24" t="str">
        <f t="shared" si="121"/>
        <v/>
      </c>
      <c r="H284" s="25" t="s">
        <v>555</v>
      </c>
      <c r="I284" s="26"/>
      <c r="J284" s="5"/>
      <c r="K284" s="27"/>
    </row>
    <row r="285" ht="47.25" customHeight="1">
      <c r="A285" s="22" t="b">
        <v>0</v>
      </c>
      <c r="B285" s="5"/>
      <c r="C285" s="23">
        <v>281.0</v>
      </c>
      <c r="D285" s="23" t="s">
        <v>556</v>
      </c>
      <c r="E285" s="24" t="str">
        <f>IMAGE("https://www.serebii.net/scarletviolet/pokemon/small/1002.png")</f>
        <v/>
      </c>
      <c r="F285" s="24" t="str">
        <f t="shared" si="120"/>
        <v/>
      </c>
      <c r="G285" s="24" t="str">
        <f t="shared" si="121"/>
        <v/>
      </c>
      <c r="H285" s="25" t="s">
        <v>557</v>
      </c>
      <c r="I285" s="26"/>
      <c r="J285" s="5"/>
      <c r="K285" s="27"/>
    </row>
    <row r="286" ht="47.25" customHeight="1">
      <c r="A286" s="22" t="b">
        <v>0</v>
      </c>
      <c r="B286" s="5"/>
      <c r="C286" s="23">
        <v>282.0</v>
      </c>
      <c r="D286" s="23" t="s">
        <v>558</v>
      </c>
      <c r="E286" s="24" t="str">
        <f>IMAGE("https://www.serebii.net/scarletviolet/pokemon/small/856.png")</f>
        <v/>
      </c>
      <c r="F286" s="24" t="str">
        <f t="shared" ref="F286:F288" si="122">IMAGE("https://www.serebii.net/pokedex-bw/type/psychic.gif")</f>
        <v/>
      </c>
      <c r="G286" s="24"/>
      <c r="H286" s="25" t="s">
        <v>559</v>
      </c>
      <c r="I286" s="26"/>
      <c r="J286" s="5"/>
      <c r="K286" s="27"/>
    </row>
    <row r="287" ht="47.25" customHeight="1">
      <c r="A287" s="22" t="b">
        <v>0</v>
      </c>
      <c r="B287" s="5"/>
      <c r="C287" s="23">
        <v>283.0</v>
      </c>
      <c r="D287" s="23" t="s">
        <v>560</v>
      </c>
      <c r="E287" s="24" t="str">
        <f>IMAGE("https://www.serebii.net/scarletviolet/pokemon/small/857.png")</f>
        <v/>
      </c>
      <c r="F287" s="24" t="str">
        <f t="shared" si="122"/>
        <v/>
      </c>
      <c r="G287" s="24"/>
      <c r="H287" s="25" t="s">
        <v>561</v>
      </c>
      <c r="I287" s="26"/>
      <c r="J287" s="5"/>
      <c r="K287" s="27"/>
    </row>
    <row r="288" ht="47.25" customHeight="1">
      <c r="A288" s="22" t="b">
        <v>0</v>
      </c>
      <c r="B288" s="5"/>
      <c r="C288" s="23">
        <v>284.0</v>
      </c>
      <c r="D288" s="23" t="s">
        <v>562</v>
      </c>
      <c r="E288" s="24" t="str">
        <f>IMAGE("https://www.serebii.net/scarletviolet/pokemon/small/858.png")</f>
        <v/>
      </c>
      <c r="F288" s="24" t="str">
        <f t="shared" si="122"/>
        <v/>
      </c>
      <c r="G288" s="24" t="str">
        <f t="shared" ref="G288:G291" si="123">IMAGE("https://www.serebii.net/pokedex-bw/type/fairy.gif")</f>
        <v/>
      </c>
      <c r="H288" s="25" t="s">
        <v>563</v>
      </c>
      <c r="I288" s="26"/>
      <c r="J288" s="5"/>
      <c r="K288" s="27"/>
    </row>
    <row r="289" ht="47.25" customHeight="1">
      <c r="A289" s="22" t="b">
        <v>0</v>
      </c>
      <c r="B289" s="5"/>
      <c r="C289" s="23">
        <v>285.0</v>
      </c>
      <c r="D289" s="23" t="s">
        <v>564</v>
      </c>
      <c r="E289" s="24" t="str">
        <f>IMAGE("https://www.serebii.net/scarletviolet/pokemon/small/859.png")</f>
        <v/>
      </c>
      <c r="F289" s="24" t="str">
        <f t="shared" ref="F289:F291" si="124">IMAGE("https://www.serebii.net/pokedex-bw/type/dark.gif")</f>
        <v/>
      </c>
      <c r="G289" s="24" t="str">
        <f t="shared" si="123"/>
        <v/>
      </c>
      <c r="H289" s="25" t="s">
        <v>565</v>
      </c>
      <c r="I289" s="26"/>
      <c r="J289" s="5"/>
      <c r="K289" s="27"/>
    </row>
    <row r="290" ht="47.25" customHeight="1">
      <c r="A290" s="22" t="b">
        <v>0</v>
      </c>
      <c r="B290" s="5"/>
      <c r="C290" s="23">
        <v>286.0</v>
      </c>
      <c r="D290" s="23" t="s">
        <v>566</v>
      </c>
      <c r="E290" s="24" t="str">
        <f>IMAGE("https://www.serebii.net/scarletviolet/pokemon/small/860.png")</f>
        <v/>
      </c>
      <c r="F290" s="24" t="str">
        <f t="shared" si="124"/>
        <v/>
      </c>
      <c r="G290" s="24" t="str">
        <f t="shared" si="123"/>
        <v/>
      </c>
      <c r="H290" s="25" t="s">
        <v>567</v>
      </c>
      <c r="I290" s="26"/>
      <c r="J290" s="5"/>
      <c r="K290" s="27"/>
    </row>
    <row r="291" ht="47.25" customHeight="1">
      <c r="A291" s="22" t="b">
        <v>0</v>
      </c>
      <c r="B291" s="5"/>
      <c r="C291" s="23">
        <v>287.0</v>
      </c>
      <c r="D291" s="23" t="s">
        <v>568</v>
      </c>
      <c r="E291" s="24" t="str">
        <f>IMAGE("https://www.serebii.net/scarletviolet/pokemon/small/861.png")</f>
        <v/>
      </c>
      <c r="F291" s="24" t="str">
        <f t="shared" si="124"/>
        <v/>
      </c>
      <c r="G291" s="24" t="str">
        <f t="shared" si="123"/>
        <v/>
      </c>
      <c r="H291" s="25" t="s">
        <v>569</v>
      </c>
      <c r="I291" s="26"/>
      <c r="J291" s="5"/>
      <c r="K291" s="27"/>
    </row>
    <row r="292" ht="47.25" customHeight="1">
      <c r="A292" s="22" t="b">
        <v>0</v>
      </c>
      <c r="B292" s="5"/>
      <c r="C292" s="23">
        <v>288.0</v>
      </c>
      <c r="D292" s="23" t="s">
        <v>570</v>
      </c>
      <c r="E292" s="24" t="str">
        <f>IMAGE("https://www.serebii.net/scarletviolet/pokemon/small/929.png")</f>
        <v/>
      </c>
      <c r="F292" s="24" t="str">
        <f t="shared" ref="F292:F293" si="125">IMAGE("https://www.serebii.net/pokedex-bw/type/water.gif")</f>
        <v/>
      </c>
      <c r="G292" s="24"/>
      <c r="H292" s="25" t="s">
        <v>571</v>
      </c>
      <c r="I292" s="26"/>
      <c r="J292" s="5"/>
      <c r="K292" s="27"/>
    </row>
    <row r="293" ht="47.25" customHeight="1">
      <c r="A293" s="22" t="b">
        <v>0</v>
      </c>
      <c r="B293" s="5"/>
      <c r="C293" s="23">
        <v>289.0</v>
      </c>
      <c r="D293" s="23" t="s">
        <v>572</v>
      </c>
      <c r="E293" s="24" t="str">
        <f>IMAGE("https://www.serebii.net/scarletviolet/pokemon/small/930.png")</f>
        <v/>
      </c>
      <c r="F293" s="24" t="str">
        <f t="shared" si="125"/>
        <v/>
      </c>
      <c r="G293" s="24"/>
      <c r="H293" s="25" t="s">
        <v>573</v>
      </c>
      <c r="I293" s="26"/>
      <c r="J293" s="5"/>
      <c r="K293" s="27"/>
    </row>
    <row r="294" ht="47.25" customHeight="1">
      <c r="A294" s="22" t="b">
        <v>0</v>
      </c>
      <c r="B294" s="5"/>
      <c r="C294" s="23">
        <v>290.0</v>
      </c>
      <c r="D294" s="23" t="s">
        <v>574</v>
      </c>
      <c r="E294" s="24" t="str">
        <f>IMAGE("https://www.serebii.net/scarletviolet/pokemon/small/959.png")</f>
        <v/>
      </c>
      <c r="F294" s="24" t="str">
        <f>IMAGE("https://www.serebii.net/pokedex-bw/type/flying.gif")</f>
        <v/>
      </c>
      <c r="G294" s="24" t="str">
        <f>IMAGE("https://www.serebii.net/pokedex-bw/type/dark.gif")</f>
        <v/>
      </c>
      <c r="H294" s="25" t="s">
        <v>575</v>
      </c>
      <c r="I294" s="26"/>
      <c r="J294" s="5"/>
      <c r="K294" s="27"/>
    </row>
    <row r="295" ht="47.25" customHeight="1">
      <c r="A295" s="22" t="b">
        <v>0</v>
      </c>
      <c r="B295" s="5"/>
      <c r="C295" s="23">
        <v>291.0</v>
      </c>
      <c r="D295" s="23" t="s">
        <v>576</v>
      </c>
      <c r="E295" s="24" t="str">
        <f>IMAGE("https://www.serebii.net/scarletviolet/pokemon/small/933.png")</f>
        <v/>
      </c>
      <c r="F295" s="24" t="str">
        <f t="shared" ref="F295:F296" si="126">IMAGE("https://www.serebii.net/pokedex-bw/type/water.gif")</f>
        <v/>
      </c>
      <c r="G295" s="24"/>
      <c r="H295" s="25" t="s">
        <v>577</v>
      </c>
      <c r="I295" s="26"/>
      <c r="J295" s="5"/>
      <c r="K295" s="27"/>
    </row>
    <row r="296" ht="47.25" customHeight="1">
      <c r="A296" s="22" t="b">
        <v>0</v>
      </c>
      <c r="B296" s="5"/>
      <c r="C296" s="23">
        <v>292.0</v>
      </c>
      <c r="D296" s="23" t="s">
        <v>578</v>
      </c>
      <c r="E296" s="24" t="str">
        <f>IMAGE("https://www.serebii.net/scarletviolet/pokemon/small/934.png")</f>
        <v/>
      </c>
      <c r="F296" s="24" t="str">
        <f t="shared" si="126"/>
        <v/>
      </c>
      <c r="G296" s="24"/>
      <c r="H296" s="25" t="s">
        <v>579</v>
      </c>
      <c r="I296" s="26"/>
      <c r="J296" s="5"/>
      <c r="K296" s="27"/>
    </row>
    <row r="297" ht="47.25" customHeight="1">
      <c r="A297" s="22" t="b">
        <v>0</v>
      </c>
      <c r="B297" s="5"/>
      <c r="C297" s="23">
        <v>293.0</v>
      </c>
      <c r="D297" s="23" t="s">
        <v>580</v>
      </c>
      <c r="E297" s="24" t="str">
        <f>IMAGE("https://www.serebii.net/scarletviolet/pokemon/small/942.png")</f>
        <v/>
      </c>
      <c r="F297" s="24" t="str">
        <f t="shared" ref="F297:F298" si="127">IMAGE("https://www.serebii.net/pokedex-bw/type/steel.gif")</f>
        <v/>
      </c>
      <c r="G297" s="24" t="str">
        <f t="shared" ref="G297:G298" si="128">IMAGE("https://www.serebii.net/pokedex-bw/type/poison.gif")</f>
        <v/>
      </c>
      <c r="H297" s="25" t="s">
        <v>581</v>
      </c>
      <c r="I297" s="26"/>
      <c r="J297" s="5"/>
      <c r="K297" s="27"/>
    </row>
    <row r="298" ht="47.25" customHeight="1">
      <c r="A298" s="22" t="b">
        <v>0</v>
      </c>
      <c r="B298" s="5"/>
      <c r="C298" s="23">
        <v>294.0</v>
      </c>
      <c r="D298" s="23" t="s">
        <v>582</v>
      </c>
      <c r="E298" s="24" t="str">
        <f>IMAGE("https://www.serebii.net/scarletviolet/pokemon/small/943.png")</f>
        <v/>
      </c>
      <c r="F298" s="24" t="str">
        <f t="shared" si="127"/>
        <v/>
      </c>
      <c r="G298" s="24" t="str">
        <f t="shared" si="128"/>
        <v/>
      </c>
      <c r="H298" s="25" t="s">
        <v>583</v>
      </c>
      <c r="I298" s="26"/>
      <c r="J298" s="5"/>
      <c r="K298" s="27"/>
    </row>
    <row r="299" ht="47.25" customHeight="1">
      <c r="A299" s="22" t="b">
        <v>0</v>
      </c>
      <c r="B299" s="5"/>
      <c r="C299" s="23">
        <v>295.0</v>
      </c>
      <c r="D299" s="23" t="s">
        <v>584</v>
      </c>
      <c r="E299" s="24" t="str">
        <f>IMAGE("https://www.serebii.net/scarletviolet/pokemon/small/953.png")</f>
        <v/>
      </c>
      <c r="F299" s="24" t="str">
        <f>IMAGE("https://www.serebii.net/pokedex-bw/type/dragon.gif")</f>
        <v/>
      </c>
      <c r="G299" s="24" t="str">
        <f>IMAGE("https://www.serebii.net/pokedex-bw/type/normal.gif")</f>
        <v/>
      </c>
      <c r="H299" s="25" t="s">
        <v>585</v>
      </c>
      <c r="I299" s="26"/>
      <c r="J299" s="5"/>
      <c r="K299" s="27"/>
    </row>
    <row r="300" ht="47.25" customHeight="1">
      <c r="A300" s="22" t="b">
        <v>0</v>
      </c>
      <c r="B300" s="5"/>
      <c r="C300" s="23">
        <v>296.0</v>
      </c>
      <c r="D300" s="23" t="s">
        <v>586</v>
      </c>
      <c r="E300" s="24" t="str">
        <f>IMAGE("https://www.serebii.net/scarletviolet/pokemon/small/944.png")</f>
        <v/>
      </c>
      <c r="F300" s="24" t="str">
        <f>IMAGE("https://www.serebii.net/pokedex-bw/type/steel.gif")</f>
        <v/>
      </c>
      <c r="G300" s="24"/>
      <c r="H300" s="25" t="s">
        <v>587</v>
      </c>
      <c r="I300" s="26"/>
      <c r="J300" s="5"/>
      <c r="K300" s="27"/>
    </row>
    <row r="301" ht="47.25" customHeight="1">
      <c r="A301" s="22" t="b">
        <v>0</v>
      </c>
      <c r="B301" s="5"/>
      <c r="C301" s="23">
        <v>297.0</v>
      </c>
      <c r="D301" s="23" t="s">
        <v>588</v>
      </c>
      <c r="E301" s="24" t="str">
        <f>IMAGE("https://www.serebii.net/scarletviolet/pokemon/small/302.png")</f>
        <v/>
      </c>
      <c r="F301" s="24" t="str">
        <f>IMAGE("https://www.serebii.net/pokedex-bw/type/dark.gif")</f>
        <v/>
      </c>
      <c r="G301" s="24" t="str">
        <f>IMAGE("https://www.serebii.net/pokedex-bw/type/ghost.gif")</f>
        <v/>
      </c>
      <c r="H301" s="25" t="s">
        <v>589</v>
      </c>
      <c r="I301" s="26"/>
      <c r="J301" s="5"/>
      <c r="K301" s="27"/>
    </row>
    <row r="302" ht="47.25" customHeight="1">
      <c r="A302" s="22" t="b">
        <v>0</v>
      </c>
      <c r="B302" s="5"/>
      <c r="C302" s="23">
        <v>298.0</v>
      </c>
      <c r="D302" s="23" t="s">
        <v>590</v>
      </c>
      <c r="E302" s="24" t="str">
        <f>IMAGE("https://www.serebii.net/scarletviolet/pokemon/small/353.png")</f>
        <v/>
      </c>
      <c r="F302" s="24" t="str">
        <f t="shared" ref="F302:F303" si="129">IMAGE("https://www.serebii.net/pokedex-bw/type/ghost.gif")</f>
        <v/>
      </c>
      <c r="G302" s="24"/>
      <c r="H302" s="25" t="s">
        <v>591</v>
      </c>
      <c r="I302" s="26"/>
      <c r="J302" s="5"/>
      <c r="K302" s="27"/>
    </row>
    <row r="303" ht="47.25" customHeight="1">
      <c r="A303" s="22" t="b">
        <v>0</v>
      </c>
      <c r="B303" s="5"/>
      <c r="C303" s="23">
        <v>299.0</v>
      </c>
      <c r="D303" s="23" t="s">
        <v>592</v>
      </c>
      <c r="E303" s="24" t="str">
        <f>IMAGE("https://www.serebii.net/scarletviolet/pokemon/small/354.png")</f>
        <v/>
      </c>
      <c r="F303" s="24" t="str">
        <f t="shared" si="129"/>
        <v/>
      </c>
      <c r="G303" s="24"/>
      <c r="H303" s="25" t="s">
        <v>593</v>
      </c>
      <c r="I303" s="26"/>
      <c r="J303" s="5"/>
      <c r="K303" s="27"/>
    </row>
    <row r="304" ht="47.25" customHeight="1">
      <c r="A304" s="22" t="b">
        <v>0</v>
      </c>
      <c r="B304" s="5"/>
      <c r="C304" s="23">
        <v>300.0</v>
      </c>
      <c r="D304" s="23" t="s">
        <v>594</v>
      </c>
      <c r="E304" s="24" t="str">
        <f>IMAGE("https://www.serebii.net/scarletviolet/pokemon/small/870.png")</f>
        <v/>
      </c>
      <c r="F304" s="24" t="str">
        <f t="shared" ref="F304:F305" si="130">IMAGE("https://www.serebii.net/pokedex-bw/type/fighting.gif")</f>
        <v/>
      </c>
      <c r="G304" s="24"/>
      <c r="H304" s="25" t="s">
        <v>595</v>
      </c>
      <c r="I304" s="26"/>
      <c r="J304" s="5"/>
      <c r="K304" s="27"/>
    </row>
    <row r="305" ht="47.25" customHeight="1">
      <c r="A305" s="22" t="b">
        <v>0</v>
      </c>
      <c r="B305" s="5"/>
      <c r="C305" s="23">
        <v>301.0</v>
      </c>
      <c r="D305" s="23" t="s">
        <v>596</v>
      </c>
      <c r="E305" s="24" t="str">
        <f>IMAGE("https://www.serebii.net/scarletviolet/pokemon/small/701.png")</f>
        <v/>
      </c>
      <c r="F305" s="24" t="str">
        <f t="shared" si="130"/>
        <v/>
      </c>
      <c r="G305" s="24" t="str">
        <f>IMAGE("https://www.serebii.net/pokedex-bw/type/flying.gif")</f>
        <v/>
      </c>
      <c r="H305" s="25" t="s">
        <v>597</v>
      </c>
      <c r="I305" s="26"/>
      <c r="J305" s="5"/>
      <c r="K305" s="27"/>
    </row>
    <row r="306" ht="47.25" customHeight="1">
      <c r="A306" s="22" t="b">
        <v>0</v>
      </c>
      <c r="B306" s="5"/>
      <c r="C306" s="23">
        <v>302.0</v>
      </c>
      <c r="D306" s="23" t="s">
        <v>598</v>
      </c>
      <c r="E306" s="24" t="str">
        <f>IMAGE("https://www.serebii.net/scarletviolet/pokemon/small/442.png")</f>
        <v/>
      </c>
      <c r="F306" s="24" t="str">
        <f>IMAGE("https://www.serebii.net/pokedex-bw/type/ghost.gif")</f>
        <v/>
      </c>
      <c r="G306" s="24" t="str">
        <f>IMAGE("https://www.serebii.net/pokedex-bw/type/dark.gif")</f>
        <v/>
      </c>
      <c r="H306" s="25" t="s">
        <v>599</v>
      </c>
      <c r="I306" s="26"/>
      <c r="J306" s="5"/>
      <c r="K306" s="27"/>
    </row>
    <row r="307" ht="47.25" customHeight="1">
      <c r="A307" s="22" t="b">
        <v>0</v>
      </c>
      <c r="B307" s="5"/>
      <c r="C307" s="23">
        <v>303.0</v>
      </c>
      <c r="D307" s="23" t="s">
        <v>600</v>
      </c>
      <c r="E307" s="24" t="str">
        <f>IMAGE("https://www.serebii.net/scarletviolet/pokemon/small/714.png")</f>
        <v/>
      </c>
      <c r="F307" s="24" t="str">
        <f t="shared" ref="F307:F308" si="131">IMAGE("https://www.serebii.net/pokedex-bw/type/flying.gif")</f>
        <v/>
      </c>
      <c r="G307" s="24" t="str">
        <f t="shared" ref="G307:G308" si="132">IMAGE("https://www.serebii.net/pokedex-bw/type/dragon.gif")</f>
        <v/>
      </c>
      <c r="H307" s="25" t="s">
        <v>601</v>
      </c>
      <c r="I307" s="26"/>
      <c r="J307" s="5"/>
      <c r="K307" s="27"/>
    </row>
    <row r="308" ht="47.25" customHeight="1">
      <c r="A308" s="22" t="b">
        <v>0</v>
      </c>
      <c r="B308" s="5"/>
      <c r="C308" s="23">
        <v>304.0</v>
      </c>
      <c r="D308" s="23" t="s">
        <v>602</v>
      </c>
      <c r="E308" s="24" t="str">
        <f>IMAGE("https://www.serebii.net/scarletviolet/pokemon/small/715.png")</f>
        <v/>
      </c>
      <c r="F308" s="24" t="str">
        <f t="shared" si="131"/>
        <v/>
      </c>
      <c r="G308" s="24" t="str">
        <f t="shared" si="132"/>
        <v/>
      </c>
      <c r="H308" s="25" t="s">
        <v>603</v>
      </c>
      <c r="I308" s="26"/>
      <c r="J308" s="5"/>
      <c r="K308" s="27"/>
    </row>
    <row r="309" ht="47.25" customHeight="1">
      <c r="A309" s="22" t="b">
        <v>0</v>
      </c>
      <c r="B309" s="5"/>
      <c r="C309" s="23">
        <v>305.0</v>
      </c>
      <c r="D309" s="23" t="s">
        <v>604</v>
      </c>
      <c r="E309" s="24" t="str">
        <f>IMAGE("https://www.serebii.net/scarletviolet/pokemon/small/885.png")</f>
        <v/>
      </c>
      <c r="F309" s="24" t="str">
        <f t="shared" ref="F309:F311" si="133">IMAGE("https://www.serebii.net/pokedex-bw/type/dragon.gif")</f>
        <v/>
      </c>
      <c r="G309" s="24" t="str">
        <f t="shared" ref="G309:G311" si="134">IMAGE("https://www.serebii.net/pokedex-bw/type/ghost.gif")</f>
        <v/>
      </c>
      <c r="H309" s="25" t="s">
        <v>605</v>
      </c>
      <c r="I309" s="26"/>
      <c r="J309" s="5"/>
      <c r="K309" s="27"/>
    </row>
    <row r="310" ht="47.25" customHeight="1">
      <c r="A310" s="22" t="b">
        <v>0</v>
      </c>
      <c r="B310" s="5"/>
      <c r="C310" s="23">
        <v>306.0</v>
      </c>
      <c r="D310" s="23" t="s">
        <v>606</v>
      </c>
      <c r="E310" s="24" t="str">
        <f>IMAGE("https://www.serebii.net/scarletviolet/pokemon/small/886.png")</f>
        <v/>
      </c>
      <c r="F310" s="24" t="str">
        <f t="shared" si="133"/>
        <v/>
      </c>
      <c r="G310" s="24" t="str">
        <f t="shared" si="134"/>
        <v/>
      </c>
      <c r="H310" s="25" t="s">
        <v>607</v>
      </c>
      <c r="I310" s="26"/>
      <c r="J310" s="5"/>
      <c r="K310" s="27"/>
    </row>
    <row r="311" ht="47.25" customHeight="1">
      <c r="A311" s="22" t="b">
        <v>0</v>
      </c>
      <c r="B311" s="5"/>
      <c r="C311" s="23">
        <v>307.0</v>
      </c>
      <c r="D311" s="23" t="s">
        <v>608</v>
      </c>
      <c r="E311" s="24" t="str">
        <f>IMAGE("https://www.serebii.net/scarletviolet/pokemon/small/887.png")</f>
        <v/>
      </c>
      <c r="F311" s="24" t="str">
        <f t="shared" si="133"/>
        <v/>
      </c>
      <c r="G311" s="24" t="str">
        <f t="shared" si="134"/>
        <v/>
      </c>
      <c r="H311" s="25" t="s">
        <v>609</v>
      </c>
      <c r="I311" s="26"/>
      <c r="J311" s="5"/>
      <c r="K311" s="27"/>
    </row>
    <row r="312" ht="47.25" customHeight="1">
      <c r="A312" s="22" t="b">
        <v>0</v>
      </c>
      <c r="B312" s="5"/>
      <c r="C312" s="23">
        <v>308.0</v>
      </c>
      <c r="D312" s="23" t="s">
        <v>610</v>
      </c>
      <c r="E312" s="24" t="str">
        <f>IMAGE("https://www.serebii.net/scarletviolet/pokemon/small/966.png")</f>
        <v/>
      </c>
      <c r="F312" s="24" t="str">
        <f t="shared" ref="F312:F313" si="135">IMAGE("https://www.serebii.net/pokedex-bw/type/rock.gif")</f>
        <v/>
      </c>
      <c r="G312" s="24" t="str">
        <f t="shared" ref="G312:G313" si="136">IMAGE("https://www.serebii.net/pokedex-bw/type/poison.gif")</f>
        <v/>
      </c>
      <c r="H312" s="25" t="s">
        <v>611</v>
      </c>
      <c r="I312" s="26"/>
      <c r="J312" s="5"/>
      <c r="K312" s="27"/>
    </row>
    <row r="313" ht="47.25" customHeight="1">
      <c r="A313" s="22" t="b">
        <v>0</v>
      </c>
      <c r="B313" s="5"/>
      <c r="C313" s="23">
        <v>309.0</v>
      </c>
      <c r="D313" s="23" t="s">
        <v>612</v>
      </c>
      <c r="E313" s="24" t="str">
        <f>IMAGE("https://www.serebii.net/scarletviolet/pokemon/small/967.png")</f>
        <v/>
      </c>
      <c r="F313" s="24" t="str">
        <f t="shared" si="135"/>
        <v/>
      </c>
      <c r="G313" s="24" t="str">
        <f t="shared" si="136"/>
        <v/>
      </c>
      <c r="H313" s="25" t="s">
        <v>262</v>
      </c>
      <c r="I313" s="26"/>
      <c r="J313" s="5"/>
      <c r="K313" s="27"/>
    </row>
    <row r="314" ht="47.25" customHeight="1">
      <c r="A314" s="22" t="b">
        <v>0</v>
      </c>
      <c r="B314" s="5"/>
      <c r="C314" s="23">
        <v>310.0</v>
      </c>
      <c r="D314" s="23" t="s">
        <v>613</v>
      </c>
      <c r="E314" s="24" t="str">
        <f>IMAGE("https://www.serebii.net/scarletviolet/pokemon/small/479.png")</f>
        <v/>
      </c>
      <c r="F314" s="24" t="str">
        <f>IMAGE("https://www.serebii.net/pokedex-bw/type/electric.gif")</f>
        <v/>
      </c>
      <c r="G314" s="24" t="str">
        <f>IMAGE("https://www.serebii.net/pokedex-bw/type/ghost.gif")</f>
        <v/>
      </c>
      <c r="H314" s="25" t="s">
        <v>614</v>
      </c>
      <c r="I314" s="26"/>
      <c r="J314" s="5"/>
      <c r="K314" s="27"/>
    </row>
    <row r="315" ht="47.25" customHeight="1">
      <c r="A315" s="22" t="b">
        <v>0</v>
      </c>
      <c r="B315" s="5"/>
      <c r="C315" s="23">
        <v>311.0</v>
      </c>
      <c r="D315" s="23" t="s">
        <v>615</v>
      </c>
      <c r="E315" s="24" t="str">
        <f>IMAGE("https://www.serebii.net/scarletviolet/pokemon/small/924.png")</f>
        <v/>
      </c>
      <c r="F315" s="24" t="str">
        <f t="shared" ref="F315:F316" si="137">IMAGE("https://www.serebii.net/pokedex-bw/type/ghost.gif")</f>
        <v/>
      </c>
      <c r="G315" s="24"/>
      <c r="H315" s="25" t="s">
        <v>616</v>
      </c>
      <c r="I315" s="26"/>
      <c r="J315" s="5"/>
      <c r="K315" s="27"/>
    </row>
    <row r="316" ht="47.25" customHeight="1">
      <c r="A316" s="22" t="b">
        <v>0</v>
      </c>
      <c r="B316" s="5"/>
      <c r="C316" s="23">
        <v>312.0</v>
      </c>
      <c r="D316" s="23" t="s">
        <v>617</v>
      </c>
      <c r="E316" s="24" t="str">
        <f>IMAGE("https://www.serebii.net/scarletviolet/pokemon/small/925.png")</f>
        <v/>
      </c>
      <c r="F316" s="24" t="str">
        <f t="shared" si="137"/>
        <v/>
      </c>
      <c r="G316" s="24"/>
      <c r="H316" s="25" t="s">
        <v>618</v>
      </c>
      <c r="I316" s="26"/>
      <c r="J316" s="5"/>
      <c r="K316" s="27"/>
    </row>
    <row r="317" ht="47.25" customHeight="1">
      <c r="A317" s="22" t="b">
        <v>0</v>
      </c>
      <c r="B317" s="5"/>
      <c r="C317" s="23">
        <v>313.0</v>
      </c>
      <c r="D317" s="23" t="s">
        <v>619</v>
      </c>
      <c r="E317" s="24" t="str">
        <f>IMAGE("https://www.serebii.net/scarletviolet/pokemon/small/765.png")</f>
        <v/>
      </c>
      <c r="F317" s="24" t="str">
        <f>IMAGE("https://www.serebii.net/pokedex-bw/type/normal.gif")</f>
        <v/>
      </c>
      <c r="G317" s="24" t="str">
        <f>IMAGE("https://www.serebii.net/pokedex-bw/type/psychic.gif")</f>
        <v/>
      </c>
      <c r="H317" s="25" t="s">
        <v>620</v>
      </c>
      <c r="I317" s="26"/>
      <c r="J317" s="5"/>
      <c r="K317" s="27"/>
    </row>
    <row r="318" ht="47.25" customHeight="1">
      <c r="A318" s="22" t="b">
        <v>0</v>
      </c>
      <c r="B318" s="5"/>
      <c r="C318" s="23">
        <v>314.0</v>
      </c>
      <c r="D318" s="23" t="s">
        <v>621</v>
      </c>
      <c r="E318" s="24" t="str">
        <f>IMAGE("https://www.serebii.net/scarletviolet/pokemon/small/766.png")</f>
        <v/>
      </c>
      <c r="F318" s="24" t="str">
        <f>IMAGE("https://www.serebii.net/pokedex-bw/type/fighting.gif")</f>
        <v/>
      </c>
      <c r="G318" s="24"/>
      <c r="H318" s="25" t="s">
        <v>622</v>
      </c>
      <c r="I318" s="26"/>
      <c r="J318" s="5"/>
      <c r="K318" s="27"/>
    </row>
    <row r="319" ht="47.25" customHeight="1">
      <c r="A319" s="22" t="b">
        <v>0</v>
      </c>
      <c r="B319" s="5"/>
      <c r="C319" s="23">
        <v>315.0</v>
      </c>
      <c r="D319" s="23" t="s">
        <v>623</v>
      </c>
      <c r="E319" s="24" t="str">
        <f>IMAGE("https://www.serebii.net/scarletviolet/pokemon/small/775.png")</f>
        <v/>
      </c>
      <c r="F319" s="24" t="str">
        <f>IMAGE("https://www.serebii.net/pokedex-bw/type/normal.gif")</f>
        <v/>
      </c>
      <c r="G319" s="24"/>
      <c r="H319" s="25" t="s">
        <v>624</v>
      </c>
      <c r="I319" s="26"/>
      <c r="J319" s="5"/>
      <c r="K319" s="27"/>
    </row>
    <row r="320" ht="47.25" customHeight="1">
      <c r="A320" s="22" t="b">
        <v>0</v>
      </c>
      <c r="B320" s="5"/>
      <c r="C320" s="23">
        <v>316.0</v>
      </c>
      <c r="D320" s="23" t="s">
        <v>625</v>
      </c>
      <c r="E320" s="24" t="str">
        <f>IMAGE("https://www.serebii.net/scarletviolet/pokemon/small/246.png")</f>
        <v/>
      </c>
      <c r="F320" s="24" t="str">
        <f t="shared" ref="F320:F323" si="138">IMAGE("https://www.serebii.net/pokedex-bw/type/rock.gif")</f>
        <v/>
      </c>
      <c r="G320" s="24" t="str">
        <f t="shared" ref="G320:G321" si="139">IMAGE("https://www.serebii.net/pokedex-bw/type/ground.gif")</f>
        <v/>
      </c>
      <c r="H320" s="25" t="s">
        <v>626</v>
      </c>
      <c r="I320" s="26"/>
      <c r="J320" s="5"/>
      <c r="K320" s="27"/>
    </row>
    <row r="321" ht="47.25" customHeight="1">
      <c r="A321" s="22" t="b">
        <v>0</v>
      </c>
      <c r="B321" s="5"/>
      <c r="C321" s="23">
        <v>317.0</v>
      </c>
      <c r="D321" s="23" t="s">
        <v>627</v>
      </c>
      <c r="E321" s="24" t="str">
        <f>IMAGE("https://www.serebii.net/scarletviolet/pokemon/small/247.png")</f>
        <v/>
      </c>
      <c r="F321" s="24" t="str">
        <f t="shared" si="138"/>
        <v/>
      </c>
      <c r="G321" s="24" t="str">
        <f t="shared" si="139"/>
        <v/>
      </c>
      <c r="H321" s="25" t="s">
        <v>628</v>
      </c>
      <c r="I321" s="26"/>
      <c r="J321" s="5"/>
      <c r="K321" s="27"/>
    </row>
    <row r="322" ht="47.25" customHeight="1">
      <c r="A322" s="22" t="b">
        <v>0</v>
      </c>
      <c r="B322" s="5"/>
      <c r="C322" s="23">
        <v>318.0</v>
      </c>
      <c r="D322" s="23" t="s">
        <v>629</v>
      </c>
      <c r="E322" s="24" t="str">
        <f>IMAGE("https://www.serebii.net/scarletviolet/pokemon/small/248.png")</f>
        <v/>
      </c>
      <c r="F322" s="24" t="str">
        <f t="shared" si="138"/>
        <v/>
      </c>
      <c r="G322" s="24" t="str">
        <f>IMAGE("https://www.serebii.net/pokedex-bw/type/dark.gif")</f>
        <v/>
      </c>
      <c r="H322" s="25" t="s">
        <v>630</v>
      </c>
      <c r="I322" s="26"/>
      <c r="J322" s="5"/>
      <c r="K322" s="27"/>
    </row>
    <row r="323" ht="47.25" customHeight="1">
      <c r="A323" s="22" t="b">
        <v>0</v>
      </c>
      <c r="B323" s="5"/>
      <c r="C323" s="23">
        <v>319.0</v>
      </c>
      <c r="D323" s="23" t="s">
        <v>631</v>
      </c>
      <c r="E323" s="24" t="str">
        <f>IMAGE("https://www.serebii.net/scarletviolet/pokemon/small/874.png")</f>
        <v/>
      </c>
      <c r="F323" s="24" t="str">
        <f t="shared" si="138"/>
        <v/>
      </c>
      <c r="G323" s="24"/>
      <c r="H323" s="25" t="s">
        <v>632</v>
      </c>
      <c r="I323" s="26"/>
      <c r="J323" s="5"/>
      <c r="K323" s="27"/>
    </row>
    <row r="324" ht="47.25" customHeight="1">
      <c r="A324" s="22" t="b">
        <v>0</v>
      </c>
      <c r="B324" s="5"/>
      <c r="C324" s="23">
        <v>320.0</v>
      </c>
      <c r="D324" s="23" t="s">
        <v>633</v>
      </c>
      <c r="E324" s="24" t="str">
        <f>IMAGE("https://www.serebii.net/scarletviolet/pokemon/small/875.png")</f>
        <v/>
      </c>
      <c r="F324" s="24" t="str">
        <f>IMAGE("https://www.serebii.net/pokedex-bw/type/ice.gif")</f>
        <v/>
      </c>
      <c r="G324" s="24"/>
      <c r="H324" s="25" t="s">
        <v>634</v>
      </c>
      <c r="I324" s="26"/>
      <c r="J324" s="5"/>
      <c r="K324" s="27"/>
    </row>
    <row r="325" ht="47.25" customHeight="1">
      <c r="A325" s="22" t="b">
        <v>0</v>
      </c>
      <c r="B325" s="5"/>
      <c r="C325" s="23">
        <v>321.0</v>
      </c>
      <c r="D325" s="23" t="s">
        <v>635</v>
      </c>
      <c r="E325" s="24" t="str">
        <f>IMAGE("https://www.serebii.net/scarletviolet/pokemon/small/871.png")</f>
        <v/>
      </c>
      <c r="F325" s="24" t="str">
        <f>IMAGE("https://www.serebii.net/pokedex-bw/type/electric.gif")</f>
        <v/>
      </c>
      <c r="G325" s="24"/>
      <c r="H325" s="25" t="s">
        <v>636</v>
      </c>
      <c r="I325" s="26"/>
      <c r="J325" s="5"/>
      <c r="K325" s="27"/>
    </row>
    <row r="326" ht="47.25" customHeight="1">
      <c r="A326" s="22" t="b">
        <v>0</v>
      </c>
      <c r="B326" s="5"/>
      <c r="C326" s="23">
        <v>322.0</v>
      </c>
      <c r="D326" s="23" t="s">
        <v>637</v>
      </c>
      <c r="E326" s="24" t="str">
        <f>IMAGE("https://www.serebii.net/scarletviolet/pokemon/small/769.png")</f>
        <v/>
      </c>
      <c r="F326" s="24" t="str">
        <f t="shared" ref="F326:F327" si="140">IMAGE("https://www.serebii.net/pokedex-bw/type/ghost.gif")</f>
        <v/>
      </c>
      <c r="G326" s="24" t="str">
        <f t="shared" ref="G326:G327" si="141">IMAGE("https://www.serebii.net/pokedex-bw/type/ground.gif")</f>
        <v/>
      </c>
      <c r="H326" s="25" t="s">
        <v>638</v>
      </c>
      <c r="I326" s="26"/>
      <c r="J326" s="5"/>
      <c r="K326" s="27"/>
    </row>
    <row r="327" ht="47.25" customHeight="1">
      <c r="A327" s="22" t="b">
        <v>0</v>
      </c>
      <c r="B327" s="5"/>
      <c r="C327" s="23">
        <v>323.0</v>
      </c>
      <c r="D327" s="23" t="s">
        <v>639</v>
      </c>
      <c r="E327" s="24" t="str">
        <f>IMAGE("https://www.serebii.net/scarletviolet/pokemon/small/770.png")</f>
        <v/>
      </c>
      <c r="F327" s="24" t="str">
        <f t="shared" si="140"/>
        <v/>
      </c>
      <c r="G327" s="24" t="str">
        <f t="shared" si="141"/>
        <v/>
      </c>
      <c r="H327" s="25" t="s">
        <v>640</v>
      </c>
      <c r="I327" s="26"/>
      <c r="J327" s="5"/>
      <c r="K327" s="27"/>
    </row>
    <row r="328" ht="47.25" customHeight="1">
      <c r="A328" s="22" t="b">
        <v>0</v>
      </c>
      <c r="B328" s="5"/>
      <c r="C328" s="23">
        <v>324.0</v>
      </c>
      <c r="D328" s="23" t="s">
        <v>641</v>
      </c>
      <c r="E328" s="24" t="str">
        <f>IMAGE("https://www.serebii.net/scarletviolet/pokemon/small/079.png")</f>
        <v/>
      </c>
      <c r="F328" s="24" t="str">
        <f t="shared" ref="F328:F340" si="142">IMAGE("https://www.serebii.net/pokedex-bw/type/water.gif")</f>
        <v/>
      </c>
      <c r="G328" s="24" t="str">
        <f t="shared" ref="G328:G330" si="143">IMAGE("https://www.serebii.net/pokedex-bw/type/psychic.gif")</f>
        <v/>
      </c>
      <c r="H328" s="25" t="s">
        <v>642</v>
      </c>
      <c r="I328" s="26"/>
      <c r="J328" s="5"/>
      <c r="K328" s="27"/>
    </row>
    <row r="329" ht="47.25" customHeight="1">
      <c r="A329" s="22" t="b">
        <v>0</v>
      </c>
      <c r="B329" s="5"/>
      <c r="C329" s="23">
        <v>325.0</v>
      </c>
      <c r="D329" s="23" t="s">
        <v>643</v>
      </c>
      <c r="E329" s="24" t="str">
        <f>IMAGE("https://www.serebii.net/scarletviolet/pokemon/small/080.png")</f>
        <v/>
      </c>
      <c r="F329" s="24" t="str">
        <f t="shared" si="142"/>
        <v/>
      </c>
      <c r="G329" s="24" t="str">
        <f t="shared" si="143"/>
        <v/>
      </c>
      <c r="H329" s="25" t="s">
        <v>644</v>
      </c>
      <c r="I329" s="26"/>
      <c r="J329" s="5"/>
      <c r="K329" s="27"/>
    </row>
    <row r="330" ht="47.25" customHeight="1">
      <c r="A330" s="22" t="b">
        <v>0</v>
      </c>
      <c r="B330" s="5"/>
      <c r="C330" s="23">
        <v>326.0</v>
      </c>
      <c r="D330" s="23" t="s">
        <v>645</v>
      </c>
      <c r="E330" s="24" t="str">
        <f>IMAGE("https://www.serebii.net/scarletviolet/pokemon/small/199.png")</f>
        <v/>
      </c>
      <c r="F330" s="24" t="str">
        <f t="shared" si="142"/>
        <v/>
      </c>
      <c r="G330" s="24" t="str">
        <f t="shared" si="143"/>
        <v/>
      </c>
      <c r="H330" s="25" t="s">
        <v>646</v>
      </c>
      <c r="I330" s="26"/>
      <c r="J330" s="5"/>
      <c r="K330" s="27"/>
    </row>
    <row r="331" ht="47.25" customHeight="1">
      <c r="A331" s="22" t="b">
        <v>0</v>
      </c>
      <c r="B331" s="5"/>
      <c r="C331" s="23">
        <v>327.0</v>
      </c>
      <c r="D331" s="23" t="s">
        <v>647</v>
      </c>
      <c r="E331" s="24" t="str">
        <f>IMAGE("https://www.serebii.net/scarletviolet/pokemon/small/422.png")</f>
        <v/>
      </c>
      <c r="F331" s="24" t="str">
        <f t="shared" si="142"/>
        <v/>
      </c>
      <c r="G331" s="24"/>
      <c r="H331" s="25" t="s">
        <v>648</v>
      </c>
      <c r="I331" s="26"/>
      <c r="J331" s="5"/>
      <c r="K331" s="27"/>
    </row>
    <row r="332" ht="47.25" customHeight="1">
      <c r="A332" s="22" t="b">
        <v>0</v>
      </c>
      <c r="B332" s="5"/>
      <c r="C332" s="23">
        <v>328.0</v>
      </c>
      <c r="D332" s="23" t="s">
        <v>649</v>
      </c>
      <c r="E332" s="24" t="str">
        <f>IMAGE("https://www.serebii.net/scarletviolet/pokemon/small/423.png")</f>
        <v/>
      </c>
      <c r="F332" s="24" t="str">
        <f t="shared" si="142"/>
        <v/>
      </c>
      <c r="G332" s="24" t="str">
        <f>IMAGE("https://www.serebii.net/pokedex-bw/type/ground.gif")</f>
        <v/>
      </c>
      <c r="H332" s="25" t="s">
        <v>650</v>
      </c>
      <c r="I332" s="26"/>
      <c r="J332" s="5"/>
      <c r="K332" s="27"/>
    </row>
    <row r="333" ht="47.25" customHeight="1">
      <c r="A333" s="22" t="b">
        <v>0</v>
      </c>
      <c r="B333" s="5"/>
      <c r="C333" s="23">
        <v>329.0</v>
      </c>
      <c r="D333" s="23" t="s">
        <v>651</v>
      </c>
      <c r="E333" s="24" t="str">
        <f>IMAGE("https://www.serebii.net/scarletviolet/pokemon/small/090.png")</f>
        <v/>
      </c>
      <c r="F333" s="24" t="str">
        <f t="shared" si="142"/>
        <v/>
      </c>
      <c r="G333" s="24"/>
      <c r="H333" s="25" t="s">
        <v>652</v>
      </c>
      <c r="I333" s="26"/>
      <c r="J333" s="5"/>
      <c r="K333" s="27"/>
    </row>
    <row r="334" ht="47.25" customHeight="1">
      <c r="A334" s="22" t="b">
        <v>0</v>
      </c>
      <c r="B334" s="5"/>
      <c r="C334" s="23">
        <v>330.0</v>
      </c>
      <c r="D334" s="23" t="s">
        <v>653</v>
      </c>
      <c r="E334" s="24" t="str">
        <f>IMAGE("https://www.serebii.net/scarletviolet/pokemon/small/091.png")</f>
        <v/>
      </c>
      <c r="F334" s="24" t="str">
        <f t="shared" si="142"/>
        <v/>
      </c>
      <c r="G334" s="24" t="str">
        <f>IMAGE("https://www.serebii.net/pokedex-bw/type/ice.gif")</f>
        <v/>
      </c>
      <c r="H334" s="25" t="s">
        <v>654</v>
      </c>
      <c r="I334" s="26"/>
      <c r="J334" s="5"/>
      <c r="K334" s="27"/>
    </row>
    <row r="335" ht="47.25" customHeight="1">
      <c r="A335" s="22" t="b">
        <v>0</v>
      </c>
      <c r="B335" s="5"/>
      <c r="C335" s="23">
        <v>331.0</v>
      </c>
      <c r="D335" s="23" t="s">
        <v>655</v>
      </c>
      <c r="E335" s="24" t="str">
        <f>IMAGE("https://www.serebii.net/scarletviolet/pokemon/small/211.png")</f>
        <v/>
      </c>
      <c r="F335" s="24" t="str">
        <f t="shared" si="142"/>
        <v/>
      </c>
      <c r="G335" s="24" t="str">
        <f>IMAGE("https://www.serebii.net/pokedex-bw/type/poison.gif")</f>
        <v/>
      </c>
      <c r="H335" s="25" t="s">
        <v>656</v>
      </c>
      <c r="I335" s="26"/>
      <c r="J335" s="5"/>
      <c r="K335" s="27"/>
    </row>
    <row r="336" ht="47.25" customHeight="1">
      <c r="A336" s="22" t="b">
        <v>0</v>
      </c>
      <c r="B336" s="5"/>
      <c r="C336" s="23">
        <v>332.0</v>
      </c>
      <c r="D336" s="23" t="s">
        <v>657</v>
      </c>
      <c r="E336" s="24" t="str">
        <f>IMAGE("https://www.serebii.net/scarletviolet/pokemon/small/370.png")</f>
        <v/>
      </c>
      <c r="F336" s="24" t="str">
        <f t="shared" si="142"/>
        <v/>
      </c>
      <c r="G336" s="24"/>
      <c r="H336" s="25" t="s">
        <v>658</v>
      </c>
      <c r="I336" s="26"/>
      <c r="J336" s="5"/>
      <c r="K336" s="27"/>
    </row>
    <row r="337" ht="47.25" customHeight="1">
      <c r="A337" s="22" t="b">
        <v>0</v>
      </c>
      <c r="B337" s="5"/>
      <c r="C337" s="23">
        <v>333.0</v>
      </c>
      <c r="D337" s="23" t="s">
        <v>659</v>
      </c>
      <c r="E337" s="24" t="str">
        <f>IMAGE("https://www.serebii.net/scarletviolet/pokemon/small/456.png")</f>
        <v/>
      </c>
      <c r="F337" s="24" t="str">
        <f t="shared" si="142"/>
        <v/>
      </c>
      <c r="G337" s="24"/>
      <c r="H337" s="25" t="s">
        <v>660</v>
      </c>
      <c r="I337" s="26"/>
      <c r="J337" s="5"/>
      <c r="K337" s="27"/>
    </row>
    <row r="338" ht="47.25" customHeight="1">
      <c r="A338" s="22" t="b">
        <v>0</v>
      </c>
      <c r="B338" s="5"/>
      <c r="C338" s="23">
        <v>334.0</v>
      </c>
      <c r="D338" s="23" t="s">
        <v>661</v>
      </c>
      <c r="E338" s="24" t="str">
        <f>IMAGE("https://www.serebii.net/scarletviolet/pokemon/small/457.png")</f>
        <v/>
      </c>
      <c r="F338" s="24" t="str">
        <f t="shared" si="142"/>
        <v/>
      </c>
      <c r="G338" s="24"/>
      <c r="H338" s="25" t="s">
        <v>662</v>
      </c>
      <c r="I338" s="26"/>
      <c r="J338" s="5"/>
      <c r="K338" s="27"/>
    </row>
    <row r="339" ht="47.25" customHeight="1">
      <c r="A339" s="22" t="b">
        <v>0</v>
      </c>
      <c r="B339" s="5"/>
      <c r="C339" s="23">
        <v>335.0</v>
      </c>
      <c r="D339" s="23" t="s">
        <v>663</v>
      </c>
      <c r="E339" s="24" t="str">
        <f>IMAGE("https://www.serebii.net/scarletviolet/pokemon/small/779.png")</f>
        <v/>
      </c>
      <c r="F339" s="24" t="str">
        <f t="shared" si="142"/>
        <v/>
      </c>
      <c r="G339" s="24" t="str">
        <f>IMAGE("https://www.serebii.net/pokedex-bw/type/psychic.gif")</f>
        <v/>
      </c>
      <c r="H339" s="25" t="s">
        <v>664</v>
      </c>
      <c r="I339" s="26"/>
      <c r="J339" s="5"/>
      <c r="K339" s="27"/>
    </row>
    <row r="340" ht="47.25" customHeight="1">
      <c r="A340" s="22" t="b">
        <v>0</v>
      </c>
      <c r="B340" s="5"/>
      <c r="C340" s="23">
        <v>336.0</v>
      </c>
      <c r="D340" s="23" t="s">
        <v>665</v>
      </c>
      <c r="E340" s="24" t="str">
        <f>IMAGE("https://www.serebii.net/scarletviolet/pokemon/small/594.png")</f>
        <v/>
      </c>
      <c r="F340" s="24" t="str">
        <f t="shared" si="142"/>
        <v/>
      </c>
      <c r="G340" s="24"/>
      <c r="H340" s="25" t="s">
        <v>666</v>
      </c>
      <c r="I340" s="26"/>
      <c r="J340" s="5"/>
      <c r="K340" s="27"/>
    </row>
    <row r="341" ht="47.25" customHeight="1">
      <c r="A341" s="22" t="b">
        <v>0</v>
      </c>
      <c r="B341" s="5"/>
      <c r="C341" s="23">
        <v>337.0</v>
      </c>
      <c r="D341" s="23" t="s">
        <v>667</v>
      </c>
      <c r="E341" s="24" t="str">
        <f>IMAGE("https://www.serebii.net/scarletviolet/pokemon/small/690.png")</f>
        <v/>
      </c>
      <c r="F341" s="24" t="str">
        <f t="shared" ref="F341:F342" si="144">IMAGE("https://www.serebii.net/pokedex-bw/type/poison.gif")</f>
        <v/>
      </c>
      <c r="G341" s="24" t="str">
        <f>IMAGE("https://www.serebii.net/pokedex-bw/type/water.gif")</f>
        <v/>
      </c>
      <c r="H341" s="25" t="s">
        <v>668</v>
      </c>
      <c r="I341" s="26"/>
      <c r="J341" s="5"/>
      <c r="K341" s="27"/>
    </row>
    <row r="342" ht="47.25" customHeight="1">
      <c r="A342" s="22" t="b">
        <v>0</v>
      </c>
      <c r="B342" s="5"/>
      <c r="C342" s="23">
        <v>338.0</v>
      </c>
      <c r="D342" s="23" t="s">
        <v>669</v>
      </c>
      <c r="E342" s="24" t="str">
        <f>IMAGE("https://www.serebii.net/scarletviolet/pokemon/small/691.png")</f>
        <v/>
      </c>
      <c r="F342" s="24" t="str">
        <f t="shared" si="144"/>
        <v/>
      </c>
      <c r="G342" s="24" t="str">
        <f>IMAGE("https://www.serebii.net/pokedex-bw/type/dragon.gif")</f>
        <v/>
      </c>
      <c r="H342" s="25" t="s">
        <v>670</v>
      </c>
      <c r="I342" s="26"/>
      <c r="J342" s="5"/>
      <c r="K342" s="27"/>
    </row>
    <row r="343" ht="47.25" customHeight="1">
      <c r="A343" s="22" t="b">
        <v>0</v>
      </c>
      <c r="B343" s="5"/>
      <c r="C343" s="23">
        <v>339.0</v>
      </c>
      <c r="D343" s="23" t="s">
        <v>671</v>
      </c>
      <c r="E343" s="24" t="str">
        <f>IMAGE("https://www.serebii.net/scarletviolet/pokemon/small/692.png")</f>
        <v/>
      </c>
      <c r="F343" s="24" t="str">
        <f t="shared" ref="F343:F344" si="145">IMAGE("https://www.serebii.net/pokedex-bw/type/water.gif")</f>
        <v/>
      </c>
      <c r="G343" s="24"/>
      <c r="H343" s="25" t="s">
        <v>672</v>
      </c>
      <c r="I343" s="26"/>
      <c r="J343" s="5"/>
      <c r="K343" s="27"/>
    </row>
    <row r="344" ht="47.25" customHeight="1">
      <c r="A344" s="22" t="b">
        <v>0</v>
      </c>
      <c r="B344" s="5"/>
      <c r="C344" s="23">
        <v>340.0</v>
      </c>
      <c r="D344" s="23" t="s">
        <v>673</v>
      </c>
      <c r="E344" s="24" t="str">
        <f>IMAGE("https://www.serebii.net/scarletviolet/pokemon/small/693.png")</f>
        <v/>
      </c>
      <c r="F344" s="24" t="str">
        <f t="shared" si="145"/>
        <v/>
      </c>
      <c r="G344" s="24"/>
      <c r="H344" s="25" t="s">
        <v>674</v>
      </c>
      <c r="I344" s="26"/>
      <c r="J344" s="5"/>
      <c r="K344" s="27"/>
    </row>
    <row r="345" ht="47.25" customHeight="1">
      <c r="A345" s="22" t="b">
        <v>0</v>
      </c>
      <c r="B345" s="5"/>
      <c r="C345" s="23">
        <v>341.0</v>
      </c>
      <c r="D345" s="23" t="s">
        <v>675</v>
      </c>
      <c r="E345" s="24" t="str">
        <f>IMAGE("https://www.serebii.net/scarletviolet/pokemon/small/602.png")</f>
        <v/>
      </c>
      <c r="F345" s="24" t="str">
        <f t="shared" ref="F345:F347" si="146">IMAGE("https://www.serebii.net/pokedex-bw/type/electric.gif")</f>
        <v/>
      </c>
      <c r="G345" s="24"/>
      <c r="H345" s="25" t="s">
        <v>676</v>
      </c>
      <c r="I345" s="26"/>
      <c r="J345" s="5"/>
      <c r="K345" s="27"/>
    </row>
    <row r="346" ht="47.25" customHeight="1">
      <c r="A346" s="22" t="b">
        <v>0</v>
      </c>
      <c r="B346" s="5"/>
      <c r="C346" s="23">
        <v>342.0</v>
      </c>
      <c r="D346" s="23" t="s">
        <v>677</v>
      </c>
      <c r="E346" s="24" t="str">
        <f>IMAGE("https://www.serebii.net/scarletviolet/pokemon/small/603.png")</f>
        <v/>
      </c>
      <c r="F346" s="24" t="str">
        <f t="shared" si="146"/>
        <v/>
      </c>
      <c r="G346" s="24"/>
      <c r="H346" s="25" t="s">
        <v>678</v>
      </c>
      <c r="I346" s="26"/>
      <c r="J346" s="5"/>
      <c r="K346" s="27"/>
    </row>
    <row r="347" ht="47.25" customHeight="1">
      <c r="A347" s="22" t="b">
        <v>0</v>
      </c>
      <c r="B347" s="5"/>
      <c r="C347" s="23">
        <v>343.0</v>
      </c>
      <c r="D347" s="23" t="s">
        <v>679</v>
      </c>
      <c r="E347" s="24" t="str">
        <f>IMAGE("https://www.serebii.net/scarletviolet/pokemon/small/604.png")</f>
        <v/>
      </c>
      <c r="F347" s="24" t="str">
        <f t="shared" si="146"/>
        <v/>
      </c>
      <c r="G347" s="24"/>
      <c r="H347" s="25" t="s">
        <v>680</v>
      </c>
      <c r="I347" s="26"/>
      <c r="J347" s="5"/>
      <c r="K347" s="27"/>
    </row>
    <row r="348" ht="47.25" customHeight="1">
      <c r="A348" s="22" t="b">
        <v>0</v>
      </c>
      <c r="B348" s="5"/>
      <c r="C348" s="23">
        <v>344.0</v>
      </c>
      <c r="D348" s="23" t="s">
        <v>681</v>
      </c>
      <c r="E348" s="24" t="str">
        <f>IMAGE("https://www.serebii.net/scarletviolet/pokemon/small/747.png")</f>
        <v/>
      </c>
      <c r="F348" s="24" t="str">
        <f t="shared" ref="F348:F349" si="147">IMAGE("https://www.serebii.net/pokedex-bw/type/poison.gif")</f>
        <v/>
      </c>
      <c r="G348" s="24" t="str">
        <f t="shared" ref="G348:G349" si="148">IMAGE("https://www.serebii.net/pokedex-bw/type/water.gif")</f>
        <v/>
      </c>
      <c r="H348" s="25" t="s">
        <v>682</v>
      </c>
      <c r="I348" s="26"/>
      <c r="J348" s="5"/>
      <c r="K348" s="27"/>
    </row>
    <row r="349" ht="47.25" customHeight="1">
      <c r="A349" s="22" t="b">
        <v>0</v>
      </c>
      <c r="B349" s="5"/>
      <c r="C349" s="23">
        <v>345.0</v>
      </c>
      <c r="D349" s="23" t="s">
        <v>683</v>
      </c>
      <c r="E349" s="24" t="str">
        <f>IMAGE("https://www.serebii.net/scarletviolet/pokemon/small/748.png")</f>
        <v/>
      </c>
      <c r="F349" s="24" t="str">
        <f t="shared" si="147"/>
        <v/>
      </c>
      <c r="G349" s="24" t="str">
        <f t="shared" si="148"/>
        <v/>
      </c>
      <c r="H349" s="25" t="s">
        <v>684</v>
      </c>
      <c r="I349" s="26"/>
      <c r="J349" s="5"/>
      <c r="K349" s="27"/>
    </row>
    <row r="350" ht="47.25" customHeight="1">
      <c r="A350" s="22" t="b">
        <v>0</v>
      </c>
      <c r="B350" s="5"/>
      <c r="C350" s="23">
        <v>346.0</v>
      </c>
      <c r="D350" s="23" t="s">
        <v>685</v>
      </c>
      <c r="E350" s="24" t="str">
        <f>IMAGE("https://www.serebii.net/scarletviolet/pokemon/small/961.png")</f>
        <v/>
      </c>
      <c r="F350" s="24" t="str">
        <f>IMAGE("https://www.serebii.net/pokedex-bw/type/flying.gif")</f>
        <v/>
      </c>
      <c r="G350" s="24" t="str">
        <f>IMAGE("https://www.serebii.net/pokedex-bw/type/fighting.gif")</f>
        <v/>
      </c>
      <c r="H350" s="25" t="s">
        <v>686</v>
      </c>
      <c r="I350" s="26"/>
      <c r="J350" s="5"/>
      <c r="K350" s="27"/>
    </row>
    <row r="351" ht="47.25" customHeight="1">
      <c r="A351" s="22" t="b">
        <v>0</v>
      </c>
      <c r="B351" s="5"/>
      <c r="C351" s="23">
        <v>347.0</v>
      </c>
      <c r="D351" s="23" t="s">
        <v>687</v>
      </c>
      <c r="E351" s="24" t="str">
        <f>IMAGE("https://www.serebii.net/scarletviolet/pokemon/small/147.png")</f>
        <v/>
      </c>
      <c r="F351" s="24" t="str">
        <f t="shared" ref="F351:F353" si="149">IMAGE("https://www.serebii.net/pokedex-bw/type/dragon.gif")</f>
        <v/>
      </c>
      <c r="G351" s="24"/>
      <c r="H351" s="25" t="s">
        <v>688</v>
      </c>
      <c r="I351" s="26"/>
      <c r="J351" s="5"/>
      <c r="K351" s="27"/>
    </row>
    <row r="352" ht="47.25" customHeight="1">
      <c r="A352" s="22" t="b">
        <v>0</v>
      </c>
      <c r="B352" s="5"/>
      <c r="C352" s="23">
        <v>348.0</v>
      </c>
      <c r="D352" s="23" t="s">
        <v>689</v>
      </c>
      <c r="E352" s="24" t="str">
        <f>IMAGE("https://www.serebii.net/scarletviolet/pokemon/small/148.png")</f>
        <v/>
      </c>
      <c r="F352" s="24" t="str">
        <f t="shared" si="149"/>
        <v/>
      </c>
      <c r="G352" s="24"/>
      <c r="H352" s="25" t="s">
        <v>690</v>
      </c>
      <c r="I352" s="26"/>
      <c r="J352" s="5"/>
      <c r="K352" s="27"/>
    </row>
    <row r="353" ht="47.25" customHeight="1">
      <c r="A353" s="22" t="b">
        <v>0</v>
      </c>
      <c r="B353" s="5"/>
      <c r="C353" s="23">
        <v>349.0</v>
      </c>
      <c r="D353" s="23" t="s">
        <v>691</v>
      </c>
      <c r="E353" s="24" t="str">
        <f>IMAGE("https://www.serebii.net/scarletviolet/pokemon/small/149.png")</f>
        <v/>
      </c>
      <c r="F353" s="24" t="str">
        <f t="shared" si="149"/>
        <v/>
      </c>
      <c r="G353" s="24" t="str">
        <f>IMAGE("https://www.serebii.net/pokedex-bw/type/flying.gif")</f>
        <v/>
      </c>
      <c r="H353" s="25" t="s">
        <v>692</v>
      </c>
      <c r="I353" s="26"/>
      <c r="J353" s="5"/>
      <c r="K353" s="27"/>
    </row>
    <row r="354" ht="47.25" customHeight="1">
      <c r="A354" s="22" t="b">
        <v>0</v>
      </c>
      <c r="B354" s="5"/>
      <c r="C354" s="23">
        <v>350.0</v>
      </c>
      <c r="D354" s="23" t="s">
        <v>693</v>
      </c>
      <c r="E354" s="24" t="str">
        <f>IMAGE("https://www.serebii.net/scarletviolet/pokemon/small/872.png")</f>
        <v/>
      </c>
      <c r="F354" s="24" t="str">
        <f t="shared" ref="F354:F355" si="150">IMAGE("https://www.serebii.net/pokedex-bw/type/ice.gif")</f>
        <v/>
      </c>
      <c r="G354" s="24" t="str">
        <f t="shared" ref="G354:G355" si="151">IMAGE("https://www.serebii.net/pokedex-bw/type/bug.gif")</f>
        <v/>
      </c>
      <c r="H354" s="25" t="s">
        <v>694</v>
      </c>
      <c r="I354" s="26"/>
      <c r="J354" s="5"/>
      <c r="K354" s="27"/>
    </row>
    <row r="355" ht="47.25" customHeight="1">
      <c r="A355" s="22" t="b">
        <v>0</v>
      </c>
      <c r="B355" s="5"/>
      <c r="C355" s="23">
        <v>351.0</v>
      </c>
      <c r="D355" s="23" t="s">
        <v>695</v>
      </c>
      <c r="E355" s="24" t="str">
        <f>IMAGE("https://www.serebii.net/scarletviolet/pokemon/small/873.png")</f>
        <v/>
      </c>
      <c r="F355" s="24" t="str">
        <f t="shared" si="150"/>
        <v/>
      </c>
      <c r="G355" s="24" t="str">
        <f t="shared" si="151"/>
        <v/>
      </c>
      <c r="H355" s="25" t="s">
        <v>696</v>
      </c>
      <c r="I355" s="26"/>
      <c r="J355" s="5"/>
      <c r="K355" s="27"/>
    </row>
    <row r="356" ht="47.25" customHeight="1">
      <c r="A356" s="22" t="b">
        <v>0</v>
      </c>
      <c r="B356" s="5"/>
      <c r="C356" s="23">
        <v>352.0</v>
      </c>
      <c r="D356" s="23" t="s">
        <v>697</v>
      </c>
      <c r="E356" s="24" t="str">
        <f>IMAGE("https://www.serebii.net/scarletviolet/pokemon/small/459.png")</f>
        <v/>
      </c>
      <c r="F356" s="24" t="str">
        <f t="shared" ref="F356:F357" si="152">IMAGE("https://www.serebii.net/pokedex-bw/type/grass.gif")</f>
        <v/>
      </c>
      <c r="G356" s="24" t="str">
        <f t="shared" ref="G356:G357" si="153">IMAGE("https://www.serebii.net/pokedex-bw/type/ice.gif")</f>
        <v/>
      </c>
      <c r="H356" s="25" t="s">
        <v>698</v>
      </c>
      <c r="I356" s="26"/>
      <c r="J356" s="5"/>
      <c r="K356" s="27"/>
    </row>
    <row r="357" ht="47.25" customHeight="1">
      <c r="A357" s="22" t="b">
        <v>0</v>
      </c>
      <c r="B357" s="5"/>
      <c r="C357" s="23">
        <v>353.0</v>
      </c>
      <c r="D357" s="23" t="s">
        <v>699</v>
      </c>
      <c r="E357" s="24" t="str">
        <f>IMAGE("https://www.serebii.net/scarletviolet/pokemon/small/460.png")</f>
        <v/>
      </c>
      <c r="F357" s="24" t="str">
        <f t="shared" si="152"/>
        <v/>
      </c>
      <c r="G357" s="24" t="str">
        <f t="shared" si="153"/>
        <v/>
      </c>
      <c r="H357" s="25" t="s">
        <v>700</v>
      </c>
      <c r="I357" s="26"/>
      <c r="J357" s="5"/>
      <c r="K357" s="27"/>
    </row>
    <row r="358" ht="47.25" customHeight="1">
      <c r="A358" s="22" t="b">
        <v>0</v>
      </c>
      <c r="B358" s="5"/>
      <c r="C358" s="23">
        <v>354.0</v>
      </c>
      <c r="D358" s="23" t="s">
        <v>701</v>
      </c>
      <c r="E358" s="24" t="str">
        <f>IMAGE("https://www.serebii.net/scarletviolet/pokemon/small/225.png")</f>
        <v/>
      </c>
      <c r="F358" s="24" t="str">
        <f t="shared" ref="F358:F368" si="154">IMAGE("https://www.serebii.net/pokedex-bw/type/ice.gif")</f>
        <v/>
      </c>
      <c r="G358" s="24" t="str">
        <f>IMAGE("https://www.serebii.net/pokedex-bw/type/flying.gif")</f>
        <v/>
      </c>
      <c r="H358" s="25" t="s">
        <v>460</v>
      </c>
      <c r="I358" s="26"/>
      <c r="J358" s="5"/>
      <c r="K358" s="27"/>
    </row>
    <row r="359" ht="47.25" customHeight="1">
      <c r="A359" s="22" t="b">
        <v>0</v>
      </c>
      <c r="B359" s="5"/>
      <c r="C359" s="23">
        <v>355.0</v>
      </c>
      <c r="D359" s="23" t="s">
        <v>702</v>
      </c>
      <c r="E359" s="24" t="str">
        <f>IMAGE("https://www.serebii.net/scarletviolet/pokemon/small/613.png")</f>
        <v/>
      </c>
      <c r="F359" s="24" t="str">
        <f t="shared" si="154"/>
        <v/>
      </c>
      <c r="G359" s="24"/>
      <c r="H359" s="25" t="s">
        <v>703</v>
      </c>
      <c r="I359" s="26"/>
      <c r="J359" s="5"/>
      <c r="K359" s="27"/>
    </row>
    <row r="360" ht="47.25" customHeight="1">
      <c r="A360" s="22" t="b">
        <v>0</v>
      </c>
      <c r="B360" s="5"/>
      <c r="C360" s="23">
        <v>356.0</v>
      </c>
      <c r="D360" s="23" t="s">
        <v>704</v>
      </c>
      <c r="E360" s="24" t="str">
        <f>IMAGE("https://www.serebii.net/scarletviolet/pokemon/small/614.png")</f>
        <v/>
      </c>
      <c r="F360" s="24" t="str">
        <f t="shared" si="154"/>
        <v/>
      </c>
      <c r="G360" s="24"/>
      <c r="H360" s="25" t="s">
        <v>705</v>
      </c>
      <c r="I360" s="26"/>
      <c r="J360" s="5"/>
      <c r="K360" s="27"/>
    </row>
    <row r="361" ht="47.25" customHeight="1">
      <c r="A361" s="22" t="b">
        <v>0</v>
      </c>
      <c r="B361" s="5"/>
      <c r="C361" s="23">
        <v>357.0</v>
      </c>
      <c r="D361" s="23" t="s">
        <v>706</v>
      </c>
      <c r="E361" s="24" t="str">
        <f>IMAGE("https://www.serebii.net/scarletviolet/pokemon/small/361.png")</f>
        <v/>
      </c>
      <c r="F361" s="24" t="str">
        <f t="shared" si="154"/>
        <v/>
      </c>
      <c r="G361" s="24"/>
      <c r="H361" s="25" t="s">
        <v>707</v>
      </c>
      <c r="I361" s="26"/>
      <c r="J361" s="5"/>
      <c r="K361" s="27"/>
    </row>
    <row r="362" ht="47.25" customHeight="1">
      <c r="A362" s="22" t="b">
        <v>0</v>
      </c>
      <c r="B362" s="5"/>
      <c r="C362" s="23">
        <v>358.0</v>
      </c>
      <c r="D362" s="23" t="s">
        <v>708</v>
      </c>
      <c r="E362" s="24" t="str">
        <f>IMAGE("https://www.serebii.net/scarletviolet/pokemon/small/362.png")</f>
        <v/>
      </c>
      <c r="F362" s="24" t="str">
        <f t="shared" si="154"/>
        <v/>
      </c>
      <c r="G362" s="24"/>
      <c r="H362" s="25" t="s">
        <v>700</v>
      </c>
      <c r="I362" s="26"/>
      <c r="J362" s="5"/>
      <c r="K362" s="27"/>
    </row>
    <row r="363" ht="47.25" customHeight="1">
      <c r="A363" s="22" t="b">
        <v>0</v>
      </c>
      <c r="B363" s="5"/>
      <c r="C363" s="23">
        <v>359.0</v>
      </c>
      <c r="D363" s="23" t="s">
        <v>709</v>
      </c>
      <c r="E363" s="24" t="str">
        <f>IMAGE("https://www.serebii.net/scarletviolet/pokemon/small/478.png")</f>
        <v/>
      </c>
      <c r="F363" s="24" t="str">
        <f t="shared" si="154"/>
        <v/>
      </c>
      <c r="G363" s="24" t="str">
        <f>IMAGE("https://www.serebii.net/pokedex-bw/type/ghost.gif")</f>
        <v/>
      </c>
      <c r="H363" s="25" t="s">
        <v>710</v>
      </c>
      <c r="I363" s="26"/>
      <c r="J363" s="5"/>
      <c r="K363" s="27"/>
    </row>
    <row r="364" ht="47.25" customHeight="1">
      <c r="A364" s="22" t="b">
        <v>0</v>
      </c>
      <c r="B364" s="5"/>
      <c r="C364" s="23">
        <v>360.0</v>
      </c>
      <c r="D364" s="23" t="s">
        <v>711</v>
      </c>
      <c r="E364" s="24" t="str">
        <f>IMAGE("https://www.serebii.net/scarletviolet/pokemon/small/615.png")</f>
        <v/>
      </c>
      <c r="F364" s="24" t="str">
        <f t="shared" si="154"/>
        <v/>
      </c>
      <c r="G364" s="24"/>
      <c r="H364" s="25" t="s">
        <v>712</v>
      </c>
      <c r="I364" s="26"/>
      <c r="J364" s="5"/>
      <c r="K364" s="27"/>
    </row>
    <row r="365" ht="47.25" customHeight="1">
      <c r="A365" s="22" t="b">
        <v>0</v>
      </c>
      <c r="B365" s="5"/>
      <c r="C365" s="23">
        <v>361.0</v>
      </c>
      <c r="D365" s="23" t="s">
        <v>713</v>
      </c>
      <c r="E365" s="24" t="str">
        <f>IMAGE("https://www.serebii.net/scarletviolet/pokemon/small/947.png")</f>
        <v/>
      </c>
      <c r="F365" s="24" t="str">
        <f t="shared" si="154"/>
        <v/>
      </c>
      <c r="G365" s="24"/>
      <c r="H365" s="25" t="s">
        <v>714</v>
      </c>
      <c r="I365" s="26"/>
      <c r="J365" s="5"/>
      <c r="K365" s="27"/>
    </row>
    <row r="366" ht="47.25" customHeight="1">
      <c r="A366" s="22" t="b">
        <v>0</v>
      </c>
      <c r="B366" s="5"/>
      <c r="C366" s="23">
        <v>362.0</v>
      </c>
      <c r="D366" s="23" t="s">
        <v>715</v>
      </c>
      <c r="E366" s="24" t="str">
        <f>IMAGE("https://www.serebii.net/scarletviolet/pokemon/small/948.png")</f>
        <v/>
      </c>
      <c r="F366" s="24" t="str">
        <f t="shared" si="154"/>
        <v/>
      </c>
      <c r="G366" s="24"/>
      <c r="H366" s="25" t="s">
        <v>133</v>
      </c>
      <c r="I366" s="26"/>
      <c r="J366" s="5"/>
      <c r="K366" s="27"/>
    </row>
    <row r="367" ht="47.25" customHeight="1">
      <c r="A367" s="22" t="b">
        <v>0</v>
      </c>
      <c r="B367" s="5"/>
      <c r="C367" s="23">
        <v>363.0</v>
      </c>
      <c r="D367" s="23" t="s">
        <v>716</v>
      </c>
      <c r="E367" s="24" t="str">
        <f>IMAGE("https://www.serebii.net/scarletviolet/pokemon/small/712.png")</f>
        <v/>
      </c>
      <c r="F367" s="24" t="str">
        <f t="shared" si="154"/>
        <v/>
      </c>
      <c r="G367" s="24"/>
      <c r="H367" s="25" t="s">
        <v>717</v>
      </c>
      <c r="I367" s="26"/>
      <c r="J367" s="5"/>
      <c r="K367" s="27"/>
    </row>
    <row r="368" ht="47.25" customHeight="1">
      <c r="A368" s="22" t="b">
        <v>0</v>
      </c>
      <c r="B368" s="5"/>
      <c r="C368" s="23">
        <v>364.0</v>
      </c>
      <c r="D368" s="23" t="s">
        <v>718</v>
      </c>
      <c r="E368" s="24" t="str">
        <f>IMAGE("https://www.serebii.net/scarletviolet/pokemon/small/713.png")</f>
        <v/>
      </c>
      <c r="F368" s="24" t="str">
        <f t="shared" si="154"/>
        <v/>
      </c>
      <c r="G368" s="24"/>
      <c r="H368" s="25" t="s">
        <v>719</v>
      </c>
      <c r="I368" s="26"/>
      <c r="J368" s="5"/>
      <c r="K368" s="27"/>
    </row>
    <row r="369" ht="47.25" customHeight="1">
      <c r="A369" s="22" t="b">
        <v>0</v>
      </c>
      <c r="B369" s="5"/>
      <c r="C369" s="23">
        <v>365.0</v>
      </c>
      <c r="D369" s="23" t="s">
        <v>720</v>
      </c>
      <c r="E369" s="24" t="str">
        <f>IMAGE("https://www.serebii.net/scarletviolet/pokemon/small/627.png")</f>
        <v/>
      </c>
      <c r="F369" s="24" t="str">
        <f t="shared" ref="F369:F370" si="155">IMAGE("https://www.serebii.net/pokedex-bw/type/normal.gif")</f>
        <v/>
      </c>
      <c r="G369" s="24" t="str">
        <f t="shared" ref="G369:G370" si="156">IMAGE("https://www.serebii.net/pokedex-bw/type/flying.gif")</f>
        <v/>
      </c>
      <c r="H369" s="25" t="s">
        <v>721</v>
      </c>
      <c r="I369" s="26"/>
      <c r="J369" s="5"/>
      <c r="K369" s="27"/>
    </row>
    <row r="370" ht="47.25" customHeight="1">
      <c r="A370" s="22" t="b">
        <v>0</v>
      </c>
      <c r="B370" s="5"/>
      <c r="C370" s="23">
        <v>366.0</v>
      </c>
      <c r="D370" s="23" t="s">
        <v>722</v>
      </c>
      <c r="E370" s="24" t="str">
        <f>IMAGE("https://www.serebii.net/scarletviolet/pokemon/small/628.png")</f>
        <v/>
      </c>
      <c r="F370" s="24" t="str">
        <f t="shared" si="155"/>
        <v/>
      </c>
      <c r="G370" s="24" t="str">
        <f t="shared" si="156"/>
        <v/>
      </c>
      <c r="H370" s="25" t="s">
        <v>723</v>
      </c>
      <c r="I370" s="26"/>
      <c r="J370" s="5"/>
      <c r="K370" s="27"/>
    </row>
    <row r="371" ht="47.25" customHeight="1">
      <c r="A371" s="22" t="b">
        <v>0</v>
      </c>
      <c r="B371" s="5"/>
      <c r="C371" s="23">
        <v>367.0</v>
      </c>
      <c r="D371" s="23" t="s">
        <v>724</v>
      </c>
      <c r="E371" s="24" t="str">
        <f>IMAGE("https://www.serebii.net/scarletviolet/pokemon/small/624.png")</f>
        <v/>
      </c>
      <c r="F371" s="24" t="str">
        <f t="shared" ref="F371:F376" si="157">IMAGE("https://www.serebii.net/pokedex-bw/type/dark.gif")</f>
        <v/>
      </c>
      <c r="G371" s="24" t="str">
        <f t="shared" ref="G371:G373" si="158">IMAGE("https://www.serebii.net/pokedex-bw/type/steel.gif")</f>
        <v/>
      </c>
      <c r="H371" s="25" t="s">
        <v>725</v>
      </c>
      <c r="I371" s="26"/>
      <c r="J371" s="5"/>
      <c r="K371" s="27"/>
    </row>
    <row r="372" ht="47.25" customHeight="1">
      <c r="A372" s="22" t="b">
        <v>0</v>
      </c>
      <c r="B372" s="5"/>
      <c r="C372" s="23">
        <v>368.0</v>
      </c>
      <c r="D372" s="23" t="s">
        <v>726</v>
      </c>
      <c r="E372" s="24" t="str">
        <f>IMAGE("https://www.serebii.net/scarletviolet/pokemon/small/625.png")</f>
        <v/>
      </c>
      <c r="F372" s="24" t="str">
        <f t="shared" si="157"/>
        <v/>
      </c>
      <c r="G372" s="24" t="str">
        <f t="shared" si="158"/>
        <v/>
      </c>
      <c r="H372" s="25" t="s">
        <v>727</v>
      </c>
      <c r="I372" s="26"/>
      <c r="J372" s="5"/>
      <c r="K372" s="27"/>
    </row>
    <row r="373" ht="47.25" customHeight="1">
      <c r="A373" s="22" t="b">
        <v>0</v>
      </c>
      <c r="B373" s="5"/>
      <c r="C373" s="23">
        <v>369.0</v>
      </c>
      <c r="D373" s="23" t="s">
        <v>728</v>
      </c>
      <c r="E373" s="24" t="str">
        <f>IMAGE("https://www.serebii.net/scarletviolet/pokemon/small/1008.png")</f>
        <v/>
      </c>
      <c r="F373" s="24" t="str">
        <f t="shared" si="157"/>
        <v/>
      </c>
      <c r="G373" s="24" t="str">
        <f t="shared" si="158"/>
        <v/>
      </c>
      <c r="H373" s="25" t="s">
        <v>729</v>
      </c>
      <c r="I373" s="26"/>
      <c r="J373" s="5"/>
      <c r="K373" s="27"/>
    </row>
    <row r="374" ht="47.25" customHeight="1">
      <c r="A374" s="22" t="b">
        <v>0</v>
      </c>
      <c r="B374" s="5"/>
      <c r="C374" s="23">
        <v>370.0</v>
      </c>
      <c r="D374" s="23" t="s">
        <v>730</v>
      </c>
      <c r="E374" s="24" t="str">
        <f>IMAGE("https://www.serebii.net/scarletviolet/pokemon/small/633.png")</f>
        <v/>
      </c>
      <c r="F374" s="24" t="str">
        <f t="shared" si="157"/>
        <v/>
      </c>
      <c r="G374" s="24" t="str">
        <f t="shared" ref="G374:G376" si="159">IMAGE("https://www.serebii.net/pokedex-bw/type/dragon.gif")</f>
        <v/>
      </c>
      <c r="H374" s="25" t="s">
        <v>731</v>
      </c>
      <c r="I374" s="26"/>
      <c r="J374" s="5"/>
      <c r="K374" s="27"/>
    </row>
    <row r="375" ht="47.25" customHeight="1">
      <c r="A375" s="22" t="b">
        <v>0</v>
      </c>
      <c r="B375" s="5"/>
      <c r="C375" s="23">
        <v>371.0</v>
      </c>
      <c r="D375" s="23" t="s">
        <v>732</v>
      </c>
      <c r="E375" s="24" t="str">
        <f>IMAGE("https://www.serebii.net/scarletviolet/pokemon/small/634.png")</f>
        <v/>
      </c>
      <c r="F375" s="24" t="str">
        <f t="shared" si="157"/>
        <v/>
      </c>
      <c r="G375" s="24" t="str">
        <f t="shared" si="159"/>
        <v/>
      </c>
      <c r="H375" s="25" t="s">
        <v>733</v>
      </c>
      <c r="I375" s="26"/>
      <c r="J375" s="5"/>
      <c r="K375" s="27"/>
    </row>
    <row r="376" ht="47.25" customHeight="1">
      <c r="A376" s="22" t="b">
        <v>0</v>
      </c>
      <c r="B376" s="5"/>
      <c r="C376" s="23">
        <v>372.0</v>
      </c>
      <c r="D376" s="23" t="s">
        <v>734</v>
      </c>
      <c r="E376" s="24" t="str">
        <f>IMAGE("https://www.serebii.net/scarletviolet/pokemon/small/635.png")</f>
        <v/>
      </c>
      <c r="F376" s="24" t="str">
        <f t="shared" si="157"/>
        <v/>
      </c>
      <c r="G376" s="24" t="str">
        <f t="shared" si="159"/>
        <v/>
      </c>
      <c r="H376" s="25" t="s">
        <v>735</v>
      </c>
      <c r="I376" s="26"/>
      <c r="J376" s="5"/>
      <c r="K376" s="27"/>
    </row>
    <row r="377" ht="47.25" customHeight="1">
      <c r="A377" s="22" t="b">
        <v>0</v>
      </c>
      <c r="B377" s="5"/>
      <c r="C377" s="23">
        <v>373.0</v>
      </c>
      <c r="D377" s="23" t="s">
        <v>736</v>
      </c>
      <c r="E377" s="24" t="str">
        <f>IMAGE("https://www.serebii.net/scarletviolet/pokemon/small/932.png")</f>
        <v/>
      </c>
      <c r="F377" s="24" t="str">
        <f t="shared" ref="F377:F378" si="160">IMAGE("https://www.serebii.net/pokedex-bw/type/water.gif")</f>
        <v/>
      </c>
      <c r="G377" s="24" t="str">
        <f>IMAGE("https://www.serebii.net/pokedex-bw/type/psychic.gif")</f>
        <v/>
      </c>
      <c r="H377" s="25" t="s">
        <v>737</v>
      </c>
      <c r="I377" s="26"/>
      <c r="J377" s="5"/>
      <c r="K377" s="27"/>
    </row>
    <row r="378" ht="47.25" customHeight="1">
      <c r="A378" s="22" t="b">
        <v>0</v>
      </c>
      <c r="B378" s="5"/>
      <c r="C378" s="23">
        <v>374.0</v>
      </c>
      <c r="D378" s="23" t="s">
        <v>738</v>
      </c>
      <c r="E378" s="24" t="str">
        <f>IMAGE("https://www.serebii.net/scarletviolet/pokemon/small/931.png")</f>
        <v/>
      </c>
      <c r="F378" s="24" t="str">
        <f t="shared" si="160"/>
        <v/>
      </c>
      <c r="G378" s="24"/>
      <c r="H378" s="25" t="s">
        <v>739</v>
      </c>
      <c r="I378" s="26"/>
      <c r="J378" s="5"/>
      <c r="K378" s="27"/>
    </row>
    <row r="379" ht="47.25" customHeight="1">
      <c r="A379" s="22" t="b">
        <v>0</v>
      </c>
      <c r="B379" s="5"/>
      <c r="C379" s="23">
        <v>375.0</v>
      </c>
      <c r="D379" s="23" t="s">
        <v>740</v>
      </c>
      <c r="E379" s="24" t="str">
        <f>IMAGE("https://www.serebii.net/scarletviolet/pokemon/small/952.png")</f>
        <v/>
      </c>
      <c r="F379" s="24" t="str">
        <f>IMAGE("https://www.serebii.net/pokedex-bw/type/dragon.gif")</f>
        <v/>
      </c>
      <c r="G379" s="24" t="str">
        <f>IMAGE("https://www.serebii.net/pokedex-bw/type/water.gif")</f>
        <v/>
      </c>
      <c r="H379" s="25" t="s">
        <v>741</v>
      </c>
      <c r="I379" s="26"/>
      <c r="J379" s="5"/>
      <c r="K379" s="27"/>
    </row>
    <row r="380" ht="47.25" customHeight="1">
      <c r="A380" s="22" t="b">
        <v>0</v>
      </c>
      <c r="B380" s="5"/>
      <c r="C380" s="23">
        <v>376.0</v>
      </c>
      <c r="D380" s="23" t="s">
        <v>742</v>
      </c>
      <c r="E380" s="24" t="str">
        <f>IMAGE("https://www.serebii.net/scarletviolet/pokemon/small/978.png")</f>
        <v/>
      </c>
      <c r="F380" s="24" t="str">
        <f>IMAGE("https://www.serebii.net/pokedex-bw/type/ground.gif")</f>
        <v/>
      </c>
      <c r="G380" s="24" t="str">
        <f>IMAGE("https://www.serebii.net/pokedex-bw/type/fighting.gif")</f>
        <v/>
      </c>
      <c r="H380" s="25" t="s">
        <v>743</v>
      </c>
      <c r="I380" s="26"/>
      <c r="J380" s="5"/>
      <c r="K380" s="27"/>
    </row>
    <row r="381" ht="47.25" customHeight="1">
      <c r="A381" s="22" t="b">
        <v>0</v>
      </c>
      <c r="B381" s="5"/>
      <c r="C381" s="23">
        <v>377.0</v>
      </c>
      <c r="D381" s="23" t="s">
        <v>744</v>
      </c>
      <c r="E381" s="24" t="str">
        <f>IMAGE("https://www.serebii.net/scarletviolet/pokemon/small/982.png")</f>
        <v/>
      </c>
      <c r="F381" s="24" t="str">
        <f>IMAGE("https://www.serebii.net/pokedex-bw/type/fairy.gif")</f>
        <v/>
      </c>
      <c r="G381" s="24" t="str">
        <f>IMAGE("https://www.serebii.net/pokedex-bw/type/psychic.gif")</f>
        <v/>
      </c>
      <c r="H381" s="25" t="s">
        <v>743</v>
      </c>
      <c r="I381" s="26"/>
      <c r="J381" s="5"/>
      <c r="K381" s="27"/>
    </row>
    <row r="382" ht="47.25" customHeight="1">
      <c r="A382" s="22" t="b">
        <v>0</v>
      </c>
      <c r="B382" s="5"/>
      <c r="C382" s="23">
        <v>378.0</v>
      </c>
      <c r="D382" s="23" t="s">
        <v>745</v>
      </c>
      <c r="E382" s="24" t="str">
        <f>IMAGE("https://www.serebii.net/scarletviolet/pokemon/small/979.png")</f>
        <v/>
      </c>
      <c r="F382" s="24" t="str">
        <f>IMAGE("https://www.serebii.net/pokedex-bw/type/grass.gif")</f>
        <v/>
      </c>
      <c r="G382" s="24" t="str">
        <f>IMAGE("https://www.serebii.net/pokedex-bw/type/dark.gif")</f>
        <v/>
      </c>
      <c r="H382" s="25" t="s">
        <v>743</v>
      </c>
      <c r="I382" s="26"/>
      <c r="J382" s="5"/>
      <c r="K382" s="27"/>
    </row>
    <row r="383" ht="47.25" customHeight="1">
      <c r="A383" s="22" t="b">
        <v>0</v>
      </c>
      <c r="B383" s="5"/>
      <c r="C383" s="23">
        <v>379.0</v>
      </c>
      <c r="D383" s="23" t="s">
        <v>746</v>
      </c>
      <c r="E383" s="24" t="str">
        <f>IMAGE("https://www.serebii.net/scarletviolet/pokemon/small/983.png")</f>
        <v/>
      </c>
      <c r="F383" s="24" t="str">
        <f>IMAGE("https://www.serebii.net/pokedex-bw/type/ghost.gif")</f>
        <v/>
      </c>
      <c r="G383" s="24" t="str">
        <f>IMAGE("https://www.serebii.net/pokedex-bw/type/fairy.gif")</f>
        <v/>
      </c>
      <c r="H383" s="25" t="s">
        <v>743</v>
      </c>
      <c r="I383" s="26"/>
      <c r="J383" s="5"/>
      <c r="K383" s="27"/>
    </row>
    <row r="384" ht="47.25" customHeight="1">
      <c r="A384" s="22" t="b">
        <v>0</v>
      </c>
      <c r="B384" s="5"/>
      <c r="C384" s="23">
        <v>380.0</v>
      </c>
      <c r="D384" s="23" t="s">
        <v>747</v>
      </c>
      <c r="E384" s="24" t="str">
        <f>IMAGE("https://www.serebii.net/scarletviolet/pokemon/small/984.png")</f>
        <v/>
      </c>
      <c r="F384" s="24" t="str">
        <f>IMAGE("https://www.serebii.net/pokedex-bw/type/bug.gif")</f>
        <v/>
      </c>
      <c r="G384" s="24" t="str">
        <f>IMAGE("https://www.serebii.net/pokedex-bw/type/fighting.gif")</f>
        <v/>
      </c>
      <c r="H384" s="25" t="s">
        <v>743</v>
      </c>
      <c r="I384" s="26"/>
      <c r="J384" s="5"/>
      <c r="K384" s="27"/>
    </row>
    <row r="385" ht="47.25" customHeight="1">
      <c r="A385" s="22" t="b">
        <v>0</v>
      </c>
      <c r="B385" s="5"/>
      <c r="C385" s="23">
        <v>381.0</v>
      </c>
      <c r="D385" s="23" t="s">
        <v>748</v>
      </c>
      <c r="E385" s="24" t="str">
        <f>IMAGE("https://www.serebii.net/scarletviolet/pokemon/small/981.png")</f>
        <v/>
      </c>
      <c r="F385" s="24" t="str">
        <f>IMAGE("https://www.serebii.net/pokedex-bw/type/electric.gif")</f>
        <v/>
      </c>
      <c r="G385" s="24" t="str">
        <f>IMAGE("https://www.serebii.net/pokedex-bw/type/ground.gif")</f>
        <v/>
      </c>
      <c r="H385" s="25" t="s">
        <v>743</v>
      </c>
      <c r="I385" s="26"/>
      <c r="J385" s="5"/>
      <c r="K385" s="27"/>
    </row>
    <row r="386" ht="47.25" customHeight="1">
      <c r="A386" s="22" t="b">
        <v>0</v>
      </c>
      <c r="B386" s="5"/>
      <c r="C386" s="23">
        <v>382.0</v>
      </c>
      <c r="D386" s="23" t="s">
        <v>749</v>
      </c>
      <c r="E386" s="24" t="str">
        <f>IMAGE("https://www.serebii.net/scarletviolet/pokemon/small/986.png")</f>
        <v/>
      </c>
      <c r="F386" s="24" t="str">
        <f>IMAGE("https://www.serebii.net/pokedex-bw/type/ground.gif")</f>
        <v/>
      </c>
      <c r="G386" s="24" t="str">
        <f>IMAGE("https://www.serebii.net/pokedex-bw/type/steel.gif")</f>
        <v/>
      </c>
      <c r="H386" s="25" t="s">
        <v>750</v>
      </c>
      <c r="I386" s="26"/>
      <c r="J386" s="5"/>
      <c r="K386" s="27"/>
    </row>
    <row r="387" ht="47.25" customHeight="1">
      <c r="A387" s="22" t="b">
        <v>0</v>
      </c>
      <c r="B387" s="5"/>
      <c r="C387" s="23">
        <v>383.0</v>
      </c>
      <c r="D387" s="23" t="s">
        <v>751</v>
      </c>
      <c r="E387" s="24" t="str">
        <f>IMAGE("https://www.serebii.net/scarletviolet/pokemon/small/992.png")</f>
        <v/>
      </c>
      <c r="F387" s="24" t="str">
        <f>IMAGE("https://www.serebii.net/pokedex-bw/type/ice.gif")</f>
        <v/>
      </c>
      <c r="G387" s="24" t="str">
        <f>IMAGE("https://www.serebii.net/pokedex-bw/type/water.gif")</f>
        <v/>
      </c>
      <c r="H387" s="25" t="s">
        <v>750</v>
      </c>
      <c r="I387" s="26"/>
      <c r="J387" s="5"/>
      <c r="K387" s="27"/>
    </row>
    <row r="388" ht="47.25" customHeight="1">
      <c r="A388" s="22" t="b">
        <v>0</v>
      </c>
      <c r="B388" s="5"/>
      <c r="C388" s="23">
        <v>384.0</v>
      </c>
      <c r="D388" s="23" t="s">
        <v>752</v>
      </c>
      <c r="E388" s="24" t="str">
        <f>IMAGE("https://www.serebii.net/scarletviolet/pokemon/small/989.png")</f>
        <v/>
      </c>
      <c r="F388" s="24" t="str">
        <f>IMAGE("https://www.serebii.net/pokedex-bw/type/fighting.gif")</f>
        <v/>
      </c>
      <c r="G388" s="24" t="str">
        <f>IMAGE("https://www.serebii.net/pokedex-bw/type/electric.gif")</f>
        <v/>
      </c>
      <c r="H388" s="25" t="s">
        <v>750</v>
      </c>
      <c r="I388" s="26"/>
      <c r="J388" s="5"/>
      <c r="K388" s="27"/>
    </row>
    <row r="389" ht="47.25" customHeight="1">
      <c r="A389" s="22" t="b">
        <v>0</v>
      </c>
      <c r="B389" s="5"/>
      <c r="C389" s="23">
        <v>385.0</v>
      </c>
      <c r="D389" s="23" t="s">
        <v>753</v>
      </c>
      <c r="E389" s="24" t="str">
        <f>IMAGE("https://www.serebii.net/scarletviolet/pokemon/small/990.png")</f>
        <v/>
      </c>
      <c r="F389" s="24" t="str">
        <f>IMAGE("https://www.serebii.net/pokedex-bw/type/dark.gif")</f>
        <v/>
      </c>
      <c r="G389" s="24" t="str">
        <f>IMAGE("https://www.serebii.net/pokedex-bw/type/flying.gif")</f>
        <v/>
      </c>
      <c r="H389" s="25" t="s">
        <v>750</v>
      </c>
      <c r="I389" s="26"/>
      <c r="J389" s="5"/>
      <c r="K389" s="27"/>
    </row>
    <row r="390" ht="47.25" customHeight="1">
      <c r="A390" s="22" t="b">
        <v>0</v>
      </c>
      <c r="B390" s="5"/>
      <c r="C390" s="23">
        <v>386.0</v>
      </c>
      <c r="D390" s="23" t="s">
        <v>754</v>
      </c>
      <c r="E390" s="24" t="str">
        <f>IMAGE("https://www.serebii.net/scarletviolet/pokemon/small/988.png")</f>
        <v/>
      </c>
      <c r="F390" s="24" t="str">
        <f>IMAGE("https://www.serebii.net/pokedex-bw/type/fire.gif")</f>
        <v/>
      </c>
      <c r="G390" s="24" t="str">
        <f>IMAGE("https://www.serebii.net/pokedex-bw/type/poison.gif")</f>
        <v/>
      </c>
      <c r="H390" s="25" t="s">
        <v>750</v>
      </c>
      <c r="I390" s="26"/>
      <c r="J390" s="5"/>
      <c r="K390" s="27"/>
    </row>
    <row r="391" ht="47.25" customHeight="1">
      <c r="A391" s="22" t="b">
        <v>0</v>
      </c>
      <c r="B391" s="5"/>
      <c r="C391" s="23">
        <v>387.0</v>
      </c>
      <c r="D391" s="23" t="s">
        <v>755</v>
      </c>
      <c r="E391" s="24" t="str">
        <f>IMAGE("https://www.serebii.net/scarletviolet/pokemon/small/991.png")</f>
        <v/>
      </c>
      <c r="F391" s="24" t="str">
        <f>IMAGE("https://www.serebii.net/pokedex-bw/type/rock.gif")</f>
        <v/>
      </c>
      <c r="G391" s="24" t="str">
        <f>IMAGE("https://www.serebii.net/pokedex-bw/type/electric.gif")</f>
        <v/>
      </c>
      <c r="H391" s="25" t="s">
        <v>750</v>
      </c>
      <c r="I391" s="26"/>
      <c r="J391" s="5"/>
      <c r="K391" s="27"/>
    </row>
    <row r="392" ht="47.25" customHeight="1">
      <c r="A392" s="22" t="b">
        <v>0</v>
      </c>
      <c r="B392" s="5"/>
      <c r="C392" s="23">
        <v>388.0</v>
      </c>
      <c r="D392" s="23" t="s">
        <v>756</v>
      </c>
      <c r="E392" s="24" t="str">
        <f>IMAGE("https://www.serebii.net/scarletviolet/pokemon/small/949.png")</f>
        <v/>
      </c>
      <c r="F392" s="24" t="str">
        <f t="shared" ref="F392:F394" si="161">IMAGE("https://www.serebii.net/pokedex-bw/type/dragon.gif")</f>
        <v/>
      </c>
      <c r="G392" s="24" t="str">
        <f t="shared" ref="G392:G394" si="162">IMAGE("https://www.serebii.net/pokedex-bw/type/ice.gif")</f>
        <v/>
      </c>
      <c r="H392" s="25" t="s">
        <v>757</v>
      </c>
      <c r="I392" s="26"/>
      <c r="J392" s="5"/>
      <c r="K392" s="27"/>
    </row>
    <row r="393" ht="47.25" customHeight="1">
      <c r="A393" s="22" t="b">
        <v>0</v>
      </c>
      <c r="B393" s="5"/>
      <c r="C393" s="23">
        <v>389.0</v>
      </c>
      <c r="D393" s="23" t="s">
        <v>758</v>
      </c>
      <c r="E393" s="24" t="str">
        <f>IMAGE("https://www.serebii.net/scarletviolet/pokemon/small/950.png")</f>
        <v/>
      </c>
      <c r="F393" s="24" t="str">
        <f t="shared" si="161"/>
        <v/>
      </c>
      <c r="G393" s="24" t="str">
        <f t="shared" si="162"/>
        <v/>
      </c>
      <c r="H393" s="25" t="s">
        <v>759</v>
      </c>
      <c r="I393" s="26"/>
      <c r="J393" s="5"/>
      <c r="K393" s="27"/>
    </row>
    <row r="394" ht="47.25" customHeight="1">
      <c r="A394" s="22" t="b">
        <v>0</v>
      </c>
      <c r="B394" s="5"/>
      <c r="C394" s="23">
        <v>390.0</v>
      </c>
      <c r="D394" s="23" t="s">
        <v>760</v>
      </c>
      <c r="E394" s="24" t="str">
        <f>IMAGE("https://www.serebii.net/scarletviolet/pokemon/small/951.png")</f>
        <v/>
      </c>
      <c r="F394" s="24" t="str">
        <f t="shared" si="161"/>
        <v/>
      </c>
      <c r="G394" s="24" t="str">
        <f t="shared" si="162"/>
        <v/>
      </c>
      <c r="H394" s="25" t="s">
        <v>761</v>
      </c>
      <c r="I394" s="26"/>
      <c r="J394" s="5"/>
      <c r="K394" s="27"/>
    </row>
    <row r="395" ht="47.25" customHeight="1">
      <c r="A395" s="22" t="b">
        <v>0</v>
      </c>
      <c r="B395" s="5"/>
      <c r="C395" s="23">
        <v>391.0</v>
      </c>
      <c r="D395" s="23" t="s">
        <v>762</v>
      </c>
      <c r="E395" s="24" t="str">
        <f>IMAGE("https://www.serebii.net/scarletviolet/pokemon/small/976.png")</f>
        <v/>
      </c>
      <c r="F395" s="24" t="str">
        <f>IMAGE("https://www.serebii.net/pokedex-bw/type/ghost.gif")</f>
        <v/>
      </c>
      <c r="G395" s="24"/>
      <c r="H395" s="25" t="s">
        <v>763</v>
      </c>
      <c r="I395" s="26"/>
      <c r="J395" s="5"/>
      <c r="K395" s="28"/>
    </row>
    <row r="396" ht="47.25" customHeight="1">
      <c r="A396" s="22" t="b">
        <v>0</v>
      </c>
      <c r="B396" s="5"/>
      <c r="C396" s="23">
        <v>392.0</v>
      </c>
      <c r="D396" s="23" t="s">
        <v>764</v>
      </c>
      <c r="E396" s="24" t="str">
        <f>IMAGE("https://www.serebii.net/scarletviolet/pokemon/small/977.png")</f>
        <v/>
      </c>
      <c r="F396" s="24" t="str">
        <f>IMAGE("https://www.serebii.net/pokedex-bw/type/steel.gif")</f>
        <v/>
      </c>
      <c r="G396" s="24" t="str">
        <f>IMAGE("https://www.serebii.net/pokedex-bw/type/ghost.gif")</f>
        <v/>
      </c>
      <c r="H396" s="25" t="s">
        <v>765</v>
      </c>
      <c r="I396" s="26"/>
      <c r="J396" s="5"/>
      <c r="K396" s="27"/>
    </row>
    <row r="397" ht="47.25" customHeight="1">
      <c r="A397" s="22" t="b">
        <v>0</v>
      </c>
      <c r="B397" s="5"/>
      <c r="C397" s="23">
        <v>393.0</v>
      </c>
      <c r="D397" s="23" t="s">
        <v>766</v>
      </c>
      <c r="E397" s="24" t="str">
        <f>IMAGE("https://www.serebii.net/scarletviolet/pokemon/small/996.png")</f>
        <v/>
      </c>
      <c r="F397" s="24" t="str">
        <f t="shared" ref="F397:F400" si="163">IMAGE("https://www.serebii.net/pokedex-bw/type/dark.gif")</f>
        <v/>
      </c>
      <c r="G397" s="24" t="str">
        <f>IMAGE("https://www.serebii.net/pokedex-bw/type/grass.gif")</f>
        <v/>
      </c>
      <c r="H397" s="25" t="s">
        <v>767</v>
      </c>
      <c r="I397" s="26"/>
      <c r="J397" s="5"/>
      <c r="K397" s="27"/>
    </row>
    <row r="398" ht="47.25" customHeight="1">
      <c r="A398" s="22" t="b">
        <v>0</v>
      </c>
      <c r="B398" s="5"/>
      <c r="C398" s="23">
        <v>394.0</v>
      </c>
      <c r="D398" s="23" t="s">
        <v>768</v>
      </c>
      <c r="E398" s="24" t="str">
        <f>IMAGE("https://www.serebii.net/scarletviolet/pokemon/small/995.png")</f>
        <v/>
      </c>
      <c r="F398" s="24" t="str">
        <f t="shared" si="163"/>
        <v/>
      </c>
      <c r="G398" s="24" t="str">
        <f>IMAGE("https://www.serebii.net/pokedex-bw/type/ice.gif")</f>
        <v/>
      </c>
      <c r="H398" s="25" t="s">
        <v>769</v>
      </c>
      <c r="I398" s="26"/>
      <c r="J398" s="5"/>
      <c r="K398" s="27"/>
    </row>
    <row r="399" ht="47.25" customHeight="1">
      <c r="A399" s="22" t="b">
        <v>0</v>
      </c>
      <c r="B399" s="5"/>
      <c r="C399" s="23">
        <v>395.0</v>
      </c>
      <c r="D399" s="23" t="s">
        <v>770</v>
      </c>
      <c r="E399" s="24" t="str">
        <f>IMAGE("https://www.serebii.net/scarletviolet/pokemon/small/994.png")</f>
        <v/>
      </c>
      <c r="F399" s="24" t="str">
        <f t="shared" si="163"/>
        <v/>
      </c>
      <c r="G399" s="24" t="str">
        <f>IMAGE("https://www.serebii.net/pokedex-bw/type/ground.gif")</f>
        <v/>
      </c>
      <c r="H399" s="25" t="s">
        <v>771</v>
      </c>
      <c r="I399" s="26"/>
      <c r="J399" s="5"/>
      <c r="K399" s="28"/>
    </row>
    <row r="400" ht="47.25" customHeight="1">
      <c r="A400" s="22" t="b">
        <v>0</v>
      </c>
      <c r="B400" s="5"/>
      <c r="C400" s="23">
        <v>396.0</v>
      </c>
      <c r="D400" s="23" t="s">
        <v>772</v>
      </c>
      <c r="E400" s="24" t="str">
        <f>IMAGE("https://www.serebii.net/scarletviolet/pokemon/small/997.png")</f>
        <v/>
      </c>
      <c r="F400" s="24" t="str">
        <f t="shared" si="163"/>
        <v/>
      </c>
      <c r="G400" s="24" t="str">
        <f>IMAGE("https://www.serebii.net/pokedex-bw/type/fire.gif")</f>
        <v/>
      </c>
      <c r="H400" s="25" t="s">
        <v>773</v>
      </c>
      <c r="I400" s="26"/>
      <c r="J400" s="5"/>
      <c r="K400" s="27"/>
    </row>
    <row r="401" ht="47.25" customHeight="1">
      <c r="A401" s="22" t="b">
        <v>0</v>
      </c>
      <c r="B401" s="5"/>
      <c r="C401" s="23">
        <v>397.0</v>
      </c>
      <c r="D401" s="23" t="s">
        <v>774</v>
      </c>
      <c r="E401" s="24" t="str">
        <f>IMAGE("https://www.serebii.net/scarletviolet/pokemon/small/985.png")</f>
        <v/>
      </c>
      <c r="F401" s="24" t="str">
        <f>IMAGE("https://www.serebii.net/pokedex-bw/type/dragon.gif")</f>
        <v/>
      </c>
      <c r="G401" s="24" t="str">
        <f>IMAGE("https://www.serebii.net/pokedex-bw/type/dark.gif")</f>
        <v/>
      </c>
      <c r="H401" s="25" t="s">
        <v>743</v>
      </c>
      <c r="I401" s="26"/>
      <c r="J401" s="5"/>
      <c r="K401" s="27"/>
    </row>
    <row r="402" ht="47.25" customHeight="1">
      <c r="A402" s="22" t="b">
        <v>0</v>
      </c>
      <c r="B402" s="5"/>
      <c r="C402" s="23">
        <v>398.0</v>
      </c>
      <c r="D402" s="23" t="s">
        <v>775</v>
      </c>
      <c r="E402" s="24" t="str">
        <f>IMAGE("https://www.serebii.net/scarletviolet/pokemon/small/993.png")</f>
        <v/>
      </c>
      <c r="F402" s="24" t="str">
        <f>IMAGE("https://www.serebii.net/pokedex-bw/type/fairy.gif")</f>
        <v/>
      </c>
      <c r="G402" s="24" t="str">
        <f>IMAGE("https://www.serebii.net/pokedex-bw/type/fighting.gif")</f>
        <v/>
      </c>
      <c r="H402" s="25" t="s">
        <v>750</v>
      </c>
      <c r="I402" s="26"/>
      <c r="J402" s="5"/>
      <c r="K402" s="27"/>
    </row>
    <row r="403" ht="47.25" customHeight="1">
      <c r="A403" s="22" t="b">
        <v>0</v>
      </c>
      <c r="B403" s="5"/>
      <c r="C403" s="23">
        <v>399.0</v>
      </c>
      <c r="D403" s="23" t="s">
        <v>776</v>
      </c>
      <c r="E403" s="24" t="str">
        <f>IMAGE("https://www.serebii.net/scarletviolet/pokemon/small/998.png")</f>
        <v/>
      </c>
      <c r="F403" s="24" t="str">
        <f>IMAGE("https://www.serebii.net/pokedex-bw/type/fighting.gif")</f>
        <v/>
      </c>
      <c r="G403" s="24" t="str">
        <f t="shared" ref="G403:G404" si="164">IMAGE("https://www.serebii.net/pokedex-bw/type/dragon.gif")</f>
        <v/>
      </c>
      <c r="H403" s="25" t="s">
        <v>743</v>
      </c>
      <c r="I403" s="26"/>
      <c r="J403" s="5"/>
      <c r="K403" s="27"/>
    </row>
    <row r="404" ht="47.25" customHeight="1">
      <c r="A404" s="22" t="b">
        <v>0</v>
      </c>
      <c r="B404" s="5"/>
      <c r="C404" s="23">
        <v>400.0</v>
      </c>
      <c r="D404" s="23" t="s">
        <v>777</v>
      </c>
      <c r="E404" s="24" t="str">
        <f>IMAGE("https://www.serebii.net/scarletviolet/pokemon/small/999.png")</f>
        <v/>
      </c>
      <c r="F404" s="24" t="str">
        <f>IMAGE("https://www.serebii.net/pokedex-bw/type/electric.gif")</f>
        <v/>
      </c>
      <c r="G404" s="24" t="str">
        <f t="shared" si="164"/>
        <v/>
      </c>
      <c r="H404" s="25" t="s">
        <v>750</v>
      </c>
      <c r="I404" s="26"/>
      <c r="J404" s="5"/>
      <c r="K404" s="27"/>
    </row>
    <row r="405" hidden="1">
      <c r="A405" s="30"/>
      <c r="B405" s="30"/>
      <c r="C405" s="31"/>
      <c r="D405" s="31"/>
      <c r="E405" s="32"/>
      <c r="H405" s="31"/>
      <c r="K405" s="28"/>
    </row>
    <row r="406" hidden="1">
      <c r="A406" s="33"/>
      <c r="B406" s="33"/>
      <c r="C406" s="31"/>
      <c r="D406" s="31"/>
      <c r="E406" s="32"/>
      <c r="H406" s="31"/>
      <c r="K406" s="28"/>
    </row>
    <row r="407" hidden="1">
      <c r="A407" s="33"/>
      <c r="B407" s="33"/>
      <c r="C407" s="31"/>
      <c r="D407" s="31"/>
      <c r="E407" s="32"/>
      <c r="H407" s="31"/>
      <c r="K407" s="28"/>
    </row>
    <row r="408" hidden="1">
      <c r="A408" s="33"/>
      <c r="B408" s="33"/>
      <c r="C408" s="31"/>
      <c r="D408" s="31"/>
      <c r="E408" s="32"/>
      <c r="H408" s="31"/>
      <c r="K408" s="28"/>
    </row>
    <row r="409" hidden="1">
      <c r="A409" s="33"/>
      <c r="B409" s="33"/>
      <c r="C409" s="31"/>
      <c r="D409" s="31"/>
      <c r="E409" s="32"/>
      <c r="H409" s="31"/>
      <c r="K409" s="28"/>
    </row>
    <row r="410" hidden="1">
      <c r="A410" s="33"/>
      <c r="B410" s="33"/>
      <c r="C410" s="31"/>
      <c r="D410" s="31"/>
      <c r="E410" s="32"/>
      <c r="H410" s="31"/>
      <c r="K410" s="28"/>
    </row>
    <row r="411" hidden="1">
      <c r="A411" s="33"/>
      <c r="B411" s="33"/>
      <c r="C411" s="31"/>
      <c r="D411" s="31"/>
      <c r="E411" s="32"/>
      <c r="H411" s="31"/>
      <c r="K411" s="28"/>
    </row>
    <row r="412" hidden="1">
      <c r="A412" s="33"/>
      <c r="B412" s="33"/>
      <c r="C412" s="31"/>
      <c r="D412" s="31"/>
      <c r="E412" s="32"/>
      <c r="H412" s="31"/>
      <c r="K412" s="28"/>
    </row>
    <row r="413" hidden="1">
      <c r="A413" s="33"/>
      <c r="B413" s="33"/>
      <c r="C413" s="31"/>
      <c r="D413" s="31"/>
      <c r="E413" s="32"/>
      <c r="H413" s="31"/>
      <c r="K413" s="28"/>
    </row>
    <row r="414" hidden="1">
      <c r="A414" s="33"/>
      <c r="B414" s="33"/>
      <c r="C414" s="31"/>
      <c r="D414" s="31"/>
      <c r="E414" s="32"/>
      <c r="H414" s="31"/>
      <c r="K414" s="28"/>
    </row>
    <row r="415" hidden="1">
      <c r="A415" s="33"/>
      <c r="B415" s="33"/>
      <c r="C415" s="31"/>
      <c r="D415" s="31"/>
      <c r="E415" s="32"/>
      <c r="H415" s="31"/>
      <c r="K415" s="28"/>
    </row>
    <row r="416" hidden="1">
      <c r="A416" s="33"/>
      <c r="B416" s="33"/>
      <c r="C416" s="31"/>
      <c r="D416" s="31"/>
      <c r="E416" s="32"/>
      <c r="H416" s="31"/>
      <c r="K416" s="28"/>
    </row>
    <row r="417" hidden="1">
      <c r="A417" s="33"/>
      <c r="B417" s="33"/>
      <c r="C417" s="31"/>
      <c r="D417" s="31"/>
      <c r="E417" s="32"/>
      <c r="H417" s="31"/>
      <c r="K417" s="28"/>
    </row>
    <row r="418" hidden="1">
      <c r="A418" s="33"/>
      <c r="B418" s="33"/>
      <c r="C418" s="31"/>
      <c r="D418" s="31"/>
      <c r="E418" s="32"/>
      <c r="H418" s="31"/>
      <c r="K418" s="28"/>
    </row>
    <row r="419" hidden="1">
      <c r="A419" s="33"/>
      <c r="B419" s="33"/>
      <c r="C419" s="31"/>
      <c r="D419" s="31"/>
      <c r="E419" s="32"/>
      <c r="H419" s="31"/>
      <c r="K419" s="28"/>
    </row>
    <row r="420" hidden="1">
      <c r="A420" s="33"/>
      <c r="B420" s="33"/>
      <c r="C420" s="31"/>
      <c r="D420" s="31"/>
      <c r="E420" s="32"/>
      <c r="H420" s="31"/>
      <c r="K420" s="28"/>
    </row>
    <row r="421" hidden="1">
      <c r="A421" s="33"/>
      <c r="B421" s="33"/>
      <c r="C421" s="31"/>
      <c r="D421" s="31"/>
      <c r="E421" s="32"/>
      <c r="H421" s="31"/>
      <c r="K421" s="28"/>
    </row>
    <row r="422" hidden="1">
      <c r="A422" s="33"/>
      <c r="B422" s="33"/>
      <c r="C422" s="31"/>
      <c r="D422" s="31"/>
      <c r="E422" s="32"/>
      <c r="H422" s="31"/>
      <c r="K422" s="28"/>
    </row>
    <row r="423" hidden="1">
      <c r="A423" s="33"/>
      <c r="B423" s="33"/>
      <c r="C423" s="31"/>
      <c r="D423" s="31"/>
      <c r="E423" s="32"/>
      <c r="H423" s="31"/>
      <c r="K423" s="28"/>
    </row>
    <row r="424" hidden="1">
      <c r="A424" s="33"/>
      <c r="B424" s="33"/>
      <c r="C424" s="31"/>
      <c r="D424" s="31"/>
      <c r="E424" s="32"/>
      <c r="H424" s="31"/>
      <c r="K424" s="28"/>
    </row>
    <row r="425" hidden="1">
      <c r="A425" s="33"/>
      <c r="B425" s="33"/>
      <c r="C425" s="31"/>
      <c r="D425" s="31"/>
      <c r="E425" s="32"/>
      <c r="H425" s="31"/>
      <c r="K425" s="28"/>
    </row>
    <row r="426" hidden="1">
      <c r="A426" s="33"/>
      <c r="B426" s="33"/>
      <c r="C426" s="31"/>
      <c r="D426" s="31"/>
      <c r="E426" s="32"/>
      <c r="H426" s="31"/>
      <c r="K426" s="28"/>
    </row>
    <row r="427" hidden="1">
      <c r="A427" s="33"/>
      <c r="B427" s="33"/>
      <c r="C427" s="31"/>
      <c r="D427" s="31"/>
      <c r="E427" s="32"/>
      <c r="H427" s="31"/>
      <c r="K427" s="28"/>
    </row>
    <row r="428" hidden="1">
      <c r="A428" s="33"/>
      <c r="B428" s="33"/>
      <c r="C428" s="31"/>
      <c r="D428" s="31"/>
      <c r="E428" s="32"/>
      <c r="H428" s="31"/>
      <c r="K428" s="28"/>
    </row>
    <row r="429" hidden="1">
      <c r="A429" s="33"/>
      <c r="B429" s="33"/>
      <c r="C429" s="31"/>
      <c r="D429" s="31"/>
      <c r="E429" s="32"/>
      <c r="H429" s="31"/>
      <c r="K429" s="28"/>
    </row>
    <row r="430" hidden="1">
      <c r="A430" s="33"/>
      <c r="B430" s="33"/>
      <c r="C430" s="31"/>
      <c r="D430" s="31"/>
      <c r="E430" s="32"/>
      <c r="H430" s="31"/>
      <c r="K430" s="28"/>
    </row>
    <row r="431" hidden="1">
      <c r="A431" s="33"/>
      <c r="B431" s="33"/>
      <c r="C431" s="31"/>
      <c r="D431" s="31"/>
      <c r="E431" s="32"/>
      <c r="H431" s="31"/>
      <c r="K431" s="28"/>
    </row>
    <row r="432" hidden="1">
      <c r="A432" s="33"/>
      <c r="B432" s="33"/>
      <c r="C432" s="31"/>
      <c r="D432" s="31"/>
      <c r="E432" s="32"/>
      <c r="H432" s="31"/>
      <c r="K432" s="28"/>
    </row>
    <row r="433" hidden="1">
      <c r="A433" s="33"/>
      <c r="B433" s="33"/>
      <c r="C433" s="31"/>
      <c r="D433" s="31"/>
      <c r="E433" s="32"/>
      <c r="H433" s="31"/>
      <c r="K433" s="28"/>
    </row>
    <row r="434" hidden="1">
      <c r="A434" s="33"/>
      <c r="B434" s="33"/>
      <c r="C434" s="31"/>
      <c r="D434" s="31"/>
      <c r="E434" s="32"/>
      <c r="H434" s="31"/>
      <c r="K434" s="28"/>
    </row>
    <row r="435" hidden="1">
      <c r="A435" s="33"/>
      <c r="B435" s="33"/>
      <c r="C435" s="31"/>
      <c r="D435" s="31"/>
      <c r="E435" s="32"/>
      <c r="H435" s="31"/>
      <c r="K435" s="28"/>
    </row>
    <row r="436" hidden="1">
      <c r="A436" s="33"/>
      <c r="B436" s="33"/>
      <c r="C436" s="31"/>
      <c r="D436" s="31"/>
      <c r="E436" s="32"/>
      <c r="H436" s="31"/>
      <c r="K436" s="28"/>
    </row>
    <row r="437" hidden="1">
      <c r="A437" s="33"/>
      <c r="B437" s="33"/>
      <c r="C437" s="31"/>
      <c r="D437" s="31"/>
      <c r="E437" s="32"/>
      <c r="H437" s="31"/>
      <c r="K437" s="28"/>
    </row>
    <row r="438" hidden="1">
      <c r="A438" s="33"/>
      <c r="B438" s="33"/>
      <c r="C438" s="31"/>
      <c r="D438" s="31"/>
      <c r="E438" s="32"/>
      <c r="H438" s="31"/>
      <c r="K438" s="28"/>
    </row>
    <row r="439" hidden="1">
      <c r="A439" s="33"/>
      <c r="B439" s="33"/>
      <c r="C439" s="31"/>
      <c r="D439" s="31"/>
      <c r="E439" s="32"/>
      <c r="H439" s="31"/>
      <c r="K439" s="28"/>
    </row>
    <row r="440" hidden="1">
      <c r="A440" s="33"/>
      <c r="B440" s="33"/>
      <c r="C440" s="31"/>
      <c r="D440" s="31"/>
      <c r="E440" s="32"/>
      <c r="H440" s="31"/>
      <c r="K440" s="28"/>
    </row>
    <row r="441" hidden="1">
      <c r="A441" s="33"/>
      <c r="B441" s="33"/>
      <c r="C441" s="31"/>
      <c r="D441" s="31"/>
      <c r="E441" s="32"/>
      <c r="H441" s="31"/>
      <c r="K441" s="28"/>
    </row>
    <row r="442" hidden="1">
      <c r="A442" s="33"/>
      <c r="B442" s="33"/>
      <c r="C442" s="31"/>
      <c r="D442" s="31"/>
      <c r="E442" s="32"/>
      <c r="H442" s="31"/>
      <c r="K442" s="28"/>
    </row>
    <row r="443" hidden="1">
      <c r="A443" s="33"/>
      <c r="B443" s="33"/>
      <c r="C443" s="31"/>
      <c r="D443" s="31"/>
      <c r="E443" s="32"/>
      <c r="H443" s="31"/>
      <c r="K443" s="28"/>
    </row>
    <row r="444" hidden="1">
      <c r="A444" s="33"/>
      <c r="B444" s="33"/>
      <c r="C444" s="31"/>
      <c r="D444" s="31"/>
      <c r="E444" s="32"/>
      <c r="H444" s="31"/>
      <c r="K444" s="28"/>
    </row>
    <row r="445" hidden="1">
      <c r="A445" s="33"/>
      <c r="B445" s="33"/>
      <c r="C445" s="31"/>
      <c r="D445" s="31"/>
      <c r="E445" s="32"/>
      <c r="H445" s="31"/>
      <c r="K445" s="28"/>
    </row>
    <row r="446" hidden="1">
      <c r="A446" s="33"/>
      <c r="B446" s="33"/>
      <c r="C446" s="31"/>
      <c r="D446" s="31"/>
      <c r="E446" s="32"/>
      <c r="H446" s="31"/>
      <c r="K446" s="28"/>
    </row>
    <row r="447" hidden="1">
      <c r="A447" s="33"/>
      <c r="B447" s="33"/>
      <c r="C447" s="31"/>
      <c r="D447" s="31"/>
      <c r="E447" s="32"/>
      <c r="H447" s="31"/>
      <c r="K447" s="28"/>
    </row>
    <row r="448" hidden="1">
      <c r="A448" s="33"/>
      <c r="B448" s="33"/>
      <c r="C448" s="31"/>
      <c r="D448" s="31"/>
      <c r="E448" s="32"/>
      <c r="H448" s="31"/>
      <c r="K448" s="28"/>
    </row>
    <row r="449" hidden="1">
      <c r="A449" s="33"/>
      <c r="B449" s="33"/>
      <c r="C449" s="31"/>
      <c r="D449" s="31"/>
      <c r="E449" s="32"/>
      <c r="H449" s="31"/>
      <c r="K449" s="28"/>
    </row>
    <row r="450" hidden="1">
      <c r="A450" s="33"/>
      <c r="B450" s="33"/>
      <c r="C450" s="31"/>
      <c r="D450" s="31"/>
      <c r="E450" s="32"/>
      <c r="H450" s="31"/>
      <c r="K450" s="28"/>
    </row>
    <row r="451" hidden="1">
      <c r="A451" s="33"/>
      <c r="B451" s="33"/>
      <c r="C451" s="31"/>
      <c r="D451" s="31"/>
      <c r="E451" s="32"/>
      <c r="H451" s="31"/>
      <c r="K451" s="28"/>
    </row>
    <row r="452" hidden="1">
      <c r="A452" s="33"/>
      <c r="B452" s="33"/>
      <c r="C452" s="31"/>
      <c r="D452" s="31"/>
      <c r="E452" s="32"/>
      <c r="H452" s="31"/>
      <c r="K452" s="28"/>
    </row>
    <row r="453" hidden="1">
      <c r="A453" s="33"/>
      <c r="B453" s="33"/>
      <c r="C453" s="31"/>
      <c r="D453" s="31"/>
      <c r="E453" s="32"/>
      <c r="H453" s="31"/>
      <c r="K453" s="28"/>
    </row>
    <row r="454" hidden="1">
      <c r="A454" s="33"/>
      <c r="B454" s="33"/>
      <c r="C454" s="31"/>
      <c r="D454" s="31"/>
      <c r="E454" s="32"/>
      <c r="H454" s="31"/>
      <c r="K454" s="28"/>
    </row>
    <row r="455" hidden="1">
      <c r="A455" s="33"/>
      <c r="B455" s="33"/>
      <c r="C455" s="31"/>
      <c r="D455" s="31"/>
      <c r="E455" s="32"/>
      <c r="H455" s="31"/>
      <c r="K455" s="28"/>
    </row>
    <row r="456" hidden="1">
      <c r="A456" s="33"/>
      <c r="B456" s="33"/>
      <c r="C456" s="31"/>
      <c r="D456" s="31"/>
      <c r="E456" s="32"/>
      <c r="H456" s="31"/>
      <c r="K456" s="28"/>
    </row>
    <row r="457" hidden="1">
      <c r="A457" s="33"/>
      <c r="B457" s="33"/>
      <c r="C457" s="31"/>
      <c r="D457" s="31"/>
      <c r="E457" s="32"/>
      <c r="H457" s="31"/>
      <c r="K457" s="28"/>
    </row>
    <row r="458" hidden="1">
      <c r="A458" s="33"/>
      <c r="B458" s="33"/>
      <c r="C458" s="31"/>
      <c r="D458" s="31"/>
      <c r="E458" s="32"/>
      <c r="H458" s="31"/>
      <c r="K458" s="28"/>
    </row>
    <row r="459" hidden="1">
      <c r="A459" s="33"/>
      <c r="B459" s="33"/>
      <c r="C459" s="31"/>
      <c r="D459" s="31"/>
      <c r="E459" s="32"/>
      <c r="H459" s="31"/>
      <c r="K459" s="28"/>
    </row>
    <row r="460" hidden="1">
      <c r="A460" s="33"/>
      <c r="B460" s="33"/>
      <c r="C460" s="31"/>
      <c r="D460" s="31"/>
      <c r="E460" s="32"/>
      <c r="H460" s="31"/>
      <c r="K460" s="28"/>
    </row>
    <row r="461" hidden="1">
      <c r="A461" s="33"/>
      <c r="B461" s="33"/>
      <c r="C461" s="31"/>
      <c r="D461" s="31"/>
      <c r="E461" s="32"/>
      <c r="H461" s="31"/>
      <c r="K461" s="28"/>
    </row>
    <row r="462" hidden="1">
      <c r="A462" s="33"/>
      <c r="B462" s="33"/>
      <c r="C462" s="31"/>
      <c r="D462" s="31"/>
      <c r="E462" s="32"/>
      <c r="H462" s="31"/>
      <c r="K462" s="28"/>
    </row>
    <row r="463" hidden="1">
      <c r="A463" s="33"/>
      <c r="B463" s="33"/>
      <c r="C463" s="31"/>
      <c r="D463" s="31"/>
      <c r="E463" s="32"/>
      <c r="H463" s="31"/>
      <c r="K463" s="28"/>
    </row>
    <row r="464" hidden="1">
      <c r="A464" s="33"/>
      <c r="B464" s="33"/>
      <c r="C464" s="31"/>
      <c r="D464" s="31"/>
      <c r="E464" s="32"/>
      <c r="H464" s="31"/>
      <c r="K464" s="28"/>
    </row>
    <row r="465" hidden="1">
      <c r="A465" s="33"/>
      <c r="B465" s="33"/>
      <c r="C465" s="31"/>
      <c r="D465" s="31"/>
      <c r="E465" s="32"/>
      <c r="H465" s="31"/>
      <c r="K465" s="28"/>
    </row>
    <row r="466" hidden="1">
      <c r="A466" s="33"/>
      <c r="B466" s="33"/>
      <c r="C466" s="31"/>
      <c r="D466" s="31"/>
      <c r="E466" s="32"/>
      <c r="H466" s="31"/>
      <c r="K466" s="28"/>
    </row>
    <row r="467" hidden="1">
      <c r="A467" s="33"/>
      <c r="B467" s="33"/>
      <c r="C467" s="31"/>
      <c r="D467" s="31"/>
      <c r="E467" s="32"/>
      <c r="H467" s="31"/>
      <c r="K467" s="28"/>
    </row>
    <row r="468" hidden="1">
      <c r="A468" s="33"/>
      <c r="B468" s="33"/>
      <c r="C468" s="31"/>
      <c r="D468" s="31"/>
      <c r="E468" s="32"/>
      <c r="H468" s="31"/>
      <c r="K468" s="28"/>
    </row>
    <row r="469" hidden="1">
      <c r="A469" s="33"/>
      <c r="B469" s="33"/>
      <c r="C469" s="31"/>
      <c r="D469" s="31"/>
      <c r="E469" s="32"/>
      <c r="H469" s="31"/>
      <c r="K469" s="28"/>
    </row>
    <row r="470" hidden="1">
      <c r="A470" s="33"/>
      <c r="B470" s="33"/>
      <c r="C470" s="31"/>
      <c r="D470" s="31"/>
      <c r="E470" s="32"/>
      <c r="H470" s="31"/>
      <c r="K470" s="28"/>
    </row>
    <row r="471" hidden="1">
      <c r="A471" s="33"/>
      <c r="B471" s="33"/>
      <c r="C471" s="31"/>
      <c r="D471" s="31"/>
      <c r="E471" s="32"/>
      <c r="H471" s="31"/>
      <c r="K471" s="28"/>
    </row>
    <row r="472" hidden="1">
      <c r="A472" s="33"/>
      <c r="B472" s="33"/>
      <c r="C472" s="31"/>
      <c r="D472" s="31"/>
      <c r="E472" s="32"/>
      <c r="H472" s="31"/>
      <c r="K472" s="28"/>
    </row>
    <row r="473" hidden="1">
      <c r="A473" s="33"/>
      <c r="B473" s="33"/>
      <c r="C473" s="31"/>
      <c r="D473" s="31"/>
      <c r="E473" s="32"/>
      <c r="H473" s="31"/>
      <c r="K473" s="28"/>
    </row>
    <row r="474" hidden="1">
      <c r="A474" s="33"/>
      <c r="B474" s="33"/>
      <c r="C474" s="31"/>
      <c r="D474" s="31"/>
      <c r="E474" s="32"/>
      <c r="H474" s="31"/>
      <c r="K474" s="28"/>
    </row>
    <row r="475" hidden="1">
      <c r="A475" s="33"/>
      <c r="B475" s="33"/>
      <c r="C475" s="31"/>
      <c r="D475" s="31"/>
      <c r="E475" s="32"/>
      <c r="H475" s="31"/>
      <c r="K475" s="28"/>
    </row>
    <row r="476" hidden="1">
      <c r="A476" s="33"/>
      <c r="B476" s="33"/>
      <c r="C476" s="31"/>
      <c r="D476" s="31"/>
      <c r="E476" s="32"/>
      <c r="H476" s="31"/>
      <c r="K476" s="28"/>
    </row>
    <row r="477" hidden="1">
      <c r="A477" s="33"/>
      <c r="B477" s="33"/>
      <c r="C477" s="31"/>
      <c r="D477" s="31"/>
      <c r="E477" s="32"/>
      <c r="H477" s="31"/>
      <c r="K477" s="28"/>
    </row>
    <row r="478" hidden="1">
      <c r="A478" s="33"/>
      <c r="B478" s="33"/>
      <c r="C478" s="31"/>
      <c r="D478" s="31"/>
      <c r="E478" s="32"/>
      <c r="H478" s="31"/>
      <c r="K478" s="28"/>
    </row>
    <row r="479" hidden="1">
      <c r="A479" s="33"/>
      <c r="B479" s="33"/>
      <c r="C479" s="31"/>
      <c r="D479" s="31"/>
      <c r="E479" s="32"/>
      <c r="H479" s="31"/>
      <c r="K479" s="28"/>
    </row>
    <row r="480" hidden="1">
      <c r="A480" s="33"/>
      <c r="B480" s="33"/>
      <c r="C480" s="31"/>
      <c r="D480" s="31"/>
      <c r="E480" s="32"/>
      <c r="H480" s="31"/>
      <c r="K480" s="28"/>
    </row>
    <row r="481" hidden="1">
      <c r="A481" s="33"/>
      <c r="B481" s="33"/>
      <c r="C481" s="31"/>
      <c r="D481" s="31"/>
      <c r="E481" s="32"/>
      <c r="H481" s="31"/>
      <c r="K481" s="28"/>
    </row>
    <row r="482" hidden="1">
      <c r="A482" s="33"/>
      <c r="B482" s="33"/>
      <c r="C482" s="31"/>
      <c r="D482" s="31"/>
      <c r="E482" s="32"/>
      <c r="H482" s="31"/>
      <c r="K482" s="28"/>
    </row>
    <row r="483" hidden="1">
      <c r="A483" s="33"/>
      <c r="B483" s="33"/>
      <c r="C483" s="31"/>
      <c r="D483" s="31"/>
      <c r="E483" s="32"/>
      <c r="H483" s="31"/>
      <c r="K483" s="28"/>
    </row>
    <row r="484" hidden="1">
      <c r="A484" s="33"/>
      <c r="B484" s="33"/>
      <c r="C484" s="31"/>
      <c r="D484" s="31"/>
      <c r="E484" s="32"/>
      <c r="H484" s="31"/>
      <c r="K484" s="28"/>
    </row>
    <row r="485" hidden="1">
      <c r="A485" s="33"/>
      <c r="B485" s="33"/>
      <c r="C485" s="31"/>
      <c r="D485" s="31"/>
      <c r="E485" s="32"/>
      <c r="H485" s="31"/>
      <c r="K485" s="28"/>
    </row>
    <row r="486" hidden="1">
      <c r="A486" s="33"/>
      <c r="B486" s="33"/>
      <c r="C486" s="31"/>
      <c r="D486" s="31"/>
      <c r="E486" s="32"/>
      <c r="H486" s="31"/>
      <c r="K486" s="28"/>
    </row>
    <row r="487" hidden="1">
      <c r="A487" s="33"/>
      <c r="B487" s="33"/>
      <c r="C487" s="31"/>
      <c r="D487" s="31"/>
      <c r="E487" s="32"/>
      <c r="H487" s="31"/>
      <c r="K487" s="28"/>
    </row>
    <row r="488" hidden="1">
      <c r="A488" s="33"/>
      <c r="B488" s="33"/>
      <c r="C488" s="31"/>
      <c r="D488" s="31"/>
      <c r="E488" s="32"/>
      <c r="H488" s="31"/>
      <c r="K488" s="28"/>
    </row>
    <row r="489" hidden="1">
      <c r="A489" s="33"/>
      <c r="B489" s="33"/>
      <c r="C489" s="31"/>
      <c r="D489" s="31"/>
      <c r="E489" s="32"/>
      <c r="H489" s="31"/>
      <c r="K489" s="28"/>
    </row>
    <row r="490" hidden="1">
      <c r="A490" s="33"/>
      <c r="B490" s="33"/>
      <c r="C490" s="31"/>
      <c r="D490" s="31"/>
      <c r="E490" s="32"/>
      <c r="H490" s="31"/>
      <c r="K490" s="28"/>
    </row>
    <row r="491" hidden="1">
      <c r="A491" s="33"/>
      <c r="B491" s="33"/>
      <c r="C491" s="31"/>
      <c r="D491" s="31"/>
      <c r="E491" s="32"/>
      <c r="H491" s="31"/>
      <c r="K491" s="28"/>
    </row>
    <row r="492" hidden="1">
      <c r="A492" s="33"/>
      <c r="B492" s="33"/>
      <c r="C492" s="31"/>
      <c r="D492" s="31"/>
      <c r="E492" s="32"/>
      <c r="H492" s="31"/>
      <c r="K492" s="28"/>
    </row>
    <row r="493" hidden="1">
      <c r="A493" s="33"/>
      <c r="B493" s="33"/>
      <c r="C493" s="31"/>
      <c r="D493" s="31"/>
      <c r="E493" s="32"/>
      <c r="H493" s="31"/>
      <c r="K493" s="28"/>
    </row>
    <row r="494" hidden="1">
      <c r="A494" s="33"/>
      <c r="B494" s="33"/>
      <c r="C494" s="31"/>
      <c r="D494" s="31"/>
      <c r="E494" s="32"/>
      <c r="H494" s="31"/>
      <c r="K494" s="28"/>
    </row>
    <row r="495" hidden="1">
      <c r="A495" s="33"/>
      <c r="B495" s="33"/>
      <c r="C495" s="31"/>
      <c r="D495" s="31"/>
      <c r="E495" s="32"/>
      <c r="H495" s="31"/>
      <c r="K495" s="28"/>
    </row>
    <row r="496" hidden="1">
      <c r="A496" s="33"/>
      <c r="B496" s="33"/>
      <c r="C496" s="31"/>
      <c r="D496" s="31"/>
      <c r="E496" s="32"/>
      <c r="H496" s="31"/>
      <c r="K496" s="28"/>
    </row>
    <row r="497" hidden="1">
      <c r="A497" s="33"/>
      <c r="B497" s="33"/>
      <c r="C497" s="31"/>
      <c r="D497" s="31"/>
      <c r="E497" s="32"/>
      <c r="H497" s="31"/>
      <c r="K497" s="28"/>
    </row>
    <row r="498" hidden="1">
      <c r="A498" s="33"/>
      <c r="B498" s="33"/>
      <c r="C498" s="31"/>
      <c r="D498" s="31"/>
      <c r="E498" s="32"/>
      <c r="H498" s="31"/>
      <c r="K498" s="28"/>
    </row>
    <row r="499" hidden="1">
      <c r="A499" s="33"/>
      <c r="B499" s="33"/>
      <c r="C499" s="31"/>
      <c r="D499" s="31"/>
      <c r="E499" s="32"/>
      <c r="H499" s="31"/>
      <c r="K499" s="28"/>
    </row>
    <row r="500" hidden="1">
      <c r="A500" s="33"/>
      <c r="B500" s="33"/>
      <c r="C500" s="31"/>
      <c r="D500" s="31"/>
      <c r="E500" s="32"/>
      <c r="H500" s="31"/>
      <c r="K500" s="28"/>
    </row>
    <row r="501" hidden="1">
      <c r="A501" s="33"/>
      <c r="B501" s="33"/>
      <c r="C501" s="31"/>
      <c r="D501" s="31"/>
      <c r="E501" s="32"/>
      <c r="H501" s="31"/>
      <c r="K501" s="28"/>
    </row>
    <row r="502" hidden="1">
      <c r="A502" s="33"/>
      <c r="B502" s="33"/>
      <c r="C502" s="31"/>
      <c r="D502" s="31"/>
      <c r="E502" s="32"/>
      <c r="H502" s="31"/>
      <c r="K502" s="28"/>
    </row>
    <row r="503" hidden="1">
      <c r="A503" s="33"/>
      <c r="B503" s="33"/>
      <c r="C503" s="31"/>
      <c r="D503" s="31"/>
      <c r="E503" s="32"/>
      <c r="H503" s="31"/>
      <c r="K503" s="28"/>
    </row>
    <row r="504" hidden="1">
      <c r="A504" s="33"/>
      <c r="B504" s="33"/>
      <c r="C504" s="31"/>
      <c r="D504" s="31"/>
      <c r="E504" s="32"/>
      <c r="H504" s="31"/>
      <c r="K504" s="28"/>
    </row>
    <row r="505" hidden="1">
      <c r="A505" s="33"/>
      <c r="B505" s="33"/>
      <c r="C505" s="31"/>
      <c r="D505" s="31"/>
      <c r="E505" s="32"/>
      <c r="H505" s="31"/>
      <c r="K505" s="28"/>
    </row>
    <row r="506" hidden="1">
      <c r="A506" s="33"/>
      <c r="B506" s="33"/>
      <c r="C506" s="31"/>
      <c r="D506" s="31"/>
      <c r="E506" s="32"/>
      <c r="H506" s="31"/>
      <c r="K506" s="28"/>
    </row>
    <row r="507" hidden="1">
      <c r="A507" s="33"/>
      <c r="B507" s="33"/>
      <c r="C507" s="31"/>
      <c r="D507" s="31"/>
      <c r="E507" s="32"/>
      <c r="H507" s="31"/>
      <c r="K507" s="28"/>
    </row>
    <row r="508" hidden="1">
      <c r="A508" s="33"/>
      <c r="B508" s="33"/>
      <c r="C508" s="31"/>
      <c r="D508" s="31"/>
      <c r="E508" s="32"/>
      <c r="H508" s="31"/>
      <c r="K508" s="28"/>
    </row>
    <row r="509" hidden="1">
      <c r="A509" s="33"/>
      <c r="B509" s="33"/>
      <c r="C509" s="31"/>
      <c r="D509" s="31"/>
      <c r="E509" s="32"/>
      <c r="H509" s="31"/>
      <c r="K509" s="28"/>
    </row>
    <row r="510" hidden="1">
      <c r="A510" s="33"/>
      <c r="B510" s="33"/>
      <c r="C510" s="31"/>
      <c r="D510" s="31"/>
      <c r="E510" s="32"/>
      <c r="H510" s="31"/>
      <c r="K510" s="28"/>
    </row>
    <row r="511" hidden="1">
      <c r="A511" s="33"/>
      <c r="B511" s="33"/>
      <c r="C511" s="31"/>
      <c r="D511" s="31"/>
      <c r="E511" s="32"/>
      <c r="H511" s="31"/>
      <c r="K511" s="28"/>
    </row>
    <row r="512" hidden="1">
      <c r="A512" s="33"/>
      <c r="B512" s="33"/>
      <c r="C512" s="31"/>
      <c r="D512" s="31"/>
      <c r="E512" s="32"/>
      <c r="H512" s="31"/>
      <c r="K512" s="28"/>
    </row>
    <row r="513" hidden="1">
      <c r="A513" s="33"/>
      <c r="B513" s="33"/>
      <c r="C513" s="31"/>
      <c r="D513" s="31"/>
      <c r="E513" s="32"/>
      <c r="H513" s="31"/>
      <c r="K513" s="28"/>
    </row>
    <row r="514" hidden="1">
      <c r="A514" s="33"/>
      <c r="B514" s="33"/>
      <c r="C514" s="31"/>
      <c r="D514" s="31"/>
      <c r="E514" s="32"/>
      <c r="H514" s="31"/>
      <c r="K514" s="28"/>
    </row>
    <row r="515" hidden="1">
      <c r="A515" s="33"/>
      <c r="B515" s="33"/>
      <c r="C515" s="31"/>
      <c r="D515" s="31"/>
      <c r="E515" s="32"/>
      <c r="H515" s="31"/>
      <c r="K515" s="28"/>
    </row>
    <row r="516" hidden="1">
      <c r="A516" s="33"/>
      <c r="B516" s="33"/>
      <c r="C516" s="31"/>
      <c r="D516" s="31"/>
      <c r="E516" s="32"/>
      <c r="H516" s="31"/>
      <c r="K516" s="28"/>
    </row>
    <row r="517" hidden="1">
      <c r="A517" s="33"/>
      <c r="B517" s="33"/>
      <c r="C517" s="31"/>
      <c r="D517" s="31"/>
      <c r="E517" s="32"/>
      <c r="H517" s="31"/>
      <c r="K517" s="28"/>
    </row>
    <row r="518" hidden="1">
      <c r="A518" s="33"/>
      <c r="B518" s="33"/>
      <c r="C518" s="31"/>
      <c r="D518" s="31"/>
      <c r="E518" s="32"/>
      <c r="H518" s="31"/>
      <c r="K518" s="28"/>
    </row>
    <row r="519" hidden="1">
      <c r="A519" s="33"/>
      <c r="B519" s="33"/>
      <c r="C519" s="31"/>
      <c r="D519" s="31"/>
      <c r="E519" s="32"/>
      <c r="H519" s="31"/>
      <c r="K519" s="28"/>
    </row>
    <row r="520" hidden="1">
      <c r="A520" s="33"/>
      <c r="B520" s="33"/>
      <c r="C520" s="31"/>
      <c r="D520" s="31"/>
      <c r="E520" s="32"/>
      <c r="H520" s="31"/>
      <c r="K520" s="28"/>
    </row>
    <row r="521" hidden="1">
      <c r="A521" s="33"/>
      <c r="B521" s="33"/>
      <c r="C521" s="31"/>
      <c r="D521" s="31"/>
      <c r="E521" s="32"/>
      <c r="H521" s="31"/>
      <c r="K521" s="28"/>
    </row>
    <row r="522" hidden="1">
      <c r="A522" s="33"/>
      <c r="B522" s="33"/>
      <c r="C522" s="31"/>
      <c r="D522" s="31"/>
      <c r="E522" s="32"/>
      <c r="H522" s="31"/>
      <c r="K522" s="28"/>
    </row>
    <row r="523" hidden="1">
      <c r="A523" s="33"/>
      <c r="B523" s="33"/>
      <c r="C523" s="31"/>
      <c r="D523" s="31"/>
      <c r="E523" s="32"/>
      <c r="H523" s="31"/>
      <c r="K523" s="28"/>
    </row>
    <row r="524" hidden="1">
      <c r="A524" s="33"/>
      <c r="B524" s="33"/>
      <c r="C524" s="31"/>
      <c r="D524" s="31"/>
      <c r="E524" s="32"/>
      <c r="H524" s="31"/>
      <c r="K524" s="28"/>
    </row>
    <row r="525" hidden="1">
      <c r="A525" s="33"/>
      <c r="B525" s="33"/>
      <c r="C525" s="31"/>
      <c r="D525" s="31"/>
      <c r="E525" s="32"/>
      <c r="H525" s="31"/>
      <c r="K525" s="28"/>
    </row>
    <row r="526" hidden="1">
      <c r="A526" s="33"/>
      <c r="B526" s="33"/>
      <c r="C526" s="31"/>
      <c r="D526" s="31"/>
      <c r="E526" s="32"/>
      <c r="H526" s="31"/>
      <c r="K526" s="28"/>
    </row>
    <row r="527" hidden="1">
      <c r="A527" s="33"/>
      <c r="B527" s="33"/>
      <c r="C527" s="31"/>
      <c r="D527" s="31"/>
      <c r="E527" s="32"/>
      <c r="H527" s="31"/>
      <c r="K527" s="28"/>
    </row>
    <row r="528" hidden="1">
      <c r="A528" s="33"/>
      <c r="B528" s="33"/>
      <c r="C528" s="31"/>
      <c r="D528" s="31"/>
      <c r="E528" s="32"/>
      <c r="H528" s="31"/>
      <c r="K528" s="28"/>
    </row>
    <row r="529" hidden="1">
      <c r="A529" s="33"/>
      <c r="B529" s="33"/>
      <c r="C529" s="31"/>
      <c r="D529" s="31"/>
      <c r="E529" s="32"/>
      <c r="H529" s="31"/>
      <c r="K529" s="28"/>
    </row>
    <row r="530" hidden="1">
      <c r="A530" s="33"/>
      <c r="B530" s="33"/>
      <c r="C530" s="31"/>
      <c r="D530" s="31"/>
      <c r="E530" s="32"/>
      <c r="H530" s="31"/>
      <c r="K530" s="28"/>
    </row>
    <row r="531" hidden="1">
      <c r="A531" s="33"/>
      <c r="B531" s="33"/>
      <c r="C531" s="31"/>
      <c r="D531" s="31"/>
      <c r="E531" s="32"/>
      <c r="H531" s="31"/>
      <c r="K531" s="28"/>
    </row>
    <row r="532" hidden="1">
      <c r="A532" s="33"/>
      <c r="B532" s="33"/>
      <c r="C532" s="31"/>
      <c r="D532" s="31"/>
      <c r="E532" s="32"/>
      <c r="H532" s="31"/>
      <c r="K532" s="28"/>
    </row>
    <row r="533" hidden="1">
      <c r="A533" s="33"/>
      <c r="B533" s="33"/>
      <c r="C533" s="31"/>
      <c r="D533" s="31"/>
      <c r="E533" s="32"/>
      <c r="H533" s="31"/>
      <c r="K533" s="28"/>
    </row>
    <row r="534" hidden="1">
      <c r="A534" s="33"/>
      <c r="B534" s="33"/>
      <c r="C534" s="31"/>
      <c r="D534" s="31"/>
      <c r="E534" s="32"/>
      <c r="H534" s="31"/>
      <c r="K534" s="28"/>
    </row>
    <row r="535" hidden="1">
      <c r="A535" s="33"/>
      <c r="B535" s="33"/>
      <c r="C535" s="31"/>
      <c r="D535" s="31"/>
      <c r="E535" s="32"/>
      <c r="H535" s="31"/>
      <c r="K535" s="28"/>
    </row>
    <row r="536" hidden="1">
      <c r="A536" s="33"/>
      <c r="B536" s="33"/>
      <c r="C536" s="31"/>
      <c r="D536" s="31"/>
      <c r="E536" s="32"/>
      <c r="H536" s="31"/>
      <c r="K536" s="28"/>
    </row>
    <row r="537" hidden="1">
      <c r="A537" s="33"/>
      <c r="B537" s="33"/>
      <c r="C537" s="31"/>
      <c r="D537" s="31"/>
      <c r="E537" s="32"/>
      <c r="H537" s="31"/>
      <c r="K537" s="28"/>
    </row>
    <row r="538" hidden="1">
      <c r="A538" s="33"/>
      <c r="B538" s="33"/>
      <c r="C538" s="31"/>
      <c r="D538" s="31"/>
      <c r="E538" s="32"/>
      <c r="H538" s="31"/>
      <c r="K538" s="28"/>
    </row>
    <row r="539" hidden="1">
      <c r="A539" s="33"/>
      <c r="B539" s="33"/>
      <c r="C539" s="31"/>
      <c r="D539" s="31"/>
      <c r="E539" s="32"/>
      <c r="H539" s="31"/>
      <c r="K539" s="28"/>
    </row>
    <row r="540" hidden="1">
      <c r="A540" s="33"/>
      <c r="B540" s="33"/>
      <c r="C540" s="31"/>
      <c r="D540" s="31"/>
      <c r="E540" s="32"/>
      <c r="H540" s="31"/>
      <c r="K540" s="28"/>
    </row>
    <row r="541" hidden="1">
      <c r="A541" s="33"/>
      <c r="B541" s="33"/>
      <c r="C541" s="31"/>
      <c r="D541" s="31"/>
      <c r="E541" s="32"/>
      <c r="H541" s="31"/>
      <c r="K541" s="28"/>
    </row>
    <row r="542" hidden="1">
      <c r="A542" s="33"/>
      <c r="B542" s="33"/>
      <c r="C542" s="31"/>
      <c r="D542" s="31"/>
      <c r="E542" s="32"/>
      <c r="H542" s="31"/>
      <c r="K542" s="28"/>
    </row>
    <row r="543" hidden="1">
      <c r="A543" s="33"/>
      <c r="B543" s="33"/>
      <c r="C543" s="31"/>
      <c r="D543" s="31"/>
      <c r="E543" s="32"/>
      <c r="H543" s="31"/>
      <c r="K543" s="28"/>
    </row>
    <row r="544" hidden="1">
      <c r="A544" s="33"/>
      <c r="B544" s="33"/>
      <c r="C544" s="31"/>
      <c r="D544" s="31"/>
      <c r="E544" s="32"/>
      <c r="H544" s="31"/>
      <c r="K544" s="28"/>
    </row>
    <row r="545" hidden="1">
      <c r="A545" s="33"/>
      <c r="B545" s="33"/>
      <c r="C545" s="31"/>
      <c r="D545" s="31"/>
      <c r="E545" s="32"/>
      <c r="H545" s="31"/>
      <c r="K545" s="28"/>
    </row>
    <row r="546" hidden="1">
      <c r="A546" s="33"/>
      <c r="B546" s="33"/>
      <c r="C546" s="31"/>
      <c r="D546" s="31"/>
      <c r="E546" s="32"/>
      <c r="H546" s="31"/>
      <c r="K546" s="28"/>
    </row>
    <row r="547" hidden="1">
      <c r="A547" s="33"/>
      <c r="B547" s="33"/>
      <c r="C547" s="31"/>
      <c r="D547" s="31"/>
      <c r="E547" s="32"/>
      <c r="H547" s="31"/>
      <c r="K547" s="28"/>
    </row>
    <row r="548" hidden="1">
      <c r="A548" s="33"/>
      <c r="B548" s="33"/>
      <c r="C548" s="31"/>
      <c r="D548" s="31"/>
      <c r="E548" s="32"/>
      <c r="H548" s="31"/>
      <c r="K548" s="28"/>
    </row>
    <row r="549" hidden="1">
      <c r="A549" s="33"/>
      <c r="B549" s="33"/>
      <c r="C549" s="31"/>
      <c r="D549" s="31"/>
      <c r="E549" s="32"/>
      <c r="H549" s="31"/>
      <c r="K549" s="28"/>
    </row>
    <row r="550" hidden="1">
      <c r="A550" s="33"/>
      <c r="B550" s="33"/>
      <c r="C550" s="31"/>
      <c r="D550" s="31"/>
      <c r="E550" s="32"/>
      <c r="H550" s="31"/>
      <c r="K550" s="28"/>
    </row>
    <row r="551" hidden="1">
      <c r="A551" s="33"/>
      <c r="B551" s="33"/>
      <c r="C551" s="31"/>
      <c r="D551" s="31"/>
      <c r="E551" s="32"/>
      <c r="H551" s="31"/>
      <c r="K551" s="28"/>
    </row>
    <row r="552" hidden="1">
      <c r="A552" s="33"/>
      <c r="B552" s="33"/>
      <c r="C552" s="31"/>
      <c r="D552" s="31"/>
      <c r="E552" s="32"/>
      <c r="H552" s="31"/>
      <c r="K552" s="28"/>
    </row>
    <row r="553" hidden="1">
      <c r="A553" s="33"/>
      <c r="B553" s="33"/>
      <c r="C553" s="31"/>
      <c r="D553" s="31"/>
      <c r="E553" s="32"/>
      <c r="H553" s="31"/>
      <c r="K553" s="28"/>
    </row>
    <row r="554" hidden="1">
      <c r="A554" s="33"/>
      <c r="B554" s="33"/>
      <c r="C554" s="31"/>
      <c r="D554" s="31"/>
      <c r="E554" s="32"/>
      <c r="H554" s="31"/>
      <c r="K554" s="28"/>
    </row>
    <row r="555" hidden="1">
      <c r="A555" s="33"/>
      <c r="B555" s="33"/>
      <c r="C555" s="31"/>
      <c r="D555" s="31"/>
      <c r="E555" s="32"/>
      <c r="H555" s="31"/>
      <c r="K555" s="28"/>
    </row>
    <row r="556" hidden="1">
      <c r="A556" s="33"/>
      <c r="B556" s="33"/>
      <c r="C556" s="31"/>
      <c r="D556" s="31"/>
      <c r="E556" s="32"/>
      <c r="H556" s="31"/>
      <c r="K556" s="28"/>
    </row>
    <row r="557" hidden="1">
      <c r="A557" s="33"/>
      <c r="B557" s="33"/>
      <c r="C557" s="31"/>
      <c r="D557" s="31"/>
      <c r="E557" s="32"/>
      <c r="H557" s="31"/>
      <c r="K557" s="28"/>
    </row>
    <row r="558" hidden="1">
      <c r="A558" s="33"/>
      <c r="B558" s="33"/>
      <c r="C558" s="31"/>
      <c r="D558" s="31"/>
      <c r="E558" s="32"/>
      <c r="H558" s="31"/>
      <c r="K558" s="28"/>
    </row>
    <row r="559" hidden="1">
      <c r="A559" s="33"/>
      <c r="B559" s="33"/>
      <c r="C559" s="31"/>
      <c r="D559" s="31"/>
      <c r="E559" s="32"/>
      <c r="H559" s="31"/>
      <c r="K559" s="28"/>
    </row>
    <row r="560" hidden="1">
      <c r="A560" s="33"/>
      <c r="B560" s="33"/>
      <c r="C560" s="31"/>
      <c r="D560" s="31"/>
      <c r="E560" s="32"/>
      <c r="H560" s="31"/>
      <c r="K560" s="28"/>
    </row>
    <row r="561" hidden="1">
      <c r="A561" s="33"/>
      <c r="B561" s="33"/>
      <c r="C561" s="31"/>
      <c r="D561" s="31"/>
      <c r="E561" s="32"/>
      <c r="H561" s="31"/>
      <c r="K561" s="28"/>
    </row>
    <row r="562" hidden="1">
      <c r="A562" s="33"/>
      <c r="B562" s="33"/>
      <c r="C562" s="31"/>
      <c r="D562" s="31"/>
      <c r="E562" s="32"/>
      <c r="H562" s="31"/>
      <c r="K562" s="28"/>
    </row>
    <row r="563" hidden="1">
      <c r="A563" s="33"/>
      <c r="B563" s="33"/>
      <c r="C563" s="31"/>
      <c r="D563" s="31"/>
      <c r="E563" s="32"/>
      <c r="H563" s="31"/>
      <c r="K563" s="28"/>
    </row>
    <row r="564" hidden="1">
      <c r="A564" s="33"/>
      <c r="B564" s="33"/>
      <c r="C564" s="31"/>
      <c r="D564" s="31"/>
      <c r="E564" s="32"/>
      <c r="H564" s="31"/>
      <c r="K564" s="28"/>
    </row>
    <row r="565" hidden="1">
      <c r="A565" s="33"/>
      <c r="B565" s="33"/>
      <c r="C565" s="31"/>
      <c r="D565" s="31"/>
      <c r="E565" s="32"/>
      <c r="H565" s="31"/>
      <c r="K565" s="28"/>
    </row>
    <row r="566" hidden="1">
      <c r="A566" s="33"/>
      <c r="B566" s="33"/>
      <c r="C566" s="31"/>
      <c r="D566" s="31"/>
      <c r="E566" s="32"/>
      <c r="H566" s="31"/>
      <c r="K566" s="28"/>
    </row>
    <row r="567" hidden="1">
      <c r="A567" s="33"/>
      <c r="B567" s="33"/>
      <c r="C567" s="31"/>
      <c r="D567" s="31"/>
      <c r="E567" s="32"/>
      <c r="H567" s="31"/>
      <c r="K567" s="28"/>
    </row>
    <row r="568" hidden="1">
      <c r="A568" s="33"/>
      <c r="B568" s="33"/>
      <c r="C568" s="31"/>
      <c r="D568" s="31"/>
      <c r="E568" s="32"/>
      <c r="H568" s="31"/>
      <c r="K568" s="28"/>
    </row>
    <row r="569" hidden="1">
      <c r="A569" s="33"/>
      <c r="B569" s="33"/>
      <c r="C569" s="31"/>
      <c r="D569" s="31"/>
      <c r="E569" s="32"/>
      <c r="H569" s="31"/>
      <c r="K569" s="28"/>
    </row>
    <row r="570" hidden="1">
      <c r="A570" s="33"/>
      <c r="B570" s="33"/>
      <c r="C570" s="31"/>
      <c r="D570" s="31"/>
      <c r="E570" s="32"/>
      <c r="H570" s="31"/>
      <c r="K570" s="28"/>
    </row>
    <row r="571" hidden="1">
      <c r="A571" s="33"/>
      <c r="B571" s="33"/>
      <c r="C571" s="31"/>
      <c r="D571" s="31"/>
      <c r="E571" s="32"/>
      <c r="H571" s="31"/>
      <c r="K571" s="28"/>
    </row>
    <row r="572" hidden="1">
      <c r="A572" s="33"/>
      <c r="B572" s="33"/>
      <c r="C572" s="31"/>
      <c r="D572" s="31"/>
      <c r="E572" s="32"/>
      <c r="H572" s="31"/>
      <c r="K572" s="28"/>
    </row>
    <row r="573" hidden="1">
      <c r="A573" s="33"/>
      <c r="B573" s="33"/>
      <c r="C573" s="31"/>
      <c r="D573" s="31"/>
      <c r="E573" s="32"/>
      <c r="H573" s="31"/>
      <c r="K573" s="28"/>
    </row>
    <row r="574" hidden="1">
      <c r="A574" s="33"/>
      <c r="B574" s="33"/>
      <c r="C574" s="31"/>
      <c r="D574" s="31"/>
      <c r="E574" s="32"/>
      <c r="H574" s="31"/>
      <c r="K574" s="28"/>
    </row>
    <row r="575" hidden="1">
      <c r="A575" s="33"/>
      <c r="B575" s="33"/>
      <c r="C575" s="31"/>
      <c r="D575" s="31"/>
      <c r="E575" s="32"/>
      <c r="H575" s="31"/>
      <c r="K575" s="28"/>
    </row>
    <row r="576" hidden="1">
      <c r="A576" s="33"/>
      <c r="B576" s="33"/>
      <c r="C576" s="31"/>
      <c r="D576" s="31"/>
      <c r="E576" s="32"/>
      <c r="H576" s="31"/>
      <c r="K576" s="28"/>
    </row>
    <row r="577" hidden="1">
      <c r="A577" s="33"/>
      <c r="B577" s="33"/>
      <c r="C577" s="31"/>
      <c r="D577" s="31"/>
      <c r="E577" s="32"/>
      <c r="H577" s="31"/>
      <c r="K577" s="28"/>
    </row>
    <row r="578" hidden="1">
      <c r="A578" s="33"/>
      <c r="B578" s="33"/>
      <c r="C578" s="31"/>
      <c r="D578" s="31"/>
      <c r="E578" s="32"/>
      <c r="H578" s="31"/>
      <c r="K578" s="28"/>
    </row>
    <row r="579" hidden="1">
      <c r="A579" s="33"/>
      <c r="B579" s="33"/>
      <c r="C579" s="31"/>
      <c r="D579" s="31"/>
      <c r="E579" s="32"/>
      <c r="H579" s="31"/>
      <c r="K579" s="28"/>
    </row>
    <row r="580" hidden="1">
      <c r="A580" s="33"/>
      <c r="B580" s="33"/>
      <c r="C580" s="31"/>
      <c r="D580" s="31"/>
      <c r="E580" s="32"/>
      <c r="H580" s="31"/>
      <c r="K580" s="28"/>
    </row>
    <row r="581" hidden="1">
      <c r="A581" s="33"/>
      <c r="B581" s="33"/>
      <c r="C581" s="31"/>
      <c r="D581" s="31"/>
      <c r="E581" s="32"/>
      <c r="H581" s="31"/>
      <c r="K581" s="28"/>
    </row>
    <row r="582" hidden="1">
      <c r="A582" s="33"/>
      <c r="B582" s="33"/>
      <c r="C582" s="31"/>
      <c r="D582" s="31"/>
      <c r="E582" s="32"/>
      <c r="H582" s="31"/>
      <c r="K582" s="28"/>
    </row>
    <row r="583" hidden="1">
      <c r="A583" s="33"/>
      <c r="B583" s="33"/>
      <c r="C583" s="31"/>
      <c r="D583" s="31"/>
      <c r="E583" s="32"/>
      <c r="H583" s="31"/>
      <c r="K583" s="28"/>
    </row>
    <row r="584" hidden="1">
      <c r="A584" s="33"/>
      <c r="B584" s="33"/>
      <c r="C584" s="31"/>
      <c r="D584" s="31"/>
      <c r="E584" s="32"/>
      <c r="H584" s="31"/>
      <c r="K584" s="28"/>
    </row>
    <row r="585" hidden="1">
      <c r="A585" s="33"/>
      <c r="B585" s="33"/>
      <c r="C585" s="31"/>
      <c r="D585" s="31"/>
      <c r="E585" s="32"/>
      <c r="H585" s="31"/>
      <c r="K585" s="28"/>
    </row>
    <row r="586" hidden="1">
      <c r="A586" s="33"/>
      <c r="B586" s="33"/>
      <c r="C586" s="31"/>
      <c r="D586" s="31"/>
      <c r="E586" s="32"/>
      <c r="H586" s="31"/>
      <c r="K586" s="28"/>
    </row>
    <row r="587" hidden="1">
      <c r="A587" s="33"/>
      <c r="B587" s="33"/>
      <c r="C587" s="31"/>
      <c r="D587" s="31"/>
      <c r="E587" s="32"/>
      <c r="H587" s="31"/>
      <c r="K587" s="28"/>
    </row>
    <row r="588" hidden="1">
      <c r="A588" s="33"/>
      <c r="B588" s="33"/>
      <c r="C588" s="31"/>
      <c r="D588" s="31"/>
      <c r="E588" s="32"/>
      <c r="H588" s="31"/>
      <c r="K588" s="28"/>
    </row>
    <row r="589" hidden="1">
      <c r="A589" s="33"/>
      <c r="B589" s="33"/>
      <c r="C589" s="31"/>
      <c r="D589" s="31"/>
      <c r="E589" s="32"/>
      <c r="H589" s="31"/>
      <c r="K589" s="28"/>
    </row>
    <row r="590" hidden="1">
      <c r="A590" s="33"/>
      <c r="B590" s="33"/>
      <c r="C590" s="31"/>
      <c r="D590" s="31"/>
      <c r="E590" s="32"/>
      <c r="H590" s="31"/>
      <c r="K590" s="28"/>
    </row>
    <row r="591" hidden="1">
      <c r="A591" s="33"/>
      <c r="B591" s="33"/>
      <c r="C591" s="31"/>
      <c r="D591" s="31"/>
      <c r="E591" s="32"/>
      <c r="H591" s="31"/>
      <c r="K591" s="28"/>
    </row>
    <row r="592" hidden="1">
      <c r="A592" s="33"/>
      <c r="B592" s="33"/>
      <c r="C592" s="31"/>
      <c r="D592" s="31"/>
      <c r="E592" s="32"/>
      <c r="H592" s="31"/>
      <c r="K592" s="28"/>
    </row>
    <row r="593" hidden="1">
      <c r="A593" s="33"/>
      <c r="B593" s="33"/>
      <c r="C593" s="31"/>
      <c r="D593" s="31"/>
      <c r="E593" s="32"/>
      <c r="H593" s="31"/>
      <c r="K593" s="28"/>
    </row>
    <row r="594" hidden="1">
      <c r="A594" s="33"/>
      <c r="B594" s="33"/>
      <c r="C594" s="31"/>
      <c r="D594" s="31"/>
      <c r="E594" s="32"/>
      <c r="H594" s="31"/>
      <c r="K594" s="28"/>
    </row>
    <row r="595" hidden="1">
      <c r="A595" s="33"/>
      <c r="B595" s="33"/>
      <c r="C595" s="31"/>
      <c r="D595" s="31"/>
      <c r="E595" s="32"/>
      <c r="H595" s="31"/>
      <c r="K595" s="28"/>
    </row>
    <row r="596" hidden="1">
      <c r="A596" s="33"/>
      <c r="B596" s="33"/>
      <c r="C596" s="31"/>
      <c r="D596" s="31"/>
      <c r="E596" s="32"/>
      <c r="H596" s="31"/>
      <c r="K596" s="28"/>
    </row>
    <row r="597" hidden="1">
      <c r="A597" s="33"/>
      <c r="B597" s="33"/>
      <c r="C597" s="31"/>
      <c r="D597" s="31"/>
      <c r="E597" s="32"/>
      <c r="H597" s="31"/>
      <c r="K597" s="28"/>
    </row>
    <row r="598" hidden="1">
      <c r="A598" s="33"/>
      <c r="B598" s="33"/>
      <c r="C598" s="31"/>
      <c r="D598" s="31"/>
      <c r="E598" s="32"/>
      <c r="H598" s="31"/>
      <c r="K598" s="28"/>
    </row>
    <row r="599" hidden="1">
      <c r="A599" s="33"/>
      <c r="B599" s="33"/>
      <c r="C599" s="31"/>
      <c r="D599" s="31"/>
      <c r="E599" s="32"/>
      <c r="H599" s="31"/>
      <c r="K599" s="28"/>
    </row>
    <row r="600" hidden="1">
      <c r="A600" s="33"/>
      <c r="B600" s="33"/>
      <c r="C600" s="31"/>
      <c r="D600" s="31"/>
      <c r="E600" s="32"/>
      <c r="H600" s="31"/>
      <c r="K600" s="28"/>
    </row>
    <row r="601" hidden="1">
      <c r="A601" s="33"/>
      <c r="B601" s="33"/>
      <c r="C601" s="31"/>
      <c r="D601" s="31"/>
      <c r="E601" s="32"/>
      <c r="H601" s="31"/>
      <c r="K601" s="28"/>
    </row>
    <row r="602" hidden="1">
      <c r="A602" s="33"/>
      <c r="B602" s="33"/>
      <c r="C602" s="31"/>
      <c r="D602" s="31"/>
      <c r="E602" s="32"/>
      <c r="H602" s="31"/>
      <c r="K602" s="28"/>
    </row>
    <row r="603" hidden="1">
      <c r="A603" s="33"/>
      <c r="B603" s="33"/>
      <c r="C603" s="31"/>
      <c r="D603" s="31"/>
      <c r="E603" s="32"/>
      <c r="H603" s="31"/>
      <c r="K603" s="28"/>
    </row>
    <row r="604" hidden="1">
      <c r="A604" s="33"/>
      <c r="B604" s="33"/>
      <c r="C604" s="31"/>
      <c r="D604" s="31"/>
      <c r="E604" s="32"/>
      <c r="H604" s="31"/>
      <c r="K604" s="28"/>
    </row>
    <row r="605" hidden="1">
      <c r="A605" s="33"/>
      <c r="B605" s="33"/>
      <c r="C605" s="31"/>
      <c r="D605" s="31"/>
      <c r="E605" s="32"/>
      <c r="H605" s="31"/>
      <c r="K605" s="28"/>
    </row>
    <row r="606" hidden="1">
      <c r="A606" s="33"/>
      <c r="B606" s="33"/>
      <c r="C606" s="31"/>
      <c r="D606" s="31"/>
      <c r="E606" s="32"/>
      <c r="H606" s="31"/>
      <c r="K606" s="28"/>
    </row>
    <row r="607" hidden="1">
      <c r="A607" s="33"/>
      <c r="B607" s="33"/>
      <c r="C607" s="31"/>
      <c r="D607" s="31"/>
      <c r="E607" s="32"/>
      <c r="H607" s="31"/>
      <c r="K607" s="28"/>
    </row>
    <row r="608" hidden="1">
      <c r="A608" s="33"/>
      <c r="B608" s="33"/>
      <c r="C608" s="31"/>
      <c r="D608" s="31"/>
      <c r="E608" s="32"/>
      <c r="H608" s="31"/>
      <c r="K608" s="28"/>
    </row>
    <row r="609" hidden="1">
      <c r="A609" s="33"/>
      <c r="B609" s="33"/>
      <c r="C609" s="31"/>
      <c r="D609" s="31"/>
      <c r="E609" s="32"/>
      <c r="H609" s="31"/>
      <c r="K609" s="28"/>
    </row>
    <row r="610" hidden="1">
      <c r="A610" s="33"/>
      <c r="B610" s="33"/>
      <c r="C610" s="31"/>
      <c r="D610" s="31"/>
      <c r="E610" s="32"/>
      <c r="H610" s="31"/>
      <c r="K610" s="28"/>
    </row>
    <row r="611" hidden="1">
      <c r="A611" s="33"/>
      <c r="B611" s="33"/>
      <c r="C611" s="31"/>
      <c r="D611" s="31"/>
      <c r="E611" s="32"/>
      <c r="H611" s="31"/>
      <c r="K611" s="28"/>
    </row>
    <row r="612" hidden="1">
      <c r="A612" s="33"/>
      <c r="B612" s="33"/>
      <c r="C612" s="31"/>
      <c r="D612" s="31"/>
      <c r="E612" s="32"/>
      <c r="H612" s="31"/>
      <c r="K612" s="28"/>
    </row>
    <row r="613" hidden="1">
      <c r="A613" s="33"/>
      <c r="B613" s="33"/>
      <c r="C613" s="31"/>
      <c r="D613" s="31"/>
      <c r="E613" s="32"/>
      <c r="H613" s="31"/>
      <c r="K613" s="28"/>
    </row>
    <row r="614" hidden="1">
      <c r="A614" s="33"/>
      <c r="B614" s="33"/>
      <c r="C614" s="31"/>
      <c r="D614" s="31"/>
      <c r="E614" s="32"/>
      <c r="H614" s="31"/>
      <c r="K614" s="28"/>
    </row>
    <row r="615" hidden="1">
      <c r="A615" s="33"/>
      <c r="B615" s="33"/>
      <c r="C615" s="31"/>
      <c r="D615" s="31"/>
      <c r="E615" s="32"/>
      <c r="H615" s="31"/>
      <c r="K615" s="28"/>
    </row>
    <row r="616" hidden="1">
      <c r="A616" s="33"/>
      <c r="B616" s="33"/>
      <c r="C616" s="31"/>
      <c r="D616" s="31"/>
      <c r="E616" s="32"/>
      <c r="H616" s="31"/>
      <c r="K616" s="28"/>
    </row>
    <row r="617" hidden="1">
      <c r="A617" s="33"/>
      <c r="B617" s="33"/>
      <c r="C617" s="31"/>
      <c r="D617" s="31"/>
      <c r="E617" s="32"/>
      <c r="H617" s="31"/>
      <c r="K617" s="28"/>
    </row>
    <row r="618" hidden="1">
      <c r="A618" s="33"/>
      <c r="B618" s="33"/>
      <c r="C618" s="31"/>
      <c r="D618" s="31"/>
      <c r="E618" s="32"/>
      <c r="H618" s="31"/>
      <c r="K618" s="28"/>
    </row>
    <row r="619" hidden="1">
      <c r="A619" s="33"/>
      <c r="B619" s="33"/>
      <c r="C619" s="31"/>
      <c r="D619" s="31"/>
      <c r="E619" s="32"/>
      <c r="H619" s="31"/>
      <c r="K619" s="28"/>
    </row>
    <row r="620" hidden="1">
      <c r="A620" s="33"/>
      <c r="B620" s="33"/>
      <c r="C620" s="31"/>
      <c r="D620" s="31"/>
      <c r="E620" s="32"/>
      <c r="H620" s="31"/>
      <c r="K620" s="28"/>
    </row>
    <row r="621" hidden="1">
      <c r="A621" s="33"/>
      <c r="B621" s="33"/>
      <c r="C621" s="31"/>
      <c r="D621" s="31"/>
      <c r="E621" s="32"/>
      <c r="H621" s="31"/>
      <c r="K621" s="28"/>
    </row>
    <row r="622" hidden="1">
      <c r="A622" s="33"/>
      <c r="B622" s="33"/>
      <c r="C622" s="31"/>
      <c r="D622" s="31"/>
      <c r="E622" s="32"/>
      <c r="H622" s="31"/>
      <c r="K622" s="28"/>
    </row>
    <row r="623" hidden="1">
      <c r="A623" s="33"/>
      <c r="B623" s="33"/>
      <c r="C623" s="31"/>
      <c r="D623" s="31"/>
      <c r="E623" s="32"/>
      <c r="H623" s="31"/>
      <c r="K623" s="28"/>
    </row>
    <row r="624" hidden="1">
      <c r="A624" s="33"/>
      <c r="B624" s="33"/>
      <c r="C624" s="31"/>
      <c r="D624" s="31"/>
      <c r="E624" s="32"/>
      <c r="H624" s="31"/>
      <c r="K624" s="28"/>
    </row>
    <row r="625" hidden="1">
      <c r="A625" s="33"/>
      <c r="B625" s="33"/>
      <c r="C625" s="31"/>
      <c r="D625" s="31"/>
      <c r="E625" s="32"/>
      <c r="H625" s="31"/>
      <c r="K625" s="28"/>
    </row>
    <row r="626" hidden="1">
      <c r="A626" s="33"/>
      <c r="B626" s="33"/>
      <c r="C626" s="31"/>
      <c r="D626" s="31"/>
      <c r="E626" s="32"/>
      <c r="H626" s="31"/>
      <c r="K626" s="28"/>
    </row>
    <row r="627" hidden="1">
      <c r="A627" s="33"/>
      <c r="B627" s="33"/>
      <c r="C627" s="31"/>
      <c r="D627" s="31"/>
      <c r="E627" s="32"/>
      <c r="H627" s="31"/>
      <c r="K627" s="28"/>
    </row>
    <row r="628" hidden="1">
      <c r="A628" s="33"/>
      <c r="B628" s="33"/>
      <c r="C628" s="31"/>
      <c r="D628" s="31"/>
      <c r="E628" s="32"/>
      <c r="H628" s="31"/>
      <c r="K628" s="28"/>
    </row>
    <row r="629" hidden="1">
      <c r="A629" s="33"/>
      <c r="B629" s="33"/>
      <c r="C629" s="31"/>
      <c r="D629" s="31"/>
      <c r="E629" s="32"/>
      <c r="H629" s="31"/>
      <c r="K629" s="28"/>
    </row>
    <row r="630" hidden="1">
      <c r="A630" s="33"/>
      <c r="B630" s="33"/>
      <c r="C630" s="31"/>
      <c r="D630" s="31"/>
      <c r="E630" s="32"/>
      <c r="H630" s="31"/>
      <c r="K630" s="28"/>
    </row>
    <row r="631" hidden="1">
      <c r="A631" s="33"/>
      <c r="B631" s="33"/>
      <c r="C631" s="31"/>
      <c r="D631" s="31"/>
      <c r="E631" s="32"/>
      <c r="H631" s="31"/>
      <c r="K631" s="28"/>
    </row>
    <row r="632" hidden="1">
      <c r="A632" s="33"/>
      <c r="B632" s="33"/>
      <c r="C632" s="31"/>
      <c r="D632" s="31"/>
      <c r="E632" s="32"/>
      <c r="H632" s="31"/>
      <c r="K632" s="28"/>
    </row>
    <row r="633" hidden="1">
      <c r="A633" s="33"/>
      <c r="B633" s="33"/>
      <c r="C633" s="31"/>
      <c r="D633" s="31"/>
      <c r="E633" s="32"/>
      <c r="H633" s="31"/>
      <c r="K633" s="28"/>
    </row>
    <row r="634" hidden="1">
      <c r="A634" s="33"/>
      <c r="B634" s="33"/>
      <c r="C634" s="31"/>
      <c r="D634" s="31"/>
      <c r="E634" s="32"/>
      <c r="H634" s="31"/>
      <c r="K634" s="28"/>
    </row>
    <row r="635" hidden="1">
      <c r="A635" s="33"/>
      <c r="B635" s="33"/>
      <c r="C635" s="31"/>
      <c r="D635" s="31"/>
      <c r="E635" s="32"/>
      <c r="H635" s="31"/>
      <c r="K635" s="28"/>
    </row>
    <row r="636" hidden="1">
      <c r="A636" s="33"/>
      <c r="B636" s="33"/>
      <c r="C636" s="31"/>
      <c r="D636" s="31"/>
      <c r="E636" s="32"/>
      <c r="H636" s="31"/>
      <c r="K636" s="28"/>
    </row>
    <row r="637" hidden="1">
      <c r="A637" s="33"/>
      <c r="B637" s="33"/>
      <c r="C637" s="31"/>
      <c r="D637" s="31"/>
      <c r="E637" s="32"/>
      <c r="H637" s="31"/>
      <c r="K637" s="28"/>
    </row>
    <row r="638" hidden="1">
      <c r="A638" s="33"/>
      <c r="B638" s="33"/>
      <c r="C638" s="31"/>
      <c r="D638" s="31"/>
      <c r="E638" s="32"/>
      <c r="H638" s="31"/>
      <c r="K638" s="28"/>
    </row>
    <row r="639" hidden="1">
      <c r="A639" s="33"/>
      <c r="B639" s="33"/>
      <c r="C639" s="31"/>
      <c r="D639" s="31"/>
      <c r="E639" s="32"/>
      <c r="H639" s="31"/>
      <c r="K639" s="28"/>
    </row>
    <row r="640" hidden="1">
      <c r="A640" s="33"/>
      <c r="B640" s="33"/>
      <c r="C640" s="31"/>
      <c r="D640" s="31"/>
      <c r="E640" s="32"/>
      <c r="H640" s="31"/>
      <c r="K640" s="28"/>
    </row>
    <row r="641" hidden="1">
      <c r="A641" s="33"/>
      <c r="B641" s="33"/>
      <c r="C641" s="31"/>
      <c r="D641" s="31"/>
      <c r="E641" s="32"/>
      <c r="H641" s="31"/>
      <c r="K641" s="28"/>
    </row>
    <row r="642" hidden="1">
      <c r="A642" s="33"/>
      <c r="B642" s="33"/>
      <c r="C642" s="31"/>
      <c r="D642" s="31"/>
      <c r="E642" s="32"/>
      <c r="H642" s="31"/>
      <c r="K642" s="28"/>
    </row>
    <row r="643" hidden="1">
      <c r="A643" s="33"/>
      <c r="B643" s="33"/>
      <c r="C643" s="31"/>
      <c r="D643" s="31"/>
      <c r="E643" s="32"/>
      <c r="H643" s="31"/>
      <c r="K643" s="28"/>
    </row>
    <row r="644" hidden="1">
      <c r="A644" s="33"/>
      <c r="B644" s="33"/>
      <c r="C644" s="31"/>
      <c r="D644" s="31"/>
      <c r="E644" s="32"/>
      <c r="H644" s="31"/>
      <c r="K644" s="28"/>
    </row>
    <row r="645" hidden="1">
      <c r="A645" s="33"/>
      <c r="B645" s="33"/>
      <c r="C645" s="31"/>
      <c r="D645" s="31"/>
      <c r="E645" s="32"/>
      <c r="H645" s="31"/>
      <c r="K645" s="28"/>
    </row>
    <row r="646" hidden="1">
      <c r="A646" s="33"/>
      <c r="B646" s="33"/>
      <c r="C646" s="31"/>
      <c r="D646" s="31"/>
      <c r="E646" s="32"/>
      <c r="H646" s="31"/>
      <c r="K646" s="28"/>
    </row>
    <row r="647" hidden="1">
      <c r="A647" s="33"/>
      <c r="B647" s="33"/>
      <c r="C647" s="31"/>
      <c r="D647" s="31"/>
      <c r="E647" s="32"/>
      <c r="H647" s="31"/>
      <c r="K647" s="28"/>
    </row>
    <row r="648" hidden="1">
      <c r="A648" s="33"/>
      <c r="B648" s="33"/>
      <c r="C648" s="31"/>
      <c r="D648" s="31"/>
      <c r="E648" s="32"/>
      <c r="H648" s="31"/>
      <c r="K648" s="28"/>
    </row>
    <row r="649" hidden="1">
      <c r="A649" s="33"/>
      <c r="B649" s="33"/>
      <c r="C649" s="31"/>
      <c r="D649" s="31"/>
      <c r="E649" s="32"/>
      <c r="H649" s="31"/>
      <c r="K649" s="28"/>
    </row>
    <row r="650" hidden="1">
      <c r="A650" s="33"/>
      <c r="B650" s="33"/>
      <c r="C650" s="31"/>
      <c r="D650" s="31"/>
      <c r="E650" s="32"/>
      <c r="H650" s="31"/>
      <c r="K650" s="28"/>
    </row>
    <row r="651" hidden="1">
      <c r="A651" s="33"/>
      <c r="B651" s="33"/>
      <c r="C651" s="31"/>
      <c r="D651" s="31"/>
      <c r="E651" s="32"/>
      <c r="H651" s="31"/>
      <c r="K651" s="28"/>
    </row>
    <row r="652" hidden="1">
      <c r="A652" s="33"/>
      <c r="B652" s="33"/>
      <c r="C652" s="31"/>
      <c r="D652" s="31"/>
      <c r="E652" s="32"/>
      <c r="H652" s="31"/>
      <c r="K652" s="28"/>
    </row>
    <row r="653" hidden="1">
      <c r="A653" s="33"/>
      <c r="B653" s="33"/>
      <c r="C653" s="31"/>
      <c r="D653" s="31"/>
      <c r="E653" s="32"/>
      <c r="H653" s="31"/>
      <c r="K653" s="28"/>
    </row>
    <row r="654" hidden="1">
      <c r="A654" s="33"/>
      <c r="B654" s="33"/>
      <c r="C654" s="31"/>
      <c r="D654" s="31"/>
      <c r="E654" s="32"/>
      <c r="H654" s="31"/>
      <c r="K654" s="28"/>
    </row>
    <row r="655" hidden="1">
      <c r="A655" s="33"/>
      <c r="B655" s="33"/>
      <c r="C655" s="31"/>
      <c r="D655" s="31"/>
      <c r="E655" s="32"/>
      <c r="H655" s="31"/>
      <c r="K655" s="28"/>
    </row>
    <row r="656" hidden="1">
      <c r="A656" s="33"/>
      <c r="B656" s="33"/>
      <c r="C656" s="31"/>
      <c r="D656" s="31"/>
      <c r="E656" s="32"/>
      <c r="H656" s="31"/>
      <c r="K656" s="28"/>
    </row>
    <row r="657" hidden="1">
      <c r="A657" s="33"/>
      <c r="B657" s="33"/>
      <c r="C657" s="31"/>
      <c r="D657" s="31"/>
      <c r="E657" s="32"/>
      <c r="H657" s="31"/>
      <c r="K657" s="28"/>
    </row>
    <row r="658" hidden="1">
      <c r="A658" s="33"/>
      <c r="B658" s="33"/>
      <c r="C658" s="31"/>
      <c r="D658" s="31"/>
      <c r="E658" s="32"/>
      <c r="H658" s="31"/>
      <c r="K658" s="28"/>
    </row>
    <row r="659" hidden="1">
      <c r="A659" s="33"/>
      <c r="B659" s="33"/>
      <c r="C659" s="31"/>
      <c r="D659" s="31"/>
      <c r="E659" s="32"/>
      <c r="H659" s="31"/>
      <c r="K659" s="28"/>
    </row>
    <row r="660" hidden="1">
      <c r="A660" s="33"/>
      <c r="B660" s="33"/>
      <c r="C660" s="31"/>
      <c r="D660" s="31"/>
      <c r="E660" s="32"/>
      <c r="H660" s="31"/>
      <c r="K660" s="28"/>
    </row>
    <row r="661" hidden="1">
      <c r="A661" s="33"/>
      <c r="B661" s="33"/>
      <c r="C661" s="31"/>
      <c r="D661" s="31"/>
      <c r="E661" s="32"/>
      <c r="H661" s="31"/>
      <c r="K661" s="28"/>
    </row>
    <row r="662" hidden="1">
      <c r="A662" s="33"/>
      <c r="B662" s="33"/>
      <c r="C662" s="31"/>
      <c r="D662" s="31"/>
      <c r="E662" s="32"/>
      <c r="H662" s="31"/>
      <c r="K662" s="28"/>
    </row>
    <row r="663" hidden="1">
      <c r="A663" s="33"/>
      <c r="B663" s="33"/>
      <c r="C663" s="31"/>
      <c r="D663" s="31"/>
      <c r="E663" s="32"/>
      <c r="H663" s="31"/>
      <c r="K663" s="28"/>
    </row>
    <row r="664" hidden="1">
      <c r="A664" s="33"/>
      <c r="B664" s="33"/>
      <c r="C664" s="31"/>
      <c r="D664" s="31"/>
      <c r="E664" s="32"/>
      <c r="H664" s="31"/>
      <c r="K664" s="28"/>
    </row>
    <row r="665" hidden="1">
      <c r="A665" s="33"/>
      <c r="B665" s="33"/>
      <c r="C665" s="31"/>
      <c r="D665" s="31"/>
      <c r="E665" s="32"/>
      <c r="H665" s="31"/>
      <c r="K665" s="28"/>
    </row>
    <row r="666" hidden="1">
      <c r="A666" s="33"/>
      <c r="B666" s="33"/>
      <c r="C666" s="31"/>
      <c r="D666" s="31"/>
      <c r="E666" s="32"/>
      <c r="H666" s="31"/>
      <c r="K666" s="28"/>
    </row>
    <row r="667" hidden="1">
      <c r="A667" s="33"/>
      <c r="B667" s="33"/>
      <c r="C667" s="31"/>
      <c r="D667" s="31"/>
      <c r="E667" s="32"/>
      <c r="H667" s="31"/>
      <c r="K667" s="28"/>
    </row>
    <row r="668" hidden="1">
      <c r="A668" s="33"/>
      <c r="B668" s="33"/>
      <c r="C668" s="31"/>
      <c r="D668" s="31"/>
      <c r="E668" s="32"/>
      <c r="H668" s="31"/>
      <c r="K668" s="28"/>
    </row>
    <row r="669" hidden="1">
      <c r="A669" s="33"/>
      <c r="B669" s="33"/>
      <c r="C669" s="31"/>
      <c r="D669" s="31"/>
      <c r="E669" s="32"/>
      <c r="H669" s="31"/>
      <c r="K669" s="28"/>
    </row>
    <row r="670" hidden="1">
      <c r="A670" s="33"/>
      <c r="B670" s="33"/>
      <c r="C670" s="31"/>
      <c r="D670" s="31"/>
      <c r="E670" s="32"/>
      <c r="H670" s="31"/>
      <c r="K670" s="28"/>
    </row>
    <row r="671" hidden="1">
      <c r="A671" s="33"/>
      <c r="B671" s="33"/>
      <c r="C671" s="31"/>
      <c r="D671" s="31"/>
      <c r="E671" s="32"/>
      <c r="H671" s="31"/>
      <c r="K671" s="28"/>
    </row>
    <row r="672" hidden="1">
      <c r="A672" s="33"/>
      <c r="B672" s="33"/>
      <c r="C672" s="31"/>
      <c r="D672" s="31"/>
      <c r="E672" s="32"/>
      <c r="H672" s="31"/>
      <c r="K672" s="28"/>
    </row>
    <row r="673" hidden="1">
      <c r="A673" s="33"/>
      <c r="B673" s="33"/>
      <c r="C673" s="31"/>
      <c r="D673" s="31"/>
      <c r="E673" s="32"/>
      <c r="H673" s="31"/>
      <c r="K673" s="28"/>
    </row>
    <row r="674" hidden="1">
      <c r="A674" s="33"/>
      <c r="B674" s="33"/>
      <c r="C674" s="31"/>
      <c r="D674" s="31"/>
      <c r="E674" s="32"/>
      <c r="H674" s="31"/>
      <c r="K674" s="28"/>
    </row>
    <row r="675" hidden="1">
      <c r="A675" s="33"/>
      <c r="B675" s="33"/>
      <c r="C675" s="31"/>
      <c r="D675" s="31"/>
      <c r="E675" s="32"/>
      <c r="H675" s="31"/>
      <c r="K675" s="28"/>
    </row>
    <row r="676" hidden="1">
      <c r="A676" s="33"/>
      <c r="B676" s="33"/>
      <c r="C676" s="31"/>
      <c r="D676" s="31"/>
      <c r="E676" s="32"/>
      <c r="H676" s="31"/>
      <c r="K676" s="28"/>
    </row>
    <row r="677" hidden="1">
      <c r="A677" s="33"/>
      <c r="B677" s="33"/>
      <c r="C677" s="31"/>
      <c r="D677" s="31"/>
      <c r="E677" s="32"/>
      <c r="H677" s="31"/>
      <c r="K677" s="28"/>
    </row>
    <row r="678" hidden="1">
      <c r="A678" s="33"/>
      <c r="B678" s="33"/>
      <c r="C678" s="31"/>
      <c r="D678" s="31"/>
      <c r="E678" s="32"/>
      <c r="H678" s="31"/>
      <c r="K678" s="28"/>
    </row>
    <row r="679" hidden="1">
      <c r="A679" s="33"/>
      <c r="B679" s="33"/>
      <c r="C679" s="31"/>
      <c r="D679" s="31"/>
      <c r="E679" s="32"/>
      <c r="H679" s="31"/>
      <c r="K679" s="28"/>
    </row>
    <row r="680" hidden="1">
      <c r="A680" s="33"/>
      <c r="B680" s="33"/>
      <c r="C680" s="31"/>
      <c r="D680" s="31"/>
      <c r="E680" s="32"/>
      <c r="H680" s="31"/>
      <c r="K680" s="28"/>
    </row>
    <row r="681" hidden="1">
      <c r="A681" s="33"/>
      <c r="B681" s="33"/>
      <c r="C681" s="31"/>
      <c r="D681" s="31"/>
      <c r="E681" s="32"/>
      <c r="H681" s="31"/>
      <c r="K681" s="28"/>
    </row>
    <row r="682" hidden="1">
      <c r="A682" s="33"/>
      <c r="B682" s="33"/>
      <c r="C682" s="31"/>
      <c r="D682" s="31"/>
      <c r="E682" s="32"/>
      <c r="H682" s="31"/>
      <c r="K682" s="28"/>
    </row>
    <row r="683" hidden="1">
      <c r="A683" s="33"/>
      <c r="B683" s="33"/>
      <c r="C683" s="31"/>
      <c r="D683" s="31"/>
      <c r="E683" s="32"/>
      <c r="H683" s="31"/>
      <c r="K683" s="28"/>
    </row>
    <row r="684" hidden="1">
      <c r="A684" s="33"/>
      <c r="B684" s="33"/>
      <c r="C684" s="31"/>
      <c r="D684" s="31"/>
      <c r="E684" s="32"/>
      <c r="H684" s="31"/>
      <c r="K684" s="28"/>
    </row>
    <row r="685" hidden="1">
      <c r="A685" s="33"/>
      <c r="B685" s="33"/>
      <c r="C685" s="31"/>
      <c r="D685" s="31"/>
      <c r="E685" s="32"/>
      <c r="H685" s="31"/>
      <c r="K685" s="28"/>
    </row>
    <row r="686" hidden="1">
      <c r="A686" s="33"/>
      <c r="B686" s="33"/>
      <c r="C686" s="31"/>
      <c r="D686" s="31"/>
      <c r="E686" s="32"/>
      <c r="H686" s="31"/>
      <c r="K686" s="28"/>
    </row>
    <row r="687" hidden="1">
      <c r="A687" s="33"/>
      <c r="B687" s="33"/>
      <c r="C687" s="31"/>
      <c r="D687" s="31"/>
      <c r="E687" s="32"/>
      <c r="H687" s="31"/>
      <c r="K687" s="28"/>
    </row>
    <row r="688" hidden="1">
      <c r="A688" s="33"/>
      <c r="B688" s="33"/>
      <c r="C688" s="31"/>
      <c r="D688" s="31"/>
      <c r="E688" s="32"/>
      <c r="H688" s="31"/>
      <c r="K688" s="28"/>
    </row>
    <row r="689" hidden="1">
      <c r="A689" s="33"/>
      <c r="B689" s="33"/>
      <c r="C689" s="31"/>
      <c r="D689" s="31"/>
      <c r="E689" s="32"/>
      <c r="H689" s="31"/>
      <c r="K689" s="28"/>
    </row>
    <row r="690" hidden="1">
      <c r="A690" s="33"/>
      <c r="B690" s="33"/>
      <c r="C690" s="31"/>
      <c r="D690" s="31"/>
      <c r="E690" s="32"/>
      <c r="H690" s="31"/>
      <c r="K690" s="28"/>
    </row>
    <row r="691" hidden="1">
      <c r="A691" s="33"/>
      <c r="B691" s="33"/>
      <c r="C691" s="31"/>
      <c r="D691" s="31"/>
      <c r="E691" s="32"/>
      <c r="H691" s="31"/>
      <c r="K691" s="28"/>
    </row>
    <row r="692" hidden="1">
      <c r="A692" s="33"/>
      <c r="B692" s="33"/>
      <c r="C692" s="31"/>
      <c r="D692" s="31"/>
      <c r="E692" s="32"/>
      <c r="H692" s="31"/>
      <c r="K692" s="28"/>
    </row>
    <row r="693" hidden="1">
      <c r="A693" s="33"/>
      <c r="B693" s="33"/>
      <c r="C693" s="31"/>
      <c r="D693" s="31"/>
      <c r="E693" s="32"/>
      <c r="H693" s="31"/>
      <c r="K693" s="28"/>
    </row>
    <row r="694" hidden="1">
      <c r="A694" s="33"/>
      <c r="B694" s="33"/>
      <c r="C694" s="31"/>
      <c r="D694" s="31"/>
      <c r="E694" s="32"/>
      <c r="H694" s="31"/>
      <c r="K694" s="28"/>
    </row>
    <row r="695" hidden="1">
      <c r="A695" s="33"/>
      <c r="B695" s="33"/>
      <c r="C695" s="31"/>
      <c r="D695" s="31"/>
      <c r="E695" s="32"/>
      <c r="H695" s="31"/>
      <c r="K695" s="28"/>
    </row>
    <row r="696" hidden="1">
      <c r="A696" s="33"/>
      <c r="B696" s="33"/>
      <c r="C696" s="31"/>
      <c r="D696" s="31"/>
      <c r="E696" s="32"/>
      <c r="H696" s="31"/>
      <c r="K696" s="28"/>
    </row>
    <row r="697" hidden="1">
      <c r="A697" s="33"/>
      <c r="B697" s="33"/>
      <c r="C697" s="31"/>
      <c r="D697" s="31"/>
      <c r="E697" s="32"/>
      <c r="H697" s="31"/>
      <c r="K697" s="28"/>
    </row>
    <row r="698" hidden="1">
      <c r="A698" s="33"/>
      <c r="B698" s="33"/>
      <c r="C698" s="31"/>
      <c r="D698" s="31"/>
      <c r="E698" s="32"/>
      <c r="H698" s="31"/>
      <c r="K698" s="28"/>
    </row>
    <row r="699" hidden="1">
      <c r="A699" s="33"/>
      <c r="B699" s="33"/>
      <c r="C699" s="31"/>
      <c r="D699" s="31"/>
      <c r="E699" s="32"/>
      <c r="H699" s="31"/>
      <c r="K699" s="28"/>
    </row>
    <row r="700" hidden="1">
      <c r="A700" s="33"/>
      <c r="B700" s="33"/>
      <c r="C700" s="31"/>
      <c r="D700" s="31"/>
      <c r="E700" s="32"/>
      <c r="H700" s="31"/>
      <c r="K700" s="28"/>
    </row>
    <row r="701" hidden="1">
      <c r="A701" s="33"/>
      <c r="B701" s="33"/>
      <c r="C701" s="31"/>
      <c r="D701" s="31"/>
      <c r="E701" s="32"/>
      <c r="H701" s="31"/>
      <c r="K701" s="28"/>
    </row>
    <row r="702" hidden="1">
      <c r="A702" s="33"/>
      <c r="B702" s="33"/>
      <c r="C702" s="31"/>
      <c r="D702" s="31"/>
      <c r="E702" s="32"/>
      <c r="H702" s="31"/>
      <c r="K702" s="28"/>
    </row>
    <row r="703" hidden="1">
      <c r="A703" s="33"/>
      <c r="B703" s="33"/>
      <c r="C703" s="31"/>
      <c r="D703" s="31"/>
      <c r="E703" s="32"/>
      <c r="H703" s="31"/>
      <c r="K703" s="28"/>
    </row>
    <row r="704" hidden="1">
      <c r="A704" s="33"/>
      <c r="B704" s="33"/>
      <c r="C704" s="31"/>
      <c r="D704" s="31"/>
      <c r="E704" s="32"/>
      <c r="H704" s="31"/>
      <c r="K704" s="28"/>
    </row>
    <row r="705" hidden="1">
      <c r="A705" s="33"/>
      <c r="B705" s="33"/>
      <c r="C705" s="31"/>
      <c r="D705" s="31"/>
      <c r="E705" s="32"/>
      <c r="H705" s="31"/>
      <c r="K705" s="28"/>
    </row>
    <row r="706" hidden="1">
      <c r="A706" s="33"/>
      <c r="B706" s="33"/>
      <c r="C706" s="31"/>
      <c r="D706" s="31"/>
      <c r="E706" s="32"/>
      <c r="H706" s="31"/>
      <c r="K706" s="28"/>
    </row>
    <row r="707" hidden="1">
      <c r="A707" s="33"/>
      <c r="B707" s="33"/>
      <c r="C707" s="31"/>
      <c r="D707" s="31"/>
      <c r="E707" s="32"/>
      <c r="H707" s="31"/>
      <c r="K707" s="28"/>
    </row>
    <row r="708" hidden="1">
      <c r="A708" s="33"/>
      <c r="B708" s="33"/>
      <c r="C708" s="31"/>
      <c r="D708" s="31"/>
      <c r="E708" s="32"/>
      <c r="H708" s="31"/>
      <c r="K708" s="28"/>
    </row>
    <row r="709" hidden="1">
      <c r="A709" s="33"/>
      <c r="B709" s="33"/>
      <c r="C709" s="31"/>
      <c r="D709" s="31"/>
      <c r="E709" s="32"/>
      <c r="H709" s="31"/>
      <c r="K709" s="28"/>
    </row>
    <row r="710" hidden="1">
      <c r="A710" s="33"/>
      <c r="B710" s="33"/>
      <c r="C710" s="31"/>
      <c r="D710" s="31"/>
      <c r="E710" s="32"/>
      <c r="H710" s="31"/>
      <c r="K710" s="28"/>
    </row>
    <row r="711" hidden="1">
      <c r="A711" s="33"/>
      <c r="B711" s="33"/>
      <c r="C711" s="31"/>
      <c r="D711" s="31"/>
      <c r="E711" s="32"/>
      <c r="H711" s="31"/>
      <c r="K711" s="28"/>
    </row>
    <row r="712" hidden="1">
      <c r="A712" s="33"/>
      <c r="B712" s="33"/>
      <c r="C712" s="31"/>
      <c r="D712" s="31"/>
      <c r="E712" s="32"/>
      <c r="H712" s="31"/>
      <c r="K712" s="28"/>
    </row>
    <row r="713" hidden="1">
      <c r="A713" s="33"/>
      <c r="B713" s="33"/>
      <c r="C713" s="31"/>
      <c r="D713" s="31"/>
      <c r="E713" s="32"/>
      <c r="H713" s="31"/>
      <c r="K713" s="28"/>
    </row>
    <row r="714" hidden="1">
      <c r="A714" s="33"/>
      <c r="B714" s="33"/>
      <c r="C714" s="31"/>
      <c r="D714" s="31"/>
      <c r="E714" s="32"/>
      <c r="H714" s="31"/>
      <c r="K714" s="28"/>
    </row>
    <row r="715" hidden="1">
      <c r="A715" s="33"/>
      <c r="B715" s="33"/>
      <c r="C715" s="31"/>
      <c r="D715" s="31"/>
      <c r="E715" s="32"/>
      <c r="H715" s="31"/>
      <c r="K715" s="28"/>
    </row>
    <row r="716" hidden="1">
      <c r="A716" s="33"/>
      <c r="B716" s="33"/>
      <c r="C716" s="31"/>
      <c r="D716" s="31"/>
      <c r="E716" s="32"/>
      <c r="H716" s="31"/>
      <c r="K716" s="28"/>
    </row>
    <row r="717" hidden="1">
      <c r="A717" s="33"/>
      <c r="B717" s="33"/>
      <c r="C717" s="31"/>
      <c r="D717" s="31"/>
      <c r="E717" s="32"/>
      <c r="H717" s="31"/>
      <c r="K717" s="28"/>
    </row>
    <row r="718" hidden="1">
      <c r="A718" s="33"/>
      <c r="B718" s="33"/>
      <c r="C718" s="31"/>
      <c r="D718" s="31"/>
      <c r="E718" s="32"/>
      <c r="H718" s="31"/>
      <c r="K718" s="28"/>
    </row>
    <row r="719" hidden="1">
      <c r="A719" s="33"/>
      <c r="B719" s="33"/>
      <c r="C719" s="31"/>
      <c r="D719" s="31"/>
      <c r="E719" s="32"/>
      <c r="H719" s="31"/>
      <c r="K719" s="28"/>
    </row>
    <row r="720" hidden="1">
      <c r="A720" s="33"/>
      <c r="B720" s="33"/>
      <c r="C720" s="31"/>
      <c r="D720" s="31"/>
      <c r="E720" s="32"/>
      <c r="H720" s="31"/>
      <c r="K720" s="28"/>
    </row>
    <row r="721" hidden="1">
      <c r="A721" s="33"/>
      <c r="B721" s="33"/>
      <c r="C721" s="31"/>
      <c r="D721" s="31"/>
      <c r="E721" s="32"/>
      <c r="H721" s="31"/>
      <c r="K721" s="28"/>
    </row>
    <row r="722" hidden="1">
      <c r="A722" s="33"/>
      <c r="B722" s="33"/>
      <c r="C722" s="31"/>
      <c r="D722" s="31"/>
      <c r="E722" s="32"/>
      <c r="H722" s="31"/>
      <c r="K722" s="28"/>
    </row>
    <row r="723" hidden="1">
      <c r="A723" s="33"/>
      <c r="B723" s="33"/>
      <c r="C723" s="31"/>
      <c r="D723" s="31"/>
      <c r="E723" s="32"/>
      <c r="H723" s="31"/>
      <c r="K723" s="28"/>
    </row>
    <row r="724" hidden="1">
      <c r="A724" s="33"/>
      <c r="B724" s="33"/>
      <c r="C724" s="31"/>
      <c r="D724" s="31"/>
      <c r="E724" s="32"/>
      <c r="H724" s="31"/>
      <c r="K724" s="28"/>
    </row>
    <row r="725" hidden="1">
      <c r="A725" s="33"/>
      <c r="B725" s="33"/>
      <c r="C725" s="31"/>
      <c r="D725" s="31"/>
      <c r="E725" s="32"/>
      <c r="H725" s="31"/>
      <c r="K725" s="28"/>
    </row>
    <row r="726" hidden="1">
      <c r="A726" s="33"/>
      <c r="B726" s="33"/>
      <c r="C726" s="31"/>
      <c r="D726" s="31"/>
      <c r="E726" s="32"/>
      <c r="H726" s="31"/>
      <c r="K726" s="28"/>
    </row>
    <row r="727" hidden="1">
      <c r="A727" s="33"/>
      <c r="B727" s="33"/>
      <c r="C727" s="31"/>
      <c r="D727" s="31"/>
      <c r="E727" s="32"/>
      <c r="H727" s="31"/>
      <c r="K727" s="28"/>
    </row>
    <row r="728" hidden="1">
      <c r="A728" s="33"/>
      <c r="B728" s="33"/>
      <c r="C728" s="31"/>
      <c r="D728" s="31"/>
      <c r="E728" s="32"/>
      <c r="H728" s="31"/>
      <c r="K728" s="28"/>
    </row>
    <row r="729" hidden="1">
      <c r="A729" s="33"/>
      <c r="B729" s="33"/>
      <c r="C729" s="31"/>
      <c r="D729" s="31"/>
      <c r="E729" s="32"/>
      <c r="H729" s="31"/>
      <c r="K729" s="28"/>
    </row>
    <row r="730" hidden="1">
      <c r="A730" s="33"/>
      <c r="B730" s="33"/>
      <c r="C730" s="31"/>
      <c r="D730" s="31"/>
      <c r="E730" s="32"/>
      <c r="H730" s="31"/>
      <c r="K730" s="28"/>
    </row>
    <row r="731" hidden="1">
      <c r="A731" s="33"/>
      <c r="B731" s="33"/>
      <c r="C731" s="31"/>
      <c r="D731" s="31"/>
      <c r="E731" s="32"/>
      <c r="H731" s="31"/>
      <c r="K731" s="28"/>
    </row>
    <row r="732" hidden="1">
      <c r="A732" s="33"/>
      <c r="B732" s="33"/>
      <c r="C732" s="31"/>
      <c r="D732" s="31"/>
      <c r="E732" s="32"/>
      <c r="H732" s="31"/>
      <c r="K732" s="28"/>
    </row>
    <row r="733" hidden="1">
      <c r="A733" s="33"/>
      <c r="B733" s="33"/>
      <c r="C733" s="31"/>
      <c r="D733" s="31"/>
      <c r="E733" s="32"/>
      <c r="H733" s="31"/>
      <c r="K733" s="28"/>
    </row>
    <row r="734" hidden="1">
      <c r="A734" s="33"/>
      <c r="B734" s="33"/>
      <c r="C734" s="31"/>
      <c r="D734" s="31"/>
      <c r="E734" s="32"/>
      <c r="H734" s="31"/>
      <c r="K734" s="28"/>
    </row>
    <row r="735" hidden="1">
      <c r="A735" s="33"/>
      <c r="B735" s="33"/>
      <c r="C735" s="31"/>
      <c r="D735" s="31"/>
      <c r="E735" s="32"/>
      <c r="H735" s="31"/>
      <c r="K735" s="28"/>
    </row>
    <row r="736" hidden="1">
      <c r="A736" s="33"/>
      <c r="B736" s="33"/>
      <c r="C736" s="31"/>
      <c r="D736" s="31"/>
      <c r="E736" s="32"/>
      <c r="H736" s="31"/>
      <c r="K736" s="28"/>
    </row>
    <row r="737" hidden="1">
      <c r="A737" s="33"/>
      <c r="B737" s="33"/>
      <c r="C737" s="31"/>
      <c r="D737" s="31"/>
      <c r="E737" s="32"/>
      <c r="H737" s="31"/>
      <c r="K737" s="28"/>
    </row>
    <row r="738" hidden="1">
      <c r="A738" s="33"/>
      <c r="B738" s="33"/>
      <c r="C738" s="31"/>
      <c r="D738" s="31"/>
      <c r="E738" s="32"/>
      <c r="H738" s="31"/>
      <c r="K738" s="28"/>
    </row>
    <row r="739" hidden="1">
      <c r="A739" s="33"/>
      <c r="B739" s="33"/>
      <c r="C739" s="31"/>
      <c r="D739" s="31"/>
      <c r="E739" s="32"/>
      <c r="H739" s="31"/>
      <c r="K739" s="28"/>
    </row>
    <row r="740" hidden="1">
      <c r="A740" s="33"/>
      <c r="B740" s="33"/>
      <c r="C740" s="31"/>
      <c r="D740" s="31"/>
      <c r="E740" s="32"/>
      <c r="H740" s="31"/>
      <c r="K740" s="28"/>
    </row>
    <row r="741" hidden="1">
      <c r="A741" s="33"/>
      <c r="B741" s="33"/>
      <c r="C741" s="31"/>
      <c r="D741" s="31"/>
      <c r="E741" s="32"/>
      <c r="H741" s="31"/>
      <c r="K741" s="28"/>
    </row>
    <row r="742" hidden="1">
      <c r="A742" s="33"/>
      <c r="B742" s="33"/>
      <c r="C742" s="31"/>
      <c r="D742" s="31"/>
      <c r="E742" s="32"/>
      <c r="H742" s="31"/>
      <c r="K742" s="28"/>
    </row>
    <row r="743" hidden="1">
      <c r="A743" s="33"/>
      <c r="B743" s="33"/>
      <c r="C743" s="31"/>
      <c r="D743" s="31"/>
      <c r="E743" s="32"/>
      <c r="H743" s="31"/>
      <c r="K743" s="28"/>
    </row>
    <row r="744" hidden="1">
      <c r="A744" s="33"/>
      <c r="B744" s="33"/>
      <c r="C744" s="31"/>
      <c r="D744" s="31"/>
      <c r="E744" s="32"/>
      <c r="H744" s="31"/>
      <c r="K744" s="28"/>
    </row>
    <row r="745" hidden="1">
      <c r="A745" s="33"/>
      <c r="B745" s="33"/>
      <c r="C745" s="31"/>
      <c r="D745" s="31"/>
      <c r="E745" s="32"/>
      <c r="H745" s="31"/>
      <c r="K745" s="28"/>
    </row>
    <row r="746" hidden="1">
      <c r="A746" s="33"/>
      <c r="B746" s="33"/>
      <c r="C746" s="31"/>
      <c r="D746" s="31"/>
      <c r="E746" s="32"/>
      <c r="H746" s="31"/>
      <c r="K746" s="28"/>
    </row>
    <row r="747" hidden="1">
      <c r="A747" s="33"/>
      <c r="B747" s="33"/>
      <c r="C747" s="31"/>
      <c r="D747" s="31"/>
      <c r="E747" s="32"/>
      <c r="H747" s="31"/>
      <c r="K747" s="28"/>
    </row>
    <row r="748" hidden="1">
      <c r="A748" s="33"/>
      <c r="B748" s="33"/>
      <c r="C748" s="31"/>
      <c r="D748" s="31"/>
      <c r="E748" s="32"/>
      <c r="H748" s="31"/>
      <c r="K748" s="28"/>
    </row>
    <row r="749" hidden="1">
      <c r="A749" s="33"/>
      <c r="B749" s="33"/>
      <c r="C749" s="31"/>
      <c r="D749" s="31"/>
      <c r="E749" s="32"/>
      <c r="H749" s="31"/>
      <c r="K749" s="28"/>
    </row>
    <row r="750" hidden="1">
      <c r="A750" s="33"/>
      <c r="B750" s="33"/>
      <c r="C750" s="31"/>
      <c r="D750" s="31"/>
      <c r="E750" s="32"/>
      <c r="H750" s="31"/>
      <c r="K750" s="28"/>
    </row>
    <row r="751" hidden="1">
      <c r="A751" s="33"/>
      <c r="B751" s="33"/>
      <c r="C751" s="31"/>
      <c r="D751" s="31"/>
      <c r="E751" s="32"/>
      <c r="H751" s="31"/>
      <c r="K751" s="28"/>
    </row>
    <row r="752" hidden="1">
      <c r="A752" s="33"/>
      <c r="B752" s="33"/>
      <c r="C752" s="31"/>
      <c r="D752" s="31"/>
      <c r="E752" s="32"/>
      <c r="H752" s="31"/>
      <c r="K752" s="28"/>
    </row>
    <row r="753" hidden="1">
      <c r="A753" s="33"/>
      <c r="B753" s="33"/>
      <c r="C753" s="31"/>
      <c r="D753" s="31"/>
      <c r="E753" s="32"/>
      <c r="H753" s="31"/>
      <c r="K753" s="28"/>
    </row>
    <row r="754" hidden="1">
      <c r="A754" s="33"/>
      <c r="B754" s="33"/>
      <c r="C754" s="31"/>
      <c r="D754" s="31"/>
      <c r="E754" s="32"/>
      <c r="H754" s="31"/>
      <c r="K754" s="28"/>
    </row>
    <row r="755" hidden="1">
      <c r="A755" s="33"/>
      <c r="B755" s="33"/>
      <c r="C755" s="31"/>
      <c r="D755" s="31"/>
      <c r="E755" s="32"/>
      <c r="H755" s="31"/>
      <c r="K755" s="28"/>
    </row>
    <row r="756" hidden="1">
      <c r="A756" s="33"/>
      <c r="B756" s="33"/>
      <c r="C756" s="31"/>
      <c r="D756" s="31"/>
      <c r="E756" s="32"/>
      <c r="H756" s="31"/>
      <c r="K756" s="28"/>
    </row>
    <row r="757" hidden="1">
      <c r="A757" s="33"/>
      <c r="B757" s="33"/>
      <c r="C757" s="31"/>
      <c r="D757" s="31"/>
      <c r="E757" s="32"/>
      <c r="H757" s="31"/>
      <c r="K757" s="28"/>
    </row>
    <row r="758" hidden="1">
      <c r="A758" s="33"/>
      <c r="B758" s="33"/>
      <c r="C758" s="31"/>
      <c r="D758" s="31"/>
      <c r="E758" s="32"/>
      <c r="H758" s="31"/>
      <c r="K758" s="28"/>
    </row>
    <row r="759" hidden="1">
      <c r="A759" s="33"/>
      <c r="B759" s="33"/>
      <c r="C759" s="31"/>
      <c r="D759" s="31"/>
      <c r="E759" s="32"/>
      <c r="H759" s="31"/>
      <c r="K759" s="28"/>
    </row>
    <row r="760" hidden="1">
      <c r="A760" s="33"/>
      <c r="B760" s="33"/>
      <c r="C760" s="31"/>
      <c r="D760" s="31"/>
      <c r="E760" s="32"/>
      <c r="H760" s="31"/>
      <c r="K760" s="28"/>
    </row>
    <row r="761" hidden="1">
      <c r="A761" s="33"/>
      <c r="B761" s="33"/>
      <c r="C761" s="31"/>
      <c r="D761" s="31"/>
      <c r="E761" s="32"/>
      <c r="H761" s="31"/>
      <c r="K761" s="28"/>
    </row>
    <row r="762" hidden="1">
      <c r="A762" s="33"/>
      <c r="B762" s="33"/>
      <c r="C762" s="31"/>
      <c r="D762" s="31"/>
      <c r="E762" s="32"/>
      <c r="H762" s="31"/>
      <c r="K762" s="28"/>
    </row>
    <row r="763" hidden="1">
      <c r="A763" s="33"/>
      <c r="B763" s="33"/>
      <c r="C763" s="31"/>
      <c r="D763" s="31"/>
      <c r="E763" s="32"/>
      <c r="H763" s="31"/>
      <c r="K763" s="28"/>
    </row>
    <row r="764" hidden="1">
      <c r="A764" s="33"/>
      <c r="B764" s="33"/>
      <c r="C764" s="31"/>
      <c r="D764" s="31"/>
      <c r="E764" s="32"/>
      <c r="H764" s="31"/>
      <c r="K764" s="28"/>
    </row>
    <row r="765" hidden="1">
      <c r="A765" s="33"/>
      <c r="B765" s="33"/>
      <c r="C765" s="31"/>
      <c r="D765" s="31"/>
      <c r="E765" s="32"/>
      <c r="H765" s="31"/>
      <c r="K765" s="28"/>
    </row>
    <row r="766" hidden="1">
      <c r="A766" s="33"/>
      <c r="B766" s="33"/>
      <c r="C766" s="31"/>
      <c r="D766" s="31"/>
      <c r="E766" s="32"/>
      <c r="H766" s="31"/>
      <c r="K766" s="28"/>
    </row>
    <row r="767" hidden="1">
      <c r="A767" s="33"/>
      <c r="B767" s="33"/>
      <c r="C767" s="31"/>
      <c r="D767" s="31"/>
      <c r="E767" s="32"/>
      <c r="H767" s="31"/>
      <c r="K767" s="28"/>
    </row>
    <row r="768" hidden="1">
      <c r="A768" s="33"/>
      <c r="B768" s="33"/>
      <c r="C768" s="31"/>
      <c r="D768" s="31"/>
      <c r="E768" s="32"/>
      <c r="H768" s="31"/>
      <c r="K768" s="28"/>
    </row>
    <row r="769" hidden="1">
      <c r="A769" s="33"/>
      <c r="B769" s="33"/>
      <c r="C769" s="31"/>
      <c r="D769" s="31"/>
      <c r="E769" s="32"/>
      <c r="H769" s="31"/>
      <c r="K769" s="28"/>
    </row>
    <row r="770" hidden="1">
      <c r="A770" s="33"/>
      <c r="B770" s="33"/>
      <c r="C770" s="31"/>
      <c r="D770" s="31"/>
      <c r="E770" s="32"/>
      <c r="H770" s="31"/>
      <c r="K770" s="28"/>
    </row>
    <row r="771" hidden="1">
      <c r="A771" s="33"/>
      <c r="B771" s="33"/>
      <c r="C771" s="31"/>
      <c r="D771" s="31"/>
      <c r="E771" s="32"/>
      <c r="H771" s="31"/>
      <c r="K771" s="28"/>
    </row>
    <row r="772" hidden="1">
      <c r="A772" s="33"/>
      <c r="B772" s="33"/>
      <c r="C772" s="31"/>
      <c r="D772" s="31"/>
      <c r="E772" s="32"/>
      <c r="H772" s="31"/>
      <c r="K772" s="28"/>
    </row>
    <row r="773" hidden="1">
      <c r="A773" s="33"/>
      <c r="B773" s="33"/>
      <c r="C773" s="31"/>
      <c r="D773" s="31"/>
      <c r="E773" s="32"/>
      <c r="H773" s="31"/>
      <c r="K773" s="28"/>
    </row>
    <row r="774" hidden="1">
      <c r="A774" s="33"/>
      <c r="B774" s="33"/>
      <c r="C774" s="31"/>
      <c r="D774" s="31"/>
      <c r="E774" s="32"/>
      <c r="H774" s="31"/>
      <c r="K774" s="28"/>
    </row>
    <row r="775" hidden="1">
      <c r="A775" s="33"/>
      <c r="B775" s="33"/>
      <c r="C775" s="31"/>
      <c r="D775" s="31"/>
      <c r="E775" s="32"/>
      <c r="H775" s="31"/>
      <c r="K775" s="28"/>
    </row>
    <row r="776" hidden="1">
      <c r="A776" s="33"/>
      <c r="B776" s="33"/>
      <c r="C776" s="31"/>
      <c r="D776" s="31"/>
      <c r="E776" s="32"/>
      <c r="H776" s="31"/>
      <c r="K776" s="28"/>
    </row>
    <row r="777" hidden="1">
      <c r="A777" s="33"/>
      <c r="B777" s="33"/>
      <c r="C777" s="31"/>
      <c r="D777" s="31"/>
      <c r="E777" s="32"/>
      <c r="H777" s="31"/>
      <c r="K777" s="28"/>
    </row>
    <row r="778" hidden="1">
      <c r="A778" s="33"/>
      <c r="B778" s="33"/>
      <c r="C778" s="31"/>
      <c r="D778" s="31"/>
      <c r="E778" s="32"/>
      <c r="H778" s="31"/>
      <c r="K778" s="28"/>
    </row>
    <row r="779" hidden="1">
      <c r="A779" s="33"/>
      <c r="B779" s="33"/>
      <c r="C779" s="31"/>
      <c r="D779" s="31"/>
      <c r="E779" s="32"/>
      <c r="H779" s="31"/>
      <c r="K779" s="28"/>
    </row>
    <row r="780" hidden="1">
      <c r="A780" s="33"/>
      <c r="B780" s="33"/>
      <c r="C780" s="31"/>
      <c r="D780" s="31"/>
      <c r="E780" s="32"/>
      <c r="H780" s="31"/>
      <c r="K780" s="28"/>
    </row>
    <row r="781" hidden="1">
      <c r="A781" s="33"/>
      <c r="B781" s="33"/>
      <c r="C781" s="31"/>
      <c r="D781" s="31"/>
      <c r="E781" s="32"/>
      <c r="H781" s="31"/>
      <c r="K781" s="28"/>
    </row>
    <row r="782" hidden="1">
      <c r="A782" s="33"/>
      <c r="B782" s="33"/>
      <c r="C782" s="31"/>
      <c r="D782" s="31"/>
      <c r="E782" s="32"/>
      <c r="H782" s="31"/>
      <c r="K782" s="28"/>
    </row>
    <row r="783" hidden="1">
      <c r="A783" s="33"/>
      <c r="B783" s="33"/>
      <c r="C783" s="31"/>
      <c r="D783" s="31"/>
      <c r="E783" s="32"/>
      <c r="H783" s="31"/>
      <c r="K783" s="28"/>
    </row>
    <row r="784" hidden="1">
      <c r="A784" s="33"/>
      <c r="B784" s="33"/>
      <c r="C784" s="31"/>
      <c r="D784" s="31"/>
      <c r="E784" s="32"/>
      <c r="H784" s="31"/>
      <c r="K784" s="28"/>
    </row>
    <row r="785" hidden="1">
      <c r="A785" s="33"/>
      <c r="B785" s="33"/>
      <c r="C785" s="31"/>
      <c r="D785" s="31"/>
      <c r="E785" s="32"/>
      <c r="H785" s="31"/>
      <c r="K785" s="28"/>
    </row>
    <row r="786" hidden="1">
      <c r="A786" s="33"/>
      <c r="B786" s="33"/>
      <c r="C786" s="31"/>
      <c r="D786" s="31"/>
      <c r="E786" s="32"/>
      <c r="H786" s="31"/>
      <c r="K786" s="28"/>
    </row>
    <row r="787" hidden="1">
      <c r="A787" s="33"/>
      <c r="B787" s="33"/>
      <c r="C787" s="31"/>
      <c r="D787" s="31"/>
      <c r="E787" s="32"/>
      <c r="H787" s="31"/>
      <c r="K787" s="28"/>
    </row>
    <row r="788" hidden="1">
      <c r="A788" s="33"/>
      <c r="B788" s="33"/>
      <c r="C788" s="31"/>
      <c r="D788" s="31"/>
      <c r="E788" s="32"/>
      <c r="H788" s="31"/>
      <c r="K788" s="28"/>
    </row>
    <row r="789" hidden="1">
      <c r="A789" s="33"/>
      <c r="B789" s="33"/>
      <c r="C789" s="31"/>
      <c r="D789" s="31"/>
      <c r="E789" s="32"/>
      <c r="H789" s="31"/>
      <c r="K789" s="28"/>
    </row>
    <row r="790" hidden="1">
      <c r="A790" s="33"/>
      <c r="B790" s="33"/>
      <c r="C790" s="31"/>
      <c r="D790" s="31"/>
      <c r="E790" s="32"/>
      <c r="H790" s="31"/>
      <c r="K790" s="28"/>
    </row>
    <row r="791" hidden="1">
      <c r="A791" s="33"/>
      <c r="B791" s="33"/>
      <c r="C791" s="31"/>
      <c r="D791" s="31"/>
      <c r="E791" s="32"/>
      <c r="H791" s="31"/>
      <c r="K791" s="28"/>
    </row>
    <row r="792" hidden="1">
      <c r="A792" s="33"/>
      <c r="B792" s="33"/>
      <c r="C792" s="31"/>
      <c r="D792" s="31"/>
      <c r="E792" s="32"/>
      <c r="H792" s="31"/>
      <c r="K792" s="28"/>
    </row>
    <row r="793" hidden="1">
      <c r="A793" s="33"/>
      <c r="B793" s="33"/>
      <c r="C793" s="31"/>
      <c r="D793" s="31"/>
      <c r="E793" s="32"/>
      <c r="H793" s="31"/>
      <c r="K793" s="28"/>
    </row>
    <row r="794" hidden="1">
      <c r="A794" s="33"/>
      <c r="B794" s="33"/>
      <c r="C794" s="31"/>
      <c r="D794" s="31"/>
      <c r="E794" s="32"/>
      <c r="H794" s="31"/>
      <c r="K794" s="28"/>
    </row>
    <row r="795" hidden="1">
      <c r="A795" s="33"/>
      <c r="B795" s="33"/>
      <c r="C795" s="31"/>
      <c r="D795" s="31"/>
      <c r="E795" s="32"/>
      <c r="H795" s="31"/>
      <c r="K795" s="28"/>
    </row>
    <row r="796" hidden="1">
      <c r="A796" s="33"/>
      <c r="B796" s="33"/>
      <c r="C796" s="31"/>
      <c r="D796" s="31"/>
      <c r="E796" s="32"/>
      <c r="H796" s="31"/>
      <c r="K796" s="28"/>
    </row>
    <row r="797" hidden="1">
      <c r="A797" s="33"/>
      <c r="B797" s="33"/>
      <c r="C797" s="31"/>
      <c r="D797" s="31"/>
      <c r="E797" s="32"/>
      <c r="H797" s="31"/>
      <c r="K797" s="28"/>
    </row>
    <row r="798" hidden="1">
      <c r="A798" s="33"/>
      <c r="B798" s="33"/>
      <c r="C798" s="31"/>
      <c r="D798" s="31"/>
      <c r="E798" s="32"/>
      <c r="H798" s="31"/>
      <c r="K798" s="28"/>
    </row>
    <row r="799" hidden="1">
      <c r="A799" s="33"/>
      <c r="B799" s="33"/>
      <c r="C799" s="31"/>
      <c r="D799" s="31"/>
      <c r="E799" s="32"/>
      <c r="H799" s="31"/>
      <c r="K799" s="28"/>
    </row>
    <row r="800" hidden="1">
      <c r="A800" s="33"/>
      <c r="B800" s="33"/>
      <c r="C800" s="31"/>
      <c r="D800" s="31"/>
      <c r="E800" s="32"/>
      <c r="H800" s="31"/>
      <c r="K800" s="28"/>
    </row>
    <row r="801" hidden="1">
      <c r="A801" s="33"/>
      <c r="B801" s="33"/>
      <c r="C801" s="31"/>
      <c r="D801" s="31"/>
      <c r="E801" s="32"/>
      <c r="H801" s="31"/>
      <c r="K801" s="28"/>
    </row>
    <row r="802" hidden="1">
      <c r="A802" s="33"/>
      <c r="B802" s="33"/>
      <c r="C802" s="31"/>
      <c r="D802" s="31"/>
      <c r="E802" s="32"/>
      <c r="H802" s="31"/>
      <c r="K802" s="28"/>
    </row>
    <row r="803" hidden="1">
      <c r="A803" s="33"/>
      <c r="B803" s="33"/>
      <c r="C803" s="31"/>
      <c r="D803" s="31"/>
      <c r="E803" s="32"/>
      <c r="H803" s="31"/>
      <c r="K803" s="28"/>
    </row>
    <row r="804" hidden="1">
      <c r="A804" s="33"/>
      <c r="B804" s="33"/>
      <c r="C804" s="31"/>
      <c r="D804" s="31"/>
      <c r="E804" s="32"/>
      <c r="H804" s="31"/>
      <c r="K804" s="28"/>
    </row>
    <row r="805" hidden="1">
      <c r="A805" s="33"/>
      <c r="B805" s="33"/>
      <c r="C805" s="31"/>
      <c r="D805" s="31"/>
      <c r="E805" s="32"/>
      <c r="H805" s="31"/>
      <c r="K805" s="28"/>
    </row>
    <row r="806" hidden="1">
      <c r="A806" s="33"/>
      <c r="B806" s="33"/>
      <c r="C806" s="31"/>
      <c r="D806" s="31"/>
      <c r="E806" s="32"/>
      <c r="H806" s="31"/>
      <c r="K806" s="28"/>
    </row>
    <row r="807" hidden="1">
      <c r="A807" s="33"/>
      <c r="B807" s="33"/>
      <c r="C807" s="31"/>
      <c r="D807" s="31"/>
      <c r="E807" s="32"/>
      <c r="H807" s="31"/>
      <c r="K807" s="28"/>
    </row>
    <row r="808" hidden="1">
      <c r="A808" s="33"/>
      <c r="B808" s="33"/>
      <c r="C808" s="31"/>
      <c r="D808" s="31"/>
      <c r="E808" s="32"/>
      <c r="H808" s="31"/>
      <c r="K808" s="28"/>
    </row>
    <row r="809" hidden="1">
      <c r="A809" s="33"/>
      <c r="B809" s="33"/>
      <c r="C809" s="31"/>
      <c r="D809" s="31"/>
      <c r="E809" s="32"/>
      <c r="H809" s="31"/>
      <c r="K809" s="28"/>
    </row>
    <row r="810" hidden="1">
      <c r="A810" s="33"/>
      <c r="B810" s="33"/>
      <c r="C810" s="31"/>
      <c r="D810" s="31"/>
      <c r="E810" s="32"/>
      <c r="H810" s="31"/>
      <c r="K810" s="28"/>
    </row>
    <row r="811" hidden="1">
      <c r="A811" s="33"/>
      <c r="B811" s="33"/>
      <c r="C811" s="31"/>
      <c r="D811" s="31"/>
      <c r="E811" s="32"/>
      <c r="H811" s="31"/>
      <c r="K811" s="28"/>
    </row>
    <row r="812" hidden="1">
      <c r="A812" s="33"/>
      <c r="B812" s="33"/>
      <c r="C812" s="31"/>
      <c r="D812" s="31"/>
      <c r="E812" s="32"/>
      <c r="H812" s="31"/>
      <c r="K812" s="28"/>
    </row>
    <row r="813" hidden="1">
      <c r="A813" s="33"/>
      <c r="B813" s="33"/>
      <c r="C813" s="31"/>
      <c r="D813" s="31"/>
      <c r="E813" s="32"/>
      <c r="H813" s="31"/>
      <c r="K813" s="28"/>
    </row>
    <row r="814" hidden="1">
      <c r="A814" s="33"/>
      <c r="B814" s="33"/>
      <c r="C814" s="31"/>
      <c r="D814" s="31"/>
      <c r="E814" s="32"/>
      <c r="H814" s="31"/>
      <c r="K814" s="28"/>
    </row>
    <row r="815" hidden="1">
      <c r="A815" s="33"/>
      <c r="B815" s="33"/>
      <c r="C815" s="31"/>
      <c r="D815" s="31"/>
      <c r="E815" s="32"/>
      <c r="H815" s="31"/>
      <c r="K815" s="28"/>
    </row>
    <row r="816" hidden="1">
      <c r="A816" s="33"/>
      <c r="B816" s="33"/>
      <c r="C816" s="31"/>
      <c r="D816" s="31"/>
      <c r="E816" s="32"/>
      <c r="H816" s="31"/>
      <c r="K816" s="28"/>
    </row>
    <row r="817" hidden="1">
      <c r="A817" s="33"/>
      <c r="B817" s="33"/>
      <c r="C817" s="31"/>
      <c r="D817" s="31"/>
      <c r="E817" s="32"/>
      <c r="H817" s="31"/>
      <c r="K817" s="28"/>
    </row>
    <row r="818" hidden="1">
      <c r="A818" s="33"/>
      <c r="B818" s="33"/>
      <c r="C818" s="31"/>
      <c r="D818" s="31"/>
      <c r="E818" s="32"/>
      <c r="H818" s="31"/>
      <c r="K818" s="28"/>
    </row>
    <row r="819" hidden="1">
      <c r="A819" s="33"/>
      <c r="B819" s="33"/>
      <c r="C819" s="31"/>
      <c r="D819" s="31"/>
      <c r="E819" s="32"/>
      <c r="H819" s="31"/>
      <c r="K819" s="28"/>
    </row>
    <row r="820" hidden="1">
      <c r="A820" s="33"/>
      <c r="B820" s="33"/>
      <c r="C820" s="31"/>
      <c r="D820" s="31"/>
      <c r="E820" s="32"/>
      <c r="H820" s="31"/>
      <c r="K820" s="28"/>
    </row>
    <row r="821" hidden="1">
      <c r="A821" s="33"/>
      <c r="B821" s="33"/>
      <c r="C821" s="31"/>
      <c r="D821" s="31"/>
      <c r="E821" s="32"/>
      <c r="H821" s="31"/>
      <c r="K821" s="28"/>
    </row>
    <row r="822" hidden="1">
      <c r="A822" s="33"/>
      <c r="B822" s="33"/>
      <c r="C822" s="31"/>
      <c r="D822" s="31"/>
      <c r="E822" s="32"/>
      <c r="H822" s="31"/>
      <c r="K822" s="28"/>
    </row>
    <row r="823" hidden="1">
      <c r="A823" s="33"/>
      <c r="B823" s="33"/>
      <c r="C823" s="31"/>
      <c r="D823" s="31"/>
      <c r="E823" s="32"/>
      <c r="H823" s="31"/>
      <c r="K823" s="28"/>
    </row>
    <row r="824" hidden="1">
      <c r="A824" s="33"/>
      <c r="B824" s="33"/>
      <c r="C824" s="31"/>
      <c r="D824" s="31"/>
      <c r="E824" s="32"/>
      <c r="H824" s="31"/>
      <c r="K824" s="28"/>
    </row>
    <row r="825" hidden="1">
      <c r="A825" s="33"/>
      <c r="B825" s="33"/>
      <c r="C825" s="31"/>
      <c r="D825" s="31"/>
      <c r="E825" s="32"/>
      <c r="H825" s="31"/>
      <c r="K825" s="28"/>
    </row>
    <row r="826" hidden="1">
      <c r="A826" s="33"/>
      <c r="B826" s="33"/>
      <c r="C826" s="31"/>
      <c r="D826" s="31"/>
      <c r="E826" s="32"/>
      <c r="H826" s="31"/>
      <c r="K826" s="28"/>
    </row>
    <row r="827" hidden="1">
      <c r="A827" s="33"/>
      <c r="B827" s="33"/>
      <c r="C827" s="31"/>
      <c r="D827" s="31"/>
      <c r="E827" s="32"/>
      <c r="H827" s="31"/>
      <c r="K827" s="28"/>
    </row>
    <row r="828" hidden="1">
      <c r="A828" s="33"/>
      <c r="B828" s="33"/>
      <c r="C828" s="31"/>
      <c r="D828" s="31"/>
      <c r="E828" s="32"/>
      <c r="H828" s="31"/>
      <c r="K828" s="28"/>
    </row>
    <row r="829" hidden="1">
      <c r="A829" s="33"/>
      <c r="B829" s="33"/>
      <c r="C829" s="31"/>
      <c r="D829" s="31"/>
      <c r="E829" s="32"/>
      <c r="H829" s="31"/>
      <c r="K829" s="28"/>
    </row>
    <row r="830" hidden="1">
      <c r="A830" s="33"/>
      <c r="B830" s="33"/>
      <c r="C830" s="31"/>
      <c r="D830" s="31"/>
      <c r="E830" s="32"/>
      <c r="H830" s="31"/>
      <c r="K830" s="28"/>
    </row>
    <row r="831" hidden="1">
      <c r="A831" s="33"/>
      <c r="B831" s="33"/>
      <c r="C831" s="31"/>
      <c r="D831" s="31"/>
      <c r="E831" s="32"/>
      <c r="H831" s="31"/>
      <c r="K831" s="28"/>
    </row>
    <row r="832" hidden="1">
      <c r="A832" s="33"/>
      <c r="B832" s="33"/>
      <c r="C832" s="31"/>
      <c r="D832" s="31"/>
      <c r="E832" s="32"/>
      <c r="H832" s="31"/>
      <c r="K832" s="28"/>
    </row>
    <row r="833" hidden="1">
      <c r="A833" s="33"/>
      <c r="B833" s="33"/>
      <c r="C833" s="31"/>
      <c r="D833" s="31"/>
      <c r="E833" s="32"/>
      <c r="H833" s="31"/>
      <c r="K833" s="28"/>
    </row>
    <row r="834" hidden="1">
      <c r="A834" s="33"/>
      <c r="B834" s="33"/>
      <c r="C834" s="31"/>
      <c r="D834" s="31"/>
      <c r="E834" s="32"/>
      <c r="H834" s="31"/>
      <c r="K834" s="28"/>
    </row>
    <row r="835" hidden="1">
      <c r="A835" s="33"/>
      <c r="B835" s="33"/>
      <c r="C835" s="31"/>
      <c r="D835" s="31"/>
      <c r="E835" s="32"/>
      <c r="H835" s="31"/>
      <c r="K835" s="28"/>
    </row>
    <row r="836" hidden="1">
      <c r="A836" s="33"/>
      <c r="B836" s="33"/>
      <c r="C836" s="31"/>
      <c r="D836" s="31"/>
      <c r="E836" s="32"/>
      <c r="H836" s="31"/>
      <c r="K836" s="28"/>
    </row>
    <row r="837" hidden="1">
      <c r="A837" s="33"/>
      <c r="B837" s="33"/>
      <c r="C837" s="31"/>
      <c r="D837" s="31"/>
      <c r="E837" s="32"/>
      <c r="H837" s="31"/>
      <c r="K837" s="28"/>
    </row>
    <row r="838" hidden="1">
      <c r="A838" s="33"/>
      <c r="B838" s="33"/>
      <c r="C838" s="31"/>
      <c r="D838" s="31"/>
      <c r="E838" s="32"/>
      <c r="H838" s="31"/>
      <c r="K838" s="28"/>
    </row>
    <row r="839" hidden="1">
      <c r="A839" s="33"/>
      <c r="B839" s="33"/>
      <c r="C839" s="31"/>
      <c r="D839" s="31"/>
      <c r="E839" s="32"/>
      <c r="H839" s="31"/>
      <c r="K839" s="28"/>
    </row>
    <row r="840" hidden="1">
      <c r="A840" s="33"/>
      <c r="B840" s="33"/>
      <c r="C840" s="31"/>
      <c r="D840" s="31"/>
      <c r="E840" s="32"/>
      <c r="H840" s="31"/>
      <c r="K840" s="28"/>
    </row>
    <row r="841" hidden="1">
      <c r="A841" s="33"/>
      <c r="B841" s="33"/>
      <c r="C841" s="31"/>
      <c r="D841" s="31"/>
      <c r="E841" s="32"/>
      <c r="H841" s="31"/>
      <c r="K841" s="28"/>
    </row>
    <row r="842" hidden="1">
      <c r="A842" s="33"/>
      <c r="B842" s="33"/>
      <c r="C842" s="31"/>
      <c r="D842" s="31"/>
      <c r="E842" s="32"/>
      <c r="H842" s="31"/>
      <c r="K842" s="28"/>
    </row>
    <row r="843" hidden="1">
      <c r="A843" s="33"/>
      <c r="B843" s="33"/>
      <c r="C843" s="31"/>
      <c r="D843" s="31"/>
      <c r="E843" s="32"/>
      <c r="H843" s="31"/>
      <c r="K843" s="28"/>
    </row>
    <row r="844" hidden="1">
      <c r="A844" s="33"/>
      <c r="B844" s="33"/>
      <c r="C844" s="31"/>
      <c r="D844" s="31"/>
      <c r="E844" s="32"/>
      <c r="H844" s="31"/>
      <c r="K844" s="28"/>
    </row>
    <row r="845" hidden="1">
      <c r="A845" s="33"/>
      <c r="B845" s="33"/>
      <c r="C845" s="31"/>
      <c r="D845" s="31"/>
      <c r="E845" s="32"/>
      <c r="H845" s="31"/>
      <c r="K845" s="28"/>
    </row>
    <row r="846" hidden="1">
      <c r="A846" s="33"/>
      <c r="B846" s="33"/>
      <c r="C846" s="31"/>
      <c r="D846" s="31"/>
      <c r="E846" s="32"/>
      <c r="H846" s="31"/>
      <c r="K846" s="28"/>
    </row>
    <row r="847" hidden="1">
      <c r="A847" s="33"/>
      <c r="B847" s="33"/>
      <c r="C847" s="31"/>
      <c r="D847" s="31"/>
      <c r="E847" s="32"/>
      <c r="H847" s="31"/>
      <c r="K847" s="28"/>
    </row>
    <row r="848" hidden="1">
      <c r="A848" s="33"/>
      <c r="B848" s="33"/>
      <c r="C848" s="31"/>
      <c r="D848" s="31"/>
      <c r="E848" s="32"/>
      <c r="H848" s="31"/>
      <c r="K848" s="28"/>
    </row>
    <row r="849" hidden="1">
      <c r="A849" s="33"/>
      <c r="B849" s="33"/>
      <c r="C849" s="31"/>
      <c r="D849" s="31"/>
      <c r="E849" s="32"/>
      <c r="H849" s="31"/>
      <c r="K849" s="28"/>
    </row>
    <row r="850" hidden="1">
      <c r="A850" s="33"/>
      <c r="B850" s="33"/>
      <c r="C850" s="31"/>
      <c r="D850" s="31"/>
      <c r="E850" s="32"/>
      <c r="H850" s="31"/>
      <c r="K850" s="28"/>
    </row>
    <row r="851" hidden="1">
      <c r="A851" s="33"/>
      <c r="B851" s="33"/>
      <c r="C851" s="31"/>
      <c r="D851" s="31"/>
      <c r="E851" s="32"/>
      <c r="H851" s="31"/>
      <c r="K851" s="28"/>
    </row>
    <row r="852" hidden="1">
      <c r="A852" s="33"/>
      <c r="B852" s="33"/>
      <c r="C852" s="31"/>
      <c r="D852" s="31"/>
      <c r="E852" s="32"/>
      <c r="H852" s="31"/>
      <c r="K852" s="28"/>
    </row>
    <row r="853" hidden="1">
      <c r="A853" s="33"/>
      <c r="B853" s="33"/>
      <c r="C853" s="31"/>
      <c r="D853" s="31"/>
      <c r="E853" s="32"/>
      <c r="H853" s="31"/>
      <c r="K853" s="28"/>
    </row>
    <row r="854" hidden="1">
      <c r="A854" s="33"/>
      <c r="B854" s="33"/>
      <c r="C854" s="31"/>
      <c r="D854" s="31"/>
      <c r="E854" s="32"/>
      <c r="H854" s="31"/>
      <c r="K854" s="28"/>
    </row>
    <row r="855" hidden="1">
      <c r="A855" s="33"/>
      <c r="B855" s="33"/>
      <c r="C855" s="31"/>
      <c r="D855" s="31"/>
      <c r="E855" s="32"/>
      <c r="H855" s="31"/>
      <c r="K855" s="28"/>
    </row>
    <row r="856" hidden="1">
      <c r="A856" s="33"/>
      <c r="B856" s="33"/>
      <c r="C856" s="31"/>
      <c r="D856" s="31"/>
      <c r="E856" s="32"/>
      <c r="H856" s="31"/>
      <c r="K856" s="28"/>
    </row>
    <row r="857" hidden="1">
      <c r="A857" s="33"/>
      <c r="B857" s="33"/>
      <c r="C857" s="31"/>
      <c r="D857" s="31"/>
      <c r="E857" s="32"/>
      <c r="H857" s="31"/>
      <c r="K857" s="28"/>
    </row>
    <row r="858" hidden="1">
      <c r="A858" s="33"/>
      <c r="B858" s="33"/>
      <c r="C858" s="31"/>
      <c r="D858" s="31"/>
      <c r="E858" s="32"/>
      <c r="H858" s="31"/>
      <c r="K858" s="28"/>
    </row>
    <row r="859" hidden="1">
      <c r="A859" s="33"/>
      <c r="B859" s="33"/>
      <c r="C859" s="31"/>
      <c r="D859" s="31"/>
      <c r="E859" s="32"/>
      <c r="H859" s="31"/>
      <c r="K859" s="28"/>
    </row>
    <row r="860" hidden="1">
      <c r="A860" s="33"/>
      <c r="B860" s="33"/>
      <c r="C860" s="31"/>
      <c r="D860" s="31"/>
      <c r="E860" s="32"/>
      <c r="H860" s="31"/>
      <c r="K860" s="28"/>
    </row>
    <row r="861" hidden="1">
      <c r="A861" s="33"/>
      <c r="B861" s="33"/>
      <c r="C861" s="31"/>
      <c r="D861" s="31"/>
      <c r="E861" s="32"/>
      <c r="H861" s="31"/>
      <c r="K861" s="28"/>
    </row>
    <row r="862" hidden="1">
      <c r="A862" s="33"/>
      <c r="B862" s="33"/>
      <c r="C862" s="31"/>
      <c r="D862" s="31"/>
      <c r="E862" s="32"/>
      <c r="H862" s="31"/>
      <c r="K862" s="28"/>
    </row>
    <row r="863" hidden="1">
      <c r="A863" s="33"/>
      <c r="B863" s="33"/>
      <c r="C863" s="31"/>
      <c r="D863" s="31"/>
      <c r="E863" s="32"/>
      <c r="H863" s="31"/>
      <c r="K863" s="28"/>
    </row>
    <row r="864" hidden="1">
      <c r="A864" s="33"/>
      <c r="B864" s="33"/>
      <c r="C864" s="31"/>
      <c r="D864" s="31"/>
      <c r="E864" s="32"/>
      <c r="H864" s="31"/>
      <c r="K864" s="28"/>
    </row>
    <row r="865" hidden="1">
      <c r="A865" s="33"/>
      <c r="B865" s="33"/>
      <c r="C865" s="31"/>
      <c r="D865" s="31"/>
      <c r="E865" s="32"/>
      <c r="H865" s="31"/>
      <c r="K865" s="28"/>
    </row>
    <row r="866" hidden="1">
      <c r="A866" s="33"/>
      <c r="B866" s="33"/>
      <c r="C866" s="31"/>
      <c r="D866" s="31"/>
      <c r="E866" s="32"/>
      <c r="H866" s="31"/>
      <c r="K866" s="28"/>
    </row>
    <row r="867" hidden="1">
      <c r="A867" s="33"/>
      <c r="B867" s="33"/>
      <c r="C867" s="31"/>
      <c r="D867" s="31"/>
      <c r="E867" s="32"/>
      <c r="H867" s="31"/>
      <c r="K867" s="28"/>
    </row>
    <row r="868" hidden="1">
      <c r="A868" s="33"/>
      <c r="B868" s="33"/>
      <c r="C868" s="31"/>
      <c r="D868" s="31"/>
      <c r="E868" s="32"/>
      <c r="H868" s="31"/>
      <c r="K868" s="28"/>
    </row>
    <row r="869" hidden="1">
      <c r="A869" s="33"/>
      <c r="B869" s="33"/>
      <c r="C869" s="31"/>
      <c r="D869" s="31"/>
      <c r="E869" s="32"/>
      <c r="H869" s="31"/>
      <c r="K869" s="28"/>
    </row>
    <row r="870" hidden="1">
      <c r="A870" s="33"/>
      <c r="B870" s="33"/>
      <c r="C870" s="31"/>
      <c r="D870" s="31"/>
      <c r="E870" s="32"/>
      <c r="H870" s="31"/>
      <c r="K870" s="28"/>
    </row>
    <row r="871" hidden="1">
      <c r="A871" s="33"/>
      <c r="B871" s="33"/>
      <c r="C871" s="31"/>
      <c r="D871" s="31"/>
      <c r="E871" s="32"/>
      <c r="H871" s="31"/>
      <c r="K871" s="28"/>
    </row>
    <row r="872" hidden="1">
      <c r="A872" s="33"/>
      <c r="B872" s="33"/>
      <c r="C872" s="31"/>
      <c r="D872" s="31"/>
      <c r="E872" s="32"/>
      <c r="H872" s="31"/>
      <c r="K872" s="28"/>
    </row>
    <row r="873" hidden="1">
      <c r="A873" s="33"/>
      <c r="B873" s="33"/>
      <c r="C873" s="31"/>
      <c r="D873" s="31"/>
      <c r="E873" s="32"/>
      <c r="H873" s="31"/>
      <c r="K873" s="28"/>
    </row>
    <row r="874" hidden="1">
      <c r="A874" s="33"/>
      <c r="B874" s="33"/>
      <c r="C874" s="31"/>
      <c r="D874" s="31"/>
      <c r="E874" s="32"/>
      <c r="H874" s="31"/>
      <c r="K874" s="28"/>
    </row>
    <row r="875" hidden="1">
      <c r="A875" s="33"/>
      <c r="B875" s="33"/>
      <c r="C875" s="31"/>
      <c r="D875" s="31"/>
      <c r="E875" s="32"/>
      <c r="H875" s="31"/>
      <c r="K875" s="28"/>
    </row>
    <row r="876" hidden="1">
      <c r="A876" s="33"/>
      <c r="B876" s="33"/>
      <c r="C876" s="31"/>
      <c r="D876" s="31"/>
      <c r="E876" s="32"/>
      <c r="H876" s="31"/>
      <c r="K876" s="28"/>
    </row>
    <row r="877" hidden="1">
      <c r="A877" s="33"/>
      <c r="B877" s="33"/>
      <c r="C877" s="31"/>
      <c r="D877" s="31"/>
      <c r="E877" s="32"/>
      <c r="H877" s="31"/>
      <c r="K877" s="28"/>
    </row>
    <row r="878" hidden="1">
      <c r="A878" s="33"/>
      <c r="B878" s="33"/>
      <c r="C878" s="31"/>
      <c r="D878" s="31"/>
      <c r="E878" s="32"/>
      <c r="H878" s="31"/>
      <c r="K878" s="28"/>
    </row>
    <row r="879" hidden="1">
      <c r="A879" s="33"/>
      <c r="B879" s="33"/>
      <c r="C879" s="31"/>
      <c r="D879" s="31"/>
      <c r="E879" s="32"/>
      <c r="H879" s="31"/>
      <c r="K879" s="28"/>
    </row>
    <row r="880" hidden="1">
      <c r="A880" s="33"/>
      <c r="B880" s="33"/>
      <c r="C880" s="31"/>
      <c r="D880" s="31"/>
      <c r="E880" s="32"/>
      <c r="H880" s="31"/>
      <c r="K880" s="28"/>
    </row>
    <row r="881" hidden="1">
      <c r="A881" s="33"/>
      <c r="B881" s="33"/>
      <c r="C881" s="31"/>
      <c r="D881" s="31"/>
      <c r="E881" s="32"/>
      <c r="H881" s="31"/>
      <c r="K881" s="28"/>
    </row>
    <row r="882" hidden="1">
      <c r="A882" s="33"/>
      <c r="B882" s="33"/>
      <c r="C882" s="31"/>
      <c r="D882" s="31"/>
      <c r="E882" s="32"/>
      <c r="H882" s="31"/>
      <c r="K882" s="28"/>
    </row>
    <row r="883" hidden="1">
      <c r="A883" s="33"/>
      <c r="B883" s="33"/>
      <c r="C883" s="31"/>
      <c r="D883" s="31"/>
      <c r="E883" s="32"/>
      <c r="H883" s="31"/>
      <c r="K883" s="28"/>
    </row>
    <row r="884" hidden="1">
      <c r="A884" s="33"/>
      <c r="B884" s="33"/>
      <c r="C884" s="31"/>
      <c r="D884" s="31"/>
      <c r="E884" s="32"/>
      <c r="H884" s="31"/>
      <c r="K884" s="28"/>
    </row>
    <row r="885" hidden="1">
      <c r="A885" s="33"/>
      <c r="B885" s="33"/>
      <c r="C885" s="31"/>
      <c r="D885" s="31"/>
      <c r="E885" s="32"/>
      <c r="H885" s="31"/>
      <c r="K885" s="28"/>
    </row>
    <row r="886" hidden="1">
      <c r="A886" s="33"/>
      <c r="B886" s="33"/>
      <c r="C886" s="31"/>
      <c r="D886" s="31"/>
      <c r="E886" s="32"/>
      <c r="H886" s="31"/>
      <c r="K886" s="28"/>
    </row>
    <row r="887" hidden="1">
      <c r="A887" s="33"/>
      <c r="B887" s="33"/>
      <c r="C887" s="31"/>
      <c r="D887" s="31"/>
      <c r="E887" s="32"/>
      <c r="H887" s="31"/>
      <c r="K887" s="28"/>
    </row>
    <row r="888" hidden="1">
      <c r="A888" s="33"/>
      <c r="B888" s="33"/>
      <c r="C888" s="31"/>
      <c r="D888" s="31"/>
      <c r="E888" s="32"/>
      <c r="H888" s="31"/>
      <c r="K888" s="28"/>
    </row>
    <row r="889" hidden="1">
      <c r="A889" s="33"/>
      <c r="B889" s="33"/>
      <c r="C889" s="31"/>
      <c r="D889" s="31"/>
      <c r="E889" s="32"/>
      <c r="H889" s="31"/>
      <c r="K889" s="28"/>
    </row>
    <row r="890" hidden="1">
      <c r="A890" s="33"/>
      <c r="B890" s="33"/>
      <c r="C890" s="31"/>
      <c r="D890" s="31"/>
      <c r="E890" s="32"/>
      <c r="H890" s="31"/>
      <c r="K890" s="28"/>
    </row>
    <row r="891" hidden="1">
      <c r="A891" s="33"/>
      <c r="B891" s="33"/>
      <c r="C891" s="31"/>
      <c r="D891" s="31"/>
      <c r="E891" s="32"/>
      <c r="H891" s="31"/>
      <c r="K891" s="28"/>
    </row>
    <row r="892" hidden="1">
      <c r="A892" s="33"/>
      <c r="B892" s="33"/>
      <c r="C892" s="31"/>
      <c r="D892" s="31"/>
      <c r="E892" s="32"/>
      <c r="H892" s="31"/>
      <c r="K892" s="28"/>
    </row>
    <row r="893" hidden="1">
      <c r="A893" s="33"/>
      <c r="B893" s="33"/>
      <c r="C893" s="31"/>
      <c r="D893" s="31"/>
      <c r="E893" s="32"/>
      <c r="H893" s="31"/>
      <c r="K893" s="28"/>
    </row>
    <row r="894" hidden="1">
      <c r="A894" s="33"/>
      <c r="B894" s="33"/>
      <c r="C894" s="31"/>
      <c r="D894" s="31"/>
      <c r="E894" s="32"/>
      <c r="H894" s="31"/>
      <c r="K894" s="28"/>
    </row>
    <row r="895" hidden="1">
      <c r="A895" s="33"/>
      <c r="B895" s="33"/>
      <c r="C895" s="31"/>
      <c r="D895" s="31"/>
      <c r="E895" s="32"/>
      <c r="H895" s="31"/>
      <c r="K895" s="28"/>
    </row>
    <row r="896" hidden="1">
      <c r="A896" s="33"/>
      <c r="B896" s="33"/>
      <c r="C896" s="31"/>
      <c r="D896" s="31"/>
      <c r="E896" s="32"/>
      <c r="H896" s="31"/>
      <c r="K896" s="28"/>
    </row>
    <row r="897" hidden="1">
      <c r="A897" s="33"/>
      <c r="B897" s="33"/>
      <c r="C897" s="31"/>
      <c r="D897" s="31"/>
      <c r="E897" s="32"/>
      <c r="H897" s="31"/>
      <c r="K897" s="28"/>
    </row>
    <row r="898" hidden="1">
      <c r="A898" s="33"/>
      <c r="B898" s="33"/>
      <c r="C898" s="31"/>
      <c r="D898" s="31"/>
      <c r="E898" s="32"/>
      <c r="H898" s="31"/>
      <c r="K898" s="28"/>
    </row>
    <row r="899" hidden="1">
      <c r="A899" s="33"/>
      <c r="B899" s="33"/>
      <c r="C899" s="31"/>
      <c r="D899" s="31"/>
      <c r="E899" s="32"/>
      <c r="H899" s="31"/>
      <c r="K899" s="28"/>
    </row>
    <row r="900" hidden="1">
      <c r="A900" s="33"/>
      <c r="B900" s="33"/>
      <c r="C900" s="31"/>
      <c r="D900" s="31"/>
      <c r="E900" s="32"/>
      <c r="H900" s="31"/>
      <c r="K900" s="28"/>
    </row>
    <row r="901" hidden="1">
      <c r="A901" s="33"/>
      <c r="B901" s="33"/>
      <c r="C901" s="31"/>
      <c r="D901" s="31"/>
      <c r="E901" s="32"/>
      <c r="H901" s="31"/>
      <c r="K901" s="28"/>
    </row>
    <row r="902" hidden="1">
      <c r="A902" s="33"/>
      <c r="B902" s="33"/>
      <c r="C902" s="31"/>
      <c r="D902" s="31"/>
      <c r="E902" s="32"/>
      <c r="H902" s="31"/>
      <c r="K902" s="28"/>
    </row>
    <row r="903" hidden="1">
      <c r="A903" s="33"/>
      <c r="B903" s="33"/>
      <c r="C903" s="31"/>
      <c r="D903" s="31"/>
      <c r="E903" s="32"/>
      <c r="H903" s="31"/>
      <c r="K903" s="28"/>
    </row>
    <row r="904" hidden="1">
      <c r="A904" s="33"/>
      <c r="B904" s="33"/>
      <c r="C904" s="31"/>
      <c r="D904" s="31"/>
      <c r="E904" s="32"/>
      <c r="H904" s="31"/>
      <c r="K904" s="28"/>
    </row>
    <row r="905" hidden="1">
      <c r="A905" s="33"/>
      <c r="B905" s="33"/>
      <c r="C905" s="31"/>
      <c r="D905" s="31"/>
      <c r="E905" s="32"/>
      <c r="H905" s="31"/>
      <c r="K905" s="28"/>
    </row>
    <row r="906" hidden="1">
      <c r="A906" s="33"/>
      <c r="B906" s="33"/>
      <c r="C906" s="31"/>
      <c r="D906" s="31"/>
      <c r="E906" s="32"/>
      <c r="H906" s="31"/>
      <c r="K906" s="28"/>
    </row>
    <row r="907" hidden="1">
      <c r="A907" s="33"/>
      <c r="B907" s="33"/>
      <c r="C907" s="31"/>
      <c r="D907" s="31"/>
      <c r="E907" s="32"/>
      <c r="H907" s="31"/>
      <c r="K907" s="28"/>
    </row>
    <row r="908" hidden="1">
      <c r="A908" s="33"/>
      <c r="B908" s="33"/>
      <c r="C908" s="31"/>
      <c r="D908" s="31"/>
      <c r="E908" s="32"/>
      <c r="H908" s="31"/>
      <c r="K908" s="28"/>
    </row>
    <row r="909" hidden="1">
      <c r="A909" s="33"/>
      <c r="B909" s="33"/>
      <c r="C909" s="31"/>
      <c r="D909" s="31"/>
      <c r="E909" s="32"/>
      <c r="H909" s="31"/>
      <c r="K909" s="28"/>
    </row>
    <row r="910" hidden="1">
      <c r="A910" s="33"/>
      <c r="B910" s="33"/>
      <c r="C910" s="31"/>
      <c r="D910" s="31"/>
      <c r="E910" s="32"/>
      <c r="H910" s="31"/>
      <c r="K910" s="28"/>
    </row>
    <row r="911" hidden="1">
      <c r="A911" s="33"/>
      <c r="B911" s="33"/>
      <c r="C911" s="31"/>
      <c r="D911" s="31"/>
      <c r="E911" s="32"/>
      <c r="H911" s="31"/>
      <c r="K911" s="28"/>
    </row>
    <row r="912" hidden="1">
      <c r="A912" s="33"/>
      <c r="B912" s="33"/>
      <c r="C912" s="31"/>
      <c r="D912" s="31"/>
      <c r="E912" s="32"/>
      <c r="H912" s="31"/>
      <c r="K912" s="28"/>
    </row>
    <row r="913" hidden="1">
      <c r="A913" s="33"/>
      <c r="B913" s="33"/>
      <c r="C913" s="31"/>
      <c r="D913" s="31"/>
      <c r="E913" s="32"/>
      <c r="H913" s="31"/>
      <c r="K913" s="28"/>
    </row>
    <row r="914" hidden="1">
      <c r="A914" s="33"/>
      <c r="B914" s="33"/>
      <c r="C914" s="31"/>
      <c r="D914" s="31"/>
      <c r="E914" s="32"/>
      <c r="H914" s="31"/>
      <c r="K914" s="28"/>
    </row>
    <row r="915" hidden="1">
      <c r="A915" s="33"/>
      <c r="B915" s="33"/>
      <c r="C915" s="31"/>
      <c r="D915" s="31"/>
      <c r="E915" s="32"/>
      <c r="H915" s="31"/>
      <c r="K915" s="28"/>
    </row>
    <row r="916" hidden="1">
      <c r="A916" s="33"/>
      <c r="B916" s="33"/>
      <c r="C916" s="31"/>
      <c r="D916" s="31"/>
      <c r="E916" s="32"/>
      <c r="H916" s="31"/>
      <c r="K916" s="28"/>
    </row>
    <row r="917" hidden="1">
      <c r="A917" s="33"/>
      <c r="B917" s="33"/>
      <c r="C917" s="31"/>
      <c r="D917" s="31"/>
      <c r="E917" s="32"/>
      <c r="H917" s="31"/>
      <c r="K917" s="28"/>
    </row>
    <row r="918" hidden="1">
      <c r="A918" s="33"/>
      <c r="B918" s="33"/>
      <c r="C918" s="31"/>
      <c r="D918" s="31"/>
      <c r="E918" s="32"/>
      <c r="H918" s="31"/>
      <c r="K918" s="28"/>
    </row>
    <row r="919" hidden="1">
      <c r="A919" s="33"/>
      <c r="B919" s="33"/>
      <c r="C919" s="31"/>
      <c r="D919" s="31"/>
      <c r="E919" s="32"/>
      <c r="H919" s="31"/>
      <c r="K919" s="28"/>
    </row>
    <row r="920" hidden="1">
      <c r="A920" s="33"/>
      <c r="B920" s="33"/>
      <c r="C920" s="31"/>
      <c r="D920" s="31"/>
      <c r="E920" s="32"/>
      <c r="H920" s="31"/>
      <c r="K920" s="28"/>
    </row>
    <row r="921" hidden="1">
      <c r="A921" s="33"/>
      <c r="B921" s="33"/>
      <c r="C921" s="31"/>
      <c r="D921" s="31"/>
      <c r="E921" s="32"/>
      <c r="H921" s="31"/>
      <c r="K921" s="28"/>
    </row>
    <row r="922" hidden="1">
      <c r="A922" s="33"/>
      <c r="B922" s="33"/>
      <c r="C922" s="31"/>
      <c r="D922" s="31"/>
      <c r="E922" s="32"/>
      <c r="H922" s="31"/>
      <c r="K922" s="28"/>
    </row>
    <row r="923" hidden="1">
      <c r="A923" s="33"/>
      <c r="B923" s="33"/>
      <c r="C923" s="31"/>
      <c r="D923" s="31"/>
      <c r="E923" s="32"/>
      <c r="H923" s="31"/>
      <c r="K923" s="28"/>
    </row>
    <row r="924" hidden="1">
      <c r="A924" s="33"/>
      <c r="B924" s="33"/>
      <c r="C924" s="31"/>
      <c r="D924" s="31"/>
      <c r="E924" s="32"/>
      <c r="H924" s="31"/>
      <c r="K924" s="28"/>
    </row>
    <row r="925" hidden="1">
      <c r="A925" s="33"/>
      <c r="B925" s="33"/>
      <c r="C925" s="31"/>
      <c r="D925" s="31"/>
      <c r="E925" s="32"/>
      <c r="H925" s="31"/>
      <c r="K925" s="28"/>
    </row>
    <row r="926" hidden="1">
      <c r="A926" s="33"/>
      <c r="B926" s="33"/>
      <c r="C926" s="31"/>
      <c r="D926" s="31"/>
      <c r="E926" s="32"/>
      <c r="H926" s="31"/>
      <c r="K926" s="28"/>
    </row>
    <row r="927" hidden="1">
      <c r="A927" s="33"/>
      <c r="B927" s="33"/>
      <c r="C927" s="31"/>
      <c r="D927" s="31"/>
      <c r="E927" s="32"/>
      <c r="H927" s="31"/>
      <c r="K927" s="28"/>
    </row>
    <row r="928" hidden="1">
      <c r="A928" s="33"/>
      <c r="B928" s="33"/>
      <c r="C928" s="31"/>
      <c r="D928" s="31"/>
      <c r="E928" s="32"/>
      <c r="H928" s="31"/>
      <c r="K928" s="28"/>
    </row>
    <row r="929" hidden="1">
      <c r="A929" s="33"/>
      <c r="B929" s="33"/>
      <c r="C929" s="31"/>
      <c r="D929" s="31"/>
      <c r="E929" s="32"/>
      <c r="H929" s="31"/>
      <c r="K929" s="28"/>
    </row>
    <row r="930" hidden="1">
      <c r="A930" s="33"/>
      <c r="B930" s="33"/>
      <c r="C930" s="31"/>
      <c r="D930" s="31"/>
      <c r="E930" s="32"/>
      <c r="H930" s="31"/>
      <c r="K930" s="28"/>
    </row>
    <row r="931" hidden="1">
      <c r="A931" s="33"/>
      <c r="B931" s="33"/>
      <c r="C931" s="31"/>
      <c r="D931" s="31"/>
      <c r="E931" s="32"/>
      <c r="H931" s="31"/>
      <c r="K931" s="28"/>
    </row>
    <row r="932" hidden="1">
      <c r="A932" s="33"/>
      <c r="B932" s="33"/>
      <c r="C932" s="31"/>
      <c r="D932" s="31"/>
      <c r="E932" s="32"/>
      <c r="H932" s="31"/>
      <c r="K932" s="28"/>
    </row>
    <row r="933" hidden="1">
      <c r="A933" s="33"/>
      <c r="B933" s="33"/>
      <c r="C933" s="31"/>
      <c r="D933" s="31"/>
      <c r="E933" s="32"/>
      <c r="H933" s="31"/>
      <c r="K933" s="28"/>
    </row>
    <row r="934" hidden="1">
      <c r="A934" s="33"/>
      <c r="B934" s="33"/>
      <c r="C934" s="31"/>
      <c r="D934" s="31"/>
      <c r="E934" s="32"/>
      <c r="H934" s="31"/>
      <c r="K934" s="28"/>
    </row>
    <row r="935" hidden="1">
      <c r="A935" s="33"/>
      <c r="B935" s="33"/>
      <c r="C935" s="31"/>
      <c r="D935" s="31"/>
      <c r="E935" s="32"/>
      <c r="H935" s="31"/>
      <c r="K935" s="28"/>
    </row>
    <row r="936" hidden="1">
      <c r="A936" s="33"/>
      <c r="B936" s="33"/>
      <c r="C936" s="31"/>
      <c r="D936" s="31"/>
      <c r="E936" s="32"/>
      <c r="H936" s="31"/>
      <c r="K936" s="28"/>
    </row>
    <row r="937" hidden="1">
      <c r="A937" s="33"/>
      <c r="B937" s="33"/>
      <c r="C937" s="31"/>
      <c r="D937" s="31"/>
      <c r="E937" s="32"/>
      <c r="H937" s="31"/>
      <c r="K937" s="28"/>
    </row>
    <row r="938" hidden="1">
      <c r="A938" s="33"/>
      <c r="B938" s="33"/>
      <c r="C938" s="31"/>
      <c r="D938" s="31"/>
      <c r="E938" s="32"/>
      <c r="H938" s="31"/>
      <c r="K938" s="28"/>
    </row>
    <row r="939" hidden="1">
      <c r="A939" s="33"/>
      <c r="B939" s="33"/>
      <c r="C939" s="31"/>
      <c r="D939" s="31"/>
      <c r="E939" s="32"/>
      <c r="H939" s="31"/>
      <c r="K939" s="28"/>
    </row>
    <row r="940" hidden="1">
      <c r="A940" s="33"/>
      <c r="B940" s="33"/>
      <c r="C940" s="31"/>
      <c r="D940" s="31"/>
      <c r="E940" s="32"/>
      <c r="H940" s="31"/>
      <c r="K940" s="28"/>
    </row>
    <row r="941" hidden="1">
      <c r="A941" s="33"/>
      <c r="B941" s="33"/>
      <c r="C941" s="31"/>
      <c r="D941" s="31"/>
      <c r="E941" s="32"/>
      <c r="H941" s="31"/>
      <c r="K941" s="28"/>
    </row>
    <row r="942" hidden="1">
      <c r="A942" s="33"/>
      <c r="B942" s="33"/>
      <c r="C942" s="31"/>
      <c r="D942" s="31"/>
      <c r="E942" s="32"/>
      <c r="H942" s="31"/>
      <c r="K942" s="28"/>
    </row>
    <row r="943" hidden="1">
      <c r="A943" s="33"/>
      <c r="B943" s="33"/>
      <c r="C943" s="31"/>
      <c r="D943" s="31"/>
      <c r="E943" s="32"/>
      <c r="H943" s="31"/>
      <c r="K943" s="28"/>
    </row>
    <row r="944" hidden="1">
      <c r="A944" s="33"/>
      <c r="B944" s="33"/>
      <c r="C944" s="31"/>
      <c r="D944" s="31"/>
      <c r="E944" s="32"/>
      <c r="H944" s="31"/>
      <c r="K944" s="28"/>
    </row>
    <row r="945" hidden="1">
      <c r="A945" s="33"/>
      <c r="B945" s="33"/>
      <c r="C945" s="31"/>
      <c r="D945" s="31"/>
      <c r="E945" s="32"/>
      <c r="H945" s="31"/>
      <c r="K945" s="28"/>
    </row>
    <row r="946" hidden="1">
      <c r="A946" s="33"/>
      <c r="B946" s="33"/>
      <c r="C946" s="31"/>
      <c r="D946" s="31"/>
      <c r="E946" s="32"/>
      <c r="H946" s="31"/>
      <c r="K946" s="28"/>
    </row>
    <row r="947" hidden="1">
      <c r="A947" s="33"/>
      <c r="B947" s="33"/>
      <c r="C947" s="31"/>
      <c r="D947" s="31"/>
      <c r="E947" s="32"/>
      <c r="H947" s="31"/>
      <c r="K947" s="28"/>
    </row>
    <row r="948" hidden="1">
      <c r="A948" s="33"/>
      <c r="B948" s="33"/>
      <c r="C948" s="31"/>
      <c r="D948" s="31"/>
      <c r="E948" s="32"/>
      <c r="H948" s="31"/>
      <c r="K948" s="28"/>
    </row>
    <row r="949" hidden="1">
      <c r="A949" s="33"/>
      <c r="B949" s="33"/>
      <c r="C949" s="31"/>
      <c r="D949" s="31"/>
      <c r="E949" s="32"/>
      <c r="H949" s="31"/>
      <c r="K949" s="28"/>
    </row>
    <row r="950" hidden="1">
      <c r="A950" s="33"/>
      <c r="B950" s="33"/>
      <c r="C950" s="31"/>
      <c r="D950" s="31"/>
      <c r="E950" s="32"/>
      <c r="H950" s="31"/>
      <c r="K950" s="28"/>
    </row>
    <row r="951" hidden="1">
      <c r="A951" s="33"/>
      <c r="B951" s="33"/>
      <c r="C951" s="31"/>
      <c r="D951" s="31"/>
      <c r="E951" s="32"/>
      <c r="H951" s="31"/>
      <c r="K951" s="28"/>
    </row>
    <row r="952" hidden="1">
      <c r="A952" s="33"/>
      <c r="B952" s="33"/>
      <c r="C952" s="31"/>
      <c r="D952" s="31"/>
      <c r="E952" s="32"/>
      <c r="H952" s="31"/>
      <c r="K952" s="28"/>
    </row>
    <row r="953" hidden="1">
      <c r="A953" s="33"/>
      <c r="B953" s="33"/>
      <c r="C953" s="31"/>
      <c r="D953" s="31"/>
      <c r="E953" s="32"/>
      <c r="H953" s="31"/>
      <c r="K953" s="28"/>
    </row>
    <row r="954" hidden="1">
      <c r="A954" s="33"/>
      <c r="B954" s="33"/>
      <c r="C954" s="31"/>
      <c r="D954" s="31"/>
      <c r="E954" s="32"/>
      <c r="H954" s="31"/>
      <c r="K954" s="28"/>
    </row>
    <row r="955" hidden="1">
      <c r="A955" s="33"/>
      <c r="B955" s="33"/>
      <c r="C955" s="31"/>
      <c r="D955" s="31"/>
      <c r="E955" s="32"/>
      <c r="H955" s="31"/>
      <c r="K955" s="28"/>
    </row>
    <row r="956" hidden="1">
      <c r="A956" s="33"/>
      <c r="B956" s="33"/>
      <c r="C956" s="31"/>
      <c r="D956" s="31"/>
      <c r="E956" s="32"/>
      <c r="H956" s="31"/>
      <c r="K956" s="28"/>
    </row>
    <row r="957" hidden="1">
      <c r="A957" s="33"/>
      <c r="B957" s="33"/>
      <c r="C957" s="31"/>
      <c r="D957" s="31"/>
      <c r="E957" s="32"/>
      <c r="H957" s="31"/>
      <c r="K957" s="28"/>
    </row>
    <row r="958" hidden="1">
      <c r="A958" s="33"/>
      <c r="B958" s="33"/>
      <c r="C958" s="31"/>
      <c r="D958" s="31"/>
      <c r="E958" s="32"/>
      <c r="H958" s="31"/>
      <c r="K958" s="28"/>
    </row>
    <row r="959" hidden="1">
      <c r="A959" s="33"/>
      <c r="B959" s="33"/>
      <c r="C959" s="31"/>
      <c r="D959" s="31"/>
      <c r="E959" s="32"/>
      <c r="H959" s="31"/>
      <c r="K959" s="28"/>
    </row>
    <row r="960" hidden="1">
      <c r="A960" s="33"/>
      <c r="B960" s="33"/>
      <c r="C960" s="31"/>
      <c r="D960" s="31"/>
      <c r="E960" s="32"/>
      <c r="H960" s="31"/>
      <c r="K960" s="28"/>
    </row>
    <row r="961" hidden="1">
      <c r="A961" s="33"/>
      <c r="B961" s="33"/>
      <c r="C961" s="31"/>
      <c r="D961" s="31"/>
      <c r="E961" s="32"/>
      <c r="H961" s="31"/>
      <c r="K961" s="28"/>
    </row>
    <row r="962" hidden="1">
      <c r="A962" s="33"/>
      <c r="B962" s="33"/>
      <c r="C962" s="31"/>
      <c r="D962" s="31"/>
      <c r="E962" s="32"/>
      <c r="H962" s="31"/>
      <c r="K962" s="28"/>
    </row>
    <row r="963" hidden="1">
      <c r="A963" s="33"/>
      <c r="B963" s="33"/>
      <c r="C963" s="31"/>
      <c r="D963" s="31"/>
      <c r="E963" s="32"/>
      <c r="H963" s="31"/>
      <c r="K963" s="28"/>
    </row>
    <row r="964" hidden="1">
      <c r="A964" s="33"/>
      <c r="B964" s="33"/>
      <c r="C964" s="31"/>
      <c r="D964" s="31"/>
      <c r="E964" s="32"/>
      <c r="H964" s="31"/>
      <c r="K964" s="28"/>
    </row>
    <row r="965" hidden="1">
      <c r="A965" s="33"/>
      <c r="B965" s="33"/>
      <c r="C965" s="31"/>
      <c r="D965" s="31"/>
      <c r="E965" s="32"/>
      <c r="H965" s="31"/>
      <c r="K965" s="28"/>
    </row>
    <row r="966" hidden="1">
      <c r="A966" s="33"/>
      <c r="B966" s="33"/>
      <c r="C966" s="31"/>
      <c r="D966" s="31"/>
      <c r="E966" s="32"/>
      <c r="H966" s="31"/>
      <c r="K966" s="28"/>
    </row>
    <row r="967" hidden="1">
      <c r="A967" s="33"/>
      <c r="B967" s="33"/>
      <c r="C967" s="31"/>
      <c r="D967" s="31"/>
      <c r="E967" s="32"/>
      <c r="H967" s="31"/>
      <c r="K967" s="28"/>
    </row>
    <row r="968" hidden="1">
      <c r="A968" s="33"/>
      <c r="B968" s="33"/>
      <c r="C968" s="31"/>
      <c r="D968" s="31"/>
      <c r="E968" s="32"/>
      <c r="H968" s="31"/>
      <c r="K968" s="28"/>
    </row>
    <row r="969" hidden="1">
      <c r="A969" s="33"/>
      <c r="B969" s="33"/>
      <c r="C969" s="31"/>
      <c r="D969" s="31"/>
      <c r="E969" s="32"/>
      <c r="H969" s="31"/>
      <c r="K969" s="28"/>
    </row>
    <row r="970" hidden="1">
      <c r="A970" s="33"/>
      <c r="B970" s="33"/>
      <c r="C970" s="31"/>
      <c r="D970" s="31"/>
      <c r="E970" s="32"/>
      <c r="H970" s="31"/>
      <c r="K970" s="28"/>
    </row>
    <row r="971" hidden="1">
      <c r="A971" s="33"/>
      <c r="B971" s="33"/>
      <c r="C971" s="31"/>
      <c r="D971" s="31"/>
      <c r="E971" s="32"/>
      <c r="H971" s="31"/>
      <c r="K971" s="28"/>
    </row>
    <row r="972" hidden="1">
      <c r="A972" s="33"/>
      <c r="B972" s="33"/>
      <c r="C972" s="31"/>
      <c r="D972" s="31"/>
      <c r="E972" s="32"/>
      <c r="H972" s="31"/>
      <c r="K972" s="28"/>
    </row>
    <row r="973" hidden="1">
      <c r="A973" s="33"/>
      <c r="B973" s="33"/>
      <c r="C973" s="31"/>
      <c r="D973" s="31"/>
      <c r="E973" s="32"/>
      <c r="H973" s="31"/>
      <c r="K973" s="28"/>
    </row>
    <row r="974" hidden="1">
      <c r="A974" s="33"/>
      <c r="B974" s="33"/>
      <c r="C974" s="31"/>
      <c r="D974" s="31"/>
      <c r="E974" s="32"/>
      <c r="H974" s="31"/>
      <c r="K974" s="28"/>
    </row>
    <row r="975" hidden="1">
      <c r="A975" s="33"/>
      <c r="B975" s="33"/>
      <c r="C975" s="31"/>
      <c r="D975" s="31"/>
      <c r="E975" s="32"/>
      <c r="H975" s="31"/>
      <c r="K975" s="28"/>
    </row>
    <row r="976" hidden="1">
      <c r="A976" s="33"/>
      <c r="B976" s="33"/>
      <c r="C976" s="31"/>
      <c r="D976" s="31"/>
      <c r="E976" s="32"/>
      <c r="H976" s="31"/>
      <c r="K976" s="28"/>
    </row>
    <row r="977" hidden="1">
      <c r="A977" s="33"/>
      <c r="B977" s="33"/>
      <c r="C977" s="31"/>
      <c r="D977" s="31"/>
      <c r="E977" s="32"/>
      <c r="H977" s="31"/>
      <c r="K977" s="28"/>
    </row>
    <row r="978" hidden="1">
      <c r="A978" s="33"/>
      <c r="B978" s="33"/>
      <c r="C978" s="31"/>
      <c r="D978" s="31"/>
      <c r="E978" s="32"/>
      <c r="H978" s="31"/>
      <c r="K978" s="28"/>
    </row>
    <row r="979" hidden="1">
      <c r="A979" s="33"/>
      <c r="B979" s="33"/>
      <c r="C979" s="31"/>
      <c r="D979" s="31"/>
      <c r="E979" s="32"/>
      <c r="H979" s="31"/>
      <c r="K979" s="28"/>
    </row>
    <row r="980" hidden="1">
      <c r="A980" s="33"/>
      <c r="B980" s="33"/>
      <c r="C980" s="31"/>
      <c r="D980" s="31"/>
      <c r="E980" s="32"/>
      <c r="H980" s="31"/>
      <c r="K980" s="28"/>
    </row>
    <row r="981" hidden="1">
      <c r="A981" s="33"/>
      <c r="B981" s="33"/>
      <c r="C981" s="31"/>
      <c r="D981" s="31"/>
      <c r="E981" s="32"/>
      <c r="H981" s="31"/>
      <c r="K981" s="28"/>
    </row>
    <row r="982" hidden="1">
      <c r="A982" s="33"/>
      <c r="B982" s="33"/>
      <c r="C982" s="31"/>
      <c r="D982" s="31"/>
      <c r="E982" s="32"/>
      <c r="H982" s="31"/>
      <c r="K982" s="28"/>
    </row>
    <row r="983" hidden="1">
      <c r="A983" s="33"/>
      <c r="B983" s="33"/>
      <c r="C983" s="31"/>
      <c r="D983" s="31"/>
      <c r="E983" s="32"/>
      <c r="H983" s="31"/>
      <c r="K983" s="28"/>
    </row>
    <row r="984" hidden="1">
      <c r="A984" s="33"/>
      <c r="B984" s="33"/>
      <c r="C984" s="31"/>
      <c r="D984" s="31"/>
      <c r="E984" s="32"/>
      <c r="H984" s="31"/>
      <c r="K984" s="28"/>
    </row>
    <row r="985" hidden="1">
      <c r="A985" s="33"/>
      <c r="B985" s="33"/>
      <c r="C985" s="31"/>
      <c r="D985" s="31"/>
      <c r="E985" s="32"/>
      <c r="H985" s="31"/>
      <c r="K985" s="28"/>
    </row>
    <row r="986" hidden="1">
      <c r="A986" s="33"/>
      <c r="B986" s="33"/>
      <c r="C986" s="31"/>
      <c r="D986" s="31"/>
      <c r="E986" s="32"/>
      <c r="H986" s="31"/>
      <c r="K986" s="28"/>
    </row>
    <row r="987" hidden="1">
      <c r="A987" s="33"/>
      <c r="B987" s="33"/>
      <c r="C987" s="31"/>
      <c r="D987" s="31"/>
      <c r="E987" s="32"/>
      <c r="H987" s="31"/>
      <c r="K987" s="28"/>
    </row>
    <row r="988" hidden="1">
      <c r="A988" s="33"/>
      <c r="B988" s="33"/>
      <c r="C988" s="31"/>
      <c r="D988" s="31"/>
      <c r="E988" s="32"/>
      <c r="H988" s="31"/>
      <c r="K988" s="28"/>
    </row>
    <row r="989" hidden="1">
      <c r="A989" s="33"/>
      <c r="B989" s="33"/>
      <c r="C989" s="31"/>
      <c r="D989" s="31"/>
      <c r="E989" s="32"/>
      <c r="H989" s="31"/>
      <c r="K989" s="28"/>
    </row>
    <row r="990" hidden="1">
      <c r="A990" s="33"/>
      <c r="B990" s="33"/>
      <c r="C990" s="31"/>
      <c r="D990" s="31"/>
      <c r="E990" s="32"/>
      <c r="H990" s="31"/>
      <c r="K990" s="28"/>
    </row>
    <row r="991" hidden="1">
      <c r="A991" s="33"/>
      <c r="B991" s="33"/>
      <c r="C991" s="31"/>
      <c r="D991" s="31"/>
      <c r="E991" s="32"/>
      <c r="H991" s="31"/>
      <c r="K991" s="28"/>
    </row>
    <row r="992" hidden="1">
      <c r="A992" s="33"/>
      <c r="B992" s="33"/>
      <c r="C992" s="31"/>
      <c r="D992" s="31"/>
      <c r="E992" s="32"/>
      <c r="H992" s="31"/>
      <c r="K992" s="28"/>
    </row>
    <row r="993" hidden="1">
      <c r="A993" s="33"/>
      <c r="B993" s="33"/>
      <c r="C993" s="31"/>
      <c r="D993" s="31"/>
      <c r="E993" s="32"/>
      <c r="H993" s="31"/>
      <c r="K993" s="28"/>
    </row>
    <row r="994" hidden="1">
      <c r="A994" s="33"/>
      <c r="B994" s="33"/>
      <c r="C994" s="31"/>
      <c r="D994" s="31"/>
      <c r="E994" s="32"/>
      <c r="H994" s="31"/>
      <c r="K994" s="28"/>
    </row>
    <row r="995" hidden="1">
      <c r="A995" s="33"/>
      <c r="B995" s="33"/>
      <c r="C995" s="31"/>
      <c r="D995" s="31"/>
      <c r="E995" s="32"/>
      <c r="H995" s="31"/>
      <c r="K995" s="28"/>
    </row>
    <row r="996" hidden="1">
      <c r="A996" s="33"/>
      <c r="B996" s="33"/>
      <c r="C996" s="31"/>
      <c r="D996" s="31"/>
      <c r="E996" s="32"/>
      <c r="H996" s="31"/>
      <c r="K996" s="28"/>
    </row>
    <row r="997" hidden="1">
      <c r="A997" s="33"/>
      <c r="B997" s="33"/>
      <c r="C997" s="31"/>
      <c r="D997" s="31"/>
      <c r="E997" s="32"/>
      <c r="H997" s="31"/>
      <c r="K997" s="28"/>
    </row>
    <row r="998" hidden="1">
      <c r="A998" s="33"/>
      <c r="B998" s="33"/>
      <c r="C998" s="31"/>
      <c r="D998" s="31"/>
      <c r="E998" s="32"/>
      <c r="H998" s="31"/>
      <c r="K998" s="28"/>
    </row>
    <row r="999" hidden="1">
      <c r="A999" s="33"/>
      <c r="B999" s="33"/>
      <c r="C999" s="31"/>
      <c r="D999" s="31"/>
      <c r="E999" s="32"/>
      <c r="H999" s="31"/>
      <c r="K999" s="28"/>
    </row>
    <row r="1000" hidden="1">
      <c r="A1000" s="33"/>
      <c r="B1000" s="33"/>
      <c r="C1000" s="31"/>
      <c r="D1000" s="31"/>
      <c r="E1000" s="32"/>
      <c r="H1000" s="31"/>
      <c r="K1000" s="28"/>
    </row>
    <row r="1001" hidden="1">
      <c r="A1001" s="33"/>
      <c r="B1001" s="33"/>
      <c r="C1001" s="31"/>
      <c r="D1001" s="31"/>
      <c r="E1001" s="32"/>
      <c r="H1001" s="31"/>
      <c r="K1001" s="28"/>
    </row>
    <row r="1002" hidden="1">
      <c r="A1002" s="33"/>
      <c r="B1002" s="33"/>
      <c r="C1002" s="31"/>
      <c r="D1002" s="31"/>
      <c r="E1002" s="32"/>
      <c r="H1002" s="31"/>
      <c r="K1002" s="28"/>
    </row>
    <row r="1003" hidden="1">
      <c r="A1003" s="33"/>
      <c r="B1003" s="33"/>
      <c r="C1003" s="31"/>
      <c r="D1003" s="31"/>
      <c r="E1003" s="32"/>
      <c r="H1003" s="31"/>
      <c r="K1003" s="28"/>
    </row>
    <row r="1004" hidden="1">
      <c r="A1004" s="33"/>
      <c r="B1004" s="33"/>
      <c r="C1004" s="31"/>
      <c r="D1004" s="31"/>
      <c r="E1004" s="32"/>
      <c r="H1004" s="31"/>
      <c r="K1004" s="28"/>
    </row>
  </sheetData>
  <mergeCells count="806">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402:B402"/>
    <mergeCell ref="A403:B403"/>
    <mergeCell ref="A404:B404"/>
    <mergeCell ref="A395:B395"/>
    <mergeCell ref="A396:B396"/>
    <mergeCell ref="A397:B397"/>
    <mergeCell ref="A398:B398"/>
    <mergeCell ref="A399:B399"/>
    <mergeCell ref="A400:B400"/>
    <mergeCell ref="A401:B401"/>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H180:J180"/>
    <mergeCell ref="H181:J181"/>
    <mergeCell ref="H182:J182"/>
    <mergeCell ref="H183:J183"/>
    <mergeCell ref="H184:J184"/>
    <mergeCell ref="H185:J185"/>
    <mergeCell ref="H186:J186"/>
    <mergeCell ref="H187:J187"/>
    <mergeCell ref="H188:J188"/>
    <mergeCell ref="H189:J189"/>
    <mergeCell ref="H190:J190"/>
    <mergeCell ref="H191:J191"/>
    <mergeCell ref="H192:J192"/>
    <mergeCell ref="H193:J193"/>
    <mergeCell ref="H194:J194"/>
    <mergeCell ref="H195:J195"/>
    <mergeCell ref="H196:J196"/>
    <mergeCell ref="H197:J197"/>
    <mergeCell ref="H198:J198"/>
    <mergeCell ref="H199:J199"/>
    <mergeCell ref="H200:J200"/>
    <mergeCell ref="H201:J201"/>
    <mergeCell ref="H202:J202"/>
    <mergeCell ref="H203:J203"/>
    <mergeCell ref="H204:J204"/>
    <mergeCell ref="H205:J205"/>
    <mergeCell ref="H206:J206"/>
    <mergeCell ref="H207:J207"/>
    <mergeCell ref="H208:J208"/>
    <mergeCell ref="H209:J209"/>
    <mergeCell ref="H210:J210"/>
    <mergeCell ref="H211:J211"/>
    <mergeCell ref="H212:J212"/>
    <mergeCell ref="H213:J213"/>
    <mergeCell ref="H214:J214"/>
    <mergeCell ref="H215:J215"/>
    <mergeCell ref="H216:J216"/>
    <mergeCell ref="H217:J217"/>
    <mergeCell ref="H218:J218"/>
    <mergeCell ref="H219:J219"/>
    <mergeCell ref="H220:J220"/>
    <mergeCell ref="H221:J221"/>
    <mergeCell ref="H222:J222"/>
    <mergeCell ref="H223:J223"/>
    <mergeCell ref="H224:J224"/>
    <mergeCell ref="H225:J225"/>
    <mergeCell ref="H226:J226"/>
    <mergeCell ref="H227:J227"/>
    <mergeCell ref="H228:J228"/>
    <mergeCell ref="H229:J229"/>
    <mergeCell ref="H230:J230"/>
    <mergeCell ref="H231:J231"/>
    <mergeCell ref="H232:J232"/>
    <mergeCell ref="H233:J233"/>
    <mergeCell ref="H234:J234"/>
    <mergeCell ref="H235:J235"/>
    <mergeCell ref="H236:J236"/>
    <mergeCell ref="H237:J237"/>
    <mergeCell ref="H238:J238"/>
    <mergeCell ref="H239:J239"/>
    <mergeCell ref="H240:J240"/>
    <mergeCell ref="H241:J241"/>
    <mergeCell ref="H242:J242"/>
    <mergeCell ref="H243:J243"/>
    <mergeCell ref="H244:J244"/>
    <mergeCell ref="H245:J245"/>
    <mergeCell ref="H246:J246"/>
    <mergeCell ref="H247:J247"/>
    <mergeCell ref="H248:J248"/>
    <mergeCell ref="H249:J249"/>
    <mergeCell ref="H250:J250"/>
    <mergeCell ref="H251:J251"/>
    <mergeCell ref="H252:J252"/>
    <mergeCell ref="H253:J253"/>
    <mergeCell ref="H254:J254"/>
    <mergeCell ref="H255:J255"/>
    <mergeCell ref="H256:J256"/>
    <mergeCell ref="H257:J257"/>
    <mergeCell ref="H258:J258"/>
    <mergeCell ref="H259:J259"/>
    <mergeCell ref="H260:J260"/>
    <mergeCell ref="H261:J261"/>
    <mergeCell ref="H262:J262"/>
    <mergeCell ref="H263:J263"/>
    <mergeCell ref="H264:J264"/>
    <mergeCell ref="H265:J265"/>
    <mergeCell ref="H266:J266"/>
    <mergeCell ref="H267:J267"/>
    <mergeCell ref="H268:J268"/>
    <mergeCell ref="H269:J269"/>
    <mergeCell ref="H270:J270"/>
    <mergeCell ref="H271:J271"/>
    <mergeCell ref="H272:J272"/>
    <mergeCell ref="H273:J273"/>
    <mergeCell ref="H274:J274"/>
    <mergeCell ref="H275:J275"/>
    <mergeCell ref="H276:J276"/>
    <mergeCell ref="H277:J277"/>
    <mergeCell ref="H278:J278"/>
    <mergeCell ref="H279:J279"/>
    <mergeCell ref="H280:J280"/>
    <mergeCell ref="H281:J281"/>
    <mergeCell ref="H282:J282"/>
    <mergeCell ref="H283:J283"/>
    <mergeCell ref="H284:J284"/>
    <mergeCell ref="H285:J285"/>
    <mergeCell ref="H286:J286"/>
    <mergeCell ref="H287:J287"/>
    <mergeCell ref="H288:J288"/>
    <mergeCell ref="H289:J289"/>
    <mergeCell ref="H290:J290"/>
    <mergeCell ref="H291:J291"/>
    <mergeCell ref="H292:J292"/>
    <mergeCell ref="H293:J293"/>
    <mergeCell ref="H294:J294"/>
    <mergeCell ref="H295:J295"/>
    <mergeCell ref="H296:J296"/>
    <mergeCell ref="H297:J297"/>
    <mergeCell ref="H298:J298"/>
    <mergeCell ref="H299:J299"/>
    <mergeCell ref="H300:J300"/>
    <mergeCell ref="H301:J301"/>
    <mergeCell ref="H302:J302"/>
    <mergeCell ref="H303:J303"/>
    <mergeCell ref="H304:J304"/>
    <mergeCell ref="H305:J305"/>
    <mergeCell ref="H306:J306"/>
    <mergeCell ref="H307:J307"/>
    <mergeCell ref="H308:J308"/>
    <mergeCell ref="H309:J309"/>
    <mergeCell ref="H310:J310"/>
    <mergeCell ref="H311:J311"/>
    <mergeCell ref="H312:J312"/>
    <mergeCell ref="H313:J313"/>
    <mergeCell ref="H314:J314"/>
    <mergeCell ref="H315:J315"/>
    <mergeCell ref="H316:J316"/>
    <mergeCell ref="H317:J317"/>
    <mergeCell ref="H318:J318"/>
    <mergeCell ref="H319:J319"/>
    <mergeCell ref="H320:J320"/>
    <mergeCell ref="H321:J321"/>
    <mergeCell ref="H322:J322"/>
    <mergeCell ref="H323:J323"/>
    <mergeCell ref="H324:J324"/>
    <mergeCell ref="H325:J325"/>
    <mergeCell ref="H326:J326"/>
    <mergeCell ref="H376:J376"/>
    <mergeCell ref="H377:J377"/>
    <mergeCell ref="H378:J378"/>
    <mergeCell ref="H379:J379"/>
    <mergeCell ref="H380:J380"/>
    <mergeCell ref="H381:J381"/>
    <mergeCell ref="H382:J382"/>
    <mergeCell ref="H383:J383"/>
    <mergeCell ref="H384:J384"/>
    <mergeCell ref="H385:J385"/>
    <mergeCell ref="H386:J386"/>
    <mergeCell ref="H387:J387"/>
    <mergeCell ref="H388:J388"/>
    <mergeCell ref="H389:J389"/>
    <mergeCell ref="H397:J397"/>
    <mergeCell ref="H398:J398"/>
    <mergeCell ref="H399:J399"/>
    <mergeCell ref="H400:J400"/>
    <mergeCell ref="H401:J401"/>
    <mergeCell ref="H402:J402"/>
    <mergeCell ref="H403:J403"/>
    <mergeCell ref="H404:J404"/>
    <mergeCell ref="H390:J390"/>
    <mergeCell ref="H391:J391"/>
    <mergeCell ref="H392:J392"/>
    <mergeCell ref="H393:J393"/>
    <mergeCell ref="H394:J394"/>
    <mergeCell ref="H395:J395"/>
    <mergeCell ref="H396:J396"/>
    <mergeCell ref="H327:J327"/>
    <mergeCell ref="H328:J328"/>
    <mergeCell ref="H329:J329"/>
    <mergeCell ref="H330:J330"/>
    <mergeCell ref="H331:J331"/>
    <mergeCell ref="H332:J332"/>
    <mergeCell ref="H333:J333"/>
    <mergeCell ref="H334:J334"/>
    <mergeCell ref="H335:J335"/>
    <mergeCell ref="H336:J336"/>
    <mergeCell ref="H337:J337"/>
    <mergeCell ref="H338:J338"/>
    <mergeCell ref="H339:J339"/>
    <mergeCell ref="H340:J340"/>
    <mergeCell ref="H341:J341"/>
    <mergeCell ref="H342:J342"/>
    <mergeCell ref="H343:J343"/>
    <mergeCell ref="H344:J344"/>
    <mergeCell ref="H345:J345"/>
    <mergeCell ref="H346:J346"/>
    <mergeCell ref="H347:J347"/>
    <mergeCell ref="H348:J348"/>
    <mergeCell ref="H349:J349"/>
    <mergeCell ref="H350:J350"/>
    <mergeCell ref="H351:J351"/>
    <mergeCell ref="H352:J352"/>
    <mergeCell ref="H353:J353"/>
    <mergeCell ref="H354:J354"/>
    <mergeCell ref="H355:J355"/>
    <mergeCell ref="H356:J356"/>
    <mergeCell ref="H357:J357"/>
    <mergeCell ref="H358:J358"/>
    <mergeCell ref="H359:J359"/>
    <mergeCell ref="H360:J360"/>
    <mergeCell ref="H361:J361"/>
    <mergeCell ref="H362:J362"/>
    <mergeCell ref="H363:J363"/>
    <mergeCell ref="H364:J364"/>
    <mergeCell ref="H365:J365"/>
    <mergeCell ref="H366:J366"/>
    <mergeCell ref="H367:J367"/>
    <mergeCell ref="H368:J368"/>
    <mergeCell ref="H369:J369"/>
    <mergeCell ref="H370:J370"/>
    <mergeCell ref="H371:J371"/>
    <mergeCell ref="H372:J372"/>
    <mergeCell ref="H373:J373"/>
    <mergeCell ref="H374:J374"/>
    <mergeCell ref="H375:J375"/>
    <mergeCell ref="H24:J24"/>
    <mergeCell ref="H25:J25"/>
    <mergeCell ref="H17:J17"/>
    <mergeCell ref="H18:J18"/>
    <mergeCell ref="H19:J19"/>
    <mergeCell ref="H20:J20"/>
    <mergeCell ref="H21:J21"/>
    <mergeCell ref="H22:J22"/>
    <mergeCell ref="H23:J23"/>
    <mergeCell ref="H2:J4"/>
    <mergeCell ref="H5:J5"/>
    <mergeCell ref="A1:B1"/>
    <mergeCell ref="C1:J1"/>
    <mergeCell ref="A2:B2"/>
    <mergeCell ref="C2:C4"/>
    <mergeCell ref="D2:E4"/>
    <mergeCell ref="F2:G4"/>
    <mergeCell ref="A5:B5"/>
    <mergeCell ref="A6:B6"/>
    <mergeCell ref="H6:J6"/>
    <mergeCell ref="A7:B7"/>
    <mergeCell ref="H7:J7"/>
    <mergeCell ref="A8:B8"/>
    <mergeCell ref="H8:J8"/>
    <mergeCell ref="H9:J9"/>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H10:J10"/>
    <mergeCell ref="H11:J11"/>
    <mergeCell ref="H12:J12"/>
    <mergeCell ref="H13:J13"/>
    <mergeCell ref="H14:J14"/>
    <mergeCell ref="H15:J15"/>
    <mergeCell ref="H16:J16"/>
    <mergeCell ref="H26:J26"/>
    <mergeCell ref="H27:J27"/>
    <mergeCell ref="H28:J28"/>
    <mergeCell ref="H29:J29"/>
    <mergeCell ref="H30:J30"/>
    <mergeCell ref="H31:J31"/>
    <mergeCell ref="H32:J3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H33:J33"/>
    <mergeCell ref="H34:J34"/>
    <mergeCell ref="H35:J35"/>
    <mergeCell ref="H36:J36"/>
    <mergeCell ref="H37:J37"/>
    <mergeCell ref="H38:J38"/>
    <mergeCell ref="H39:J39"/>
    <mergeCell ref="H40:J40"/>
    <mergeCell ref="H41:J41"/>
    <mergeCell ref="H42:J42"/>
    <mergeCell ref="H43:J43"/>
    <mergeCell ref="H44:J44"/>
    <mergeCell ref="H45:J45"/>
    <mergeCell ref="H46:J46"/>
    <mergeCell ref="H47:J47"/>
    <mergeCell ref="H48:J48"/>
    <mergeCell ref="H49:J49"/>
    <mergeCell ref="H50:J50"/>
    <mergeCell ref="H51:J51"/>
    <mergeCell ref="H52:J52"/>
    <mergeCell ref="H53:J53"/>
    <mergeCell ref="H54:J54"/>
    <mergeCell ref="H55:J55"/>
    <mergeCell ref="H56:J56"/>
    <mergeCell ref="H57:J57"/>
    <mergeCell ref="H58:J58"/>
    <mergeCell ref="H59:J59"/>
    <mergeCell ref="H60:J60"/>
    <mergeCell ref="H61:J61"/>
    <mergeCell ref="H62:J62"/>
    <mergeCell ref="H63:J63"/>
    <mergeCell ref="H64:J64"/>
    <mergeCell ref="H65:J65"/>
    <mergeCell ref="H66:J66"/>
    <mergeCell ref="H67:J67"/>
    <mergeCell ref="H68:J68"/>
    <mergeCell ref="H69:J69"/>
    <mergeCell ref="H70:J70"/>
    <mergeCell ref="H71:J71"/>
    <mergeCell ref="H72:J72"/>
    <mergeCell ref="H73:J73"/>
    <mergeCell ref="H74:J74"/>
    <mergeCell ref="H75:J75"/>
    <mergeCell ref="H76:J76"/>
    <mergeCell ref="H77:J77"/>
    <mergeCell ref="H78:J78"/>
    <mergeCell ref="H79:J79"/>
    <mergeCell ref="H80:J80"/>
    <mergeCell ref="H81:J81"/>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H82:J82"/>
    <mergeCell ref="H83:J83"/>
    <mergeCell ref="H84:J84"/>
    <mergeCell ref="H85:J85"/>
    <mergeCell ref="H86:J86"/>
    <mergeCell ref="H87:J87"/>
    <mergeCell ref="H88:J88"/>
    <mergeCell ref="H89:J89"/>
    <mergeCell ref="H90:J90"/>
    <mergeCell ref="H91:J91"/>
    <mergeCell ref="H92:J92"/>
    <mergeCell ref="H93:J93"/>
    <mergeCell ref="H94:J94"/>
    <mergeCell ref="H95:J95"/>
    <mergeCell ref="H96:J96"/>
    <mergeCell ref="H97:J97"/>
    <mergeCell ref="H98:J98"/>
    <mergeCell ref="H99:J99"/>
    <mergeCell ref="H100:J100"/>
    <mergeCell ref="H101:J101"/>
    <mergeCell ref="H102:J102"/>
    <mergeCell ref="H103:J103"/>
    <mergeCell ref="H104:J104"/>
    <mergeCell ref="H105:J105"/>
    <mergeCell ref="H106:J106"/>
    <mergeCell ref="H107:J107"/>
    <mergeCell ref="H108:J108"/>
    <mergeCell ref="H109:J109"/>
    <mergeCell ref="H110:J110"/>
    <mergeCell ref="H111:J111"/>
    <mergeCell ref="H112:J112"/>
    <mergeCell ref="H113:J113"/>
    <mergeCell ref="H114:J114"/>
    <mergeCell ref="H115:J115"/>
    <mergeCell ref="H116:J116"/>
    <mergeCell ref="H117:J117"/>
    <mergeCell ref="H118:J118"/>
    <mergeCell ref="H119:J119"/>
    <mergeCell ref="H120:J120"/>
    <mergeCell ref="H121:J121"/>
    <mergeCell ref="H122:J122"/>
    <mergeCell ref="H123:J123"/>
    <mergeCell ref="H124:J124"/>
    <mergeCell ref="H125:J125"/>
    <mergeCell ref="H126:J126"/>
    <mergeCell ref="H127:J127"/>
    <mergeCell ref="H128:J128"/>
    <mergeCell ref="H129:J129"/>
    <mergeCell ref="H130:J130"/>
    <mergeCell ref="H131:J131"/>
    <mergeCell ref="H132:J132"/>
    <mergeCell ref="H133:J133"/>
    <mergeCell ref="H134:J134"/>
    <mergeCell ref="H135:J135"/>
    <mergeCell ref="H136:J136"/>
    <mergeCell ref="H137:J137"/>
    <mergeCell ref="H138:J138"/>
    <mergeCell ref="H139:J139"/>
    <mergeCell ref="H140:J140"/>
    <mergeCell ref="H141:J141"/>
    <mergeCell ref="H142:J142"/>
    <mergeCell ref="H143:J143"/>
    <mergeCell ref="H144:J144"/>
    <mergeCell ref="H145:J145"/>
    <mergeCell ref="H146:J146"/>
    <mergeCell ref="H147:J147"/>
    <mergeCell ref="H148:J148"/>
    <mergeCell ref="H149:J149"/>
    <mergeCell ref="H150:J150"/>
    <mergeCell ref="H151:J151"/>
    <mergeCell ref="H152:J152"/>
    <mergeCell ref="H153:J153"/>
    <mergeCell ref="H154:J154"/>
    <mergeCell ref="H155:J155"/>
    <mergeCell ref="H156:J156"/>
    <mergeCell ref="H157:J157"/>
    <mergeCell ref="H158:J158"/>
    <mergeCell ref="H159:J159"/>
    <mergeCell ref="H160:J160"/>
    <mergeCell ref="H161:J161"/>
    <mergeCell ref="H162:J162"/>
    <mergeCell ref="H163:J163"/>
    <mergeCell ref="H164:J164"/>
    <mergeCell ref="H165:J165"/>
    <mergeCell ref="H166:J166"/>
    <mergeCell ref="H167:J167"/>
    <mergeCell ref="H168:J168"/>
    <mergeCell ref="H169:J169"/>
    <mergeCell ref="H170:J170"/>
    <mergeCell ref="H171:J171"/>
    <mergeCell ref="H172:J172"/>
    <mergeCell ref="H173:J173"/>
    <mergeCell ref="H174:J174"/>
    <mergeCell ref="H175:J175"/>
    <mergeCell ref="H176:J176"/>
    <mergeCell ref="H177:J177"/>
    <mergeCell ref="H178:J178"/>
    <mergeCell ref="H179:J179"/>
  </mergeCells>
  <conditionalFormatting sqref="C5:D404 H5:H404">
    <cfRule type="expression" dxfId="0" priority="1">
      <formula>$A5=TRUE()</formula>
    </cfRule>
  </conditionalFormatting>
  <conditionalFormatting sqref="C93:D94 H93:H94">
    <cfRule type="expression" dxfId="1" priority="2">
      <formula>COUNTIF($A$93:$A$94,TRUE)&gt;0</formula>
    </cfRule>
  </conditionalFormatting>
  <conditionalFormatting sqref="C95:D97 H95:H97">
    <cfRule type="expression" dxfId="1" priority="3">
      <formula>COUNTIF($A$95:$A$97,TRUE)&gt;0</formula>
    </cfRule>
  </conditionalFormatting>
  <conditionalFormatting sqref="C98:D100 H98:H100">
    <cfRule type="expression" dxfId="1" priority="4">
      <formula>COUNTIF($A$98:$A$100,TRUE)&gt;0</formula>
    </cfRule>
  </conditionalFormatting>
  <conditionalFormatting sqref="C101:D103 H101:H103">
    <cfRule type="expression" dxfId="1" priority="5">
      <formula>COUNTIF($A$101:$A$103,TRUE)&gt;0</formula>
    </cfRule>
  </conditionalFormatting>
  <conditionalFormatting sqref="C105:D107 H105:H107">
    <cfRule type="expression" dxfId="1" priority="6">
      <formula>COUNTIF($A$105:$A$107,TRUE)&gt;0</formula>
    </cfRule>
  </conditionalFormatting>
  <conditionalFormatting sqref="C108:D109 H108:H109">
    <cfRule type="expression" dxfId="1" priority="7">
      <formula>COUNTIF($A$108:$A$109,TRUE)&gt;0</formula>
    </cfRule>
  </conditionalFormatting>
  <conditionalFormatting sqref="C110:D111 H110:H111">
    <cfRule type="expression" dxfId="1" priority="8">
      <formula>COUNTIF($A$110:$A$111,TRUE)&gt;0</formula>
    </cfRule>
  </conditionalFormatting>
  <conditionalFormatting sqref="C112:D114 H112:H114">
    <cfRule type="expression" dxfId="1" priority="9">
      <formula>COUNTIF($A$112:$A$114,TRUE)&gt;0</formula>
    </cfRule>
  </conditionalFormatting>
  <conditionalFormatting sqref="C115:D116 H115:H116">
    <cfRule type="expression" dxfId="1" priority="10">
      <formula>COUNTIF($A$115:$A$116,TRUE)&gt;0</formula>
    </cfRule>
  </conditionalFormatting>
  <conditionalFormatting sqref="C118:D119 H118:H119">
    <cfRule type="expression" dxfId="1" priority="11">
      <formula>COUNTIF($A$118:$A$119,TRUE)&gt;0</formula>
    </cfRule>
  </conditionalFormatting>
  <conditionalFormatting sqref="C120:D121 H120:H121">
    <cfRule type="expression" dxfId="1" priority="12">
      <formula>COUNTIF($A$120:$A$121,TRUE)&gt;0</formula>
    </cfRule>
  </conditionalFormatting>
  <conditionalFormatting sqref="C122:D123 H122:H123">
    <cfRule type="expression" dxfId="1" priority="13">
      <formula>COUNTIF($A$122:$A$123,TRUE)&gt;0</formula>
    </cfRule>
  </conditionalFormatting>
  <conditionalFormatting sqref="C124:D125 H124:H125">
    <cfRule type="expression" dxfId="1" priority="14">
      <formula>COUNTIF($A$124:$A$125,TRUE)&gt;0</formula>
    </cfRule>
  </conditionalFormatting>
  <conditionalFormatting sqref="C126:D127 H126:H127">
    <cfRule type="expression" dxfId="1" priority="15">
      <formula>COUNTIF($A$126:$A$127,TRUE)&gt;0</formula>
    </cfRule>
  </conditionalFormatting>
  <conditionalFormatting sqref="C128:D129 H128:H129">
    <cfRule type="expression" dxfId="1" priority="16">
      <formula>COUNTIF($A$128:$A$129,TRUE)&gt;0</formula>
    </cfRule>
  </conditionalFormatting>
  <conditionalFormatting sqref="C130:D132 H130:H132">
    <cfRule type="expression" dxfId="1" priority="17">
      <formula>COUNTIF($A$130:$A$132,TRUE)&gt;0</formula>
    </cfRule>
  </conditionalFormatting>
  <conditionalFormatting sqref="C133:D135 H133:H135">
    <cfRule type="expression" dxfId="1" priority="18">
      <formula>COUNTIF($A$133:$A$135,TRUE)&gt;0</formula>
    </cfRule>
  </conditionalFormatting>
  <conditionalFormatting sqref="C136:D137 H136:H137">
    <cfRule type="expression" dxfId="1" priority="19">
      <formula>COUNTIF($A$136:$A$137,TRUE)&gt;0</formula>
    </cfRule>
  </conditionalFormatting>
  <conditionalFormatting sqref="C138:D139 H138:H139">
    <cfRule type="expression" dxfId="1" priority="20">
      <formula>COUNTIF($A$138:$A$139,TRUE)&gt;0</formula>
    </cfRule>
  </conditionalFormatting>
  <conditionalFormatting sqref="C140:D141 H140:H141">
    <cfRule type="expression" dxfId="1" priority="21">
      <formula>COUNTIF($A$140:$A$141,TRUE)&gt;0</formula>
    </cfRule>
  </conditionalFormatting>
  <conditionalFormatting sqref="C143:D144 H143:H144">
    <cfRule type="expression" dxfId="1" priority="22">
      <formula>COUNTIF($A$143:$A$144,TRUE)&gt;0</formula>
    </cfRule>
  </conditionalFormatting>
  <conditionalFormatting sqref="C145:D146 H145:H146">
    <cfRule type="expression" dxfId="1" priority="23">
      <formula>COUNTIF($A$145:$A$146,TRUE)&gt;0</formula>
    </cfRule>
  </conditionalFormatting>
  <conditionalFormatting sqref="C147:D148 H147:H148">
    <cfRule type="expression" dxfId="1" priority="24">
      <formula>COUNTIF($A$147:$A$148,TRUE)&gt;0</formula>
    </cfRule>
  </conditionalFormatting>
  <conditionalFormatting sqref="C149:D151 H149:H151">
    <cfRule type="expression" dxfId="1" priority="25">
      <formula>COUNTIF($A$149:$A$151,TRUE)&gt;0</formula>
    </cfRule>
  </conditionalFormatting>
  <conditionalFormatting sqref="C152:D153 H152:H153">
    <cfRule type="expression" dxfId="1" priority="26">
      <formula>COUNTIF($A$152:$A$153,TRUE)&gt;0</formula>
    </cfRule>
  </conditionalFormatting>
  <conditionalFormatting sqref="C155:D156 H155:H156">
    <cfRule type="expression" dxfId="1" priority="27">
      <formula>COUNTIF($A$155:$A$156,TRUE)&gt;0</formula>
    </cfRule>
  </conditionalFormatting>
  <conditionalFormatting sqref="C157:D158 H157:H158">
    <cfRule type="expression" dxfId="1" priority="28">
      <formula>COUNTIF($A$157:$A$158,TRUE)&gt;0</formula>
    </cfRule>
  </conditionalFormatting>
  <conditionalFormatting sqref="C159:D161 H159:H161">
    <cfRule type="expression" dxfId="1" priority="29">
      <formula>COUNTIF($A$159:$A$161,TRUE)&gt;0</formula>
    </cfRule>
  </conditionalFormatting>
  <conditionalFormatting sqref="C162:D164 H162:H164">
    <cfRule type="expression" dxfId="1" priority="30">
      <formula>COUNTIF($A$162:$A$164,TRUE)&gt;0</formula>
    </cfRule>
  </conditionalFormatting>
  <conditionalFormatting sqref="C165:D166 H165:H166">
    <cfRule type="expression" dxfId="1" priority="31">
      <formula>COUNTIF($A$165:$A$166,TRUE)&gt;0</formula>
    </cfRule>
  </conditionalFormatting>
  <conditionalFormatting sqref="C167:D168 H167:H168">
    <cfRule type="expression" dxfId="1" priority="32">
      <formula>COUNTIF($A$167:$A$168,TRUE)&gt;0</formula>
    </cfRule>
  </conditionalFormatting>
  <conditionalFormatting sqref="C169:D171 H169:H171">
    <cfRule type="expression" dxfId="1" priority="33">
      <formula>COUNTIF($A$169:$A$171,TRUE)&gt;0</formula>
    </cfRule>
  </conditionalFormatting>
  <conditionalFormatting sqref="C172:D173 H172:H173">
    <cfRule type="expression" dxfId="1" priority="34">
      <formula>COUNTIF($A$172:$A$173,TRUE)&gt;0</formula>
    </cfRule>
  </conditionalFormatting>
  <conditionalFormatting sqref="C174:D175 H174:H175">
    <cfRule type="expression" dxfId="1" priority="35">
      <formula>COUNTIF($A$174:$A$175,TRUE)&gt;0</formula>
    </cfRule>
  </conditionalFormatting>
  <conditionalFormatting sqref="C176:D178 H176:H178">
    <cfRule type="expression" dxfId="1" priority="36">
      <formula>COUNTIF($A$176:$A$178,TRUE)&gt;0</formula>
    </cfRule>
  </conditionalFormatting>
  <conditionalFormatting sqref="C179:D180 H179:H180">
    <cfRule type="expression" dxfId="1" priority="37">
      <formula>COUNTIF($A$179:$A$180,TRUE)&gt;0</formula>
    </cfRule>
  </conditionalFormatting>
  <conditionalFormatting sqref="C181:D182 H181:H182">
    <cfRule type="expression" dxfId="1" priority="38">
      <formula>COUNTIF($A$181:$A$182,TRUE)&gt;0</formula>
    </cfRule>
  </conditionalFormatting>
  <conditionalFormatting sqref="C183:D191 H183:H191">
    <cfRule type="expression" dxfId="1" priority="39">
      <formula>COUNTIF($A$183:$A$191,TRUE)&gt;0</formula>
    </cfRule>
  </conditionalFormatting>
  <conditionalFormatting sqref="C192:D193 H192:H193">
    <cfRule type="expression" dxfId="1" priority="40">
      <formula>COUNTIF($A$192:$A$193,TRUE)&gt;0</formula>
    </cfRule>
  </conditionalFormatting>
  <conditionalFormatting sqref="C194:D195 H194:H195">
    <cfRule type="expression" dxfId="1" priority="41">
      <formula>COUNTIF($A$194:$A$195,TRUE)&gt;0</formula>
    </cfRule>
  </conditionalFormatting>
  <conditionalFormatting sqref="C196:D197 H196:H197">
    <cfRule type="expression" dxfId="1" priority="42">
      <formula>COUNTIF($A$196:$A$197,TRUE)&gt;0</formula>
    </cfRule>
  </conditionalFormatting>
  <conditionalFormatting sqref="C198:D199 H198:H199">
    <cfRule type="expression" dxfId="1" priority="43">
      <formula>COUNTIF($A$198:$A$199,TRUE)&gt;0</formula>
    </cfRule>
  </conditionalFormatting>
  <conditionalFormatting sqref="C200:D201 H200:H201">
    <cfRule type="expression" dxfId="1" priority="44">
      <formula>COUNTIF($A$200:$A$201,TRUE)&gt;0</formula>
    </cfRule>
  </conditionalFormatting>
  <conditionalFormatting sqref="C202:D203 H202:H203">
    <cfRule type="expression" dxfId="1" priority="45">
      <formula>COUNTIF($A$202:$A$203,TRUE)&gt;0</formula>
    </cfRule>
  </conditionalFormatting>
  <conditionalFormatting sqref="C206:D207 H206:H207">
    <cfRule type="expression" dxfId="1" priority="46">
      <formula>COUNTIF($A$206:$A$207,TRUE)&gt;0</formula>
    </cfRule>
  </conditionalFormatting>
  <conditionalFormatting sqref="C209:D210 H209:H210">
    <cfRule type="expression" dxfId="1" priority="47">
      <formula>COUNTIF($A$209:$A$210,TRUE)&gt;0</formula>
    </cfRule>
  </conditionalFormatting>
  <conditionalFormatting sqref="C211:D212 H211:H212">
    <cfRule type="expression" dxfId="1" priority="48">
      <formula>COUNTIF($A$211:$A$212,TRUE)&gt;0</formula>
    </cfRule>
  </conditionalFormatting>
  <conditionalFormatting sqref="C213:D215 H213:H215">
    <cfRule type="expression" dxfId="1" priority="49">
      <formula>COUNTIF($A$213:$A$215,TRUE)&gt;0</formula>
    </cfRule>
  </conditionalFormatting>
  <conditionalFormatting sqref="C217:D218 H217:H218">
    <cfRule type="expression" dxfId="1" priority="50">
      <formula>COUNTIF($A$217:$A$218,TRUE)&gt;0</formula>
    </cfRule>
  </conditionalFormatting>
  <conditionalFormatting sqref="C219:D220 H219:H220">
    <cfRule type="expression" dxfId="1" priority="51">
      <formula>COUNTIF($A$219:$A$220,TRUE)&gt;0</formula>
    </cfRule>
  </conditionalFormatting>
  <conditionalFormatting sqref="C223:D224 H223:H224">
    <cfRule type="expression" dxfId="1" priority="52">
      <formula>COUNTIF($A$223:$A$224,TRUE)&gt;0</formula>
    </cfRule>
  </conditionalFormatting>
  <conditionalFormatting sqref="C225:D226 H225:H226">
    <cfRule type="expression" dxfId="1" priority="53">
      <formula>COUNTIF($A$225:$A$226,TRUE)&gt;0</formula>
    </cfRule>
  </conditionalFormatting>
  <conditionalFormatting sqref="C228:D229 H228:H229">
    <cfRule type="expression" dxfId="1" priority="54">
      <formula>COUNTIF($A$228:$A$229,TRUE)&gt;0</formula>
    </cfRule>
  </conditionalFormatting>
  <conditionalFormatting sqref="C230:D231 H230:H231">
    <cfRule type="expression" dxfId="1" priority="55">
      <formula>COUNTIF($A$230:$A$231,TRUE)&gt;0</formula>
    </cfRule>
  </conditionalFormatting>
  <conditionalFormatting sqref="C232:D233 H232:H233">
    <cfRule type="expression" dxfId="1" priority="56">
      <formula>COUNTIF($A$232:$A$233,TRUE)&gt;0</formula>
    </cfRule>
  </conditionalFormatting>
  <conditionalFormatting sqref="C234:D235 H234:H235">
    <cfRule type="expression" dxfId="1" priority="57">
      <formula>COUNTIF($A$234:$A$235,TRUE)&gt;0</formula>
    </cfRule>
  </conditionalFormatting>
  <conditionalFormatting sqref="C236:D237 H236:H237">
    <cfRule type="expression" dxfId="1" priority="58">
      <formula>COUNTIF($A$236:$A$237,TRUE)&gt;0</formula>
    </cfRule>
  </conditionalFormatting>
  <conditionalFormatting sqref="C238:D240 H238:H240">
    <cfRule type="expression" dxfId="1" priority="59">
      <formula>COUNTIF($A$238:$A$240,TRUE)&gt;0</formula>
    </cfRule>
  </conditionalFormatting>
  <conditionalFormatting sqref="C241:D242 H241:H242">
    <cfRule type="expression" dxfId="1" priority="60">
      <formula>COUNTIF($A$241:$A$242,TRUE)&gt;0</formula>
    </cfRule>
  </conditionalFormatting>
  <conditionalFormatting sqref="C246:D247 H246:H247">
    <cfRule type="expression" dxfId="1" priority="61">
      <formula>COUNTIF($A$246:$A$247,TRUE)&gt;0</formula>
    </cfRule>
  </conditionalFormatting>
  <conditionalFormatting sqref="C248:D249 H248:H249">
    <cfRule type="expression" dxfId="1" priority="62">
      <formula>COUNTIF($A$248:$A$249,TRUE)&gt;0</formula>
    </cfRule>
  </conditionalFormatting>
  <conditionalFormatting sqref="C251:D252 H251:H252">
    <cfRule type="expression" dxfId="1" priority="63">
      <formula>COUNTIF($A$251:$A$252,TRUE)&gt;0</formula>
    </cfRule>
  </conditionalFormatting>
  <conditionalFormatting sqref="C254:D255 H254:H255">
    <cfRule type="expression" dxfId="1" priority="64">
      <formula>COUNTIF($A$254:$A$255,TRUE)&gt;0</formula>
    </cfRule>
  </conditionalFormatting>
  <conditionalFormatting sqref="C256:D257 H256:H257">
    <cfRule type="expression" dxfId="1" priority="65">
      <formula>COUNTIF($A$256:$A$257,TRUE)&gt;0</formula>
    </cfRule>
  </conditionalFormatting>
  <conditionalFormatting sqref="C258:D259 H258:H259">
    <cfRule type="expression" dxfId="1" priority="66">
      <formula>COUNTIF($A$258:$A$259,TRUE)&gt;0</formula>
    </cfRule>
  </conditionalFormatting>
  <conditionalFormatting sqref="C260:D261 H260:H261">
    <cfRule type="expression" dxfId="1" priority="67">
      <formula>COUNTIF($A$260:$A$261,TRUE)&gt;0</formula>
    </cfRule>
  </conditionalFormatting>
  <conditionalFormatting sqref="C262:D263 H262:H263">
    <cfRule type="expression" dxfId="1" priority="68">
      <formula>COUNTIF($A$262:$A$263,TRUE)&gt;0</formula>
    </cfRule>
  </conditionalFormatting>
  <conditionalFormatting sqref="C264:D265 H264:H265">
    <cfRule type="expression" dxfId="1" priority="69">
      <formula>COUNTIF($A$264:$A$265,TRUE)&gt;0</formula>
    </cfRule>
  </conditionalFormatting>
  <conditionalFormatting sqref="C267:D268 H267:H268">
    <cfRule type="expression" dxfId="1" priority="70">
      <formula>COUNTIF($A$267:$A$268,TRUE)&gt;0</formula>
    </cfRule>
  </conditionalFormatting>
  <conditionalFormatting sqref="C269:D270 H269:H270">
    <cfRule type="expression" dxfId="1" priority="71">
      <formula>COUNTIF($A$269:$A$270,TRUE)&gt;0</formula>
    </cfRule>
  </conditionalFormatting>
  <conditionalFormatting sqref="C271:D273 H271:H273">
    <cfRule type="expression" dxfId="1" priority="72">
      <formula>COUNTIF($A$271:$A$273,TRUE)&gt;0</formula>
    </cfRule>
  </conditionalFormatting>
  <conditionalFormatting sqref="C274:D275 H274:H275">
    <cfRule type="expression" dxfId="1" priority="73">
      <formula>COUNTIF($A$274:$A$275,TRUE)&gt;0</formula>
    </cfRule>
  </conditionalFormatting>
  <conditionalFormatting sqref="C276:D277 H276:H277">
    <cfRule type="expression" dxfId="1" priority="74">
      <formula>COUNTIF($A$276:$A$277,TRUE)&gt;0</formula>
    </cfRule>
  </conditionalFormatting>
  <conditionalFormatting sqref="C278:D279 H278:H279">
    <cfRule type="expression" dxfId="1" priority="75">
      <formula>COUNTIF($A$278:$A$279,TRUE)&gt;0</formula>
    </cfRule>
  </conditionalFormatting>
  <conditionalFormatting sqref="C280:D282 H280:H282">
    <cfRule type="expression" dxfId="1" priority="76">
      <formula>COUNTIF($A$280:$A$282,TRUE)&gt;0</formula>
    </cfRule>
  </conditionalFormatting>
  <conditionalFormatting sqref="C283:D285 H283:H285">
    <cfRule type="expression" dxfId="1" priority="77">
      <formula>COUNTIF($A$283:$A$285,TRUE)&gt;0</formula>
    </cfRule>
  </conditionalFormatting>
  <conditionalFormatting sqref="C286:D288 H286:H288">
    <cfRule type="expression" dxfId="1" priority="78">
      <formula>COUNTIF($A$286:$A$288,TRUE)&gt;0</formula>
    </cfRule>
  </conditionalFormatting>
  <conditionalFormatting sqref="C289:D291 H289:H291">
    <cfRule type="expression" dxfId="1" priority="79">
      <formula>COUNTIF($A$289:$A$291,TRUE)&gt;0</formula>
    </cfRule>
  </conditionalFormatting>
  <conditionalFormatting sqref="C292:D293 H292:H293">
    <cfRule type="expression" dxfId="1" priority="80">
      <formula>COUNTIF($A$292:$A$293,TRUE)&gt;0</formula>
    </cfRule>
  </conditionalFormatting>
  <conditionalFormatting sqref="C295:D296 H295:H296">
    <cfRule type="expression" dxfId="1" priority="81">
      <formula>COUNTIF($A$295:$A$296,TRUE)&gt;0</formula>
    </cfRule>
  </conditionalFormatting>
  <conditionalFormatting sqref="C297:D298 H297:H298">
    <cfRule type="expression" dxfId="1" priority="82">
      <formula>COUNTIF($A$297:$A$298,TRUE)&gt;0</formula>
    </cfRule>
  </conditionalFormatting>
  <conditionalFormatting sqref="C302:D303 H302:H303">
    <cfRule type="expression" dxfId="1" priority="83">
      <formula>COUNTIF($A$302:$A$303,TRUE)&gt;0</formula>
    </cfRule>
  </conditionalFormatting>
  <conditionalFormatting sqref="C307:D308 H307:H308">
    <cfRule type="expression" dxfId="1" priority="84">
      <formula>COUNTIF($A$307:$A$308,TRUE)&gt;0</formula>
    </cfRule>
  </conditionalFormatting>
  <conditionalFormatting sqref="C309:D311 H309:H311">
    <cfRule type="expression" dxfId="1" priority="85">
      <formula>COUNTIF($A$309:$A$311,TRUE)&gt;0</formula>
    </cfRule>
  </conditionalFormatting>
  <conditionalFormatting sqref="C312:D313 H312:H313">
    <cfRule type="expression" dxfId="1" priority="86">
      <formula>COUNTIF($A$312:$A$313,TRUE)&gt;0</formula>
    </cfRule>
  </conditionalFormatting>
  <conditionalFormatting sqref="C315:D316 H315:H316">
    <cfRule type="expression" dxfId="1" priority="87">
      <formula>COUNTIF($A$315:$A$316,TRUE)&gt;0</formula>
    </cfRule>
  </conditionalFormatting>
  <conditionalFormatting sqref="C320:D322 H320:H322">
    <cfRule type="expression" dxfId="1" priority="88">
      <formula>COUNTIF($A$320:$A$322,TRUE)&gt;0</formula>
    </cfRule>
  </conditionalFormatting>
  <conditionalFormatting sqref="C326:D327 H326:H327">
    <cfRule type="expression" dxfId="1" priority="89">
      <formula>COUNTIF($A$326:$A$327,TRUE)&gt;0</formula>
    </cfRule>
  </conditionalFormatting>
  <conditionalFormatting sqref="C328:D330 H328:H330">
    <cfRule type="expression" dxfId="1" priority="90">
      <formula>COUNTIF($A$328:$A$330,TRUE)&gt;0</formula>
    </cfRule>
  </conditionalFormatting>
  <conditionalFormatting sqref="C331:D332 H331:H332">
    <cfRule type="expression" dxfId="1" priority="91">
      <formula>COUNTIF($A$331:$A$332,TRUE)&gt;0</formula>
    </cfRule>
  </conditionalFormatting>
  <conditionalFormatting sqref="C333:D334 H333:H334">
    <cfRule type="expression" dxfId="1" priority="92">
      <formula>COUNTIF($A$333:$A$334,TRUE)&gt;0</formula>
    </cfRule>
  </conditionalFormatting>
  <conditionalFormatting sqref="C337:D338 H337:H338">
    <cfRule type="expression" dxfId="1" priority="93">
      <formula>COUNTIF($A$337:$A$338,TRUE)&gt;0</formula>
    </cfRule>
  </conditionalFormatting>
  <conditionalFormatting sqref="C341:D342 H341:H342">
    <cfRule type="expression" dxfId="1" priority="94">
      <formula>COUNTIF($A$341:$A$342,TRUE)&gt;0</formula>
    </cfRule>
  </conditionalFormatting>
  <conditionalFormatting sqref="C343:D344 H343:H344">
    <cfRule type="expression" dxfId="1" priority="95">
      <formula>COUNTIF($A$343:$A$344,TRUE)&gt;0</formula>
    </cfRule>
  </conditionalFormatting>
  <conditionalFormatting sqref="C345:D347 H345:H347">
    <cfRule type="expression" dxfId="1" priority="96">
      <formula>COUNTIF($A$345:$A$347,TRUE)&gt;0</formula>
    </cfRule>
  </conditionalFormatting>
  <conditionalFormatting sqref="C348:D349 H348:H349">
    <cfRule type="expression" dxfId="1" priority="97">
      <formula>COUNTIF($A$348:$A$349,TRUE)&gt;0</formula>
    </cfRule>
  </conditionalFormatting>
  <conditionalFormatting sqref="C351:D353 H351:H353">
    <cfRule type="expression" dxfId="1" priority="98">
      <formula>COUNTIF($A$351:$A$353,TRUE)&gt;0</formula>
    </cfRule>
  </conditionalFormatting>
  <conditionalFormatting sqref="C354:D355 H354:H355">
    <cfRule type="expression" dxfId="1" priority="99">
      <formula>COUNTIF($A$354:$A$355,TRUE)&gt;0</formula>
    </cfRule>
  </conditionalFormatting>
  <conditionalFormatting sqref="C356:D357 H356:H357">
    <cfRule type="expression" dxfId="1" priority="100">
      <formula>COUNTIF($A$356:$A$357,TRUE)&gt;0</formula>
    </cfRule>
  </conditionalFormatting>
  <conditionalFormatting sqref="C359:D360 H359:H360">
    <cfRule type="expression" dxfId="1" priority="101">
      <formula>COUNTIF($A$359:$A$360,TRUE)&gt;0</formula>
    </cfRule>
  </conditionalFormatting>
  <conditionalFormatting sqref="C361:D363 H361:H363">
    <cfRule type="expression" dxfId="1" priority="102">
      <formula>COUNTIF($A$361:$A$363,TRUE)&gt;0</formula>
    </cfRule>
  </conditionalFormatting>
  <conditionalFormatting sqref="C365:D366 H365:H366">
    <cfRule type="expression" dxfId="1" priority="103">
      <formula>COUNTIF($A$365:$A$366,TRUE)&gt;0</formula>
    </cfRule>
  </conditionalFormatting>
  <conditionalFormatting sqref="C367:D368 H367:H368">
    <cfRule type="expression" dxfId="1" priority="104">
      <formula>COUNTIF($A$367:$A$368,TRUE)&gt;0</formula>
    </cfRule>
  </conditionalFormatting>
  <conditionalFormatting sqref="C369:D370 H369:H370">
    <cfRule type="expression" dxfId="1" priority="105">
      <formula>COUNTIF($A$369:$A$370,TRUE)&gt;0</formula>
    </cfRule>
  </conditionalFormatting>
  <conditionalFormatting sqref="C371:D373 H371:H373">
    <cfRule type="expression" dxfId="1" priority="106">
      <formula>COUNTIF($A$371:$A$373,TRUE)&gt;0</formula>
    </cfRule>
  </conditionalFormatting>
  <conditionalFormatting sqref="C374:D376 H374:H376">
    <cfRule type="expression" dxfId="1" priority="107">
      <formula>COUNTIF($A$374:$A$376,TRUE)&gt;0</formula>
    </cfRule>
  </conditionalFormatting>
  <conditionalFormatting sqref="C392:D394 H392:H394">
    <cfRule type="expression" dxfId="1" priority="108">
      <formula>COUNTIF($A$392:$A$394,TRUE)&gt;0</formula>
    </cfRule>
  </conditionalFormatting>
  <conditionalFormatting sqref="C395:D396 H395:H396">
    <cfRule type="expression" dxfId="1" priority="109">
      <formula>COUNTIF($A$395:$A$396,TRUE)&gt;0</formula>
    </cfRule>
  </conditionalFormatting>
  <conditionalFormatting sqref="C5:D404 H5:H404">
    <cfRule type="expression" dxfId="2" priority="110">
      <formula>COUNTIF($A$5:$A$404,FALSE)&gt;0</formula>
    </cfRule>
  </conditionalFormatting>
  <printOptions horizontalCentered="1"/>
  <pageMargins bottom="0.75" footer="0.0" header="0.0" left="0.25" right="0.25" top="0.75"/>
  <pageSetup fitToHeight="0"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pageSetUpPr fitToPage="1"/>
  </sheetPr>
  <sheetViews>
    <sheetView workbookViewId="0"/>
  </sheetViews>
  <sheetFormatPr customHeight="1" defaultColWidth="12.63" defaultRowHeight="15.75"/>
  <cols>
    <col customWidth="1" min="1" max="1" width="11.5"/>
    <col customWidth="1" min="2" max="2" width="18.0"/>
    <col customWidth="1" min="3" max="3" width="115.13"/>
    <col customWidth="1" min="5" max="5" width="106.5"/>
  </cols>
  <sheetData>
    <row r="1" ht="47.25" customHeight="1">
      <c r="A1" s="23">
        <v>1.0</v>
      </c>
      <c r="B1" s="23" t="s">
        <v>9</v>
      </c>
      <c r="C1" s="25" t="s">
        <v>10</v>
      </c>
      <c r="D1" s="26"/>
      <c r="E1" s="5"/>
      <c r="F1" s="27"/>
    </row>
    <row r="2" ht="47.25" customHeight="1">
      <c r="A2" s="23">
        <v>2.0</v>
      </c>
      <c r="B2" s="23" t="s">
        <v>11</v>
      </c>
      <c r="C2" s="25" t="s">
        <v>12</v>
      </c>
      <c r="D2" s="26"/>
      <c r="E2" s="5"/>
      <c r="F2" s="27"/>
    </row>
    <row r="3" ht="47.25" customHeight="1">
      <c r="A3" s="23">
        <v>3.0</v>
      </c>
      <c r="B3" s="23" t="s">
        <v>13</v>
      </c>
      <c r="C3" s="25" t="s">
        <v>14</v>
      </c>
      <c r="D3" s="26"/>
      <c r="E3" s="5"/>
      <c r="F3" s="27"/>
    </row>
    <row r="4" ht="47.25" customHeight="1">
      <c r="A4" s="23">
        <v>4.0</v>
      </c>
      <c r="B4" s="23" t="s">
        <v>15</v>
      </c>
      <c r="C4" s="25" t="s">
        <v>10</v>
      </c>
      <c r="D4" s="26"/>
      <c r="E4" s="5"/>
      <c r="F4" s="27"/>
    </row>
    <row r="5" ht="47.25" customHeight="1">
      <c r="A5" s="23">
        <v>5.0</v>
      </c>
      <c r="B5" s="23" t="s">
        <v>16</v>
      </c>
      <c r="C5" s="25" t="s">
        <v>17</v>
      </c>
      <c r="D5" s="26"/>
      <c r="E5" s="5"/>
      <c r="F5" s="28"/>
    </row>
    <row r="6" ht="47.25" customHeight="1">
      <c r="A6" s="23">
        <v>6.0</v>
      </c>
      <c r="B6" s="23" t="s">
        <v>18</v>
      </c>
      <c r="C6" s="25" t="s">
        <v>19</v>
      </c>
      <c r="D6" s="26"/>
      <c r="E6" s="5"/>
      <c r="F6" s="28"/>
    </row>
    <row r="7" ht="47.25" customHeight="1">
      <c r="A7" s="23">
        <v>7.0</v>
      </c>
      <c r="B7" s="23" t="s">
        <v>20</v>
      </c>
      <c r="C7" s="25" t="s">
        <v>10</v>
      </c>
      <c r="D7" s="26"/>
      <c r="E7" s="5"/>
      <c r="F7" s="27"/>
    </row>
    <row r="8" ht="47.25" customHeight="1">
      <c r="A8" s="23">
        <v>8.0</v>
      </c>
      <c r="B8" s="23" t="s">
        <v>21</v>
      </c>
      <c r="C8" s="25" t="s">
        <v>22</v>
      </c>
      <c r="D8" s="26"/>
      <c r="E8" s="5"/>
      <c r="F8" s="28"/>
    </row>
    <row r="9" ht="47.25" customHeight="1">
      <c r="A9" s="23">
        <v>9.0</v>
      </c>
      <c r="B9" s="23" t="s">
        <v>23</v>
      </c>
      <c r="C9" s="25" t="s">
        <v>24</v>
      </c>
      <c r="D9" s="26"/>
      <c r="E9" s="5"/>
      <c r="F9" s="27"/>
    </row>
    <row r="10" ht="47.25" customHeight="1">
      <c r="A10" s="23">
        <v>10.0</v>
      </c>
      <c r="B10" s="23" t="s">
        <v>25</v>
      </c>
      <c r="C10" s="25" t="s">
        <v>26</v>
      </c>
      <c r="D10" s="26"/>
      <c r="E10" s="5"/>
      <c r="F10" s="27"/>
    </row>
    <row r="11" ht="47.25" customHeight="1">
      <c r="A11" s="23">
        <v>11.0</v>
      </c>
      <c r="B11" s="23" t="s">
        <v>27</v>
      </c>
      <c r="C11" s="25" t="s">
        <v>28</v>
      </c>
      <c r="D11" s="26"/>
      <c r="E11" s="5"/>
      <c r="F11" s="27"/>
    </row>
    <row r="12" ht="47.25" customHeight="1">
      <c r="A12" s="23">
        <v>12.0</v>
      </c>
      <c r="B12" s="23" t="s">
        <v>29</v>
      </c>
      <c r="C12" s="25" t="s">
        <v>30</v>
      </c>
      <c r="D12" s="26"/>
      <c r="E12" s="5"/>
      <c r="F12" s="27"/>
    </row>
    <row r="13" ht="47.25" customHeight="1">
      <c r="A13" s="23">
        <v>13.0</v>
      </c>
      <c r="B13" s="23" t="s">
        <v>31</v>
      </c>
      <c r="C13" s="25" t="s">
        <v>32</v>
      </c>
      <c r="D13" s="26"/>
      <c r="E13" s="5"/>
      <c r="F13" s="27"/>
    </row>
    <row r="14" ht="47.25" customHeight="1">
      <c r="A14" s="23">
        <v>14.0</v>
      </c>
      <c r="B14" s="23" t="s">
        <v>33</v>
      </c>
      <c r="C14" s="25" t="s">
        <v>34</v>
      </c>
      <c r="D14" s="26"/>
      <c r="E14" s="5"/>
      <c r="F14" s="27"/>
    </row>
    <row r="15" ht="47.25" customHeight="1">
      <c r="A15" s="23">
        <v>15.0</v>
      </c>
      <c r="B15" s="23" t="s">
        <v>35</v>
      </c>
      <c r="C15" s="25" t="s">
        <v>36</v>
      </c>
      <c r="D15" s="26"/>
      <c r="E15" s="5"/>
      <c r="F15" s="27"/>
    </row>
    <row r="16" ht="47.25" customHeight="1">
      <c r="A16" s="23">
        <v>16.0</v>
      </c>
      <c r="B16" s="23" t="s">
        <v>37</v>
      </c>
      <c r="C16" s="25" t="s">
        <v>38</v>
      </c>
      <c r="D16" s="26"/>
      <c r="E16" s="5"/>
      <c r="F16" s="27"/>
    </row>
    <row r="17" ht="47.25" customHeight="1">
      <c r="A17" s="23">
        <v>17.0</v>
      </c>
      <c r="B17" s="23" t="s">
        <v>39</v>
      </c>
      <c r="C17" s="25" t="s">
        <v>40</v>
      </c>
      <c r="D17" s="26"/>
      <c r="E17" s="5"/>
      <c r="F17" s="27"/>
    </row>
    <row r="18" ht="47.25" customHeight="1">
      <c r="A18" s="23">
        <v>18.0</v>
      </c>
      <c r="B18" s="23" t="s">
        <v>41</v>
      </c>
      <c r="C18" s="25" t="s">
        <v>42</v>
      </c>
      <c r="D18" s="26"/>
      <c r="E18" s="5"/>
      <c r="F18" s="27"/>
    </row>
    <row r="19" ht="47.25" customHeight="1">
      <c r="A19" s="23">
        <v>19.0</v>
      </c>
      <c r="B19" s="23" t="s">
        <v>43</v>
      </c>
      <c r="C19" s="25" t="s">
        <v>44</v>
      </c>
      <c r="D19" s="26"/>
      <c r="E19" s="5"/>
      <c r="F19" s="27"/>
    </row>
    <row r="20" ht="47.25" customHeight="1">
      <c r="A20" s="23">
        <v>20.0</v>
      </c>
      <c r="B20" s="23" t="s">
        <v>45</v>
      </c>
      <c r="C20" s="25" t="s">
        <v>46</v>
      </c>
      <c r="D20" s="26"/>
      <c r="E20" s="5"/>
      <c r="F20" s="27"/>
    </row>
    <row r="21" ht="47.25" customHeight="1">
      <c r="A21" s="23">
        <v>21.0</v>
      </c>
      <c r="B21" s="23" t="s">
        <v>47</v>
      </c>
      <c r="C21" s="25" t="s">
        <v>48</v>
      </c>
      <c r="D21" s="26"/>
      <c r="E21" s="5"/>
      <c r="F21" s="27"/>
    </row>
    <row r="22" ht="47.25" customHeight="1">
      <c r="A22" s="23">
        <v>22.0</v>
      </c>
      <c r="B22" s="23" t="s">
        <v>49</v>
      </c>
      <c r="C22" s="25" t="s">
        <v>50</v>
      </c>
      <c r="D22" s="26"/>
      <c r="E22" s="5"/>
      <c r="F22" s="27"/>
    </row>
    <row r="23" ht="47.25" customHeight="1">
      <c r="A23" s="23">
        <v>23.0</v>
      </c>
      <c r="B23" s="23" t="s">
        <v>51</v>
      </c>
      <c r="C23" s="25" t="s">
        <v>52</v>
      </c>
      <c r="D23" s="26"/>
      <c r="E23" s="5"/>
      <c r="F23" s="27"/>
    </row>
    <row r="24" ht="47.25" customHeight="1">
      <c r="A24" s="23">
        <v>24.0</v>
      </c>
      <c r="B24" s="23" t="s">
        <v>53</v>
      </c>
      <c r="C24" s="25" t="s">
        <v>54</v>
      </c>
      <c r="D24" s="26"/>
      <c r="E24" s="5"/>
      <c r="F24" s="27"/>
    </row>
    <row r="25" ht="47.25" customHeight="1">
      <c r="A25" s="23">
        <v>25.0</v>
      </c>
      <c r="B25" s="23" t="s">
        <v>55</v>
      </c>
      <c r="C25" s="25" t="s">
        <v>56</v>
      </c>
      <c r="D25" s="26"/>
      <c r="E25" s="5"/>
      <c r="F25" s="27"/>
    </row>
    <row r="26" ht="47.25" customHeight="1">
      <c r="A26" s="23">
        <v>26.0</v>
      </c>
      <c r="B26" s="23" t="s">
        <v>57</v>
      </c>
      <c r="C26" s="25" t="s">
        <v>58</v>
      </c>
      <c r="D26" s="26"/>
      <c r="E26" s="5"/>
      <c r="F26" s="27"/>
    </row>
    <row r="27" ht="47.25" customHeight="1">
      <c r="A27" s="23">
        <v>27.0</v>
      </c>
      <c r="B27" s="23" t="s">
        <v>59</v>
      </c>
      <c r="C27" s="25" t="s">
        <v>60</v>
      </c>
      <c r="D27" s="26"/>
      <c r="E27" s="5"/>
      <c r="F27" s="27"/>
    </row>
    <row r="28" ht="47.25" customHeight="1">
      <c r="A28" s="23">
        <v>28.0</v>
      </c>
      <c r="B28" s="23" t="s">
        <v>61</v>
      </c>
      <c r="C28" s="25" t="s">
        <v>62</v>
      </c>
      <c r="D28" s="26"/>
      <c r="E28" s="5"/>
      <c r="F28" s="27"/>
    </row>
    <row r="29" ht="47.25" customHeight="1">
      <c r="A29" s="23">
        <v>29.0</v>
      </c>
      <c r="B29" s="23" t="s">
        <v>63</v>
      </c>
      <c r="C29" s="25" t="s">
        <v>38</v>
      </c>
      <c r="D29" s="26"/>
      <c r="E29" s="5"/>
      <c r="F29" s="27"/>
    </row>
    <row r="30" ht="47.25" customHeight="1">
      <c r="A30" s="23">
        <v>30.0</v>
      </c>
      <c r="B30" s="23" t="s">
        <v>64</v>
      </c>
      <c r="C30" s="25" t="s">
        <v>65</v>
      </c>
      <c r="D30" s="26"/>
      <c r="E30" s="5"/>
      <c r="F30" s="27"/>
    </row>
    <row r="31" ht="47.25" customHeight="1">
      <c r="A31" s="23">
        <v>31.0</v>
      </c>
      <c r="B31" s="23" t="s">
        <v>66</v>
      </c>
      <c r="C31" s="25" t="s">
        <v>67</v>
      </c>
      <c r="D31" s="26"/>
      <c r="E31" s="5"/>
      <c r="F31" s="27"/>
    </row>
    <row r="32" ht="47.25" customHeight="1">
      <c r="A32" s="23">
        <v>32.0</v>
      </c>
      <c r="B32" s="23" t="s">
        <v>68</v>
      </c>
      <c r="C32" s="25" t="s">
        <v>69</v>
      </c>
      <c r="D32" s="26"/>
      <c r="E32" s="5"/>
      <c r="F32" s="27"/>
    </row>
    <row r="33" ht="47.25" customHeight="1">
      <c r="A33" s="23">
        <v>33.0</v>
      </c>
      <c r="B33" s="23" t="s">
        <v>70</v>
      </c>
      <c r="C33" s="25" t="s">
        <v>71</v>
      </c>
      <c r="D33" s="26"/>
      <c r="E33" s="5"/>
      <c r="F33" s="27"/>
    </row>
    <row r="34" ht="47.25" customHeight="1">
      <c r="A34" s="23">
        <v>34.0</v>
      </c>
      <c r="B34" s="23" t="s">
        <v>72</v>
      </c>
      <c r="C34" s="25" t="s">
        <v>73</v>
      </c>
      <c r="D34" s="26"/>
      <c r="E34" s="5"/>
      <c r="F34" s="27"/>
    </row>
    <row r="35" ht="47.25" customHeight="1">
      <c r="A35" s="23">
        <v>35.0</v>
      </c>
      <c r="B35" s="23" t="s">
        <v>74</v>
      </c>
      <c r="C35" s="25" t="s">
        <v>75</v>
      </c>
      <c r="D35" s="26"/>
      <c r="E35" s="5"/>
      <c r="F35" s="27"/>
    </row>
    <row r="36" ht="47.25" customHeight="1">
      <c r="A36" s="23">
        <v>36.0</v>
      </c>
      <c r="B36" s="23" t="s">
        <v>76</v>
      </c>
      <c r="C36" s="25" t="s">
        <v>77</v>
      </c>
      <c r="D36" s="26"/>
      <c r="E36" s="5"/>
      <c r="F36" s="27"/>
    </row>
    <row r="37" ht="47.25" customHeight="1">
      <c r="A37" s="23">
        <v>37.0</v>
      </c>
      <c r="B37" s="23" t="s">
        <v>78</v>
      </c>
      <c r="C37" s="25" t="s">
        <v>79</v>
      </c>
      <c r="D37" s="26"/>
      <c r="E37" s="5"/>
      <c r="F37" s="27"/>
    </row>
    <row r="38" ht="47.25" customHeight="1">
      <c r="A38" s="23">
        <v>38.0</v>
      </c>
      <c r="B38" s="23" t="s">
        <v>80</v>
      </c>
      <c r="C38" s="25" t="s">
        <v>81</v>
      </c>
      <c r="D38" s="26"/>
      <c r="E38" s="5"/>
      <c r="F38" s="27"/>
    </row>
    <row r="39" ht="47.25" customHeight="1">
      <c r="A39" s="23">
        <v>39.0</v>
      </c>
      <c r="B39" s="23" t="s">
        <v>82</v>
      </c>
      <c r="C39" s="25" t="s">
        <v>83</v>
      </c>
      <c r="D39" s="26"/>
      <c r="E39" s="5"/>
      <c r="F39" s="27"/>
    </row>
    <row r="40" ht="47.25" customHeight="1">
      <c r="A40" s="23">
        <v>40.0</v>
      </c>
      <c r="B40" s="23" t="s">
        <v>84</v>
      </c>
      <c r="C40" s="25" t="s">
        <v>85</v>
      </c>
      <c r="D40" s="26"/>
      <c r="E40" s="5"/>
      <c r="F40" s="27"/>
    </row>
    <row r="41" ht="47.25" customHeight="1">
      <c r="A41" s="23">
        <v>41.0</v>
      </c>
      <c r="B41" s="23" t="s">
        <v>86</v>
      </c>
      <c r="C41" s="25" t="s">
        <v>87</v>
      </c>
      <c r="D41" s="26"/>
      <c r="E41" s="5"/>
      <c r="F41" s="27"/>
    </row>
    <row r="42" ht="47.25" customHeight="1">
      <c r="A42" s="23">
        <v>42.0</v>
      </c>
      <c r="B42" s="23" t="s">
        <v>88</v>
      </c>
      <c r="C42" s="25" t="s">
        <v>89</v>
      </c>
      <c r="D42" s="26"/>
      <c r="E42" s="5"/>
      <c r="F42" s="27"/>
    </row>
    <row r="43" ht="47.25" customHeight="1">
      <c r="A43" s="23">
        <v>43.0</v>
      </c>
      <c r="B43" s="23" t="s">
        <v>90</v>
      </c>
      <c r="C43" s="25" t="s">
        <v>91</v>
      </c>
      <c r="D43" s="26"/>
      <c r="E43" s="5"/>
      <c r="F43" s="27"/>
    </row>
    <row r="44" ht="47.25" customHeight="1">
      <c r="A44" s="23">
        <v>44.0</v>
      </c>
      <c r="B44" s="23" t="s">
        <v>92</v>
      </c>
      <c r="C44" s="25" t="s">
        <v>93</v>
      </c>
      <c r="D44" s="26"/>
      <c r="E44" s="5"/>
      <c r="F44" s="27"/>
    </row>
    <row r="45" ht="47.25" customHeight="1">
      <c r="A45" s="23">
        <v>45.0</v>
      </c>
      <c r="B45" s="23" t="s">
        <v>94</v>
      </c>
      <c r="C45" s="25" t="s">
        <v>95</v>
      </c>
      <c r="D45" s="26"/>
      <c r="E45" s="5"/>
      <c r="F45" s="27"/>
    </row>
    <row r="46" ht="47.25" customHeight="1">
      <c r="A46" s="23">
        <v>46.0</v>
      </c>
      <c r="B46" s="23" t="s">
        <v>96</v>
      </c>
      <c r="C46" s="25" t="s">
        <v>97</v>
      </c>
      <c r="D46" s="26"/>
      <c r="E46" s="5"/>
      <c r="F46" s="27"/>
    </row>
    <row r="47" ht="47.25" customHeight="1">
      <c r="A47" s="23">
        <v>47.0</v>
      </c>
      <c r="B47" s="23" t="s">
        <v>98</v>
      </c>
      <c r="C47" s="25" t="s">
        <v>99</v>
      </c>
      <c r="D47" s="26"/>
      <c r="E47" s="5"/>
      <c r="F47" s="27"/>
    </row>
    <row r="48" ht="47.25" customHeight="1">
      <c r="A48" s="23">
        <v>48.0</v>
      </c>
      <c r="B48" s="23" t="s">
        <v>100</v>
      </c>
      <c r="C48" s="25" t="s">
        <v>101</v>
      </c>
      <c r="D48" s="26"/>
      <c r="E48" s="5"/>
      <c r="F48" s="27"/>
    </row>
    <row r="49" ht="47.25" customHeight="1">
      <c r="A49" s="23">
        <v>49.0</v>
      </c>
      <c r="B49" s="23" t="s">
        <v>102</v>
      </c>
      <c r="C49" s="25" t="s">
        <v>103</v>
      </c>
      <c r="D49" s="26"/>
      <c r="E49" s="5"/>
      <c r="F49" s="27"/>
    </row>
    <row r="50" ht="47.25" customHeight="1">
      <c r="A50" s="23">
        <v>50.0</v>
      </c>
      <c r="B50" s="23" t="s">
        <v>104</v>
      </c>
      <c r="C50" s="25" t="s">
        <v>105</v>
      </c>
      <c r="D50" s="26"/>
      <c r="E50" s="5"/>
      <c r="F50" s="27"/>
    </row>
    <row r="51" ht="47.25" customHeight="1">
      <c r="A51" s="23">
        <v>51.0</v>
      </c>
      <c r="B51" s="23" t="s">
        <v>106</v>
      </c>
      <c r="C51" s="25" t="s">
        <v>107</v>
      </c>
      <c r="D51" s="26"/>
      <c r="E51" s="5"/>
      <c r="F51" s="27"/>
    </row>
    <row r="52" ht="47.25" customHeight="1">
      <c r="A52" s="23">
        <v>52.0</v>
      </c>
      <c r="B52" s="23" t="s">
        <v>108</v>
      </c>
      <c r="C52" s="25" t="s">
        <v>109</v>
      </c>
      <c r="D52" s="26"/>
      <c r="E52" s="5"/>
      <c r="F52" s="27"/>
    </row>
    <row r="53" ht="47.25" customHeight="1">
      <c r="A53" s="23">
        <v>53.0</v>
      </c>
      <c r="B53" s="23" t="s">
        <v>110</v>
      </c>
      <c r="C53" s="25" t="s">
        <v>111</v>
      </c>
      <c r="D53" s="26"/>
      <c r="E53" s="5"/>
      <c r="F53" s="27"/>
    </row>
    <row r="54" ht="47.25" customHeight="1">
      <c r="A54" s="23">
        <v>54.0</v>
      </c>
      <c r="B54" s="23" t="s">
        <v>112</v>
      </c>
      <c r="C54" s="25" t="s">
        <v>113</v>
      </c>
      <c r="D54" s="26"/>
      <c r="E54" s="5"/>
      <c r="F54" s="27"/>
    </row>
    <row r="55" ht="47.25" customHeight="1">
      <c r="A55" s="23">
        <v>55.0</v>
      </c>
      <c r="B55" s="23" t="s">
        <v>114</v>
      </c>
      <c r="C55" s="25" t="s">
        <v>115</v>
      </c>
      <c r="D55" s="26"/>
      <c r="E55" s="5"/>
      <c r="F55" s="27"/>
    </row>
    <row r="56" ht="47.25" customHeight="1">
      <c r="A56" s="23">
        <v>56.0</v>
      </c>
      <c r="B56" s="23" t="s">
        <v>116</v>
      </c>
      <c r="C56" s="25" t="s">
        <v>117</v>
      </c>
      <c r="D56" s="26"/>
      <c r="E56" s="5"/>
      <c r="F56" s="27"/>
    </row>
    <row r="57" ht="47.25" customHeight="1">
      <c r="A57" s="23">
        <v>57.0</v>
      </c>
      <c r="B57" s="23" t="s">
        <v>118</v>
      </c>
      <c r="C57" s="25" t="s">
        <v>119</v>
      </c>
      <c r="D57" s="26"/>
      <c r="E57" s="5"/>
      <c r="F57" s="27"/>
    </row>
    <row r="58" ht="47.25" customHeight="1">
      <c r="A58" s="23">
        <v>58.0</v>
      </c>
      <c r="B58" s="23" t="s">
        <v>120</v>
      </c>
      <c r="C58" s="25" t="s">
        <v>121</v>
      </c>
      <c r="D58" s="26"/>
      <c r="E58" s="5"/>
      <c r="F58" s="27"/>
    </row>
    <row r="59" ht="47.25" customHeight="1">
      <c r="A59" s="23">
        <v>59.0</v>
      </c>
      <c r="B59" s="23" t="s">
        <v>122</v>
      </c>
      <c r="C59" s="25" t="s">
        <v>123</v>
      </c>
      <c r="D59" s="26"/>
      <c r="E59" s="5"/>
      <c r="F59" s="27"/>
    </row>
    <row r="60" ht="47.25" customHeight="1">
      <c r="A60" s="23">
        <v>60.0</v>
      </c>
      <c r="B60" s="23" t="s">
        <v>124</v>
      </c>
      <c r="C60" s="25" t="s">
        <v>125</v>
      </c>
      <c r="D60" s="26"/>
      <c r="E60" s="5"/>
      <c r="F60" s="27"/>
    </row>
    <row r="61" ht="47.25" customHeight="1">
      <c r="A61" s="23">
        <v>61.0</v>
      </c>
      <c r="B61" s="23" t="s">
        <v>126</v>
      </c>
      <c r="C61" s="25" t="s">
        <v>127</v>
      </c>
      <c r="D61" s="26"/>
      <c r="E61" s="5"/>
      <c r="F61" s="27"/>
    </row>
    <row r="62" ht="47.25" customHeight="1">
      <c r="A62" s="23">
        <v>62.0</v>
      </c>
      <c r="B62" s="23" t="s">
        <v>128</v>
      </c>
      <c r="C62" s="25" t="s">
        <v>129</v>
      </c>
      <c r="D62" s="26"/>
      <c r="E62" s="5"/>
      <c r="F62" s="27"/>
    </row>
    <row r="63" ht="47.25" customHeight="1">
      <c r="A63" s="23">
        <v>63.0</v>
      </c>
      <c r="B63" s="23" t="s">
        <v>130</v>
      </c>
      <c r="C63" s="25" t="s">
        <v>131</v>
      </c>
      <c r="D63" s="26"/>
      <c r="E63" s="5"/>
      <c r="F63" s="27"/>
    </row>
    <row r="64" ht="47.25" customHeight="1">
      <c r="A64" s="23">
        <v>64.0</v>
      </c>
      <c r="B64" s="23" t="s">
        <v>132</v>
      </c>
      <c r="C64" s="25" t="s">
        <v>133</v>
      </c>
      <c r="D64" s="26"/>
      <c r="E64" s="5"/>
      <c r="F64" s="27"/>
    </row>
    <row r="65" ht="47.25" customHeight="1">
      <c r="A65" s="23">
        <v>65.0</v>
      </c>
      <c r="B65" s="23" t="s">
        <v>134</v>
      </c>
      <c r="C65" s="25" t="s">
        <v>135</v>
      </c>
      <c r="D65" s="26"/>
      <c r="E65" s="5"/>
      <c r="F65" s="27"/>
    </row>
    <row r="66" ht="47.25" customHeight="1">
      <c r="A66" s="23">
        <v>66.0</v>
      </c>
      <c r="B66" s="23" t="s">
        <v>136</v>
      </c>
      <c r="C66" s="25" t="s">
        <v>137</v>
      </c>
      <c r="D66" s="26"/>
      <c r="E66" s="5"/>
      <c r="F66" s="27"/>
    </row>
    <row r="67" ht="47.25" customHeight="1">
      <c r="A67" s="23">
        <v>67.0</v>
      </c>
      <c r="B67" s="23" t="s">
        <v>138</v>
      </c>
      <c r="C67" s="25" t="s">
        <v>139</v>
      </c>
      <c r="D67" s="26"/>
      <c r="E67" s="5"/>
      <c r="F67" s="27"/>
    </row>
    <row r="68" ht="47.25" customHeight="1">
      <c r="A68" s="23">
        <v>68.0</v>
      </c>
      <c r="B68" s="23" t="s">
        <v>140</v>
      </c>
      <c r="C68" s="25" t="s">
        <v>141</v>
      </c>
      <c r="D68" s="26"/>
      <c r="E68" s="5"/>
      <c r="F68" s="27"/>
    </row>
    <row r="69" ht="47.25" customHeight="1">
      <c r="A69" s="23">
        <v>69.0</v>
      </c>
      <c r="B69" s="23" t="s">
        <v>142</v>
      </c>
      <c r="C69" s="25" t="s">
        <v>143</v>
      </c>
      <c r="D69" s="26"/>
      <c r="E69" s="5"/>
      <c r="F69" s="27"/>
    </row>
    <row r="70" ht="47.25" customHeight="1">
      <c r="A70" s="23">
        <v>70.0</v>
      </c>
      <c r="B70" s="23" t="s">
        <v>144</v>
      </c>
      <c r="C70" s="25" t="s">
        <v>145</v>
      </c>
      <c r="D70" s="26"/>
      <c r="E70" s="5"/>
      <c r="F70" s="27"/>
    </row>
    <row r="71" ht="47.25" customHeight="1">
      <c r="A71" s="23">
        <v>71.0</v>
      </c>
      <c r="B71" s="23" t="s">
        <v>146</v>
      </c>
      <c r="C71" s="25" t="s">
        <v>147</v>
      </c>
      <c r="D71" s="26"/>
      <c r="E71" s="5"/>
      <c r="F71" s="27"/>
    </row>
    <row r="72" ht="47.25" customHeight="1">
      <c r="A72" s="23">
        <v>72.0</v>
      </c>
      <c r="B72" s="23" t="s">
        <v>148</v>
      </c>
      <c r="C72" s="25" t="s">
        <v>149</v>
      </c>
      <c r="D72" s="26"/>
      <c r="E72" s="5"/>
      <c r="F72" s="27"/>
    </row>
    <row r="73" ht="47.25" customHeight="1">
      <c r="A73" s="23">
        <v>73.0</v>
      </c>
      <c r="B73" s="23" t="s">
        <v>150</v>
      </c>
      <c r="C73" s="25" t="s">
        <v>38</v>
      </c>
      <c r="D73" s="26"/>
      <c r="E73" s="5"/>
      <c r="F73" s="27"/>
    </row>
    <row r="74" ht="47.25" customHeight="1">
      <c r="A74" s="23">
        <v>74.0</v>
      </c>
      <c r="B74" s="23" t="s">
        <v>151</v>
      </c>
      <c r="C74" s="25" t="s">
        <v>152</v>
      </c>
      <c r="D74" s="26"/>
      <c r="E74" s="5"/>
      <c r="F74" s="27"/>
    </row>
    <row r="75" ht="47.25" customHeight="1">
      <c r="A75" s="23">
        <v>75.0</v>
      </c>
      <c r="B75" s="23" t="s">
        <v>153</v>
      </c>
      <c r="C75" s="25" t="s">
        <v>154</v>
      </c>
      <c r="D75" s="26"/>
      <c r="E75" s="5"/>
      <c r="F75" s="27"/>
    </row>
    <row r="76" ht="47.25" customHeight="1">
      <c r="A76" s="23">
        <v>76.0</v>
      </c>
      <c r="B76" s="23" t="s">
        <v>155</v>
      </c>
      <c r="C76" s="25" t="s">
        <v>38</v>
      </c>
      <c r="D76" s="26"/>
      <c r="E76" s="5"/>
      <c r="F76" s="27"/>
    </row>
    <row r="77" ht="47.25" customHeight="1">
      <c r="A77" s="23">
        <v>77.0</v>
      </c>
      <c r="B77" s="23" t="s">
        <v>156</v>
      </c>
      <c r="C77" s="25" t="s">
        <v>157</v>
      </c>
      <c r="D77" s="26"/>
      <c r="E77" s="5"/>
      <c r="F77" s="27"/>
    </row>
    <row r="78" ht="47.25" customHeight="1">
      <c r="A78" s="23">
        <v>78.0</v>
      </c>
      <c r="B78" s="23" t="s">
        <v>158</v>
      </c>
      <c r="C78" s="25" t="s">
        <v>159</v>
      </c>
      <c r="D78" s="26"/>
      <c r="E78" s="5"/>
      <c r="F78" s="27"/>
    </row>
    <row r="79" ht="47.25" customHeight="1">
      <c r="A79" s="23">
        <v>79.0</v>
      </c>
      <c r="B79" s="23" t="s">
        <v>160</v>
      </c>
      <c r="C79" s="25" t="s">
        <v>161</v>
      </c>
      <c r="D79" s="26"/>
      <c r="E79" s="5"/>
      <c r="F79" s="27"/>
    </row>
    <row r="80" ht="47.25" customHeight="1">
      <c r="A80" s="23">
        <v>80.0</v>
      </c>
      <c r="B80" s="23" t="s">
        <v>162</v>
      </c>
      <c r="C80" s="25" t="s">
        <v>163</v>
      </c>
      <c r="D80" s="26"/>
      <c r="E80" s="5"/>
      <c r="F80" s="27"/>
    </row>
    <row r="81" ht="47.25" customHeight="1">
      <c r="A81" s="23">
        <v>81.0</v>
      </c>
      <c r="B81" s="23" t="s">
        <v>164</v>
      </c>
      <c r="C81" s="25" t="s">
        <v>165</v>
      </c>
      <c r="D81" s="26"/>
      <c r="E81" s="5"/>
      <c r="F81" s="27"/>
    </row>
    <row r="82" ht="47.25" customHeight="1">
      <c r="A82" s="23">
        <v>82.0</v>
      </c>
      <c r="B82" s="23" t="s">
        <v>166</v>
      </c>
      <c r="C82" s="25" t="s">
        <v>167</v>
      </c>
      <c r="D82" s="26"/>
      <c r="E82" s="5"/>
      <c r="F82" s="27"/>
    </row>
    <row r="83" ht="47.25" customHeight="1">
      <c r="A83" s="23">
        <v>83.0</v>
      </c>
      <c r="B83" s="23" t="s">
        <v>168</v>
      </c>
      <c r="C83" s="25" t="s">
        <v>169</v>
      </c>
      <c r="D83" s="26"/>
      <c r="E83" s="5"/>
      <c r="F83" s="27"/>
    </row>
    <row r="84" ht="47.25" customHeight="1">
      <c r="A84" s="23">
        <v>84.0</v>
      </c>
      <c r="B84" s="23" t="s">
        <v>170</v>
      </c>
      <c r="C84" s="25" t="s">
        <v>171</v>
      </c>
      <c r="D84" s="26"/>
      <c r="E84" s="5"/>
      <c r="F84" s="27"/>
    </row>
    <row r="85" ht="47.25" customHeight="1">
      <c r="A85" s="23">
        <v>85.0</v>
      </c>
      <c r="B85" s="23" t="s">
        <v>172</v>
      </c>
      <c r="C85" s="25" t="s">
        <v>173</v>
      </c>
      <c r="D85" s="26"/>
      <c r="E85" s="5"/>
      <c r="F85" s="27"/>
    </row>
    <row r="86" ht="47.25" customHeight="1">
      <c r="A86" s="23">
        <v>86.0</v>
      </c>
      <c r="B86" s="23" t="s">
        <v>174</v>
      </c>
      <c r="C86" s="25" t="s">
        <v>175</v>
      </c>
      <c r="D86" s="26"/>
      <c r="E86" s="5"/>
      <c r="F86" s="27"/>
    </row>
    <row r="87" ht="47.25" customHeight="1">
      <c r="A87" s="23">
        <v>87.0</v>
      </c>
      <c r="B87" s="23" t="s">
        <v>176</v>
      </c>
      <c r="C87" s="25" t="s">
        <v>38</v>
      </c>
      <c r="D87" s="26"/>
      <c r="E87" s="5"/>
      <c r="F87" s="27"/>
    </row>
    <row r="88" ht="47.25" customHeight="1">
      <c r="A88" s="23">
        <v>88.0</v>
      </c>
      <c r="B88" s="23" t="s">
        <v>177</v>
      </c>
      <c r="C88" s="25" t="s">
        <v>178</v>
      </c>
      <c r="D88" s="26"/>
      <c r="E88" s="5"/>
      <c r="F88" s="27"/>
    </row>
    <row r="89" ht="47.25" customHeight="1">
      <c r="A89" s="23">
        <v>89.0</v>
      </c>
      <c r="B89" s="23" t="s">
        <v>179</v>
      </c>
      <c r="C89" s="25" t="s">
        <v>180</v>
      </c>
      <c r="D89" s="26"/>
      <c r="E89" s="5"/>
      <c r="F89" s="27"/>
    </row>
    <row r="90" ht="47.25" customHeight="1">
      <c r="A90" s="23">
        <v>90.0</v>
      </c>
      <c r="B90" s="23" t="s">
        <v>181</v>
      </c>
      <c r="C90" s="25" t="s">
        <v>182</v>
      </c>
      <c r="D90" s="26"/>
      <c r="E90" s="5"/>
      <c r="F90" s="27"/>
    </row>
    <row r="91" ht="47.25" customHeight="1">
      <c r="A91" s="23">
        <v>91.0</v>
      </c>
      <c r="B91" s="23" t="s">
        <v>183</v>
      </c>
      <c r="C91" s="25" t="s">
        <v>184</v>
      </c>
      <c r="D91" s="26"/>
      <c r="E91" s="5"/>
      <c r="F91" s="27"/>
    </row>
    <row r="92" ht="47.25" customHeight="1">
      <c r="A92" s="23">
        <v>92.0</v>
      </c>
      <c r="B92" s="23" t="s">
        <v>185</v>
      </c>
      <c r="C92" s="25" t="s">
        <v>186</v>
      </c>
      <c r="D92" s="26"/>
      <c r="E92" s="5"/>
      <c r="F92" s="27"/>
    </row>
    <row r="93" ht="47.25" customHeight="1">
      <c r="A93" s="23">
        <v>93.0</v>
      </c>
      <c r="B93" s="23" t="s">
        <v>187</v>
      </c>
      <c r="C93" s="25" t="s">
        <v>188</v>
      </c>
      <c r="D93" s="26"/>
      <c r="E93" s="5"/>
      <c r="F93" s="27"/>
    </row>
    <row r="94" ht="47.25" customHeight="1">
      <c r="A94" s="23">
        <v>94.0</v>
      </c>
      <c r="B94" s="23" t="s">
        <v>189</v>
      </c>
      <c r="C94" s="25" t="s">
        <v>190</v>
      </c>
      <c r="D94" s="26"/>
      <c r="E94" s="5"/>
      <c r="F94" s="27"/>
    </row>
    <row r="95" ht="47.25" customHeight="1">
      <c r="A95" s="23">
        <v>95.0</v>
      </c>
      <c r="B95" s="23" t="s">
        <v>191</v>
      </c>
      <c r="C95" s="25" t="s">
        <v>192</v>
      </c>
      <c r="D95" s="26"/>
      <c r="E95" s="5"/>
      <c r="F95" s="27"/>
    </row>
    <row r="96" ht="47.25" customHeight="1">
      <c r="A96" s="23">
        <v>96.0</v>
      </c>
      <c r="B96" s="23" t="s">
        <v>193</v>
      </c>
      <c r="C96" s="25" t="s">
        <v>194</v>
      </c>
      <c r="D96" s="26"/>
      <c r="E96" s="5"/>
      <c r="F96" s="27"/>
    </row>
    <row r="97" ht="47.25" customHeight="1">
      <c r="A97" s="23">
        <v>97.0</v>
      </c>
      <c r="B97" s="23" t="s">
        <v>195</v>
      </c>
      <c r="C97" s="25" t="s">
        <v>196</v>
      </c>
      <c r="D97" s="26"/>
      <c r="E97" s="5"/>
      <c r="F97" s="27"/>
    </row>
    <row r="98" ht="47.25" customHeight="1">
      <c r="A98" s="23">
        <v>98.0</v>
      </c>
      <c r="B98" s="23" t="s">
        <v>197</v>
      </c>
      <c r="C98" s="25" t="s">
        <v>198</v>
      </c>
      <c r="D98" s="26"/>
      <c r="E98" s="5"/>
      <c r="F98" s="27"/>
    </row>
    <row r="99" ht="47.25" customHeight="1">
      <c r="A99" s="23">
        <v>99.0</v>
      </c>
      <c r="B99" s="23" t="s">
        <v>199</v>
      </c>
      <c r="C99" s="25" t="s">
        <v>200</v>
      </c>
      <c r="D99" s="26"/>
      <c r="E99" s="5"/>
      <c r="F99" s="27"/>
    </row>
    <row r="100" ht="47.25" customHeight="1">
      <c r="A100" s="23">
        <v>100.0</v>
      </c>
      <c r="B100" s="23" t="s">
        <v>201</v>
      </c>
      <c r="C100" s="25" t="s">
        <v>202</v>
      </c>
      <c r="D100" s="26"/>
      <c r="E100" s="5"/>
      <c r="F100" s="27"/>
    </row>
    <row r="101" ht="47.25" customHeight="1">
      <c r="A101" s="23">
        <v>101.0</v>
      </c>
      <c r="B101" s="23" t="s">
        <v>203</v>
      </c>
      <c r="C101" s="25" t="s">
        <v>204</v>
      </c>
      <c r="D101" s="26"/>
      <c r="E101" s="5"/>
      <c r="F101" s="27"/>
    </row>
    <row r="102" ht="47.25" customHeight="1">
      <c r="A102" s="23">
        <v>102.0</v>
      </c>
      <c r="B102" s="23" t="s">
        <v>205</v>
      </c>
      <c r="C102" s="25" t="s">
        <v>206</v>
      </c>
      <c r="D102" s="26"/>
      <c r="E102" s="5"/>
      <c r="F102" s="27"/>
    </row>
    <row r="103" ht="47.25" customHeight="1">
      <c r="A103" s="23">
        <v>103.0</v>
      </c>
      <c r="B103" s="23" t="s">
        <v>207</v>
      </c>
      <c r="C103" s="25" t="s">
        <v>208</v>
      </c>
      <c r="D103" s="26"/>
      <c r="E103" s="5"/>
      <c r="F103" s="27"/>
    </row>
    <row r="104" ht="47.25" customHeight="1">
      <c r="A104" s="23">
        <v>104.0</v>
      </c>
      <c r="B104" s="23" t="s">
        <v>209</v>
      </c>
      <c r="C104" s="25" t="s">
        <v>210</v>
      </c>
      <c r="D104" s="26"/>
      <c r="E104" s="5"/>
      <c r="F104" s="27"/>
    </row>
    <row r="105" ht="47.25" customHeight="1">
      <c r="A105" s="23">
        <v>105.0</v>
      </c>
      <c r="B105" s="23" t="s">
        <v>211</v>
      </c>
      <c r="C105" s="25" t="s">
        <v>212</v>
      </c>
      <c r="D105" s="26"/>
      <c r="E105" s="5"/>
      <c r="F105" s="27"/>
    </row>
    <row r="106" ht="47.25" customHeight="1">
      <c r="A106" s="23">
        <v>106.0</v>
      </c>
      <c r="B106" s="23" t="s">
        <v>213</v>
      </c>
      <c r="C106" s="25" t="s">
        <v>214</v>
      </c>
      <c r="D106" s="26"/>
      <c r="E106" s="5"/>
      <c r="F106" s="27"/>
    </row>
    <row r="107" ht="47.25" customHeight="1">
      <c r="A107" s="23">
        <v>107.0</v>
      </c>
      <c r="B107" s="23" t="s">
        <v>215</v>
      </c>
      <c r="C107" s="25" t="s">
        <v>216</v>
      </c>
      <c r="D107" s="26"/>
      <c r="E107" s="5"/>
      <c r="F107" s="27"/>
    </row>
    <row r="108" ht="47.25" customHeight="1">
      <c r="A108" s="23">
        <v>108.0</v>
      </c>
      <c r="B108" s="23" t="s">
        <v>217</v>
      </c>
      <c r="C108" s="25" t="s">
        <v>218</v>
      </c>
      <c r="D108" s="26"/>
      <c r="E108" s="5"/>
      <c r="F108" s="27"/>
    </row>
    <row r="109" ht="47.25" customHeight="1">
      <c r="A109" s="23">
        <v>109.0</v>
      </c>
      <c r="B109" s="23" t="s">
        <v>219</v>
      </c>
      <c r="C109" s="25" t="s">
        <v>220</v>
      </c>
      <c r="D109" s="26"/>
      <c r="E109" s="5"/>
      <c r="F109" s="27"/>
    </row>
    <row r="110" ht="47.25" customHeight="1">
      <c r="A110" s="23">
        <v>110.0</v>
      </c>
      <c r="B110" s="23" t="s">
        <v>221</v>
      </c>
      <c r="C110" s="25" t="s">
        <v>220</v>
      </c>
      <c r="D110" s="26"/>
      <c r="E110" s="5"/>
      <c r="F110" s="27"/>
    </row>
    <row r="111" ht="47.25" customHeight="1">
      <c r="A111" s="23">
        <v>111.0</v>
      </c>
      <c r="B111" s="23" t="s">
        <v>222</v>
      </c>
      <c r="C111" s="25" t="s">
        <v>223</v>
      </c>
      <c r="D111" s="26"/>
      <c r="E111" s="5"/>
      <c r="F111" s="27"/>
    </row>
    <row r="112" ht="47.25" customHeight="1">
      <c r="A112" s="23">
        <v>112.0</v>
      </c>
      <c r="B112" s="23" t="s">
        <v>224</v>
      </c>
      <c r="C112" s="25" t="s">
        <v>225</v>
      </c>
      <c r="D112" s="26"/>
      <c r="E112" s="5"/>
      <c r="F112" s="27"/>
    </row>
    <row r="113" ht="47.25" customHeight="1">
      <c r="A113" s="23">
        <v>113.0</v>
      </c>
      <c r="B113" s="23" t="s">
        <v>226</v>
      </c>
      <c r="C113" s="25" t="s">
        <v>227</v>
      </c>
      <c r="D113" s="26"/>
      <c r="E113" s="5"/>
      <c r="F113" s="27"/>
    </row>
    <row r="114" ht="47.25" customHeight="1">
      <c r="A114" s="23">
        <v>114.0</v>
      </c>
      <c r="B114" s="23" t="s">
        <v>228</v>
      </c>
      <c r="C114" s="25" t="s">
        <v>229</v>
      </c>
      <c r="D114" s="26"/>
      <c r="E114" s="5"/>
      <c r="F114" s="27"/>
    </row>
    <row r="115" ht="47.25" customHeight="1">
      <c r="A115" s="23">
        <v>115.0</v>
      </c>
      <c r="B115" s="23" t="s">
        <v>230</v>
      </c>
      <c r="C115" s="25" t="s">
        <v>231</v>
      </c>
      <c r="D115" s="26"/>
      <c r="E115" s="5"/>
      <c r="F115" s="27"/>
    </row>
    <row r="116" ht="47.25" customHeight="1">
      <c r="A116" s="23">
        <v>116.0</v>
      </c>
      <c r="B116" s="23" t="s">
        <v>232</v>
      </c>
      <c r="C116" s="25" t="s">
        <v>233</v>
      </c>
      <c r="D116" s="26"/>
      <c r="E116" s="5"/>
      <c r="F116" s="27"/>
    </row>
    <row r="117" ht="47.25" customHeight="1">
      <c r="A117" s="23">
        <v>117.0</v>
      </c>
      <c r="B117" s="23" t="s">
        <v>234</v>
      </c>
      <c r="C117" s="25" t="s">
        <v>235</v>
      </c>
      <c r="D117" s="26"/>
      <c r="E117" s="5"/>
      <c r="F117" s="27"/>
    </row>
    <row r="118" ht="47.25" customHeight="1">
      <c r="A118" s="23">
        <v>118.0</v>
      </c>
      <c r="B118" s="23" t="s">
        <v>236</v>
      </c>
      <c r="C118" s="25" t="s">
        <v>237</v>
      </c>
      <c r="D118" s="26"/>
      <c r="E118" s="5"/>
      <c r="F118" s="27"/>
    </row>
    <row r="119" ht="47.25" customHeight="1">
      <c r="A119" s="23">
        <v>119.0</v>
      </c>
      <c r="B119" s="23" t="s">
        <v>238</v>
      </c>
      <c r="C119" s="25" t="s">
        <v>239</v>
      </c>
      <c r="D119" s="26"/>
      <c r="E119" s="5"/>
      <c r="F119" s="27"/>
    </row>
    <row r="120" ht="47.25" customHeight="1">
      <c r="A120" s="23">
        <v>120.0</v>
      </c>
      <c r="B120" s="23" t="s">
        <v>240</v>
      </c>
      <c r="C120" s="25" t="s">
        <v>241</v>
      </c>
      <c r="D120" s="26"/>
      <c r="E120" s="5"/>
      <c r="F120" s="27"/>
    </row>
    <row r="121" ht="47.25" customHeight="1">
      <c r="A121" s="23">
        <v>121.0</v>
      </c>
      <c r="B121" s="23" t="s">
        <v>242</v>
      </c>
      <c r="C121" s="25" t="s">
        <v>243</v>
      </c>
      <c r="D121" s="26"/>
      <c r="E121" s="5"/>
      <c r="F121" s="27"/>
    </row>
    <row r="122" ht="47.25" customHeight="1">
      <c r="A122" s="23">
        <v>122.0</v>
      </c>
      <c r="B122" s="23" t="s">
        <v>244</v>
      </c>
      <c r="C122" s="25" t="s">
        <v>245</v>
      </c>
      <c r="D122" s="26"/>
      <c r="E122" s="5"/>
      <c r="F122" s="27"/>
    </row>
    <row r="123" ht="47.25" customHeight="1">
      <c r="A123" s="23">
        <v>123.0</v>
      </c>
      <c r="B123" s="23" t="s">
        <v>246</v>
      </c>
      <c r="C123" s="25" t="s">
        <v>247</v>
      </c>
      <c r="D123" s="26"/>
      <c r="E123" s="5"/>
      <c r="F123" s="27"/>
    </row>
    <row r="124" ht="47.25" customHeight="1">
      <c r="A124" s="23">
        <v>124.0</v>
      </c>
      <c r="B124" s="23" t="s">
        <v>248</v>
      </c>
      <c r="C124" s="25" t="s">
        <v>184</v>
      </c>
      <c r="D124" s="26"/>
      <c r="E124" s="5"/>
      <c r="F124" s="27"/>
    </row>
    <row r="125" ht="47.25" customHeight="1">
      <c r="A125" s="23">
        <v>125.0</v>
      </c>
      <c r="B125" s="23" t="s">
        <v>249</v>
      </c>
      <c r="C125" s="25" t="s">
        <v>250</v>
      </c>
      <c r="D125" s="26"/>
      <c r="E125" s="5"/>
      <c r="F125" s="27"/>
    </row>
    <row r="126" ht="47.25" customHeight="1">
      <c r="A126" s="23">
        <v>126.0</v>
      </c>
      <c r="B126" s="23" t="s">
        <v>251</v>
      </c>
      <c r="C126" s="25" t="s">
        <v>252</v>
      </c>
      <c r="D126" s="26"/>
      <c r="E126" s="5"/>
      <c r="F126" s="27"/>
    </row>
    <row r="127" ht="47.25" customHeight="1">
      <c r="A127" s="23">
        <v>127.0</v>
      </c>
      <c r="B127" s="23" t="s">
        <v>253</v>
      </c>
      <c r="C127" s="25" t="s">
        <v>254</v>
      </c>
      <c r="D127" s="26"/>
      <c r="E127" s="5"/>
      <c r="F127" s="27"/>
    </row>
    <row r="128" ht="47.25" customHeight="1">
      <c r="A128" s="23">
        <v>128.0</v>
      </c>
      <c r="B128" s="23" t="s">
        <v>255</v>
      </c>
      <c r="C128" s="25" t="s">
        <v>256</v>
      </c>
      <c r="D128" s="26"/>
      <c r="E128" s="5"/>
      <c r="F128" s="27"/>
    </row>
    <row r="129" ht="47.25" customHeight="1">
      <c r="A129" s="23">
        <v>129.0</v>
      </c>
      <c r="B129" s="23" t="s">
        <v>257</v>
      </c>
      <c r="C129" s="25" t="s">
        <v>258</v>
      </c>
      <c r="D129" s="26"/>
      <c r="E129" s="5"/>
      <c r="F129" s="27"/>
    </row>
    <row r="130" ht="47.25" customHeight="1">
      <c r="A130" s="23">
        <v>130.0</v>
      </c>
      <c r="B130" s="23" t="s">
        <v>259</v>
      </c>
      <c r="C130" s="25" t="s">
        <v>260</v>
      </c>
      <c r="D130" s="26"/>
      <c r="E130" s="5"/>
      <c r="F130" s="27"/>
    </row>
    <row r="131" ht="47.25" customHeight="1">
      <c r="A131" s="23">
        <v>131.0</v>
      </c>
      <c r="B131" s="23" t="s">
        <v>261</v>
      </c>
      <c r="C131" s="25" t="s">
        <v>262</v>
      </c>
      <c r="D131" s="26"/>
      <c r="E131" s="5"/>
      <c r="F131" s="27"/>
    </row>
    <row r="132" ht="47.25" customHeight="1">
      <c r="A132" s="23">
        <v>132.0</v>
      </c>
      <c r="B132" s="23" t="s">
        <v>263</v>
      </c>
      <c r="C132" s="25" t="s">
        <v>264</v>
      </c>
      <c r="D132" s="26"/>
      <c r="E132" s="5"/>
      <c r="F132" s="27"/>
    </row>
    <row r="133" ht="47.25" customHeight="1">
      <c r="A133" s="23">
        <v>133.0</v>
      </c>
      <c r="B133" s="23" t="s">
        <v>265</v>
      </c>
      <c r="C133" s="25" t="s">
        <v>266</v>
      </c>
      <c r="D133" s="26"/>
      <c r="E133" s="5"/>
      <c r="F133" s="27"/>
    </row>
    <row r="134" ht="47.25" customHeight="1">
      <c r="A134" s="23">
        <v>134.0</v>
      </c>
      <c r="B134" s="23" t="s">
        <v>267</v>
      </c>
      <c r="C134" s="25" t="s">
        <v>268</v>
      </c>
      <c r="D134" s="26"/>
      <c r="E134" s="5"/>
      <c r="F134" s="27"/>
    </row>
    <row r="135" ht="47.25" customHeight="1">
      <c r="A135" s="23">
        <v>135.0</v>
      </c>
      <c r="B135" s="23" t="s">
        <v>269</v>
      </c>
      <c r="C135" s="25" t="s">
        <v>270</v>
      </c>
      <c r="D135" s="26"/>
      <c r="E135" s="5"/>
      <c r="F135" s="27"/>
    </row>
    <row r="136" ht="47.25" customHeight="1">
      <c r="A136" s="23">
        <v>136.0</v>
      </c>
      <c r="B136" s="23" t="s">
        <v>271</v>
      </c>
      <c r="C136" s="25" t="s">
        <v>272</v>
      </c>
      <c r="D136" s="26"/>
      <c r="E136" s="5"/>
      <c r="F136" s="27"/>
    </row>
    <row r="137" ht="47.25" customHeight="1">
      <c r="A137" s="23">
        <v>137.0</v>
      </c>
      <c r="B137" s="23" t="s">
        <v>273</v>
      </c>
      <c r="C137" s="25" t="s">
        <v>274</v>
      </c>
      <c r="D137" s="26"/>
      <c r="E137" s="5"/>
      <c r="F137" s="27"/>
    </row>
    <row r="138" ht="47.25" customHeight="1">
      <c r="A138" s="23">
        <v>138.0</v>
      </c>
      <c r="B138" s="23" t="s">
        <v>275</v>
      </c>
      <c r="C138" s="25" t="s">
        <v>276</v>
      </c>
      <c r="D138" s="26"/>
      <c r="E138" s="5"/>
      <c r="F138" s="27"/>
    </row>
    <row r="139" ht="47.25" customHeight="1">
      <c r="A139" s="23">
        <v>139.0</v>
      </c>
      <c r="B139" s="23" t="s">
        <v>277</v>
      </c>
      <c r="C139" s="25" t="s">
        <v>278</v>
      </c>
      <c r="D139" s="26"/>
      <c r="E139" s="5"/>
      <c r="F139" s="27"/>
    </row>
    <row r="140" ht="47.25" customHeight="1">
      <c r="A140" s="23">
        <v>140.0</v>
      </c>
      <c r="B140" s="23" t="s">
        <v>279</v>
      </c>
      <c r="C140" s="25" t="s">
        <v>280</v>
      </c>
      <c r="D140" s="26"/>
      <c r="E140" s="5"/>
      <c r="F140" s="27"/>
    </row>
    <row r="141" ht="47.25" customHeight="1">
      <c r="A141" s="23">
        <v>141.0</v>
      </c>
      <c r="B141" s="23" t="s">
        <v>281</v>
      </c>
      <c r="C141" s="25" t="s">
        <v>282</v>
      </c>
      <c r="D141" s="26"/>
      <c r="E141" s="5"/>
      <c r="F141" s="27"/>
    </row>
    <row r="142" ht="47.25" customHeight="1">
      <c r="A142" s="23">
        <v>142.0</v>
      </c>
      <c r="B142" s="23" t="s">
        <v>283</v>
      </c>
      <c r="C142" s="25" t="s">
        <v>284</v>
      </c>
      <c r="D142" s="26"/>
      <c r="E142" s="5"/>
      <c r="F142" s="27"/>
    </row>
    <row r="143" ht="47.25" customHeight="1">
      <c r="A143" s="23">
        <v>143.0</v>
      </c>
      <c r="B143" s="23" t="s">
        <v>285</v>
      </c>
      <c r="C143" s="25" t="s">
        <v>286</v>
      </c>
      <c r="D143" s="26"/>
      <c r="E143" s="5"/>
      <c r="F143" s="27"/>
    </row>
    <row r="144" ht="47.25" customHeight="1">
      <c r="A144" s="23">
        <v>144.0</v>
      </c>
      <c r="B144" s="23" t="s">
        <v>287</v>
      </c>
      <c r="C144" s="25" t="s">
        <v>288</v>
      </c>
      <c r="D144" s="26"/>
      <c r="E144" s="5"/>
      <c r="F144" s="27"/>
    </row>
    <row r="145" ht="47.25" customHeight="1">
      <c r="A145" s="23">
        <v>145.0</v>
      </c>
      <c r="B145" s="23" t="s">
        <v>289</v>
      </c>
      <c r="C145" s="25" t="s">
        <v>290</v>
      </c>
      <c r="D145" s="26"/>
      <c r="E145" s="5"/>
      <c r="F145" s="27"/>
    </row>
    <row r="146" ht="47.25" customHeight="1">
      <c r="A146" s="23">
        <v>146.0</v>
      </c>
      <c r="B146" s="23" t="s">
        <v>291</v>
      </c>
      <c r="C146" s="25" t="s">
        <v>292</v>
      </c>
      <c r="D146" s="26"/>
      <c r="E146" s="5"/>
      <c r="F146" s="27"/>
    </row>
    <row r="147" ht="47.25" customHeight="1">
      <c r="A147" s="23">
        <v>147.0</v>
      </c>
      <c r="B147" s="23" t="s">
        <v>293</v>
      </c>
      <c r="C147" s="25" t="s">
        <v>294</v>
      </c>
      <c r="D147" s="26"/>
      <c r="E147" s="5"/>
      <c r="F147" s="27"/>
    </row>
    <row r="148" ht="47.25" customHeight="1">
      <c r="A148" s="23">
        <v>148.0</v>
      </c>
      <c r="B148" s="23" t="s">
        <v>295</v>
      </c>
      <c r="C148" s="25" t="s">
        <v>296</v>
      </c>
      <c r="D148" s="26"/>
      <c r="E148" s="5"/>
      <c r="F148" s="27"/>
    </row>
    <row r="149" ht="47.25" customHeight="1">
      <c r="A149" s="23">
        <v>149.0</v>
      </c>
      <c r="B149" s="23" t="s">
        <v>297</v>
      </c>
      <c r="C149" s="25" t="s">
        <v>298</v>
      </c>
      <c r="D149" s="26"/>
      <c r="E149" s="5"/>
      <c r="F149" s="27"/>
    </row>
    <row r="150" ht="47.25" customHeight="1">
      <c r="A150" s="23">
        <v>150.0</v>
      </c>
      <c r="B150" s="23" t="s">
        <v>299</v>
      </c>
      <c r="C150" s="25" t="s">
        <v>300</v>
      </c>
      <c r="D150" s="26"/>
      <c r="E150" s="5"/>
      <c r="F150" s="27"/>
    </row>
    <row r="151" ht="47.25" customHeight="1">
      <c r="A151" s="23">
        <v>151.0</v>
      </c>
      <c r="B151" s="23" t="s">
        <v>301</v>
      </c>
      <c r="C151" s="25" t="s">
        <v>302</v>
      </c>
      <c r="D151" s="26"/>
      <c r="E151" s="5"/>
      <c r="F151" s="27"/>
    </row>
    <row r="152" ht="47.25" customHeight="1">
      <c r="A152" s="23">
        <v>152.0</v>
      </c>
      <c r="B152" s="23" t="s">
        <v>303</v>
      </c>
      <c r="C152" s="25" t="s">
        <v>304</v>
      </c>
      <c r="D152" s="26"/>
      <c r="E152" s="5"/>
      <c r="F152" s="27"/>
    </row>
    <row r="153" ht="47.25" customHeight="1">
      <c r="A153" s="23">
        <v>153.0</v>
      </c>
      <c r="B153" s="23" t="s">
        <v>305</v>
      </c>
      <c r="C153" s="25" t="s">
        <v>306</v>
      </c>
      <c r="D153" s="26"/>
      <c r="E153" s="5"/>
      <c r="F153" s="27"/>
    </row>
    <row r="154" ht="47.25" customHeight="1">
      <c r="A154" s="23">
        <v>154.0</v>
      </c>
      <c r="B154" s="23" t="s">
        <v>307</v>
      </c>
      <c r="C154" s="25" t="s">
        <v>308</v>
      </c>
      <c r="D154" s="26"/>
      <c r="E154" s="5"/>
      <c r="F154" s="27"/>
    </row>
    <row r="155" ht="47.25" customHeight="1">
      <c r="A155" s="23">
        <v>155.0</v>
      </c>
      <c r="B155" s="23" t="s">
        <v>309</v>
      </c>
      <c r="C155" s="25" t="s">
        <v>310</v>
      </c>
      <c r="D155" s="26"/>
      <c r="E155" s="5"/>
      <c r="F155" s="27"/>
    </row>
    <row r="156" ht="47.25" customHeight="1">
      <c r="A156" s="23">
        <v>156.0</v>
      </c>
      <c r="B156" s="23" t="s">
        <v>311</v>
      </c>
      <c r="C156" s="25" t="s">
        <v>312</v>
      </c>
      <c r="D156" s="26"/>
      <c r="E156" s="5"/>
      <c r="F156" s="27"/>
    </row>
    <row r="157" ht="47.25" customHeight="1">
      <c r="A157" s="23">
        <v>157.0</v>
      </c>
      <c r="B157" s="23" t="s">
        <v>313</v>
      </c>
      <c r="C157" s="25" t="s">
        <v>314</v>
      </c>
      <c r="D157" s="26"/>
      <c r="E157" s="5"/>
      <c r="F157" s="27"/>
    </row>
    <row r="158" ht="47.25" customHeight="1">
      <c r="A158" s="23">
        <v>158.0</v>
      </c>
      <c r="B158" s="23" t="s">
        <v>315</v>
      </c>
      <c r="C158" s="25" t="s">
        <v>316</v>
      </c>
      <c r="D158" s="26"/>
      <c r="E158" s="5"/>
      <c r="F158" s="27"/>
    </row>
    <row r="159" ht="47.25" customHeight="1">
      <c r="A159" s="23">
        <v>159.0</v>
      </c>
      <c r="B159" s="23" t="s">
        <v>317</v>
      </c>
      <c r="C159" s="25" t="s">
        <v>318</v>
      </c>
      <c r="D159" s="26"/>
      <c r="E159" s="5"/>
      <c r="F159" s="27"/>
    </row>
    <row r="160" ht="47.25" customHeight="1">
      <c r="A160" s="23">
        <v>160.0</v>
      </c>
      <c r="B160" s="23" t="s">
        <v>319</v>
      </c>
      <c r="C160" s="25" t="s">
        <v>320</v>
      </c>
      <c r="D160" s="26"/>
      <c r="E160" s="5"/>
      <c r="F160" s="27"/>
    </row>
    <row r="161" ht="47.25" customHeight="1">
      <c r="A161" s="23">
        <v>161.0</v>
      </c>
      <c r="B161" s="23" t="s">
        <v>321</v>
      </c>
      <c r="C161" s="25" t="s">
        <v>322</v>
      </c>
      <c r="D161" s="26"/>
      <c r="E161" s="5"/>
      <c r="F161" s="27"/>
    </row>
    <row r="162" ht="47.25" customHeight="1">
      <c r="A162" s="23">
        <v>162.0</v>
      </c>
      <c r="B162" s="23" t="s">
        <v>323</v>
      </c>
      <c r="C162" s="25" t="s">
        <v>324</v>
      </c>
      <c r="D162" s="26"/>
      <c r="E162" s="5"/>
      <c r="F162" s="27"/>
    </row>
    <row r="163" ht="47.25" customHeight="1">
      <c r="A163" s="23">
        <v>163.0</v>
      </c>
      <c r="B163" s="23" t="s">
        <v>325</v>
      </c>
      <c r="C163" s="25" t="s">
        <v>326</v>
      </c>
      <c r="D163" s="26"/>
      <c r="E163" s="5"/>
      <c r="F163" s="27"/>
    </row>
    <row r="164" ht="47.25" customHeight="1">
      <c r="A164" s="23">
        <v>164.0</v>
      </c>
      <c r="B164" s="23" t="s">
        <v>327</v>
      </c>
      <c r="C164" s="25" t="s">
        <v>328</v>
      </c>
      <c r="D164" s="26"/>
      <c r="E164" s="5"/>
      <c r="F164" s="27"/>
    </row>
    <row r="165" ht="47.25" customHeight="1">
      <c r="A165" s="23">
        <v>165.0</v>
      </c>
      <c r="B165" s="23" t="s">
        <v>329</v>
      </c>
      <c r="C165" s="25" t="s">
        <v>330</v>
      </c>
      <c r="D165" s="26"/>
      <c r="E165" s="5"/>
      <c r="F165" s="27"/>
    </row>
    <row r="166" ht="47.25" customHeight="1">
      <c r="A166" s="23">
        <v>166.0</v>
      </c>
      <c r="B166" s="23" t="s">
        <v>331</v>
      </c>
      <c r="C166" s="25" t="s">
        <v>332</v>
      </c>
      <c r="D166" s="26"/>
      <c r="E166" s="5"/>
      <c r="F166" s="27"/>
    </row>
    <row r="167" ht="47.25" customHeight="1">
      <c r="A167" s="23">
        <v>167.0</v>
      </c>
      <c r="B167" s="23" t="s">
        <v>333</v>
      </c>
      <c r="C167" s="25" t="s">
        <v>332</v>
      </c>
      <c r="D167" s="26"/>
      <c r="E167" s="5"/>
      <c r="F167" s="27"/>
    </row>
    <row r="168" ht="47.25" customHeight="1">
      <c r="A168" s="23">
        <v>168.0</v>
      </c>
      <c r="B168" s="23" t="s">
        <v>334</v>
      </c>
      <c r="C168" s="25" t="s">
        <v>335</v>
      </c>
      <c r="D168" s="26"/>
      <c r="E168" s="5"/>
      <c r="F168" s="27"/>
    </row>
    <row r="169" ht="47.25" customHeight="1">
      <c r="A169" s="23">
        <v>169.0</v>
      </c>
      <c r="B169" s="23" t="s">
        <v>336</v>
      </c>
      <c r="C169" s="25" t="s">
        <v>337</v>
      </c>
      <c r="D169" s="26"/>
      <c r="E169" s="5"/>
      <c r="F169" s="27"/>
    </row>
    <row r="170" ht="47.25" customHeight="1">
      <c r="A170" s="23">
        <v>170.0</v>
      </c>
      <c r="B170" s="23" t="s">
        <v>338</v>
      </c>
      <c r="C170" s="25" t="s">
        <v>339</v>
      </c>
      <c r="D170" s="26"/>
      <c r="E170" s="5"/>
      <c r="F170" s="27"/>
    </row>
    <row r="171" ht="47.25" customHeight="1">
      <c r="A171" s="23">
        <v>171.0</v>
      </c>
      <c r="B171" s="23" t="s">
        <v>340</v>
      </c>
      <c r="C171" s="25" t="s">
        <v>341</v>
      </c>
      <c r="D171" s="26"/>
      <c r="E171" s="5"/>
      <c r="F171" s="27"/>
    </row>
    <row r="172" ht="47.25" customHeight="1">
      <c r="A172" s="23">
        <v>172.0</v>
      </c>
      <c r="B172" s="23" t="s">
        <v>342</v>
      </c>
      <c r="C172" s="25" t="s">
        <v>343</v>
      </c>
      <c r="D172" s="26"/>
      <c r="E172" s="5"/>
      <c r="F172" s="27"/>
    </row>
    <row r="173" ht="47.25" customHeight="1">
      <c r="A173" s="23">
        <v>173.0</v>
      </c>
      <c r="B173" s="23" t="s">
        <v>344</v>
      </c>
      <c r="C173" s="25" t="s">
        <v>345</v>
      </c>
      <c r="D173" s="26"/>
      <c r="E173" s="5"/>
      <c r="F173" s="27"/>
    </row>
    <row r="174" ht="47.25" customHeight="1">
      <c r="A174" s="23">
        <v>174.0</v>
      </c>
      <c r="B174" s="23" t="s">
        <v>346</v>
      </c>
      <c r="C174" s="25" t="s">
        <v>347</v>
      </c>
      <c r="D174" s="26"/>
      <c r="E174" s="5"/>
      <c r="F174" s="27"/>
    </row>
    <row r="175" ht="47.25" customHeight="1">
      <c r="A175" s="23">
        <v>175.0</v>
      </c>
      <c r="B175" s="23" t="s">
        <v>348</v>
      </c>
      <c r="C175" s="25" t="s">
        <v>349</v>
      </c>
      <c r="D175" s="26"/>
      <c r="E175" s="5"/>
      <c r="F175" s="27"/>
    </row>
    <row r="176" ht="47.25" customHeight="1">
      <c r="A176" s="23">
        <v>176.0</v>
      </c>
      <c r="B176" s="23" t="s">
        <v>350</v>
      </c>
      <c r="C176" s="25" t="s">
        <v>351</v>
      </c>
      <c r="D176" s="26"/>
      <c r="E176" s="5"/>
      <c r="F176" s="27"/>
    </row>
    <row r="177" ht="47.25" customHeight="1">
      <c r="A177" s="23">
        <v>177.0</v>
      </c>
      <c r="B177" s="23" t="s">
        <v>352</v>
      </c>
      <c r="C177" s="25" t="s">
        <v>353</v>
      </c>
      <c r="D177" s="26"/>
      <c r="E177" s="5"/>
      <c r="F177" s="27"/>
    </row>
    <row r="178" ht="47.25" customHeight="1">
      <c r="A178" s="23">
        <v>178.0</v>
      </c>
      <c r="B178" s="23" t="s">
        <v>354</v>
      </c>
      <c r="C178" s="25" t="s">
        <v>355</v>
      </c>
      <c r="D178" s="26"/>
      <c r="E178" s="5"/>
      <c r="F178" s="27"/>
    </row>
    <row r="179" ht="47.25" customHeight="1">
      <c r="A179" s="23">
        <v>179.0</v>
      </c>
      <c r="B179" s="23" t="s">
        <v>356</v>
      </c>
      <c r="C179" s="25" t="s">
        <v>357</v>
      </c>
      <c r="D179" s="26"/>
      <c r="E179" s="5"/>
      <c r="F179" s="27"/>
    </row>
    <row r="180" ht="47.25" customHeight="1">
      <c r="A180" s="23">
        <v>180.0</v>
      </c>
      <c r="B180" s="23" t="s">
        <v>358</v>
      </c>
      <c r="C180" s="25" t="s">
        <v>359</v>
      </c>
      <c r="D180" s="26"/>
      <c r="E180" s="5"/>
      <c r="F180" s="27"/>
    </row>
    <row r="181" ht="47.25" customHeight="1">
      <c r="A181" s="23">
        <v>181.0</v>
      </c>
      <c r="B181" s="23" t="s">
        <v>360</v>
      </c>
      <c r="C181" s="25" t="s">
        <v>361</v>
      </c>
      <c r="D181" s="26"/>
      <c r="E181" s="5"/>
      <c r="F181" s="27"/>
    </row>
    <row r="182" ht="47.25" customHeight="1">
      <c r="A182" s="23">
        <v>182.0</v>
      </c>
      <c r="B182" s="23" t="s">
        <v>362</v>
      </c>
      <c r="C182" s="25" t="s">
        <v>363</v>
      </c>
      <c r="D182" s="26"/>
      <c r="E182" s="5"/>
      <c r="F182" s="27"/>
    </row>
    <row r="183" ht="47.25" customHeight="1">
      <c r="A183" s="23">
        <v>183.0</v>
      </c>
      <c r="B183" s="23" t="s">
        <v>364</v>
      </c>
      <c r="C183" s="25" t="s">
        <v>365</v>
      </c>
      <c r="D183" s="26"/>
      <c r="E183" s="5"/>
      <c r="F183" s="27"/>
    </row>
    <row r="184" ht="47.25" customHeight="1">
      <c r="A184" s="23">
        <v>184.0</v>
      </c>
      <c r="B184" s="23" t="s">
        <v>366</v>
      </c>
      <c r="C184" s="25" t="s">
        <v>367</v>
      </c>
      <c r="D184" s="26"/>
      <c r="E184" s="5"/>
      <c r="F184" s="27"/>
    </row>
    <row r="185" ht="47.25" customHeight="1">
      <c r="A185" s="23">
        <v>185.0</v>
      </c>
      <c r="B185" s="23" t="s">
        <v>368</v>
      </c>
      <c r="C185" s="25" t="s">
        <v>369</v>
      </c>
      <c r="D185" s="26"/>
      <c r="E185" s="5"/>
      <c r="F185" s="27"/>
    </row>
    <row r="186" ht="47.25" customHeight="1">
      <c r="A186" s="23">
        <v>186.0</v>
      </c>
      <c r="B186" s="23" t="s">
        <v>370</v>
      </c>
      <c r="C186" s="25" t="s">
        <v>371</v>
      </c>
      <c r="D186" s="26"/>
      <c r="E186" s="5"/>
      <c r="F186" s="27"/>
    </row>
    <row r="187" ht="47.25" customHeight="1">
      <c r="A187" s="23">
        <v>187.0</v>
      </c>
      <c r="B187" s="23" t="s">
        <v>372</v>
      </c>
      <c r="C187" s="25" t="s">
        <v>373</v>
      </c>
      <c r="D187" s="26"/>
      <c r="E187" s="5"/>
      <c r="F187" s="27"/>
    </row>
    <row r="188" ht="47.25" customHeight="1">
      <c r="A188" s="23">
        <v>188.0</v>
      </c>
      <c r="B188" s="23" t="s">
        <v>374</v>
      </c>
      <c r="C188" s="25" t="s">
        <v>375</v>
      </c>
      <c r="D188" s="26"/>
      <c r="E188" s="5"/>
      <c r="F188" s="27"/>
    </row>
    <row r="189" ht="47.25" customHeight="1">
      <c r="A189" s="23">
        <v>189.0</v>
      </c>
      <c r="B189" s="23" t="s">
        <v>376</v>
      </c>
      <c r="C189" s="25" t="s">
        <v>377</v>
      </c>
      <c r="D189" s="26"/>
      <c r="E189" s="5"/>
      <c r="F189" s="27"/>
    </row>
    <row r="190" ht="47.25" customHeight="1">
      <c r="A190" s="23">
        <v>190.0</v>
      </c>
      <c r="B190" s="23" t="s">
        <v>378</v>
      </c>
      <c r="C190" s="25" t="s">
        <v>379</v>
      </c>
      <c r="D190" s="26"/>
      <c r="E190" s="5"/>
      <c r="F190" s="27"/>
    </row>
    <row r="191" ht="47.25" customHeight="1">
      <c r="A191" s="23">
        <v>191.0</v>
      </c>
      <c r="B191" s="23" t="s">
        <v>380</v>
      </c>
      <c r="C191" s="25" t="s">
        <v>381</v>
      </c>
      <c r="D191" s="26"/>
      <c r="E191" s="5"/>
      <c r="F191" s="27"/>
    </row>
    <row r="192" ht="47.25" customHeight="1">
      <c r="A192" s="23">
        <v>192.0</v>
      </c>
      <c r="B192" s="23" t="s">
        <v>382</v>
      </c>
      <c r="C192" s="25" t="s">
        <v>383</v>
      </c>
      <c r="D192" s="26"/>
      <c r="E192" s="5"/>
      <c r="F192" s="27"/>
    </row>
    <row r="193" ht="47.25" customHeight="1">
      <c r="A193" s="23">
        <v>193.0</v>
      </c>
      <c r="B193" s="23" t="s">
        <v>384</v>
      </c>
      <c r="C193" s="25" t="s">
        <v>385</v>
      </c>
      <c r="D193" s="26"/>
      <c r="E193" s="5"/>
      <c r="F193" s="27"/>
    </row>
    <row r="194" ht="47.25" customHeight="1">
      <c r="A194" s="23">
        <v>194.0</v>
      </c>
      <c r="B194" s="23" t="s">
        <v>386</v>
      </c>
      <c r="C194" s="25" t="s">
        <v>387</v>
      </c>
      <c r="D194" s="26"/>
      <c r="E194" s="5"/>
      <c r="F194" s="27"/>
    </row>
    <row r="195" ht="47.25" customHeight="1">
      <c r="A195" s="23">
        <v>195.0</v>
      </c>
      <c r="B195" s="23" t="s">
        <v>388</v>
      </c>
      <c r="C195" s="25" t="s">
        <v>389</v>
      </c>
      <c r="D195" s="26"/>
      <c r="E195" s="5"/>
      <c r="F195" s="27"/>
    </row>
    <row r="196" ht="47.25" customHeight="1">
      <c r="A196" s="23">
        <v>196.0</v>
      </c>
      <c r="B196" s="23" t="s">
        <v>390</v>
      </c>
      <c r="C196" s="25" t="s">
        <v>391</v>
      </c>
      <c r="D196" s="26"/>
      <c r="E196" s="5"/>
      <c r="F196" s="27"/>
    </row>
    <row r="197" ht="47.25" customHeight="1">
      <c r="A197" s="23">
        <v>197.0</v>
      </c>
      <c r="B197" s="23" t="s">
        <v>392</v>
      </c>
      <c r="C197" s="25" t="s">
        <v>393</v>
      </c>
      <c r="D197" s="26"/>
      <c r="E197" s="5"/>
      <c r="F197" s="27"/>
    </row>
    <row r="198" ht="47.25" customHeight="1">
      <c r="A198" s="23">
        <v>198.0</v>
      </c>
      <c r="B198" s="23" t="s">
        <v>394</v>
      </c>
      <c r="C198" s="25" t="s">
        <v>395</v>
      </c>
      <c r="D198" s="26"/>
      <c r="E198" s="5"/>
      <c r="F198" s="27"/>
    </row>
    <row r="199" ht="47.25" customHeight="1">
      <c r="A199" s="23">
        <v>199.0</v>
      </c>
      <c r="B199" s="23" t="s">
        <v>396</v>
      </c>
      <c r="C199" s="25" t="s">
        <v>397</v>
      </c>
      <c r="D199" s="26"/>
      <c r="E199" s="5"/>
      <c r="F199" s="27"/>
    </row>
    <row r="200" ht="47.25" customHeight="1">
      <c r="A200" s="23">
        <v>200.0</v>
      </c>
      <c r="B200" s="23" t="s">
        <v>398</v>
      </c>
      <c r="C200" s="25" t="s">
        <v>399</v>
      </c>
      <c r="D200" s="26"/>
      <c r="E200" s="5"/>
      <c r="F200" s="27"/>
    </row>
    <row r="201" ht="47.25" customHeight="1">
      <c r="A201" s="23">
        <v>201.0</v>
      </c>
      <c r="B201" s="23" t="s">
        <v>400</v>
      </c>
      <c r="C201" s="25" t="s">
        <v>401</v>
      </c>
      <c r="D201" s="26"/>
      <c r="E201" s="5"/>
      <c r="F201" s="27"/>
    </row>
    <row r="202" ht="47.25" customHeight="1">
      <c r="A202" s="23">
        <v>202.0</v>
      </c>
      <c r="B202" s="23" t="s">
        <v>402</v>
      </c>
      <c r="C202" s="25" t="s">
        <v>403</v>
      </c>
      <c r="D202" s="26"/>
      <c r="E202" s="5"/>
      <c r="F202" s="27"/>
    </row>
    <row r="203" ht="47.25" customHeight="1">
      <c r="A203" s="23">
        <v>203.0</v>
      </c>
      <c r="B203" s="23" t="s">
        <v>404</v>
      </c>
      <c r="C203" s="25" t="s">
        <v>405</v>
      </c>
      <c r="D203" s="26"/>
      <c r="E203" s="5"/>
      <c r="F203" s="27"/>
    </row>
    <row r="204" ht="47.25" customHeight="1">
      <c r="A204" s="23">
        <v>204.0</v>
      </c>
      <c r="B204" s="23" t="s">
        <v>406</v>
      </c>
      <c r="C204" s="25" t="s">
        <v>407</v>
      </c>
      <c r="D204" s="26"/>
      <c r="E204" s="5"/>
      <c r="F204" s="27"/>
    </row>
    <row r="205" ht="47.25" customHeight="1">
      <c r="A205" s="23">
        <v>205.0</v>
      </c>
      <c r="B205" s="23" t="s">
        <v>408</v>
      </c>
      <c r="C205" s="25" t="s">
        <v>409</v>
      </c>
      <c r="D205" s="26"/>
      <c r="E205" s="5"/>
      <c r="F205" s="27"/>
    </row>
    <row r="206" ht="47.25" customHeight="1">
      <c r="A206" s="23">
        <v>206.0</v>
      </c>
      <c r="B206" s="23" t="s">
        <v>410</v>
      </c>
      <c r="C206" s="25" t="s">
        <v>411</v>
      </c>
      <c r="D206" s="26"/>
      <c r="E206" s="5"/>
      <c r="F206" s="27"/>
    </row>
    <row r="207" ht="47.25" customHeight="1">
      <c r="A207" s="23">
        <v>207.0</v>
      </c>
      <c r="B207" s="23" t="s">
        <v>412</v>
      </c>
      <c r="C207" s="25" t="s">
        <v>413</v>
      </c>
      <c r="D207" s="26"/>
      <c r="E207" s="5"/>
      <c r="F207" s="27"/>
    </row>
    <row r="208" ht="47.25" customHeight="1">
      <c r="A208" s="23">
        <v>208.0</v>
      </c>
      <c r="B208" s="23" t="s">
        <v>414</v>
      </c>
      <c r="C208" s="25" t="s">
        <v>415</v>
      </c>
      <c r="D208" s="26"/>
      <c r="E208" s="5"/>
      <c r="F208" s="27"/>
    </row>
    <row r="209" ht="47.25" customHeight="1">
      <c r="A209" s="23">
        <v>209.0</v>
      </c>
      <c r="B209" s="23" t="s">
        <v>416</v>
      </c>
      <c r="C209" s="25" t="s">
        <v>417</v>
      </c>
      <c r="D209" s="26"/>
      <c r="E209" s="5"/>
      <c r="F209" s="27"/>
    </row>
    <row r="210" ht="47.25" customHeight="1">
      <c r="A210" s="23">
        <v>210.0</v>
      </c>
      <c r="B210" s="23" t="s">
        <v>418</v>
      </c>
      <c r="C210" s="25" t="s">
        <v>419</v>
      </c>
      <c r="D210" s="26"/>
      <c r="E210" s="5"/>
      <c r="F210" s="27"/>
    </row>
    <row r="211" ht="47.25" customHeight="1">
      <c r="A211" s="23">
        <v>211.0</v>
      </c>
      <c r="B211" s="23" t="s">
        <v>420</v>
      </c>
      <c r="C211" s="25" t="s">
        <v>421</v>
      </c>
      <c r="D211" s="26"/>
      <c r="E211" s="5"/>
      <c r="F211" s="27"/>
    </row>
    <row r="212" ht="47.25" customHeight="1">
      <c r="A212" s="23">
        <v>212.0</v>
      </c>
      <c r="B212" s="23" t="s">
        <v>422</v>
      </c>
      <c r="C212" s="25" t="s">
        <v>423</v>
      </c>
      <c r="D212" s="26"/>
      <c r="E212" s="5"/>
      <c r="F212" s="27"/>
    </row>
    <row r="213" ht="47.25" customHeight="1">
      <c r="A213" s="23">
        <v>213.0</v>
      </c>
      <c r="B213" s="23" t="s">
        <v>424</v>
      </c>
      <c r="C213" s="25" t="s">
        <v>425</v>
      </c>
      <c r="D213" s="26"/>
      <c r="E213" s="5"/>
      <c r="F213" s="27"/>
    </row>
    <row r="214" ht="47.25" customHeight="1">
      <c r="A214" s="23">
        <v>214.0</v>
      </c>
      <c r="B214" s="23" t="s">
        <v>426</v>
      </c>
      <c r="C214" s="25" t="s">
        <v>427</v>
      </c>
      <c r="D214" s="26"/>
      <c r="E214" s="5"/>
      <c r="F214" s="27"/>
    </row>
    <row r="215" ht="47.25" customHeight="1">
      <c r="A215" s="23">
        <v>215.0</v>
      </c>
      <c r="B215" s="23" t="s">
        <v>428</v>
      </c>
      <c r="C215" s="25" t="s">
        <v>429</v>
      </c>
      <c r="D215" s="26"/>
      <c r="E215" s="5"/>
      <c r="F215" s="27"/>
    </row>
    <row r="216" ht="47.25" customHeight="1">
      <c r="A216" s="23">
        <v>216.0</v>
      </c>
      <c r="B216" s="23" t="s">
        <v>430</v>
      </c>
      <c r="C216" s="25" t="s">
        <v>431</v>
      </c>
      <c r="D216" s="26"/>
      <c r="E216" s="5"/>
      <c r="F216" s="27"/>
    </row>
    <row r="217" ht="47.25" customHeight="1">
      <c r="A217" s="23">
        <v>217.0</v>
      </c>
      <c r="B217" s="23" t="s">
        <v>432</v>
      </c>
      <c r="C217" s="25" t="s">
        <v>433</v>
      </c>
      <c r="D217" s="26"/>
      <c r="E217" s="5"/>
      <c r="F217" s="27"/>
    </row>
    <row r="218" ht="47.25" customHeight="1">
      <c r="A218" s="23">
        <v>218.0</v>
      </c>
      <c r="B218" s="23" t="s">
        <v>434</v>
      </c>
      <c r="C218" s="25" t="s">
        <v>433</v>
      </c>
      <c r="D218" s="26"/>
      <c r="E218" s="5"/>
      <c r="F218" s="27"/>
    </row>
    <row r="219" ht="47.25" customHeight="1">
      <c r="A219" s="23">
        <v>219.0</v>
      </c>
      <c r="B219" s="23" t="s">
        <v>435</v>
      </c>
      <c r="C219" s="25" t="s">
        <v>436</v>
      </c>
      <c r="D219" s="26"/>
      <c r="E219" s="5"/>
      <c r="F219" s="27"/>
    </row>
    <row r="220" ht="47.25" customHeight="1">
      <c r="A220" s="23">
        <v>220.0</v>
      </c>
      <c r="B220" s="23" t="s">
        <v>437</v>
      </c>
      <c r="C220" s="25" t="s">
        <v>438</v>
      </c>
      <c r="D220" s="26"/>
      <c r="E220" s="5"/>
      <c r="F220" s="27"/>
    </row>
    <row r="221" ht="47.25" customHeight="1">
      <c r="A221" s="23">
        <v>221.0</v>
      </c>
      <c r="B221" s="23" t="s">
        <v>439</v>
      </c>
      <c r="C221" s="25" t="s">
        <v>440</v>
      </c>
      <c r="D221" s="26"/>
      <c r="E221" s="5"/>
      <c r="F221" s="27"/>
    </row>
    <row r="222" ht="47.25" customHeight="1">
      <c r="A222" s="23">
        <v>222.0</v>
      </c>
      <c r="B222" s="23" t="s">
        <v>441</v>
      </c>
      <c r="C222" s="25" t="s">
        <v>442</v>
      </c>
      <c r="D222" s="26"/>
      <c r="E222" s="5"/>
      <c r="F222" s="27"/>
    </row>
    <row r="223" ht="47.25" customHeight="1">
      <c r="A223" s="23">
        <v>223.0</v>
      </c>
      <c r="B223" s="23" t="s">
        <v>443</v>
      </c>
      <c r="C223" s="25" t="s">
        <v>444</v>
      </c>
      <c r="D223" s="26"/>
      <c r="E223" s="5"/>
      <c r="F223" s="27"/>
    </row>
    <row r="224" ht="47.25" customHeight="1">
      <c r="A224" s="23">
        <v>224.0</v>
      </c>
      <c r="B224" s="23" t="s">
        <v>445</v>
      </c>
      <c r="C224" s="25" t="s">
        <v>446</v>
      </c>
      <c r="D224" s="26"/>
      <c r="E224" s="5"/>
      <c r="F224" s="27"/>
    </row>
    <row r="225" ht="47.25" customHeight="1">
      <c r="A225" s="23">
        <v>225.0</v>
      </c>
      <c r="B225" s="23" t="s">
        <v>447</v>
      </c>
      <c r="C225" s="25" t="s">
        <v>448</v>
      </c>
      <c r="D225" s="26"/>
      <c r="E225" s="5"/>
      <c r="F225" s="27"/>
    </row>
    <row r="226" ht="47.25" customHeight="1">
      <c r="A226" s="23">
        <v>226.0</v>
      </c>
      <c r="B226" s="23" t="s">
        <v>449</v>
      </c>
      <c r="C226" s="25" t="s">
        <v>450</v>
      </c>
      <c r="D226" s="26"/>
      <c r="E226" s="5"/>
      <c r="F226" s="27"/>
    </row>
    <row r="227" ht="47.25" customHeight="1">
      <c r="A227" s="23">
        <v>227.0</v>
      </c>
      <c r="B227" s="23" t="s">
        <v>451</v>
      </c>
      <c r="C227" s="25" t="s">
        <v>452</v>
      </c>
      <c r="D227" s="26"/>
      <c r="E227" s="5"/>
      <c r="F227" s="27"/>
    </row>
    <row r="228" ht="47.25" customHeight="1">
      <c r="A228" s="23">
        <v>228.0</v>
      </c>
      <c r="B228" s="23" t="s">
        <v>453</v>
      </c>
      <c r="C228" s="25" t="s">
        <v>454</v>
      </c>
      <c r="D228" s="26"/>
      <c r="E228" s="5"/>
      <c r="F228" s="27"/>
    </row>
    <row r="229" ht="47.25" customHeight="1">
      <c r="A229" s="23">
        <v>229.0</v>
      </c>
      <c r="B229" s="23" t="s">
        <v>455</v>
      </c>
      <c r="C229" s="25" t="s">
        <v>456</v>
      </c>
      <c r="D229" s="26"/>
      <c r="E229" s="5"/>
      <c r="F229" s="27"/>
    </row>
    <row r="230" ht="47.25" customHeight="1">
      <c r="A230" s="23">
        <v>230.0</v>
      </c>
      <c r="B230" s="23" t="s">
        <v>457</v>
      </c>
      <c r="C230" s="25" t="s">
        <v>458</v>
      </c>
      <c r="D230" s="26"/>
      <c r="E230" s="5"/>
      <c r="F230" s="27"/>
    </row>
    <row r="231" ht="47.25" customHeight="1">
      <c r="A231" s="23">
        <v>231.0</v>
      </c>
      <c r="B231" s="23" t="s">
        <v>459</v>
      </c>
      <c r="C231" s="25" t="s">
        <v>460</v>
      </c>
      <c r="D231" s="26"/>
      <c r="E231" s="5"/>
      <c r="F231" s="27"/>
    </row>
    <row r="232" ht="47.25" customHeight="1">
      <c r="A232" s="23">
        <v>232.0</v>
      </c>
      <c r="B232" s="23" t="s">
        <v>461</v>
      </c>
      <c r="C232" s="25" t="s">
        <v>462</v>
      </c>
      <c r="D232" s="26"/>
      <c r="E232" s="5"/>
      <c r="F232" s="27"/>
    </row>
    <row r="233" ht="47.25" customHeight="1">
      <c r="A233" s="23">
        <v>233.0</v>
      </c>
      <c r="B233" s="23" t="s">
        <v>463</v>
      </c>
      <c r="C233" s="25" t="s">
        <v>464</v>
      </c>
      <c r="D233" s="26"/>
      <c r="E233" s="5"/>
      <c r="F233" s="27"/>
    </row>
    <row r="234" ht="47.25" customHeight="1">
      <c r="A234" s="23">
        <v>234.0</v>
      </c>
      <c r="B234" s="23" t="s">
        <v>465</v>
      </c>
      <c r="C234" s="25" t="s">
        <v>466</v>
      </c>
      <c r="D234" s="26"/>
      <c r="E234" s="5"/>
      <c r="F234" s="27"/>
    </row>
    <row r="235" ht="47.25" customHeight="1">
      <c r="A235" s="23">
        <v>235.0</v>
      </c>
      <c r="B235" s="23" t="s">
        <v>467</v>
      </c>
      <c r="C235" s="25" t="s">
        <v>468</v>
      </c>
      <c r="D235" s="26"/>
      <c r="E235" s="5"/>
      <c r="F235" s="27"/>
    </row>
    <row r="236" ht="47.25" customHeight="1">
      <c r="A236" s="23">
        <v>236.0</v>
      </c>
      <c r="B236" s="23" t="s">
        <v>469</v>
      </c>
      <c r="C236" s="25" t="s">
        <v>470</v>
      </c>
      <c r="D236" s="26"/>
      <c r="E236" s="5"/>
      <c r="F236" s="27"/>
    </row>
    <row r="237" ht="47.25" customHeight="1">
      <c r="A237" s="23">
        <v>237.0</v>
      </c>
      <c r="B237" s="23" t="s">
        <v>471</v>
      </c>
      <c r="C237" s="25" t="s">
        <v>472</v>
      </c>
      <c r="D237" s="26"/>
      <c r="E237" s="5"/>
      <c r="F237" s="27"/>
    </row>
    <row r="238" ht="47.25" customHeight="1">
      <c r="A238" s="23">
        <v>238.0</v>
      </c>
      <c r="B238" s="23" t="s">
        <v>473</v>
      </c>
      <c r="C238" s="25" t="s">
        <v>474</v>
      </c>
      <c r="D238" s="26"/>
      <c r="E238" s="5"/>
      <c r="F238" s="27"/>
    </row>
    <row r="239" ht="47.25" customHeight="1">
      <c r="A239" s="23">
        <v>239.0</v>
      </c>
      <c r="B239" s="23" t="s">
        <v>475</v>
      </c>
      <c r="C239" s="25" t="s">
        <v>476</v>
      </c>
      <c r="D239" s="26"/>
      <c r="E239" s="5"/>
      <c r="F239" s="27"/>
    </row>
    <row r="240" ht="47.25" customHeight="1">
      <c r="A240" s="23">
        <v>240.0</v>
      </c>
      <c r="B240" s="23" t="s">
        <v>477</v>
      </c>
      <c r="C240" s="25" t="s">
        <v>478</v>
      </c>
      <c r="D240" s="26"/>
      <c r="E240" s="5"/>
      <c r="F240" s="27"/>
    </row>
    <row r="241" ht="47.25" customHeight="1">
      <c r="A241" s="23">
        <v>241.0</v>
      </c>
      <c r="B241" s="23" t="s">
        <v>479</v>
      </c>
      <c r="C241" s="25" t="s">
        <v>480</v>
      </c>
      <c r="D241" s="26"/>
      <c r="E241" s="5"/>
      <c r="F241" s="27"/>
    </row>
    <row r="242" ht="47.25" customHeight="1">
      <c r="A242" s="23">
        <v>242.0</v>
      </c>
      <c r="B242" s="23" t="s">
        <v>481</v>
      </c>
      <c r="C242" s="25" t="s">
        <v>482</v>
      </c>
      <c r="D242" s="26"/>
      <c r="E242" s="5"/>
      <c r="F242" s="27"/>
    </row>
    <row r="243" ht="47.25" customHeight="1">
      <c r="A243" s="23">
        <v>243.0</v>
      </c>
      <c r="B243" s="23" t="s">
        <v>483</v>
      </c>
      <c r="C243" s="25" t="s">
        <v>484</v>
      </c>
      <c r="D243" s="26"/>
      <c r="E243" s="5"/>
      <c r="F243" s="27"/>
    </row>
    <row r="244" ht="47.25" customHeight="1">
      <c r="A244" s="23">
        <v>244.0</v>
      </c>
      <c r="B244" s="23" t="s">
        <v>485</v>
      </c>
      <c r="C244" s="25" t="s">
        <v>486</v>
      </c>
      <c r="D244" s="26"/>
      <c r="E244" s="5"/>
      <c r="F244" s="27"/>
    </row>
    <row r="245" ht="47.25" customHeight="1">
      <c r="A245" s="23">
        <v>245.0</v>
      </c>
      <c r="B245" s="23" t="s">
        <v>487</v>
      </c>
      <c r="C245" s="25" t="s">
        <v>488</v>
      </c>
      <c r="D245" s="26"/>
      <c r="E245" s="5"/>
      <c r="F245" s="27"/>
    </row>
    <row r="246" ht="47.25" customHeight="1">
      <c r="A246" s="23">
        <v>246.0</v>
      </c>
      <c r="B246" s="23" t="s">
        <v>489</v>
      </c>
      <c r="C246" s="25" t="s">
        <v>490</v>
      </c>
      <c r="D246" s="26"/>
      <c r="E246" s="5"/>
      <c r="F246" s="27"/>
    </row>
    <row r="247" ht="47.25" customHeight="1">
      <c r="A247" s="23">
        <v>247.0</v>
      </c>
      <c r="B247" s="23" t="s">
        <v>491</v>
      </c>
      <c r="C247" s="25" t="s">
        <v>492</v>
      </c>
      <c r="D247" s="26"/>
      <c r="E247" s="5"/>
      <c r="F247" s="27"/>
    </row>
    <row r="248" ht="47.25" customHeight="1">
      <c r="A248" s="23">
        <v>248.0</v>
      </c>
      <c r="B248" s="23" t="s">
        <v>493</v>
      </c>
      <c r="C248" s="25" t="s">
        <v>494</v>
      </c>
      <c r="D248" s="26"/>
      <c r="E248" s="5"/>
      <c r="F248" s="27"/>
    </row>
    <row r="249" ht="47.25" customHeight="1">
      <c r="A249" s="23">
        <v>249.0</v>
      </c>
      <c r="B249" s="23" t="s">
        <v>495</v>
      </c>
      <c r="C249" s="25" t="s">
        <v>496</v>
      </c>
      <c r="D249" s="26"/>
      <c r="E249" s="5"/>
      <c r="F249" s="27"/>
    </row>
    <row r="250" ht="47.25" customHeight="1">
      <c r="A250" s="23">
        <v>250.0</v>
      </c>
      <c r="B250" s="23" t="s">
        <v>497</v>
      </c>
      <c r="C250" s="25" t="s">
        <v>498</v>
      </c>
      <c r="D250" s="26"/>
      <c r="E250" s="5"/>
      <c r="F250" s="27"/>
    </row>
    <row r="251" ht="47.25" customHeight="1">
      <c r="A251" s="23">
        <v>251.0</v>
      </c>
      <c r="B251" s="23" t="s">
        <v>499</v>
      </c>
      <c r="C251" s="25" t="s">
        <v>500</v>
      </c>
      <c r="D251" s="26"/>
      <c r="E251" s="5"/>
      <c r="F251" s="27"/>
    </row>
    <row r="252" ht="47.25" customHeight="1">
      <c r="A252" s="23">
        <v>252.0</v>
      </c>
      <c r="B252" s="23" t="s">
        <v>501</v>
      </c>
      <c r="C252" s="25" t="s">
        <v>502</v>
      </c>
      <c r="D252" s="26"/>
      <c r="E252" s="5"/>
      <c r="F252" s="27"/>
    </row>
    <row r="253" ht="47.25" customHeight="1">
      <c r="A253" s="23">
        <v>253.0</v>
      </c>
      <c r="B253" s="23" t="s">
        <v>503</v>
      </c>
      <c r="C253" s="25" t="s">
        <v>504</v>
      </c>
      <c r="D253" s="26"/>
      <c r="E253" s="5"/>
      <c r="F253" s="27"/>
    </row>
    <row r="254" ht="47.25" customHeight="1">
      <c r="A254" s="23">
        <v>254.0</v>
      </c>
      <c r="B254" s="23" t="s">
        <v>505</v>
      </c>
      <c r="C254" s="25" t="s">
        <v>506</v>
      </c>
      <c r="D254" s="26"/>
      <c r="E254" s="5"/>
      <c r="F254" s="27"/>
    </row>
    <row r="255" ht="47.25" customHeight="1">
      <c r="A255" s="23">
        <v>255.0</v>
      </c>
      <c r="B255" s="23" t="s">
        <v>507</v>
      </c>
      <c r="C255" s="25" t="s">
        <v>508</v>
      </c>
      <c r="D255" s="26"/>
      <c r="E255" s="5"/>
      <c r="F255" s="27"/>
    </row>
    <row r="256" ht="47.25" customHeight="1">
      <c r="A256" s="23">
        <v>256.0</v>
      </c>
      <c r="B256" s="23" t="s">
        <v>509</v>
      </c>
      <c r="C256" s="25" t="s">
        <v>510</v>
      </c>
      <c r="D256" s="26"/>
      <c r="E256" s="5"/>
      <c r="F256" s="27"/>
    </row>
    <row r="257" ht="47.25" customHeight="1">
      <c r="A257" s="23">
        <v>257.0</v>
      </c>
      <c r="B257" s="23" t="s">
        <v>511</v>
      </c>
      <c r="C257" s="25" t="s">
        <v>512</v>
      </c>
      <c r="D257" s="26"/>
      <c r="E257" s="5"/>
      <c r="F257" s="27"/>
    </row>
    <row r="258" ht="47.25" customHeight="1">
      <c r="A258" s="23">
        <v>258.0</v>
      </c>
      <c r="B258" s="23" t="s">
        <v>513</v>
      </c>
      <c r="C258" s="25" t="s">
        <v>514</v>
      </c>
      <c r="D258" s="26"/>
      <c r="E258" s="5"/>
      <c r="F258" s="27"/>
    </row>
    <row r="259" ht="47.25" customHeight="1">
      <c r="A259" s="23">
        <v>259.0</v>
      </c>
      <c r="B259" s="23" t="s">
        <v>515</v>
      </c>
      <c r="C259" s="25" t="s">
        <v>516</v>
      </c>
      <c r="D259" s="26"/>
      <c r="E259" s="5"/>
      <c r="F259" s="27"/>
    </row>
    <row r="260" ht="47.25" customHeight="1">
      <c r="A260" s="23">
        <v>260.0</v>
      </c>
      <c r="B260" s="23" t="s">
        <v>517</v>
      </c>
      <c r="C260" s="25" t="s">
        <v>518</v>
      </c>
      <c r="D260" s="26"/>
      <c r="E260" s="5"/>
      <c r="F260" s="27"/>
    </row>
    <row r="261" ht="47.25" customHeight="1">
      <c r="A261" s="23">
        <v>261.0</v>
      </c>
      <c r="B261" s="23" t="s">
        <v>519</v>
      </c>
      <c r="C261" s="25" t="s">
        <v>520</v>
      </c>
      <c r="D261" s="26"/>
      <c r="E261" s="5"/>
      <c r="F261" s="27"/>
    </row>
    <row r="262" ht="47.25" customHeight="1">
      <c r="A262" s="23">
        <v>262.0</v>
      </c>
      <c r="B262" s="23" t="s">
        <v>521</v>
      </c>
      <c r="C262" s="25" t="s">
        <v>522</v>
      </c>
      <c r="D262" s="26"/>
      <c r="E262" s="5"/>
      <c r="F262" s="27"/>
    </row>
    <row r="263" ht="47.25" customHeight="1">
      <c r="A263" s="23">
        <v>263.0</v>
      </c>
      <c r="B263" s="23" t="s">
        <v>523</v>
      </c>
      <c r="C263" s="25" t="s">
        <v>524</v>
      </c>
      <c r="D263" s="26"/>
      <c r="E263" s="5"/>
      <c r="F263" s="27"/>
    </row>
    <row r="264" ht="47.25" customHeight="1">
      <c r="A264" s="23">
        <v>264.0</v>
      </c>
      <c r="B264" s="23" t="s">
        <v>525</v>
      </c>
      <c r="C264" s="25" t="s">
        <v>526</v>
      </c>
      <c r="D264" s="26"/>
      <c r="E264" s="5"/>
      <c r="F264" s="27"/>
    </row>
    <row r="265" ht="47.25" customHeight="1">
      <c r="A265" s="23">
        <v>265.0</v>
      </c>
      <c r="B265" s="23" t="s">
        <v>527</v>
      </c>
      <c r="C265" s="25" t="s">
        <v>528</v>
      </c>
      <c r="D265" s="26"/>
      <c r="E265" s="5"/>
      <c r="F265" s="27"/>
    </row>
    <row r="266" ht="47.25" customHeight="1">
      <c r="A266" s="23">
        <v>266.0</v>
      </c>
      <c r="B266" s="23" t="s">
        <v>529</v>
      </c>
      <c r="C266" s="25" t="s">
        <v>530</v>
      </c>
      <c r="D266" s="26"/>
      <c r="E266" s="5"/>
      <c r="F266" s="27"/>
    </row>
    <row r="267" ht="47.25" customHeight="1">
      <c r="A267" s="23">
        <v>267.0</v>
      </c>
      <c r="B267" s="23" t="s">
        <v>531</v>
      </c>
      <c r="C267" s="25" t="s">
        <v>502</v>
      </c>
      <c r="D267" s="26"/>
      <c r="E267" s="5"/>
      <c r="F267" s="27"/>
    </row>
    <row r="268" ht="47.25" customHeight="1">
      <c r="A268" s="23">
        <v>268.0</v>
      </c>
      <c r="B268" s="23" t="s">
        <v>532</v>
      </c>
      <c r="C268" s="25" t="s">
        <v>533</v>
      </c>
      <c r="D268" s="26"/>
      <c r="E268" s="5"/>
      <c r="F268" s="27"/>
    </row>
    <row r="269" ht="47.25" customHeight="1">
      <c r="A269" s="23">
        <v>269.0</v>
      </c>
      <c r="B269" s="23" t="s">
        <v>534</v>
      </c>
      <c r="C269" s="25" t="s">
        <v>535</v>
      </c>
      <c r="D269" s="26"/>
      <c r="E269" s="5"/>
      <c r="F269" s="27"/>
    </row>
    <row r="270" ht="47.25" customHeight="1">
      <c r="A270" s="23">
        <v>270.0</v>
      </c>
      <c r="B270" s="23" t="s">
        <v>536</v>
      </c>
      <c r="C270" s="25" t="s">
        <v>537</v>
      </c>
      <c r="D270" s="26"/>
      <c r="E270" s="5"/>
      <c r="F270" s="27"/>
    </row>
    <row r="271" ht="47.25" customHeight="1">
      <c r="A271" s="23">
        <v>271.0</v>
      </c>
      <c r="B271" s="23" t="s">
        <v>538</v>
      </c>
      <c r="C271" s="25" t="s">
        <v>539</v>
      </c>
      <c r="D271" s="26"/>
      <c r="E271" s="5"/>
      <c r="F271" s="27"/>
    </row>
    <row r="272" ht="47.25" customHeight="1">
      <c r="A272" s="23">
        <v>272.0</v>
      </c>
      <c r="B272" s="23" t="s">
        <v>540</v>
      </c>
      <c r="C272" s="25" t="s">
        <v>541</v>
      </c>
      <c r="D272" s="26"/>
      <c r="E272" s="5"/>
      <c r="F272" s="27"/>
    </row>
    <row r="273" ht="47.25" customHeight="1">
      <c r="A273" s="23">
        <v>273.0</v>
      </c>
      <c r="B273" s="23" t="s">
        <v>542</v>
      </c>
      <c r="C273" s="25" t="s">
        <v>543</v>
      </c>
      <c r="D273" s="26"/>
      <c r="E273" s="5"/>
      <c r="F273" s="27"/>
    </row>
    <row r="274" ht="47.25" customHeight="1">
      <c r="A274" s="23">
        <v>274.0</v>
      </c>
      <c r="B274" s="23" t="s">
        <v>544</v>
      </c>
      <c r="C274" s="25" t="s">
        <v>302</v>
      </c>
      <c r="D274" s="26"/>
      <c r="E274" s="5"/>
      <c r="F274" s="27"/>
    </row>
    <row r="275" ht="47.25" customHeight="1">
      <c r="A275" s="23">
        <v>275.0</v>
      </c>
      <c r="B275" s="23" t="s">
        <v>545</v>
      </c>
      <c r="C275" s="25" t="s">
        <v>262</v>
      </c>
      <c r="D275" s="26"/>
      <c r="E275" s="5"/>
      <c r="F275" s="27"/>
    </row>
    <row r="276" ht="47.25" customHeight="1">
      <c r="A276" s="23">
        <v>276.0</v>
      </c>
      <c r="B276" s="23" t="s">
        <v>546</v>
      </c>
      <c r="C276" s="25" t="s">
        <v>547</v>
      </c>
      <c r="D276" s="26"/>
      <c r="E276" s="5"/>
      <c r="F276" s="27"/>
    </row>
    <row r="277" ht="47.25" customHeight="1">
      <c r="A277" s="23">
        <v>277.0</v>
      </c>
      <c r="B277" s="23" t="s">
        <v>548</v>
      </c>
      <c r="C277" s="25" t="s">
        <v>549</v>
      </c>
      <c r="D277" s="26"/>
      <c r="E277" s="5"/>
      <c r="F277" s="27"/>
    </row>
    <row r="278" ht="47.25" customHeight="1">
      <c r="A278" s="23">
        <v>278.0</v>
      </c>
      <c r="B278" s="23" t="s">
        <v>550</v>
      </c>
      <c r="C278" s="25" t="s">
        <v>551</v>
      </c>
      <c r="D278" s="26"/>
      <c r="E278" s="5"/>
      <c r="F278" s="27"/>
    </row>
    <row r="279" ht="47.25" customHeight="1">
      <c r="A279" s="23">
        <v>279.0</v>
      </c>
      <c r="B279" s="23" t="s">
        <v>552</v>
      </c>
      <c r="C279" s="25" t="s">
        <v>553</v>
      </c>
      <c r="D279" s="26"/>
      <c r="E279" s="5"/>
      <c r="F279" s="27"/>
    </row>
    <row r="280" ht="47.25" customHeight="1">
      <c r="A280" s="23">
        <v>280.0</v>
      </c>
      <c r="B280" s="23" t="s">
        <v>554</v>
      </c>
      <c r="C280" s="25" t="s">
        <v>555</v>
      </c>
      <c r="D280" s="26"/>
      <c r="E280" s="5"/>
      <c r="F280" s="27"/>
    </row>
    <row r="281" ht="47.25" customHeight="1">
      <c r="A281" s="23">
        <v>281.0</v>
      </c>
      <c r="B281" s="23" t="s">
        <v>556</v>
      </c>
      <c r="C281" s="25" t="s">
        <v>557</v>
      </c>
      <c r="D281" s="26"/>
      <c r="E281" s="5"/>
      <c r="F281" s="27"/>
    </row>
    <row r="282" ht="47.25" customHeight="1">
      <c r="A282" s="23">
        <v>282.0</v>
      </c>
      <c r="B282" s="23" t="s">
        <v>558</v>
      </c>
      <c r="C282" s="25" t="s">
        <v>559</v>
      </c>
      <c r="D282" s="26"/>
      <c r="E282" s="5"/>
      <c r="F282" s="27"/>
    </row>
    <row r="283" ht="47.25" customHeight="1">
      <c r="A283" s="23">
        <v>283.0</v>
      </c>
      <c r="B283" s="23" t="s">
        <v>560</v>
      </c>
      <c r="C283" s="25" t="s">
        <v>561</v>
      </c>
      <c r="D283" s="26"/>
      <c r="E283" s="5"/>
      <c r="F283" s="27"/>
    </row>
    <row r="284" ht="47.25" customHeight="1">
      <c r="A284" s="23">
        <v>284.0</v>
      </c>
      <c r="B284" s="23" t="s">
        <v>562</v>
      </c>
      <c r="C284" s="25" t="s">
        <v>563</v>
      </c>
      <c r="D284" s="26"/>
      <c r="E284" s="5"/>
      <c r="F284" s="27"/>
    </row>
    <row r="285" ht="47.25" customHeight="1">
      <c r="A285" s="23">
        <v>285.0</v>
      </c>
      <c r="B285" s="23" t="s">
        <v>564</v>
      </c>
      <c r="C285" s="25" t="s">
        <v>565</v>
      </c>
      <c r="D285" s="26"/>
      <c r="E285" s="5"/>
      <c r="F285" s="27"/>
    </row>
    <row r="286" ht="47.25" customHeight="1">
      <c r="A286" s="23">
        <v>286.0</v>
      </c>
      <c r="B286" s="23" t="s">
        <v>566</v>
      </c>
      <c r="C286" s="25" t="s">
        <v>567</v>
      </c>
      <c r="D286" s="26"/>
      <c r="E286" s="5"/>
      <c r="F286" s="27"/>
    </row>
    <row r="287" ht="47.25" customHeight="1">
      <c r="A287" s="23">
        <v>287.0</v>
      </c>
      <c r="B287" s="23" t="s">
        <v>568</v>
      </c>
      <c r="C287" s="25" t="s">
        <v>569</v>
      </c>
      <c r="D287" s="26"/>
      <c r="E287" s="5"/>
      <c r="F287" s="27"/>
    </row>
    <row r="288" ht="47.25" customHeight="1">
      <c r="A288" s="23">
        <v>288.0</v>
      </c>
      <c r="B288" s="23" t="s">
        <v>570</v>
      </c>
      <c r="C288" s="25" t="s">
        <v>571</v>
      </c>
      <c r="D288" s="26"/>
      <c r="E288" s="5"/>
      <c r="F288" s="27"/>
    </row>
    <row r="289" ht="47.25" customHeight="1">
      <c r="A289" s="23">
        <v>289.0</v>
      </c>
      <c r="B289" s="23" t="s">
        <v>572</v>
      </c>
      <c r="C289" s="25" t="s">
        <v>573</v>
      </c>
      <c r="D289" s="26"/>
      <c r="E289" s="5"/>
      <c r="F289" s="27"/>
    </row>
    <row r="290" ht="47.25" customHeight="1">
      <c r="A290" s="23">
        <v>290.0</v>
      </c>
      <c r="B290" s="23" t="s">
        <v>574</v>
      </c>
      <c r="C290" s="25" t="s">
        <v>575</v>
      </c>
      <c r="D290" s="26"/>
      <c r="E290" s="5"/>
      <c r="F290" s="27"/>
    </row>
    <row r="291" ht="47.25" customHeight="1">
      <c r="A291" s="23">
        <v>291.0</v>
      </c>
      <c r="B291" s="23" t="s">
        <v>576</v>
      </c>
      <c r="C291" s="25" t="s">
        <v>577</v>
      </c>
      <c r="D291" s="26"/>
      <c r="E291" s="5"/>
      <c r="F291" s="27"/>
    </row>
    <row r="292" ht="47.25" customHeight="1">
      <c r="A292" s="23">
        <v>292.0</v>
      </c>
      <c r="B292" s="23" t="s">
        <v>578</v>
      </c>
      <c r="C292" s="25" t="s">
        <v>579</v>
      </c>
      <c r="D292" s="26"/>
      <c r="E292" s="5"/>
      <c r="F292" s="27"/>
    </row>
    <row r="293" ht="47.25" customHeight="1">
      <c r="A293" s="23">
        <v>293.0</v>
      </c>
      <c r="B293" s="23" t="s">
        <v>580</v>
      </c>
      <c r="C293" s="25" t="s">
        <v>581</v>
      </c>
      <c r="D293" s="26"/>
      <c r="E293" s="5"/>
      <c r="F293" s="27"/>
    </row>
    <row r="294" ht="47.25" customHeight="1">
      <c r="A294" s="23">
        <v>294.0</v>
      </c>
      <c r="B294" s="23" t="s">
        <v>582</v>
      </c>
      <c r="C294" s="25" t="s">
        <v>583</v>
      </c>
      <c r="D294" s="26"/>
      <c r="E294" s="5"/>
      <c r="F294" s="27"/>
    </row>
    <row r="295" ht="47.25" customHeight="1">
      <c r="A295" s="23">
        <v>295.0</v>
      </c>
      <c r="B295" s="23" t="s">
        <v>584</v>
      </c>
      <c r="C295" s="25" t="s">
        <v>585</v>
      </c>
      <c r="D295" s="26"/>
      <c r="E295" s="5"/>
      <c r="F295" s="27"/>
    </row>
    <row r="296" ht="47.25" customHeight="1">
      <c r="A296" s="23">
        <v>296.0</v>
      </c>
      <c r="B296" s="23" t="s">
        <v>586</v>
      </c>
      <c r="C296" s="25" t="s">
        <v>587</v>
      </c>
      <c r="D296" s="26"/>
      <c r="E296" s="5"/>
      <c r="F296" s="27"/>
    </row>
    <row r="297" ht="47.25" customHeight="1">
      <c r="A297" s="23">
        <v>297.0</v>
      </c>
      <c r="B297" s="23" t="s">
        <v>588</v>
      </c>
      <c r="C297" s="25" t="s">
        <v>589</v>
      </c>
      <c r="D297" s="26"/>
      <c r="E297" s="5"/>
      <c r="F297" s="27"/>
    </row>
    <row r="298" ht="47.25" customHeight="1">
      <c r="A298" s="23">
        <v>298.0</v>
      </c>
      <c r="B298" s="23" t="s">
        <v>590</v>
      </c>
      <c r="C298" s="25" t="s">
        <v>591</v>
      </c>
      <c r="D298" s="26"/>
      <c r="E298" s="5"/>
      <c r="F298" s="27"/>
    </row>
    <row r="299" ht="47.25" customHeight="1">
      <c r="A299" s="23">
        <v>299.0</v>
      </c>
      <c r="B299" s="23" t="s">
        <v>592</v>
      </c>
      <c r="C299" s="25" t="s">
        <v>593</v>
      </c>
      <c r="D299" s="26"/>
      <c r="E299" s="5"/>
      <c r="F299" s="27"/>
    </row>
    <row r="300" ht="47.25" customHeight="1">
      <c r="A300" s="23">
        <v>300.0</v>
      </c>
      <c r="B300" s="23" t="s">
        <v>594</v>
      </c>
      <c r="C300" s="25" t="s">
        <v>595</v>
      </c>
      <c r="D300" s="26"/>
      <c r="E300" s="5"/>
      <c r="F300" s="27"/>
    </row>
    <row r="301" ht="47.25" customHeight="1">
      <c r="A301" s="23">
        <v>301.0</v>
      </c>
      <c r="B301" s="23" t="s">
        <v>596</v>
      </c>
      <c r="C301" s="25" t="s">
        <v>597</v>
      </c>
      <c r="D301" s="26"/>
      <c r="E301" s="5"/>
      <c r="F301" s="27"/>
    </row>
    <row r="302" ht="47.25" customHeight="1">
      <c r="A302" s="23">
        <v>302.0</v>
      </c>
      <c r="B302" s="23" t="s">
        <v>598</v>
      </c>
      <c r="C302" s="25" t="s">
        <v>599</v>
      </c>
      <c r="D302" s="26"/>
      <c r="E302" s="5"/>
      <c r="F302" s="27"/>
    </row>
    <row r="303" ht="47.25" customHeight="1">
      <c r="A303" s="23">
        <v>303.0</v>
      </c>
      <c r="B303" s="23" t="s">
        <v>600</v>
      </c>
      <c r="C303" s="25" t="s">
        <v>601</v>
      </c>
      <c r="D303" s="26"/>
      <c r="E303" s="5"/>
      <c r="F303" s="27"/>
    </row>
    <row r="304" ht="47.25" customHeight="1">
      <c r="A304" s="23">
        <v>304.0</v>
      </c>
      <c r="B304" s="23" t="s">
        <v>602</v>
      </c>
      <c r="C304" s="25" t="s">
        <v>603</v>
      </c>
      <c r="D304" s="26"/>
      <c r="E304" s="5"/>
      <c r="F304" s="27"/>
    </row>
    <row r="305" ht="47.25" customHeight="1">
      <c r="A305" s="23">
        <v>305.0</v>
      </c>
      <c r="B305" s="23" t="s">
        <v>604</v>
      </c>
      <c r="C305" s="25" t="s">
        <v>605</v>
      </c>
      <c r="D305" s="26"/>
      <c r="E305" s="5"/>
      <c r="F305" s="27"/>
    </row>
    <row r="306" ht="47.25" customHeight="1">
      <c r="A306" s="23">
        <v>306.0</v>
      </c>
      <c r="B306" s="23" t="s">
        <v>606</v>
      </c>
      <c r="C306" s="25" t="s">
        <v>607</v>
      </c>
      <c r="D306" s="26"/>
      <c r="E306" s="5"/>
      <c r="F306" s="27"/>
    </row>
    <row r="307" ht="47.25" customHeight="1">
      <c r="A307" s="23">
        <v>307.0</v>
      </c>
      <c r="B307" s="23" t="s">
        <v>608</v>
      </c>
      <c r="C307" s="25" t="s">
        <v>609</v>
      </c>
      <c r="D307" s="26"/>
      <c r="E307" s="5"/>
      <c r="F307" s="27"/>
    </row>
    <row r="308" ht="47.25" customHeight="1">
      <c r="A308" s="23">
        <v>308.0</v>
      </c>
      <c r="B308" s="23" t="s">
        <v>610</v>
      </c>
      <c r="C308" s="25" t="s">
        <v>611</v>
      </c>
      <c r="D308" s="26"/>
      <c r="E308" s="5"/>
      <c r="F308" s="27"/>
    </row>
    <row r="309" ht="47.25" customHeight="1">
      <c r="A309" s="23">
        <v>309.0</v>
      </c>
      <c r="B309" s="23" t="s">
        <v>612</v>
      </c>
      <c r="C309" s="25" t="s">
        <v>262</v>
      </c>
      <c r="D309" s="26"/>
      <c r="E309" s="5"/>
      <c r="F309" s="27"/>
    </row>
    <row r="310" ht="47.25" customHeight="1">
      <c r="A310" s="23">
        <v>310.0</v>
      </c>
      <c r="B310" s="23" t="s">
        <v>613</v>
      </c>
      <c r="C310" s="25" t="s">
        <v>614</v>
      </c>
      <c r="D310" s="26"/>
      <c r="E310" s="5"/>
      <c r="F310" s="27"/>
    </row>
    <row r="311" ht="47.25" customHeight="1">
      <c r="A311" s="23">
        <v>311.0</v>
      </c>
      <c r="B311" s="23" t="s">
        <v>615</v>
      </c>
      <c r="C311" s="25" t="s">
        <v>616</v>
      </c>
      <c r="D311" s="26"/>
      <c r="E311" s="5"/>
      <c r="F311" s="27"/>
    </row>
    <row r="312" ht="47.25" customHeight="1">
      <c r="A312" s="23">
        <v>312.0</v>
      </c>
      <c r="B312" s="23" t="s">
        <v>617</v>
      </c>
      <c r="C312" s="25" t="s">
        <v>618</v>
      </c>
      <c r="D312" s="26"/>
      <c r="E312" s="5"/>
      <c r="F312" s="27"/>
    </row>
    <row r="313" ht="47.25" customHeight="1">
      <c r="A313" s="23">
        <v>313.0</v>
      </c>
      <c r="B313" s="23" t="s">
        <v>619</v>
      </c>
      <c r="C313" s="25" t="s">
        <v>620</v>
      </c>
      <c r="D313" s="26"/>
      <c r="E313" s="5"/>
      <c r="F313" s="27"/>
    </row>
    <row r="314" ht="47.25" customHeight="1">
      <c r="A314" s="23">
        <v>314.0</v>
      </c>
      <c r="B314" s="23" t="s">
        <v>621</v>
      </c>
      <c r="C314" s="25" t="s">
        <v>622</v>
      </c>
      <c r="D314" s="26"/>
      <c r="E314" s="5"/>
      <c r="F314" s="27"/>
    </row>
    <row r="315" ht="47.25" customHeight="1">
      <c r="A315" s="23">
        <v>315.0</v>
      </c>
      <c r="B315" s="23" t="s">
        <v>623</v>
      </c>
      <c r="C315" s="25" t="s">
        <v>624</v>
      </c>
      <c r="D315" s="26"/>
      <c r="E315" s="5"/>
      <c r="F315" s="27"/>
    </row>
    <row r="316" ht="47.25" customHeight="1">
      <c r="A316" s="23">
        <v>316.0</v>
      </c>
      <c r="B316" s="23" t="s">
        <v>625</v>
      </c>
      <c r="C316" s="25" t="s">
        <v>626</v>
      </c>
      <c r="D316" s="26"/>
      <c r="E316" s="5"/>
      <c r="F316" s="27"/>
    </row>
    <row r="317" ht="47.25" customHeight="1">
      <c r="A317" s="23">
        <v>317.0</v>
      </c>
      <c r="B317" s="23" t="s">
        <v>627</v>
      </c>
      <c r="C317" s="25" t="s">
        <v>628</v>
      </c>
      <c r="D317" s="26"/>
      <c r="E317" s="5"/>
      <c r="F317" s="27"/>
    </row>
    <row r="318" ht="47.25" customHeight="1">
      <c r="A318" s="23">
        <v>318.0</v>
      </c>
      <c r="B318" s="23" t="s">
        <v>629</v>
      </c>
      <c r="C318" s="25" t="s">
        <v>630</v>
      </c>
      <c r="D318" s="26"/>
      <c r="E318" s="5"/>
      <c r="F318" s="27"/>
    </row>
    <row r="319" ht="47.25" customHeight="1">
      <c r="A319" s="23">
        <v>319.0</v>
      </c>
      <c r="B319" s="23" t="s">
        <v>631</v>
      </c>
      <c r="C319" s="25" t="s">
        <v>632</v>
      </c>
      <c r="D319" s="26"/>
      <c r="E319" s="5"/>
      <c r="F319" s="27"/>
    </row>
    <row r="320" ht="47.25" customHeight="1">
      <c r="A320" s="23">
        <v>320.0</v>
      </c>
      <c r="B320" s="23" t="s">
        <v>633</v>
      </c>
      <c r="C320" s="25" t="s">
        <v>634</v>
      </c>
      <c r="D320" s="26"/>
      <c r="E320" s="5"/>
      <c r="F320" s="27"/>
    </row>
    <row r="321" ht="47.25" customHeight="1">
      <c r="A321" s="23">
        <v>321.0</v>
      </c>
      <c r="B321" s="23" t="s">
        <v>635</v>
      </c>
      <c r="C321" s="25" t="s">
        <v>636</v>
      </c>
      <c r="D321" s="26"/>
      <c r="E321" s="5"/>
      <c r="F321" s="27"/>
    </row>
    <row r="322" ht="47.25" customHeight="1">
      <c r="A322" s="23">
        <v>322.0</v>
      </c>
      <c r="B322" s="23" t="s">
        <v>637</v>
      </c>
      <c r="C322" s="25" t="s">
        <v>638</v>
      </c>
      <c r="D322" s="26"/>
      <c r="E322" s="5"/>
      <c r="F322" s="27"/>
    </row>
    <row r="323" ht="47.25" customHeight="1">
      <c r="A323" s="23">
        <v>323.0</v>
      </c>
      <c r="B323" s="23" t="s">
        <v>639</v>
      </c>
      <c r="C323" s="25" t="s">
        <v>640</v>
      </c>
      <c r="D323" s="26"/>
      <c r="E323" s="5"/>
      <c r="F323" s="27"/>
    </row>
    <row r="324" ht="47.25" customHeight="1">
      <c r="A324" s="23">
        <v>324.0</v>
      </c>
      <c r="B324" s="23" t="s">
        <v>641</v>
      </c>
      <c r="C324" s="25" t="s">
        <v>642</v>
      </c>
      <c r="D324" s="26"/>
      <c r="E324" s="5"/>
      <c r="F324" s="27"/>
    </row>
    <row r="325" ht="47.25" customHeight="1">
      <c r="A325" s="23">
        <v>325.0</v>
      </c>
      <c r="B325" s="23" t="s">
        <v>643</v>
      </c>
      <c r="C325" s="25" t="s">
        <v>644</v>
      </c>
      <c r="D325" s="26"/>
      <c r="E325" s="5"/>
      <c r="F325" s="27"/>
    </row>
    <row r="326" ht="47.25" customHeight="1">
      <c r="A326" s="23">
        <v>326.0</v>
      </c>
      <c r="B326" s="23" t="s">
        <v>645</v>
      </c>
      <c r="C326" s="25" t="s">
        <v>646</v>
      </c>
      <c r="D326" s="26"/>
      <c r="E326" s="5"/>
      <c r="F326" s="27"/>
    </row>
    <row r="327" ht="47.25" customHeight="1">
      <c r="A327" s="23">
        <v>327.0</v>
      </c>
      <c r="B327" s="23" t="s">
        <v>647</v>
      </c>
      <c r="C327" s="25" t="s">
        <v>648</v>
      </c>
      <c r="D327" s="26"/>
      <c r="E327" s="5"/>
      <c r="F327" s="27"/>
    </row>
    <row r="328" ht="47.25" customHeight="1">
      <c r="A328" s="23">
        <v>328.0</v>
      </c>
      <c r="B328" s="23" t="s">
        <v>649</v>
      </c>
      <c r="C328" s="25" t="s">
        <v>650</v>
      </c>
      <c r="D328" s="26"/>
      <c r="E328" s="5"/>
      <c r="F328" s="27"/>
    </row>
    <row r="329" ht="47.25" customHeight="1">
      <c r="A329" s="23">
        <v>329.0</v>
      </c>
      <c r="B329" s="23" t="s">
        <v>651</v>
      </c>
      <c r="C329" s="25" t="s">
        <v>652</v>
      </c>
      <c r="D329" s="26"/>
      <c r="E329" s="5"/>
      <c r="F329" s="27"/>
    </row>
    <row r="330" ht="47.25" customHeight="1">
      <c r="A330" s="23">
        <v>330.0</v>
      </c>
      <c r="B330" s="23" t="s">
        <v>653</v>
      </c>
      <c r="C330" s="25" t="s">
        <v>654</v>
      </c>
      <c r="D330" s="26"/>
      <c r="E330" s="5"/>
      <c r="F330" s="27"/>
    </row>
    <row r="331" ht="47.25" customHeight="1">
      <c r="A331" s="23">
        <v>331.0</v>
      </c>
      <c r="B331" s="23" t="s">
        <v>655</v>
      </c>
      <c r="C331" s="25" t="s">
        <v>656</v>
      </c>
      <c r="D331" s="26"/>
      <c r="E331" s="5"/>
      <c r="F331" s="27"/>
    </row>
    <row r="332" ht="47.25" customHeight="1">
      <c r="A332" s="23">
        <v>332.0</v>
      </c>
      <c r="B332" s="23" t="s">
        <v>657</v>
      </c>
      <c r="C332" s="25" t="s">
        <v>658</v>
      </c>
      <c r="D332" s="26"/>
      <c r="E332" s="5"/>
      <c r="F332" s="27"/>
    </row>
    <row r="333" ht="47.25" customHeight="1">
      <c r="A333" s="23">
        <v>333.0</v>
      </c>
      <c r="B333" s="23" t="s">
        <v>659</v>
      </c>
      <c r="C333" s="25" t="s">
        <v>660</v>
      </c>
      <c r="D333" s="26"/>
      <c r="E333" s="5"/>
      <c r="F333" s="27"/>
    </row>
    <row r="334" ht="47.25" customHeight="1">
      <c r="A334" s="23">
        <v>334.0</v>
      </c>
      <c r="B334" s="23" t="s">
        <v>661</v>
      </c>
      <c r="C334" s="25" t="s">
        <v>662</v>
      </c>
      <c r="D334" s="26"/>
      <c r="E334" s="5"/>
      <c r="F334" s="27"/>
    </row>
    <row r="335" ht="47.25" customHeight="1">
      <c r="A335" s="23">
        <v>335.0</v>
      </c>
      <c r="B335" s="23" t="s">
        <v>663</v>
      </c>
      <c r="C335" s="25" t="s">
        <v>664</v>
      </c>
      <c r="D335" s="26"/>
      <c r="E335" s="5"/>
      <c r="F335" s="27"/>
    </row>
    <row r="336" ht="47.25" customHeight="1">
      <c r="A336" s="23">
        <v>336.0</v>
      </c>
      <c r="B336" s="23" t="s">
        <v>665</v>
      </c>
      <c r="C336" s="25" t="s">
        <v>666</v>
      </c>
      <c r="D336" s="26"/>
      <c r="E336" s="5"/>
      <c r="F336" s="27"/>
    </row>
    <row r="337" ht="47.25" customHeight="1">
      <c r="A337" s="23">
        <v>337.0</v>
      </c>
      <c r="B337" s="23" t="s">
        <v>667</v>
      </c>
      <c r="C337" s="25" t="s">
        <v>668</v>
      </c>
      <c r="D337" s="26"/>
      <c r="E337" s="5"/>
      <c r="F337" s="27"/>
    </row>
    <row r="338" ht="47.25" customHeight="1">
      <c r="A338" s="23">
        <v>338.0</v>
      </c>
      <c r="B338" s="23" t="s">
        <v>669</v>
      </c>
      <c r="C338" s="25" t="s">
        <v>670</v>
      </c>
      <c r="D338" s="26"/>
      <c r="E338" s="5"/>
      <c r="F338" s="27"/>
    </row>
    <row r="339" ht="47.25" customHeight="1">
      <c r="A339" s="23">
        <v>339.0</v>
      </c>
      <c r="B339" s="23" t="s">
        <v>671</v>
      </c>
      <c r="C339" s="25" t="s">
        <v>672</v>
      </c>
      <c r="D339" s="26"/>
      <c r="E339" s="5"/>
      <c r="F339" s="27"/>
    </row>
    <row r="340" ht="47.25" customHeight="1">
      <c r="A340" s="23">
        <v>340.0</v>
      </c>
      <c r="B340" s="23" t="s">
        <v>673</v>
      </c>
      <c r="C340" s="25" t="s">
        <v>674</v>
      </c>
      <c r="D340" s="26"/>
      <c r="E340" s="5"/>
      <c r="F340" s="27"/>
    </row>
    <row r="341" ht="47.25" customHeight="1">
      <c r="A341" s="23">
        <v>341.0</v>
      </c>
      <c r="B341" s="23" t="s">
        <v>675</v>
      </c>
      <c r="C341" s="25" t="s">
        <v>676</v>
      </c>
      <c r="D341" s="26"/>
      <c r="E341" s="5"/>
      <c r="F341" s="27"/>
    </row>
    <row r="342" ht="47.25" customHeight="1">
      <c r="A342" s="23">
        <v>342.0</v>
      </c>
      <c r="B342" s="23" t="s">
        <v>677</v>
      </c>
      <c r="C342" s="25" t="s">
        <v>678</v>
      </c>
      <c r="D342" s="26"/>
      <c r="E342" s="5"/>
      <c r="F342" s="27"/>
    </row>
    <row r="343" ht="47.25" customHeight="1">
      <c r="A343" s="23">
        <v>343.0</v>
      </c>
      <c r="B343" s="23" t="s">
        <v>679</v>
      </c>
      <c r="C343" s="25" t="s">
        <v>680</v>
      </c>
      <c r="D343" s="26"/>
      <c r="E343" s="5"/>
      <c r="F343" s="27"/>
    </row>
    <row r="344" ht="47.25" customHeight="1">
      <c r="A344" s="23">
        <v>344.0</v>
      </c>
      <c r="B344" s="23" t="s">
        <v>681</v>
      </c>
      <c r="C344" s="25" t="s">
        <v>682</v>
      </c>
      <c r="D344" s="26"/>
      <c r="E344" s="5"/>
      <c r="F344" s="27"/>
    </row>
    <row r="345" ht="47.25" customHeight="1">
      <c r="A345" s="23">
        <v>345.0</v>
      </c>
      <c r="B345" s="23" t="s">
        <v>683</v>
      </c>
      <c r="C345" s="25" t="s">
        <v>684</v>
      </c>
      <c r="D345" s="26"/>
      <c r="E345" s="5"/>
      <c r="F345" s="27"/>
    </row>
    <row r="346" ht="47.25" customHeight="1">
      <c r="A346" s="23">
        <v>346.0</v>
      </c>
      <c r="B346" s="23" t="s">
        <v>685</v>
      </c>
      <c r="C346" s="25" t="s">
        <v>686</v>
      </c>
      <c r="D346" s="26"/>
      <c r="E346" s="5"/>
      <c r="F346" s="27"/>
    </row>
    <row r="347" ht="47.25" customHeight="1">
      <c r="A347" s="23">
        <v>347.0</v>
      </c>
      <c r="B347" s="23" t="s">
        <v>687</v>
      </c>
      <c r="C347" s="25" t="s">
        <v>688</v>
      </c>
      <c r="D347" s="26"/>
      <c r="E347" s="5"/>
      <c r="F347" s="27"/>
    </row>
    <row r="348" ht="47.25" customHeight="1">
      <c r="A348" s="23">
        <v>348.0</v>
      </c>
      <c r="B348" s="23" t="s">
        <v>689</v>
      </c>
      <c r="C348" s="25" t="s">
        <v>690</v>
      </c>
      <c r="D348" s="26"/>
      <c r="E348" s="5"/>
      <c r="F348" s="27"/>
    </row>
    <row r="349" ht="47.25" customHeight="1">
      <c r="A349" s="23">
        <v>349.0</v>
      </c>
      <c r="B349" s="23" t="s">
        <v>691</v>
      </c>
      <c r="C349" s="25" t="s">
        <v>692</v>
      </c>
      <c r="D349" s="26"/>
      <c r="E349" s="5"/>
      <c r="F349" s="27"/>
    </row>
    <row r="350" ht="47.25" customHeight="1">
      <c r="A350" s="23">
        <v>350.0</v>
      </c>
      <c r="B350" s="23" t="s">
        <v>693</v>
      </c>
      <c r="C350" s="25" t="s">
        <v>694</v>
      </c>
      <c r="D350" s="26"/>
      <c r="E350" s="5"/>
      <c r="F350" s="27"/>
    </row>
    <row r="351" ht="47.25" customHeight="1">
      <c r="A351" s="23">
        <v>351.0</v>
      </c>
      <c r="B351" s="23" t="s">
        <v>695</v>
      </c>
      <c r="C351" s="25" t="s">
        <v>696</v>
      </c>
      <c r="D351" s="26"/>
      <c r="E351" s="5"/>
      <c r="F351" s="27"/>
    </row>
    <row r="352" ht="47.25" customHeight="1">
      <c r="A352" s="23">
        <v>352.0</v>
      </c>
      <c r="B352" s="23" t="s">
        <v>697</v>
      </c>
      <c r="C352" s="25" t="s">
        <v>698</v>
      </c>
      <c r="D352" s="26"/>
      <c r="E352" s="5"/>
      <c r="F352" s="27"/>
    </row>
    <row r="353" ht="47.25" customHeight="1">
      <c r="A353" s="23">
        <v>353.0</v>
      </c>
      <c r="B353" s="23" t="s">
        <v>699</v>
      </c>
      <c r="C353" s="25" t="s">
        <v>700</v>
      </c>
      <c r="D353" s="26"/>
      <c r="E353" s="5"/>
      <c r="F353" s="27"/>
    </row>
    <row r="354" ht="47.25" customHeight="1">
      <c r="A354" s="23">
        <v>354.0</v>
      </c>
      <c r="B354" s="23" t="s">
        <v>701</v>
      </c>
      <c r="C354" s="25" t="s">
        <v>460</v>
      </c>
      <c r="D354" s="26"/>
      <c r="E354" s="5"/>
      <c r="F354" s="27"/>
    </row>
    <row r="355" ht="47.25" customHeight="1">
      <c r="A355" s="23">
        <v>355.0</v>
      </c>
      <c r="B355" s="23" t="s">
        <v>702</v>
      </c>
      <c r="C355" s="25" t="s">
        <v>703</v>
      </c>
      <c r="D355" s="26"/>
      <c r="E355" s="5"/>
      <c r="F355" s="27"/>
    </row>
    <row r="356" ht="47.25" customHeight="1">
      <c r="A356" s="23">
        <v>356.0</v>
      </c>
      <c r="B356" s="23" t="s">
        <v>704</v>
      </c>
      <c r="C356" s="25" t="s">
        <v>705</v>
      </c>
      <c r="D356" s="26"/>
      <c r="E356" s="5"/>
      <c r="F356" s="27"/>
    </row>
    <row r="357" ht="47.25" customHeight="1">
      <c r="A357" s="23">
        <v>357.0</v>
      </c>
      <c r="B357" s="23" t="s">
        <v>706</v>
      </c>
      <c r="C357" s="25" t="s">
        <v>707</v>
      </c>
      <c r="D357" s="26"/>
      <c r="E357" s="5"/>
      <c r="F357" s="27"/>
    </row>
    <row r="358" ht="47.25" customHeight="1">
      <c r="A358" s="23">
        <v>358.0</v>
      </c>
      <c r="B358" s="23" t="s">
        <v>708</v>
      </c>
      <c r="C358" s="25" t="s">
        <v>700</v>
      </c>
      <c r="D358" s="26"/>
      <c r="E358" s="5"/>
      <c r="F358" s="27"/>
    </row>
    <row r="359" ht="47.25" customHeight="1">
      <c r="A359" s="23">
        <v>359.0</v>
      </c>
      <c r="B359" s="23" t="s">
        <v>709</v>
      </c>
      <c r="C359" s="25" t="s">
        <v>710</v>
      </c>
      <c r="D359" s="26"/>
      <c r="E359" s="5"/>
      <c r="F359" s="27"/>
    </row>
    <row r="360" ht="47.25" customHeight="1">
      <c r="A360" s="23">
        <v>360.0</v>
      </c>
      <c r="B360" s="23" t="s">
        <v>711</v>
      </c>
      <c r="C360" s="25" t="s">
        <v>712</v>
      </c>
      <c r="D360" s="26"/>
      <c r="E360" s="5"/>
      <c r="F360" s="27"/>
    </row>
    <row r="361" ht="47.25" customHeight="1">
      <c r="A361" s="23">
        <v>361.0</v>
      </c>
      <c r="B361" s="23" t="s">
        <v>713</v>
      </c>
      <c r="C361" s="25" t="s">
        <v>714</v>
      </c>
      <c r="D361" s="26"/>
      <c r="E361" s="5"/>
      <c r="F361" s="27"/>
    </row>
    <row r="362" ht="47.25" customHeight="1">
      <c r="A362" s="23">
        <v>362.0</v>
      </c>
      <c r="B362" s="23" t="s">
        <v>715</v>
      </c>
      <c r="C362" s="25" t="s">
        <v>133</v>
      </c>
      <c r="D362" s="26"/>
      <c r="E362" s="5"/>
      <c r="F362" s="27"/>
    </row>
    <row r="363" ht="47.25" customHeight="1">
      <c r="A363" s="23">
        <v>363.0</v>
      </c>
      <c r="B363" s="23" t="s">
        <v>716</v>
      </c>
      <c r="C363" s="25" t="s">
        <v>717</v>
      </c>
      <c r="D363" s="26"/>
      <c r="E363" s="5"/>
      <c r="F363" s="27"/>
    </row>
    <row r="364" ht="47.25" customHeight="1">
      <c r="A364" s="23">
        <v>364.0</v>
      </c>
      <c r="B364" s="23" t="s">
        <v>718</v>
      </c>
      <c r="C364" s="25" t="s">
        <v>719</v>
      </c>
      <c r="D364" s="26"/>
      <c r="E364" s="5"/>
      <c r="F364" s="27"/>
    </row>
    <row r="365" ht="47.25" customHeight="1">
      <c r="A365" s="23">
        <v>365.0</v>
      </c>
      <c r="B365" s="23" t="s">
        <v>720</v>
      </c>
      <c r="C365" s="25" t="s">
        <v>721</v>
      </c>
      <c r="D365" s="26"/>
      <c r="E365" s="5"/>
      <c r="F365" s="27"/>
    </row>
    <row r="366" ht="47.25" customHeight="1">
      <c r="A366" s="23">
        <v>366.0</v>
      </c>
      <c r="B366" s="23" t="s">
        <v>722</v>
      </c>
      <c r="C366" s="25" t="s">
        <v>723</v>
      </c>
      <c r="D366" s="26"/>
      <c r="E366" s="5"/>
      <c r="F366" s="27"/>
    </row>
    <row r="367" ht="47.25" customHeight="1">
      <c r="A367" s="23">
        <v>367.0</v>
      </c>
      <c r="B367" s="23" t="s">
        <v>724</v>
      </c>
      <c r="C367" s="25" t="s">
        <v>725</v>
      </c>
      <c r="D367" s="26"/>
      <c r="E367" s="5"/>
      <c r="F367" s="27"/>
    </row>
    <row r="368" ht="47.25" customHeight="1">
      <c r="A368" s="23">
        <v>368.0</v>
      </c>
      <c r="B368" s="23" t="s">
        <v>726</v>
      </c>
      <c r="C368" s="25" t="s">
        <v>727</v>
      </c>
      <c r="D368" s="26"/>
      <c r="E368" s="5"/>
      <c r="F368" s="27"/>
    </row>
    <row r="369" ht="47.25" customHeight="1">
      <c r="A369" s="23">
        <v>369.0</v>
      </c>
      <c r="B369" s="23" t="s">
        <v>728</v>
      </c>
      <c r="C369" s="25" t="s">
        <v>729</v>
      </c>
      <c r="D369" s="26"/>
      <c r="E369" s="5"/>
      <c r="F369" s="27"/>
    </row>
    <row r="370" ht="47.25" customHeight="1">
      <c r="A370" s="23">
        <v>370.0</v>
      </c>
      <c r="B370" s="23" t="s">
        <v>730</v>
      </c>
      <c r="C370" s="25" t="s">
        <v>731</v>
      </c>
      <c r="D370" s="26"/>
      <c r="E370" s="5"/>
      <c r="F370" s="27"/>
    </row>
    <row r="371" ht="47.25" customHeight="1">
      <c r="A371" s="23">
        <v>371.0</v>
      </c>
      <c r="B371" s="23" t="s">
        <v>732</v>
      </c>
      <c r="C371" s="25" t="s">
        <v>733</v>
      </c>
      <c r="D371" s="26"/>
      <c r="E371" s="5"/>
      <c r="F371" s="27"/>
    </row>
    <row r="372" ht="47.25" customHeight="1">
      <c r="A372" s="23">
        <v>372.0</v>
      </c>
      <c r="B372" s="23" t="s">
        <v>734</v>
      </c>
      <c r="C372" s="25" t="s">
        <v>735</v>
      </c>
      <c r="D372" s="26"/>
      <c r="E372" s="5"/>
      <c r="F372" s="27"/>
    </row>
    <row r="373" ht="47.25" customHeight="1">
      <c r="A373" s="23">
        <v>373.0</v>
      </c>
      <c r="B373" s="23" t="s">
        <v>736</v>
      </c>
      <c r="C373" s="25" t="s">
        <v>737</v>
      </c>
      <c r="D373" s="26"/>
      <c r="E373" s="5"/>
      <c r="F373" s="27"/>
    </row>
    <row r="374" ht="47.25" customHeight="1">
      <c r="A374" s="23">
        <v>374.0</v>
      </c>
      <c r="B374" s="23" t="s">
        <v>738</v>
      </c>
      <c r="C374" s="25" t="s">
        <v>739</v>
      </c>
      <c r="D374" s="26"/>
      <c r="E374" s="5"/>
      <c r="F374" s="27"/>
    </row>
    <row r="375" ht="47.25" customHeight="1">
      <c r="A375" s="23">
        <v>375.0</v>
      </c>
      <c r="B375" s="23" t="s">
        <v>740</v>
      </c>
      <c r="C375" s="25" t="s">
        <v>741</v>
      </c>
      <c r="D375" s="26"/>
      <c r="E375" s="5"/>
      <c r="F375" s="27"/>
    </row>
    <row r="376" ht="47.25" customHeight="1">
      <c r="A376" s="23">
        <v>376.0</v>
      </c>
      <c r="B376" s="23" t="s">
        <v>742</v>
      </c>
      <c r="C376" s="25" t="s">
        <v>743</v>
      </c>
      <c r="D376" s="26"/>
      <c r="E376" s="5"/>
      <c r="F376" s="27"/>
    </row>
    <row r="377" ht="47.25" customHeight="1">
      <c r="A377" s="23">
        <v>377.0</v>
      </c>
      <c r="B377" s="23" t="s">
        <v>744</v>
      </c>
      <c r="C377" s="25" t="s">
        <v>743</v>
      </c>
      <c r="D377" s="26"/>
      <c r="E377" s="5"/>
      <c r="F377" s="27"/>
    </row>
    <row r="378" ht="47.25" customHeight="1">
      <c r="A378" s="23">
        <v>378.0</v>
      </c>
      <c r="B378" s="23" t="s">
        <v>745</v>
      </c>
      <c r="C378" s="25" t="s">
        <v>743</v>
      </c>
      <c r="D378" s="26"/>
      <c r="E378" s="5"/>
      <c r="F378" s="27"/>
    </row>
    <row r="379" ht="47.25" customHeight="1">
      <c r="A379" s="23">
        <v>379.0</v>
      </c>
      <c r="B379" s="23" t="s">
        <v>746</v>
      </c>
      <c r="C379" s="25" t="s">
        <v>743</v>
      </c>
      <c r="D379" s="26"/>
      <c r="E379" s="5"/>
      <c r="F379" s="27"/>
    </row>
    <row r="380" ht="47.25" customHeight="1">
      <c r="A380" s="23">
        <v>380.0</v>
      </c>
      <c r="B380" s="23" t="s">
        <v>747</v>
      </c>
      <c r="C380" s="25" t="s">
        <v>743</v>
      </c>
      <c r="D380" s="26"/>
      <c r="E380" s="5"/>
      <c r="F380" s="27"/>
    </row>
    <row r="381" ht="47.25" customHeight="1">
      <c r="A381" s="23">
        <v>381.0</v>
      </c>
      <c r="B381" s="23" t="s">
        <v>748</v>
      </c>
      <c r="C381" s="25" t="s">
        <v>743</v>
      </c>
      <c r="D381" s="26"/>
      <c r="E381" s="5"/>
      <c r="F381" s="27"/>
    </row>
    <row r="382" ht="47.25" customHeight="1">
      <c r="A382" s="23">
        <v>382.0</v>
      </c>
      <c r="B382" s="23" t="s">
        <v>749</v>
      </c>
      <c r="C382" s="25" t="s">
        <v>750</v>
      </c>
      <c r="D382" s="26"/>
      <c r="E382" s="5"/>
      <c r="F382" s="27"/>
    </row>
    <row r="383" ht="47.25" customHeight="1">
      <c r="A383" s="23">
        <v>383.0</v>
      </c>
      <c r="B383" s="23" t="s">
        <v>751</v>
      </c>
      <c r="C383" s="25" t="s">
        <v>750</v>
      </c>
      <c r="D383" s="26"/>
      <c r="E383" s="5"/>
      <c r="F383" s="27"/>
    </row>
    <row r="384" ht="47.25" customHeight="1">
      <c r="A384" s="23">
        <v>384.0</v>
      </c>
      <c r="B384" s="23" t="s">
        <v>752</v>
      </c>
      <c r="C384" s="25" t="s">
        <v>750</v>
      </c>
      <c r="D384" s="26"/>
      <c r="E384" s="5"/>
      <c r="F384" s="27"/>
    </row>
    <row r="385" ht="47.25" customHeight="1">
      <c r="A385" s="23">
        <v>385.0</v>
      </c>
      <c r="B385" s="23" t="s">
        <v>753</v>
      </c>
      <c r="C385" s="25" t="s">
        <v>750</v>
      </c>
      <c r="D385" s="26"/>
      <c r="E385" s="5"/>
      <c r="F385" s="27"/>
    </row>
    <row r="386" ht="47.25" customHeight="1">
      <c r="A386" s="23">
        <v>386.0</v>
      </c>
      <c r="B386" s="23" t="s">
        <v>754</v>
      </c>
      <c r="C386" s="25" t="s">
        <v>750</v>
      </c>
      <c r="D386" s="26"/>
      <c r="E386" s="5"/>
      <c r="F386" s="27"/>
    </row>
    <row r="387" ht="47.25" customHeight="1">
      <c r="A387" s="23">
        <v>387.0</v>
      </c>
      <c r="B387" s="23" t="s">
        <v>755</v>
      </c>
      <c r="C387" s="25" t="s">
        <v>750</v>
      </c>
      <c r="D387" s="26"/>
      <c r="E387" s="5"/>
      <c r="F387" s="27"/>
    </row>
    <row r="388" ht="47.25" customHeight="1">
      <c r="A388" s="23">
        <v>388.0</v>
      </c>
      <c r="B388" s="23" t="s">
        <v>756</v>
      </c>
      <c r="C388" s="25" t="s">
        <v>757</v>
      </c>
      <c r="D388" s="26"/>
      <c r="E388" s="5"/>
      <c r="F388" s="27"/>
    </row>
    <row r="389" ht="47.25" customHeight="1">
      <c r="A389" s="23">
        <v>389.0</v>
      </c>
      <c r="B389" s="23" t="s">
        <v>758</v>
      </c>
      <c r="C389" s="25" t="s">
        <v>759</v>
      </c>
      <c r="D389" s="26"/>
      <c r="E389" s="5"/>
      <c r="F389" s="27"/>
    </row>
    <row r="390" ht="47.25" customHeight="1">
      <c r="A390" s="23">
        <v>390.0</v>
      </c>
      <c r="B390" s="23" t="s">
        <v>760</v>
      </c>
      <c r="C390" s="25" t="s">
        <v>761</v>
      </c>
      <c r="D390" s="26"/>
      <c r="E390" s="5"/>
      <c r="F390" s="27"/>
    </row>
    <row r="391" ht="47.25" customHeight="1">
      <c r="A391" s="23">
        <v>391.0</v>
      </c>
      <c r="B391" s="23" t="s">
        <v>762</v>
      </c>
      <c r="C391" s="25" t="s">
        <v>763</v>
      </c>
      <c r="D391" s="26"/>
      <c r="E391" s="5"/>
      <c r="F391" s="28"/>
    </row>
    <row r="392" ht="47.25" customHeight="1">
      <c r="A392" s="23">
        <v>392.0</v>
      </c>
      <c r="B392" s="23" t="s">
        <v>764</v>
      </c>
      <c r="C392" s="25" t="s">
        <v>765</v>
      </c>
      <c r="D392" s="26"/>
      <c r="E392" s="5"/>
      <c r="F392" s="27"/>
    </row>
    <row r="393" ht="47.25" customHeight="1">
      <c r="A393" s="23">
        <v>393.0</v>
      </c>
      <c r="B393" s="23" t="s">
        <v>766</v>
      </c>
      <c r="C393" s="25" t="s">
        <v>767</v>
      </c>
      <c r="D393" s="26"/>
      <c r="E393" s="5"/>
      <c r="F393" s="27"/>
    </row>
    <row r="394" ht="47.25" customHeight="1">
      <c r="A394" s="23">
        <v>394.0</v>
      </c>
      <c r="B394" s="23" t="s">
        <v>768</v>
      </c>
      <c r="C394" s="25" t="s">
        <v>769</v>
      </c>
      <c r="D394" s="26"/>
      <c r="E394" s="5"/>
      <c r="F394" s="27"/>
    </row>
    <row r="395" ht="47.25" customHeight="1">
      <c r="A395" s="23">
        <v>395.0</v>
      </c>
      <c r="B395" s="23" t="s">
        <v>770</v>
      </c>
      <c r="C395" s="25" t="s">
        <v>771</v>
      </c>
      <c r="D395" s="26"/>
      <c r="E395" s="5"/>
      <c r="F395" s="28"/>
    </row>
    <row r="396" ht="47.25" customHeight="1">
      <c r="A396" s="23">
        <v>396.0</v>
      </c>
      <c r="B396" s="23" t="s">
        <v>772</v>
      </c>
      <c r="C396" s="25" t="s">
        <v>773</v>
      </c>
      <c r="D396" s="26"/>
      <c r="E396" s="5"/>
      <c r="F396" s="27"/>
    </row>
    <row r="397" ht="47.25" customHeight="1">
      <c r="A397" s="23">
        <v>397.0</v>
      </c>
      <c r="B397" s="23" t="s">
        <v>774</v>
      </c>
      <c r="C397" s="25" t="s">
        <v>743</v>
      </c>
      <c r="D397" s="26"/>
      <c r="E397" s="5"/>
      <c r="F397" s="27"/>
    </row>
    <row r="398" ht="47.25" customHeight="1">
      <c r="A398" s="23">
        <v>398.0</v>
      </c>
      <c r="B398" s="23" t="s">
        <v>775</v>
      </c>
      <c r="C398" s="25" t="s">
        <v>750</v>
      </c>
      <c r="D398" s="26"/>
      <c r="E398" s="5"/>
      <c r="F398" s="27"/>
    </row>
    <row r="399" ht="47.25" customHeight="1">
      <c r="A399" s="23">
        <v>399.0</v>
      </c>
      <c r="B399" s="23" t="s">
        <v>776</v>
      </c>
      <c r="C399" s="25" t="s">
        <v>743</v>
      </c>
      <c r="D399" s="26"/>
      <c r="E399" s="5"/>
      <c r="F399" s="27"/>
    </row>
    <row r="400" ht="47.25" customHeight="1">
      <c r="A400" s="23">
        <v>400.0</v>
      </c>
      <c r="B400" s="23" t="s">
        <v>777</v>
      </c>
      <c r="C400" s="25" t="s">
        <v>750</v>
      </c>
      <c r="D400" s="26"/>
      <c r="E400" s="5"/>
      <c r="F400" s="27"/>
    </row>
    <row r="401" hidden="1">
      <c r="A401" s="31"/>
      <c r="B401" s="31"/>
      <c r="C401" s="31"/>
      <c r="F401" s="28"/>
    </row>
    <row r="402" hidden="1">
      <c r="A402" s="31"/>
      <c r="B402" s="31"/>
      <c r="C402" s="31"/>
      <c r="F402" s="28"/>
    </row>
    <row r="403" hidden="1">
      <c r="A403" s="31"/>
      <c r="B403" s="31"/>
      <c r="C403" s="31"/>
      <c r="F403" s="28"/>
    </row>
    <row r="404" hidden="1">
      <c r="A404" s="31"/>
      <c r="B404" s="31"/>
      <c r="C404" s="31"/>
      <c r="F404" s="28"/>
    </row>
    <row r="405" hidden="1">
      <c r="A405" s="31"/>
      <c r="B405" s="31"/>
      <c r="C405" s="31"/>
      <c r="F405" s="28"/>
    </row>
    <row r="406" hidden="1">
      <c r="A406" s="31"/>
      <c r="B406" s="31"/>
      <c r="C406" s="31"/>
      <c r="F406" s="28"/>
    </row>
    <row r="407" hidden="1">
      <c r="A407" s="31"/>
      <c r="B407" s="31"/>
      <c r="C407" s="31"/>
      <c r="F407" s="28"/>
    </row>
    <row r="408" hidden="1">
      <c r="A408" s="31"/>
      <c r="B408" s="31"/>
      <c r="C408" s="31"/>
      <c r="F408" s="28"/>
    </row>
    <row r="409" hidden="1">
      <c r="A409" s="31"/>
      <c r="B409" s="31"/>
      <c r="C409" s="31"/>
      <c r="F409" s="28"/>
    </row>
    <row r="410" hidden="1">
      <c r="A410" s="31"/>
      <c r="B410" s="31"/>
      <c r="C410" s="31"/>
      <c r="F410" s="28"/>
    </row>
    <row r="411" hidden="1">
      <c r="A411" s="31"/>
      <c r="B411" s="31"/>
      <c r="C411" s="31"/>
      <c r="F411" s="28"/>
    </row>
    <row r="412" hidden="1">
      <c r="A412" s="31"/>
      <c r="B412" s="31"/>
      <c r="C412" s="31"/>
      <c r="F412" s="28"/>
    </row>
    <row r="413" hidden="1">
      <c r="A413" s="31"/>
      <c r="B413" s="31"/>
      <c r="C413" s="31"/>
      <c r="F413" s="28"/>
    </row>
    <row r="414" hidden="1">
      <c r="A414" s="31"/>
      <c r="B414" s="31"/>
      <c r="C414" s="31"/>
      <c r="F414" s="28"/>
    </row>
    <row r="415" hidden="1">
      <c r="A415" s="31"/>
      <c r="B415" s="31"/>
      <c r="C415" s="31"/>
      <c r="F415" s="28"/>
    </row>
    <row r="416" hidden="1">
      <c r="A416" s="31"/>
      <c r="B416" s="31"/>
      <c r="C416" s="31"/>
      <c r="F416" s="28"/>
    </row>
    <row r="417" hidden="1">
      <c r="A417" s="31"/>
      <c r="B417" s="31"/>
      <c r="C417" s="31"/>
      <c r="F417" s="28"/>
    </row>
    <row r="418" hidden="1">
      <c r="A418" s="31"/>
      <c r="B418" s="31"/>
      <c r="C418" s="31"/>
      <c r="F418" s="28"/>
    </row>
    <row r="419" hidden="1">
      <c r="A419" s="31"/>
      <c r="B419" s="31"/>
      <c r="C419" s="31"/>
      <c r="F419" s="28"/>
    </row>
    <row r="420" hidden="1">
      <c r="A420" s="31"/>
      <c r="B420" s="31"/>
      <c r="C420" s="31"/>
      <c r="F420" s="28"/>
    </row>
    <row r="421" hidden="1">
      <c r="A421" s="31"/>
      <c r="B421" s="31"/>
      <c r="C421" s="31"/>
      <c r="F421" s="28"/>
    </row>
    <row r="422" hidden="1">
      <c r="A422" s="31"/>
      <c r="B422" s="31"/>
      <c r="C422" s="31"/>
      <c r="F422" s="28"/>
    </row>
    <row r="423" hidden="1">
      <c r="A423" s="31"/>
      <c r="B423" s="31"/>
      <c r="C423" s="31"/>
      <c r="F423" s="28"/>
    </row>
    <row r="424" hidden="1">
      <c r="A424" s="31"/>
      <c r="B424" s="31"/>
      <c r="C424" s="31"/>
      <c r="F424" s="28"/>
    </row>
    <row r="425" hidden="1">
      <c r="A425" s="31"/>
      <c r="B425" s="31"/>
      <c r="C425" s="31"/>
      <c r="F425" s="28"/>
    </row>
    <row r="426" hidden="1">
      <c r="A426" s="31"/>
      <c r="B426" s="31"/>
      <c r="C426" s="31"/>
      <c r="F426" s="28"/>
    </row>
    <row r="427" hidden="1">
      <c r="A427" s="31"/>
      <c r="B427" s="31"/>
      <c r="C427" s="31"/>
      <c r="F427" s="28"/>
    </row>
    <row r="428" hidden="1">
      <c r="A428" s="31"/>
      <c r="B428" s="31"/>
      <c r="C428" s="31"/>
      <c r="F428" s="28"/>
    </row>
    <row r="429" hidden="1">
      <c r="A429" s="31"/>
      <c r="B429" s="31"/>
      <c r="C429" s="31"/>
      <c r="F429" s="28"/>
    </row>
    <row r="430" hidden="1">
      <c r="A430" s="31"/>
      <c r="B430" s="31"/>
      <c r="C430" s="31"/>
      <c r="F430" s="28"/>
    </row>
    <row r="431" hidden="1">
      <c r="A431" s="31"/>
      <c r="B431" s="31"/>
      <c r="C431" s="31"/>
      <c r="F431" s="28"/>
    </row>
    <row r="432" hidden="1">
      <c r="A432" s="31"/>
      <c r="B432" s="31"/>
      <c r="C432" s="31"/>
      <c r="F432" s="28"/>
    </row>
    <row r="433" hidden="1">
      <c r="A433" s="31"/>
      <c r="B433" s="31"/>
      <c r="C433" s="31"/>
      <c r="F433" s="28"/>
    </row>
    <row r="434" hidden="1">
      <c r="A434" s="31"/>
      <c r="B434" s="31"/>
      <c r="C434" s="31"/>
      <c r="F434" s="28"/>
    </row>
    <row r="435" hidden="1">
      <c r="A435" s="31"/>
      <c r="B435" s="31"/>
      <c r="C435" s="31"/>
      <c r="F435" s="28"/>
    </row>
    <row r="436" hidden="1">
      <c r="A436" s="31"/>
      <c r="B436" s="31"/>
      <c r="C436" s="31"/>
      <c r="F436" s="28"/>
    </row>
    <row r="437" hidden="1">
      <c r="A437" s="31"/>
      <c r="B437" s="31"/>
      <c r="C437" s="31"/>
      <c r="F437" s="28"/>
    </row>
    <row r="438" hidden="1">
      <c r="A438" s="31"/>
      <c r="B438" s="31"/>
      <c r="C438" s="31"/>
      <c r="F438" s="28"/>
    </row>
    <row r="439" hidden="1">
      <c r="A439" s="31"/>
      <c r="B439" s="31"/>
      <c r="C439" s="31"/>
      <c r="F439" s="28"/>
    </row>
    <row r="440" hidden="1">
      <c r="A440" s="31"/>
      <c r="B440" s="31"/>
      <c r="C440" s="31"/>
      <c r="F440" s="28"/>
    </row>
    <row r="441" hidden="1">
      <c r="A441" s="31"/>
      <c r="B441" s="31"/>
      <c r="C441" s="31"/>
      <c r="F441" s="28"/>
    </row>
    <row r="442" hidden="1">
      <c r="A442" s="31"/>
      <c r="B442" s="31"/>
      <c r="C442" s="31"/>
      <c r="F442" s="28"/>
    </row>
    <row r="443" hidden="1">
      <c r="A443" s="31"/>
      <c r="B443" s="31"/>
      <c r="C443" s="31"/>
      <c r="F443" s="28"/>
    </row>
    <row r="444" hidden="1">
      <c r="A444" s="31"/>
      <c r="B444" s="31"/>
      <c r="C444" s="31"/>
      <c r="F444" s="28"/>
    </row>
    <row r="445" hidden="1">
      <c r="A445" s="31"/>
      <c r="B445" s="31"/>
      <c r="C445" s="31"/>
      <c r="F445" s="28"/>
    </row>
    <row r="446" hidden="1">
      <c r="A446" s="31"/>
      <c r="B446" s="31"/>
      <c r="C446" s="31"/>
      <c r="F446" s="28"/>
    </row>
    <row r="447" hidden="1">
      <c r="A447" s="31"/>
      <c r="B447" s="31"/>
      <c r="C447" s="31"/>
      <c r="F447" s="28"/>
    </row>
    <row r="448" hidden="1">
      <c r="A448" s="31"/>
      <c r="B448" s="31"/>
      <c r="C448" s="31"/>
      <c r="F448" s="28"/>
    </row>
    <row r="449" hidden="1">
      <c r="A449" s="31"/>
      <c r="B449" s="31"/>
      <c r="C449" s="31"/>
      <c r="F449" s="28"/>
    </row>
    <row r="450" hidden="1">
      <c r="A450" s="31"/>
      <c r="B450" s="31"/>
      <c r="C450" s="31"/>
      <c r="F450" s="28"/>
    </row>
    <row r="451" hidden="1">
      <c r="A451" s="31"/>
      <c r="B451" s="31"/>
      <c r="C451" s="31"/>
      <c r="F451" s="28"/>
    </row>
    <row r="452" hidden="1">
      <c r="A452" s="31"/>
      <c r="B452" s="31"/>
      <c r="C452" s="31"/>
      <c r="F452" s="28"/>
    </row>
    <row r="453" hidden="1">
      <c r="A453" s="31"/>
      <c r="B453" s="31"/>
      <c r="C453" s="31"/>
      <c r="F453" s="28"/>
    </row>
    <row r="454" hidden="1">
      <c r="A454" s="31"/>
      <c r="B454" s="31"/>
      <c r="C454" s="31"/>
      <c r="F454" s="28"/>
    </row>
    <row r="455" hidden="1">
      <c r="A455" s="31"/>
      <c r="B455" s="31"/>
      <c r="C455" s="31"/>
      <c r="F455" s="28"/>
    </row>
    <row r="456" hidden="1">
      <c r="A456" s="31"/>
      <c r="B456" s="31"/>
      <c r="C456" s="31"/>
      <c r="F456" s="28"/>
    </row>
    <row r="457" hidden="1">
      <c r="A457" s="31"/>
      <c r="B457" s="31"/>
      <c r="C457" s="31"/>
      <c r="F457" s="28"/>
    </row>
    <row r="458" hidden="1">
      <c r="A458" s="31"/>
      <c r="B458" s="31"/>
      <c r="C458" s="31"/>
      <c r="F458" s="28"/>
    </row>
    <row r="459" hidden="1">
      <c r="A459" s="31"/>
      <c r="B459" s="31"/>
      <c r="C459" s="31"/>
      <c r="F459" s="28"/>
    </row>
    <row r="460" hidden="1">
      <c r="A460" s="31"/>
      <c r="B460" s="31"/>
      <c r="C460" s="31"/>
      <c r="F460" s="28"/>
    </row>
    <row r="461" hidden="1">
      <c r="A461" s="31"/>
      <c r="B461" s="31"/>
      <c r="C461" s="31"/>
      <c r="F461" s="28"/>
    </row>
    <row r="462" hidden="1">
      <c r="A462" s="31"/>
      <c r="B462" s="31"/>
      <c r="C462" s="31"/>
      <c r="F462" s="28"/>
    </row>
    <row r="463" hidden="1">
      <c r="A463" s="31"/>
      <c r="B463" s="31"/>
      <c r="C463" s="31"/>
      <c r="F463" s="28"/>
    </row>
    <row r="464" hidden="1">
      <c r="A464" s="31"/>
      <c r="B464" s="31"/>
      <c r="C464" s="31"/>
      <c r="F464" s="28"/>
    </row>
    <row r="465" hidden="1">
      <c r="A465" s="31"/>
      <c r="B465" s="31"/>
      <c r="C465" s="31"/>
      <c r="F465" s="28"/>
    </row>
    <row r="466" hidden="1">
      <c r="A466" s="31"/>
      <c r="B466" s="31"/>
      <c r="C466" s="31"/>
      <c r="F466" s="28"/>
    </row>
    <row r="467" hidden="1">
      <c r="A467" s="31"/>
      <c r="B467" s="31"/>
      <c r="C467" s="31"/>
      <c r="F467" s="28"/>
    </row>
    <row r="468" hidden="1">
      <c r="A468" s="31"/>
      <c r="B468" s="31"/>
      <c r="C468" s="31"/>
      <c r="F468" s="28"/>
    </row>
    <row r="469" hidden="1">
      <c r="A469" s="31"/>
      <c r="B469" s="31"/>
      <c r="C469" s="31"/>
      <c r="F469" s="28"/>
    </row>
    <row r="470" hidden="1">
      <c r="A470" s="31"/>
      <c r="B470" s="31"/>
      <c r="C470" s="31"/>
      <c r="F470" s="28"/>
    </row>
    <row r="471" hidden="1">
      <c r="A471" s="31"/>
      <c r="B471" s="31"/>
      <c r="C471" s="31"/>
      <c r="F471" s="28"/>
    </row>
    <row r="472" hidden="1">
      <c r="A472" s="31"/>
      <c r="B472" s="31"/>
      <c r="C472" s="31"/>
      <c r="F472" s="28"/>
    </row>
    <row r="473" hidden="1">
      <c r="A473" s="31"/>
      <c r="B473" s="31"/>
      <c r="C473" s="31"/>
      <c r="F473" s="28"/>
    </row>
    <row r="474" hidden="1">
      <c r="A474" s="31"/>
      <c r="B474" s="31"/>
      <c r="C474" s="31"/>
      <c r="F474" s="28"/>
    </row>
    <row r="475" hidden="1">
      <c r="A475" s="31"/>
      <c r="B475" s="31"/>
      <c r="C475" s="31"/>
      <c r="F475" s="28"/>
    </row>
    <row r="476" hidden="1">
      <c r="A476" s="31"/>
      <c r="B476" s="31"/>
      <c r="C476" s="31"/>
      <c r="F476" s="28"/>
    </row>
    <row r="477" hidden="1">
      <c r="A477" s="31"/>
      <c r="B477" s="31"/>
      <c r="C477" s="31"/>
      <c r="F477" s="28"/>
    </row>
    <row r="478" hidden="1">
      <c r="A478" s="31"/>
      <c r="B478" s="31"/>
      <c r="C478" s="31"/>
      <c r="F478" s="28"/>
    </row>
    <row r="479" hidden="1">
      <c r="A479" s="31"/>
      <c r="B479" s="31"/>
      <c r="C479" s="31"/>
      <c r="F479" s="28"/>
    </row>
    <row r="480" hidden="1">
      <c r="A480" s="31"/>
      <c r="B480" s="31"/>
      <c r="C480" s="31"/>
      <c r="F480" s="28"/>
    </row>
    <row r="481" hidden="1">
      <c r="A481" s="31"/>
      <c r="B481" s="31"/>
      <c r="C481" s="31"/>
      <c r="F481" s="28"/>
    </row>
    <row r="482" hidden="1">
      <c r="A482" s="31"/>
      <c r="B482" s="31"/>
      <c r="C482" s="31"/>
      <c r="F482" s="28"/>
    </row>
    <row r="483" hidden="1">
      <c r="A483" s="31"/>
      <c r="B483" s="31"/>
      <c r="C483" s="31"/>
      <c r="F483" s="28"/>
    </row>
    <row r="484" hidden="1">
      <c r="A484" s="31"/>
      <c r="B484" s="31"/>
      <c r="C484" s="31"/>
      <c r="F484" s="28"/>
    </row>
    <row r="485" hidden="1">
      <c r="A485" s="31"/>
      <c r="B485" s="31"/>
      <c r="C485" s="31"/>
      <c r="F485" s="28"/>
    </row>
    <row r="486" hidden="1">
      <c r="A486" s="31"/>
      <c r="B486" s="31"/>
      <c r="C486" s="31"/>
      <c r="F486" s="28"/>
    </row>
    <row r="487" hidden="1">
      <c r="A487" s="31"/>
      <c r="B487" s="31"/>
      <c r="C487" s="31"/>
      <c r="F487" s="28"/>
    </row>
    <row r="488" hidden="1">
      <c r="A488" s="31"/>
      <c r="B488" s="31"/>
      <c r="C488" s="31"/>
      <c r="F488" s="28"/>
    </row>
    <row r="489" hidden="1">
      <c r="A489" s="31"/>
      <c r="B489" s="31"/>
      <c r="C489" s="31"/>
      <c r="F489" s="28"/>
    </row>
    <row r="490" hidden="1">
      <c r="A490" s="31"/>
      <c r="B490" s="31"/>
      <c r="C490" s="31"/>
      <c r="F490" s="28"/>
    </row>
    <row r="491" hidden="1">
      <c r="A491" s="31"/>
      <c r="B491" s="31"/>
      <c r="C491" s="31"/>
      <c r="F491" s="28"/>
    </row>
    <row r="492" hidden="1">
      <c r="A492" s="31"/>
      <c r="B492" s="31"/>
      <c r="C492" s="31"/>
      <c r="F492" s="28"/>
    </row>
    <row r="493" hidden="1">
      <c r="A493" s="31"/>
      <c r="B493" s="31"/>
      <c r="C493" s="31"/>
      <c r="F493" s="28"/>
    </row>
    <row r="494" hidden="1">
      <c r="A494" s="31"/>
      <c r="B494" s="31"/>
      <c r="C494" s="31"/>
      <c r="F494" s="28"/>
    </row>
    <row r="495" hidden="1">
      <c r="A495" s="31"/>
      <c r="B495" s="31"/>
      <c r="C495" s="31"/>
      <c r="F495" s="28"/>
    </row>
    <row r="496" hidden="1">
      <c r="A496" s="31"/>
      <c r="B496" s="31"/>
      <c r="C496" s="31"/>
      <c r="F496" s="28"/>
    </row>
    <row r="497" hidden="1">
      <c r="A497" s="31"/>
      <c r="B497" s="31"/>
      <c r="C497" s="31"/>
      <c r="F497" s="28"/>
    </row>
    <row r="498" hidden="1">
      <c r="A498" s="31"/>
      <c r="B498" s="31"/>
      <c r="C498" s="31"/>
      <c r="F498" s="28"/>
    </row>
    <row r="499" hidden="1">
      <c r="A499" s="31"/>
      <c r="B499" s="31"/>
      <c r="C499" s="31"/>
      <c r="F499" s="28"/>
    </row>
    <row r="500" hidden="1">
      <c r="A500" s="31"/>
      <c r="B500" s="31"/>
      <c r="C500" s="31"/>
      <c r="F500" s="28"/>
    </row>
    <row r="501" hidden="1">
      <c r="A501" s="31"/>
      <c r="B501" s="31"/>
      <c r="C501" s="31"/>
      <c r="F501" s="28"/>
    </row>
    <row r="502" hidden="1">
      <c r="A502" s="31"/>
      <c r="B502" s="31"/>
      <c r="C502" s="31"/>
      <c r="F502" s="28"/>
    </row>
    <row r="503" hidden="1">
      <c r="A503" s="31"/>
      <c r="B503" s="31"/>
      <c r="C503" s="31"/>
      <c r="F503" s="28"/>
    </row>
    <row r="504" hidden="1">
      <c r="A504" s="31"/>
      <c r="B504" s="31"/>
      <c r="C504" s="31"/>
      <c r="F504" s="28"/>
    </row>
    <row r="505" hidden="1">
      <c r="A505" s="31"/>
      <c r="B505" s="31"/>
      <c r="C505" s="31"/>
      <c r="F505" s="28"/>
    </row>
    <row r="506" hidden="1">
      <c r="A506" s="31"/>
      <c r="B506" s="31"/>
      <c r="C506" s="31"/>
      <c r="F506" s="28"/>
    </row>
    <row r="507" hidden="1">
      <c r="A507" s="31"/>
      <c r="B507" s="31"/>
      <c r="C507" s="31"/>
      <c r="F507" s="28"/>
    </row>
    <row r="508" hidden="1">
      <c r="A508" s="31"/>
      <c r="B508" s="31"/>
      <c r="C508" s="31"/>
      <c r="F508" s="28"/>
    </row>
    <row r="509" hidden="1">
      <c r="A509" s="31"/>
      <c r="B509" s="31"/>
      <c r="C509" s="31"/>
      <c r="F509" s="28"/>
    </row>
    <row r="510" hidden="1">
      <c r="A510" s="31"/>
      <c r="B510" s="31"/>
      <c r="C510" s="31"/>
      <c r="F510" s="28"/>
    </row>
    <row r="511" hidden="1">
      <c r="A511" s="31"/>
      <c r="B511" s="31"/>
      <c r="C511" s="31"/>
      <c r="F511" s="28"/>
    </row>
    <row r="512" hidden="1">
      <c r="A512" s="31"/>
      <c r="B512" s="31"/>
      <c r="C512" s="31"/>
      <c r="F512" s="28"/>
    </row>
    <row r="513" hidden="1">
      <c r="A513" s="31"/>
      <c r="B513" s="31"/>
      <c r="C513" s="31"/>
      <c r="F513" s="28"/>
    </row>
    <row r="514" hidden="1">
      <c r="A514" s="31"/>
      <c r="B514" s="31"/>
      <c r="C514" s="31"/>
      <c r="F514" s="28"/>
    </row>
    <row r="515" hidden="1">
      <c r="A515" s="31"/>
      <c r="B515" s="31"/>
      <c r="C515" s="31"/>
      <c r="F515" s="28"/>
    </row>
    <row r="516" hidden="1">
      <c r="A516" s="31"/>
      <c r="B516" s="31"/>
      <c r="C516" s="31"/>
      <c r="F516" s="28"/>
    </row>
    <row r="517" hidden="1">
      <c r="A517" s="31"/>
      <c r="B517" s="31"/>
      <c r="C517" s="31"/>
      <c r="F517" s="28"/>
    </row>
    <row r="518" hidden="1">
      <c r="A518" s="31"/>
      <c r="B518" s="31"/>
      <c r="C518" s="31"/>
      <c r="F518" s="28"/>
    </row>
    <row r="519" hidden="1">
      <c r="A519" s="31"/>
      <c r="B519" s="31"/>
      <c r="C519" s="31"/>
      <c r="F519" s="28"/>
    </row>
    <row r="520" hidden="1">
      <c r="A520" s="31"/>
      <c r="B520" s="31"/>
      <c r="C520" s="31"/>
      <c r="F520" s="28"/>
    </row>
    <row r="521" hidden="1">
      <c r="A521" s="31"/>
      <c r="B521" s="31"/>
      <c r="C521" s="31"/>
      <c r="F521" s="28"/>
    </row>
    <row r="522" hidden="1">
      <c r="A522" s="31"/>
      <c r="B522" s="31"/>
      <c r="C522" s="31"/>
      <c r="F522" s="28"/>
    </row>
    <row r="523" hidden="1">
      <c r="A523" s="31"/>
      <c r="B523" s="31"/>
      <c r="C523" s="31"/>
      <c r="F523" s="28"/>
    </row>
    <row r="524" hidden="1">
      <c r="A524" s="31"/>
      <c r="B524" s="31"/>
      <c r="C524" s="31"/>
      <c r="F524" s="28"/>
    </row>
    <row r="525" hidden="1">
      <c r="A525" s="31"/>
      <c r="B525" s="31"/>
      <c r="C525" s="31"/>
      <c r="F525" s="28"/>
    </row>
    <row r="526" hidden="1">
      <c r="A526" s="31"/>
      <c r="B526" s="31"/>
      <c r="C526" s="31"/>
      <c r="F526" s="28"/>
    </row>
    <row r="527" hidden="1">
      <c r="A527" s="31"/>
      <c r="B527" s="31"/>
      <c r="C527" s="31"/>
      <c r="F527" s="28"/>
    </row>
    <row r="528" hidden="1">
      <c r="A528" s="31"/>
      <c r="B528" s="31"/>
      <c r="C528" s="31"/>
      <c r="F528" s="28"/>
    </row>
    <row r="529" hidden="1">
      <c r="A529" s="31"/>
      <c r="B529" s="31"/>
      <c r="C529" s="31"/>
      <c r="F529" s="28"/>
    </row>
    <row r="530" hidden="1">
      <c r="A530" s="31"/>
      <c r="B530" s="31"/>
      <c r="C530" s="31"/>
      <c r="F530" s="28"/>
    </row>
    <row r="531" hidden="1">
      <c r="A531" s="31"/>
      <c r="B531" s="31"/>
      <c r="C531" s="31"/>
      <c r="F531" s="28"/>
    </row>
    <row r="532" hidden="1">
      <c r="A532" s="31"/>
      <c r="B532" s="31"/>
      <c r="C532" s="31"/>
      <c r="F532" s="28"/>
    </row>
    <row r="533" hidden="1">
      <c r="A533" s="31"/>
      <c r="B533" s="31"/>
      <c r="C533" s="31"/>
      <c r="F533" s="28"/>
    </row>
    <row r="534" hidden="1">
      <c r="A534" s="31"/>
      <c r="B534" s="31"/>
      <c r="C534" s="31"/>
      <c r="F534" s="28"/>
    </row>
    <row r="535" hidden="1">
      <c r="A535" s="31"/>
      <c r="B535" s="31"/>
      <c r="C535" s="31"/>
      <c r="F535" s="28"/>
    </row>
    <row r="536" hidden="1">
      <c r="A536" s="31"/>
      <c r="B536" s="31"/>
      <c r="C536" s="31"/>
      <c r="F536" s="28"/>
    </row>
    <row r="537" hidden="1">
      <c r="A537" s="31"/>
      <c r="B537" s="31"/>
      <c r="C537" s="31"/>
      <c r="F537" s="28"/>
    </row>
    <row r="538" hidden="1">
      <c r="A538" s="31"/>
      <c r="B538" s="31"/>
      <c r="C538" s="31"/>
      <c r="F538" s="28"/>
    </row>
    <row r="539" hidden="1">
      <c r="A539" s="31"/>
      <c r="B539" s="31"/>
      <c r="C539" s="31"/>
      <c r="F539" s="28"/>
    </row>
    <row r="540" hidden="1">
      <c r="A540" s="31"/>
      <c r="B540" s="31"/>
      <c r="C540" s="31"/>
      <c r="F540" s="28"/>
    </row>
    <row r="541" hidden="1">
      <c r="A541" s="31"/>
      <c r="B541" s="31"/>
      <c r="C541" s="31"/>
      <c r="F541" s="28"/>
    </row>
    <row r="542" hidden="1">
      <c r="A542" s="31"/>
      <c r="B542" s="31"/>
      <c r="C542" s="31"/>
      <c r="F542" s="28"/>
    </row>
    <row r="543" hidden="1">
      <c r="A543" s="31"/>
      <c r="B543" s="31"/>
      <c r="C543" s="31"/>
      <c r="F543" s="28"/>
    </row>
    <row r="544" hidden="1">
      <c r="A544" s="31"/>
      <c r="B544" s="31"/>
      <c r="C544" s="31"/>
      <c r="F544" s="28"/>
    </row>
    <row r="545" hidden="1">
      <c r="A545" s="31"/>
      <c r="B545" s="31"/>
      <c r="C545" s="31"/>
      <c r="F545" s="28"/>
    </row>
    <row r="546" hidden="1">
      <c r="A546" s="31"/>
      <c r="B546" s="31"/>
      <c r="C546" s="31"/>
      <c r="F546" s="28"/>
    </row>
    <row r="547" hidden="1">
      <c r="A547" s="31"/>
      <c r="B547" s="31"/>
      <c r="C547" s="31"/>
      <c r="F547" s="28"/>
    </row>
    <row r="548" hidden="1">
      <c r="A548" s="31"/>
      <c r="B548" s="31"/>
      <c r="C548" s="31"/>
      <c r="F548" s="28"/>
    </row>
    <row r="549" hidden="1">
      <c r="A549" s="31"/>
      <c r="B549" s="31"/>
      <c r="C549" s="31"/>
      <c r="F549" s="28"/>
    </row>
    <row r="550" hidden="1">
      <c r="A550" s="31"/>
      <c r="B550" s="31"/>
      <c r="C550" s="31"/>
      <c r="F550" s="28"/>
    </row>
    <row r="551" hidden="1">
      <c r="A551" s="31"/>
      <c r="B551" s="31"/>
      <c r="C551" s="31"/>
      <c r="F551" s="28"/>
    </row>
    <row r="552" hidden="1">
      <c r="A552" s="31"/>
      <c r="B552" s="31"/>
      <c r="C552" s="31"/>
      <c r="F552" s="28"/>
    </row>
    <row r="553" hidden="1">
      <c r="A553" s="31"/>
      <c r="B553" s="31"/>
      <c r="C553" s="31"/>
      <c r="F553" s="28"/>
    </row>
    <row r="554" hidden="1">
      <c r="A554" s="31"/>
      <c r="B554" s="31"/>
      <c r="C554" s="31"/>
      <c r="F554" s="28"/>
    </row>
    <row r="555" hidden="1">
      <c r="A555" s="31"/>
      <c r="B555" s="31"/>
      <c r="C555" s="31"/>
      <c r="F555" s="28"/>
    </row>
    <row r="556" hidden="1">
      <c r="A556" s="31"/>
      <c r="B556" s="31"/>
      <c r="C556" s="31"/>
      <c r="F556" s="28"/>
    </row>
    <row r="557" hidden="1">
      <c r="A557" s="31"/>
      <c r="B557" s="31"/>
      <c r="C557" s="31"/>
      <c r="F557" s="28"/>
    </row>
    <row r="558" hidden="1">
      <c r="A558" s="31"/>
      <c r="B558" s="31"/>
      <c r="C558" s="31"/>
      <c r="F558" s="28"/>
    </row>
    <row r="559" hidden="1">
      <c r="A559" s="31"/>
      <c r="B559" s="31"/>
      <c r="C559" s="31"/>
      <c r="F559" s="28"/>
    </row>
    <row r="560" hidden="1">
      <c r="A560" s="31"/>
      <c r="B560" s="31"/>
      <c r="C560" s="31"/>
      <c r="F560" s="28"/>
    </row>
    <row r="561" hidden="1">
      <c r="A561" s="31"/>
      <c r="B561" s="31"/>
      <c r="C561" s="31"/>
      <c r="F561" s="28"/>
    </row>
    <row r="562" hidden="1">
      <c r="A562" s="31"/>
      <c r="B562" s="31"/>
      <c r="C562" s="31"/>
      <c r="F562" s="28"/>
    </row>
    <row r="563" hidden="1">
      <c r="A563" s="31"/>
      <c r="B563" s="31"/>
      <c r="C563" s="31"/>
      <c r="F563" s="28"/>
    </row>
    <row r="564" hidden="1">
      <c r="A564" s="31"/>
      <c r="B564" s="31"/>
      <c r="C564" s="31"/>
      <c r="F564" s="28"/>
    </row>
    <row r="565" hidden="1">
      <c r="A565" s="31"/>
      <c r="B565" s="31"/>
      <c r="C565" s="31"/>
      <c r="F565" s="28"/>
    </row>
    <row r="566" hidden="1">
      <c r="A566" s="31"/>
      <c r="B566" s="31"/>
      <c r="C566" s="31"/>
      <c r="F566" s="28"/>
    </row>
    <row r="567" hidden="1">
      <c r="A567" s="31"/>
      <c r="B567" s="31"/>
      <c r="C567" s="31"/>
      <c r="F567" s="28"/>
    </row>
    <row r="568" hidden="1">
      <c r="A568" s="31"/>
      <c r="B568" s="31"/>
      <c r="C568" s="31"/>
      <c r="F568" s="28"/>
    </row>
    <row r="569" hidden="1">
      <c r="A569" s="31"/>
      <c r="B569" s="31"/>
      <c r="C569" s="31"/>
      <c r="F569" s="28"/>
    </row>
    <row r="570" hidden="1">
      <c r="A570" s="31"/>
      <c r="B570" s="31"/>
      <c r="C570" s="31"/>
      <c r="F570" s="28"/>
    </row>
    <row r="571" hidden="1">
      <c r="A571" s="31"/>
      <c r="B571" s="31"/>
      <c r="C571" s="31"/>
      <c r="F571" s="28"/>
    </row>
    <row r="572" hidden="1">
      <c r="A572" s="31"/>
      <c r="B572" s="31"/>
      <c r="C572" s="31"/>
      <c r="F572" s="28"/>
    </row>
    <row r="573" hidden="1">
      <c r="A573" s="31"/>
      <c r="B573" s="31"/>
      <c r="C573" s="31"/>
      <c r="F573" s="28"/>
    </row>
    <row r="574" hidden="1">
      <c r="A574" s="31"/>
      <c r="B574" s="31"/>
      <c r="C574" s="31"/>
      <c r="F574" s="28"/>
    </row>
    <row r="575" hidden="1">
      <c r="A575" s="31"/>
      <c r="B575" s="31"/>
      <c r="C575" s="31"/>
      <c r="F575" s="28"/>
    </row>
    <row r="576" hidden="1">
      <c r="A576" s="31"/>
      <c r="B576" s="31"/>
      <c r="C576" s="31"/>
      <c r="F576" s="28"/>
    </row>
    <row r="577" hidden="1">
      <c r="A577" s="31"/>
      <c r="B577" s="31"/>
      <c r="C577" s="31"/>
      <c r="F577" s="28"/>
    </row>
    <row r="578" hidden="1">
      <c r="A578" s="31"/>
      <c r="B578" s="31"/>
      <c r="C578" s="31"/>
      <c r="F578" s="28"/>
    </row>
    <row r="579" hidden="1">
      <c r="A579" s="31"/>
      <c r="B579" s="31"/>
      <c r="C579" s="31"/>
      <c r="F579" s="28"/>
    </row>
    <row r="580" hidden="1">
      <c r="A580" s="31"/>
      <c r="B580" s="31"/>
      <c r="C580" s="31"/>
      <c r="F580" s="28"/>
    </row>
    <row r="581" hidden="1">
      <c r="A581" s="31"/>
      <c r="B581" s="31"/>
      <c r="C581" s="31"/>
      <c r="F581" s="28"/>
    </row>
    <row r="582" hidden="1">
      <c r="A582" s="31"/>
      <c r="B582" s="31"/>
      <c r="C582" s="31"/>
      <c r="F582" s="28"/>
    </row>
    <row r="583" hidden="1">
      <c r="A583" s="31"/>
      <c r="B583" s="31"/>
      <c r="C583" s="31"/>
      <c r="F583" s="28"/>
    </row>
    <row r="584" hidden="1">
      <c r="A584" s="31"/>
      <c r="B584" s="31"/>
      <c r="C584" s="31"/>
      <c r="F584" s="28"/>
    </row>
    <row r="585" hidden="1">
      <c r="A585" s="31"/>
      <c r="B585" s="31"/>
      <c r="C585" s="31"/>
      <c r="F585" s="28"/>
    </row>
    <row r="586" hidden="1">
      <c r="A586" s="31"/>
      <c r="B586" s="31"/>
      <c r="C586" s="31"/>
      <c r="F586" s="28"/>
    </row>
    <row r="587" hidden="1">
      <c r="A587" s="31"/>
      <c r="B587" s="31"/>
      <c r="C587" s="31"/>
      <c r="F587" s="28"/>
    </row>
    <row r="588" hidden="1">
      <c r="A588" s="31"/>
      <c r="B588" s="31"/>
      <c r="C588" s="31"/>
      <c r="F588" s="28"/>
    </row>
    <row r="589" hidden="1">
      <c r="A589" s="31"/>
      <c r="B589" s="31"/>
      <c r="C589" s="31"/>
      <c r="F589" s="28"/>
    </row>
    <row r="590" hidden="1">
      <c r="A590" s="31"/>
      <c r="B590" s="31"/>
      <c r="C590" s="31"/>
      <c r="F590" s="28"/>
    </row>
    <row r="591" hidden="1">
      <c r="A591" s="31"/>
      <c r="B591" s="31"/>
      <c r="C591" s="31"/>
      <c r="F591" s="28"/>
    </row>
    <row r="592" hidden="1">
      <c r="A592" s="31"/>
      <c r="B592" s="31"/>
      <c r="C592" s="31"/>
      <c r="F592" s="28"/>
    </row>
    <row r="593" hidden="1">
      <c r="A593" s="31"/>
      <c r="B593" s="31"/>
      <c r="C593" s="31"/>
      <c r="F593" s="28"/>
    </row>
    <row r="594" hidden="1">
      <c r="A594" s="31"/>
      <c r="B594" s="31"/>
      <c r="C594" s="31"/>
      <c r="F594" s="28"/>
    </row>
    <row r="595" hidden="1">
      <c r="A595" s="31"/>
      <c r="B595" s="31"/>
      <c r="C595" s="31"/>
      <c r="F595" s="28"/>
    </row>
    <row r="596" hidden="1">
      <c r="A596" s="31"/>
      <c r="B596" s="31"/>
      <c r="C596" s="31"/>
      <c r="F596" s="28"/>
    </row>
    <row r="597" hidden="1">
      <c r="A597" s="31"/>
      <c r="B597" s="31"/>
      <c r="C597" s="31"/>
      <c r="F597" s="28"/>
    </row>
    <row r="598" hidden="1">
      <c r="A598" s="31"/>
      <c r="B598" s="31"/>
      <c r="C598" s="31"/>
      <c r="F598" s="28"/>
    </row>
    <row r="599" hidden="1">
      <c r="A599" s="31"/>
      <c r="B599" s="31"/>
      <c r="C599" s="31"/>
      <c r="F599" s="28"/>
    </row>
    <row r="600" hidden="1">
      <c r="A600" s="31"/>
      <c r="B600" s="31"/>
      <c r="C600" s="31"/>
      <c r="F600" s="28"/>
    </row>
    <row r="601" hidden="1">
      <c r="A601" s="31"/>
      <c r="B601" s="31"/>
      <c r="C601" s="31"/>
      <c r="F601" s="28"/>
    </row>
    <row r="602" hidden="1">
      <c r="A602" s="31"/>
      <c r="B602" s="31"/>
      <c r="C602" s="31"/>
      <c r="F602" s="28"/>
    </row>
    <row r="603" hidden="1">
      <c r="A603" s="31"/>
      <c r="B603" s="31"/>
      <c r="C603" s="31"/>
      <c r="F603" s="28"/>
    </row>
    <row r="604" hidden="1">
      <c r="A604" s="31"/>
      <c r="B604" s="31"/>
      <c r="C604" s="31"/>
      <c r="F604" s="28"/>
    </row>
    <row r="605" hidden="1">
      <c r="A605" s="31"/>
      <c r="B605" s="31"/>
      <c r="C605" s="31"/>
      <c r="F605" s="28"/>
    </row>
    <row r="606" hidden="1">
      <c r="A606" s="31"/>
      <c r="B606" s="31"/>
      <c r="C606" s="31"/>
      <c r="F606" s="28"/>
    </row>
    <row r="607" hidden="1">
      <c r="A607" s="31"/>
      <c r="B607" s="31"/>
      <c r="C607" s="31"/>
      <c r="F607" s="28"/>
    </row>
    <row r="608" hidden="1">
      <c r="A608" s="31"/>
      <c r="B608" s="31"/>
      <c r="C608" s="31"/>
      <c r="F608" s="28"/>
    </row>
    <row r="609" hidden="1">
      <c r="A609" s="31"/>
      <c r="B609" s="31"/>
      <c r="C609" s="31"/>
      <c r="F609" s="28"/>
    </row>
    <row r="610" hidden="1">
      <c r="A610" s="31"/>
      <c r="B610" s="31"/>
      <c r="C610" s="31"/>
      <c r="F610" s="28"/>
    </row>
    <row r="611" hidden="1">
      <c r="A611" s="31"/>
      <c r="B611" s="31"/>
      <c r="C611" s="31"/>
      <c r="F611" s="28"/>
    </row>
    <row r="612" hidden="1">
      <c r="A612" s="31"/>
      <c r="B612" s="31"/>
      <c r="C612" s="31"/>
      <c r="F612" s="28"/>
    </row>
    <row r="613" hidden="1">
      <c r="A613" s="31"/>
      <c r="B613" s="31"/>
      <c r="C613" s="31"/>
      <c r="F613" s="28"/>
    </row>
    <row r="614" hidden="1">
      <c r="A614" s="31"/>
      <c r="B614" s="31"/>
      <c r="C614" s="31"/>
      <c r="F614" s="28"/>
    </row>
    <row r="615" hidden="1">
      <c r="A615" s="31"/>
      <c r="B615" s="31"/>
      <c r="C615" s="31"/>
      <c r="F615" s="28"/>
    </row>
    <row r="616" hidden="1">
      <c r="A616" s="31"/>
      <c r="B616" s="31"/>
      <c r="C616" s="31"/>
      <c r="F616" s="28"/>
    </row>
    <row r="617" hidden="1">
      <c r="A617" s="31"/>
      <c r="B617" s="31"/>
      <c r="C617" s="31"/>
      <c r="F617" s="28"/>
    </row>
    <row r="618" hidden="1">
      <c r="A618" s="31"/>
      <c r="B618" s="31"/>
      <c r="C618" s="31"/>
      <c r="F618" s="28"/>
    </row>
    <row r="619" hidden="1">
      <c r="A619" s="31"/>
      <c r="B619" s="31"/>
      <c r="C619" s="31"/>
      <c r="F619" s="28"/>
    </row>
    <row r="620" hidden="1">
      <c r="A620" s="31"/>
      <c r="B620" s="31"/>
      <c r="C620" s="31"/>
      <c r="F620" s="28"/>
    </row>
    <row r="621" hidden="1">
      <c r="A621" s="31"/>
      <c r="B621" s="31"/>
      <c r="C621" s="31"/>
      <c r="F621" s="28"/>
    </row>
    <row r="622" hidden="1">
      <c r="A622" s="31"/>
      <c r="B622" s="31"/>
      <c r="C622" s="31"/>
      <c r="F622" s="28"/>
    </row>
    <row r="623" hidden="1">
      <c r="A623" s="31"/>
      <c r="B623" s="31"/>
      <c r="C623" s="31"/>
      <c r="F623" s="28"/>
    </row>
    <row r="624" hidden="1">
      <c r="A624" s="31"/>
      <c r="B624" s="31"/>
      <c r="C624" s="31"/>
      <c r="F624" s="28"/>
    </row>
    <row r="625" hidden="1">
      <c r="A625" s="31"/>
      <c r="B625" s="31"/>
      <c r="C625" s="31"/>
      <c r="F625" s="28"/>
    </row>
    <row r="626" hidden="1">
      <c r="A626" s="31"/>
      <c r="B626" s="31"/>
      <c r="C626" s="31"/>
      <c r="F626" s="28"/>
    </row>
    <row r="627" hidden="1">
      <c r="A627" s="31"/>
      <c r="B627" s="31"/>
      <c r="C627" s="31"/>
      <c r="F627" s="28"/>
    </row>
    <row r="628" hidden="1">
      <c r="A628" s="31"/>
      <c r="B628" s="31"/>
      <c r="C628" s="31"/>
      <c r="F628" s="28"/>
    </row>
    <row r="629" hidden="1">
      <c r="A629" s="31"/>
      <c r="B629" s="31"/>
      <c r="C629" s="31"/>
      <c r="F629" s="28"/>
    </row>
    <row r="630" hidden="1">
      <c r="A630" s="31"/>
      <c r="B630" s="31"/>
      <c r="C630" s="31"/>
      <c r="F630" s="28"/>
    </row>
    <row r="631" hidden="1">
      <c r="A631" s="31"/>
      <c r="B631" s="31"/>
      <c r="C631" s="31"/>
      <c r="F631" s="28"/>
    </row>
    <row r="632" hidden="1">
      <c r="A632" s="31"/>
      <c r="B632" s="31"/>
      <c r="C632" s="31"/>
      <c r="F632" s="28"/>
    </row>
    <row r="633" hidden="1">
      <c r="A633" s="31"/>
      <c r="B633" s="31"/>
      <c r="C633" s="31"/>
      <c r="F633" s="28"/>
    </row>
    <row r="634" hidden="1">
      <c r="A634" s="31"/>
      <c r="B634" s="31"/>
      <c r="C634" s="31"/>
      <c r="F634" s="28"/>
    </row>
    <row r="635" hidden="1">
      <c r="A635" s="31"/>
      <c r="B635" s="31"/>
      <c r="C635" s="31"/>
      <c r="F635" s="28"/>
    </row>
    <row r="636" hidden="1">
      <c r="A636" s="31"/>
      <c r="B636" s="31"/>
      <c r="C636" s="31"/>
      <c r="F636" s="28"/>
    </row>
    <row r="637" hidden="1">
      <c r="A637" s="31"/>
      <c r="B637" s="31"/>
      <c r="C637" s="31"/>
      <c r="F637" s="28"/>
    </row>
    <row r="638" hidden="1">
      <c r="A638" s="31"/>
      <c r="B638" s="31"/>
      <c r="C638" s="31"/>
      <c r="F638" s="28"/>
    </row>
    <row r="639" hidden="1">
      <c r="A639" s="31"/>
      <c r="B639" s="31"/>
      <c r="C639" s="31"/>
      <c r="F639" s="28"/>
    </row>
    <row r="640" hidden="1">
      <c r="A640" s="31"/>
      <c r="B640" s="31"/>
      <c r="C640" s="31"/>
      <c r="F640" s="28"/>
    </row>
    <row r="641" hidden="1">
      <c r="A641" s="31"/>
      <c r="B641" s="31"/>
      <c r="C641" s="31"/>
      <c r="F641" s="28"/>
    </row>
    <row r="642" hidden="1">
      <c r="A642" s="31"/>
      <c r="B642" s="31"/>
      <c r="C642" s="31"/>
      <c r="F642" s="28"/>
    </row>
    <row r="643" hidden="1">
      <c r="A643" s="31"/>
      <c r="B643" s="31"/>
      <c r="C643" s="31"/>
      <c r="F643" s="28"/>
    </row>
    <row r="644" hidden="1">
      <c r="A644" s="31"/>
      <c r="B644" s="31"/>
      <c r="C644" s="31"/>
      <c r="F644" s="28"/>
    </row>
    <row r="645" hidden="1">
      <c r="A645" s="31"/>
      <c r="B645" s="31"/>
      <c r="C645" s="31"/>
      <c r="F645" s="28"/>
    </row>
    <row r="646" hidden="1">
      <c r="A646" s="31"/>
      <c r="B646" s="31"/>
      <c r="C646" s="31"/>
      <c r="F646" s="28"/>
    </row>
    <row r="647" hidden="1">
      <c r="A647" s="31"/>
      <c r="B647" s="31"/>
      <c r="C647" s="31"/>
      <c r="F647" s="28"/>
    </row>
    <row r="648" hidden="1">
      <c r="A648" s="31"/>
      <c r="B648" s="31"/>
      <c r="C648" s="31"/>
      <c r="F648" s="28"/>
    </row>
    <row r="649" hidden="1">
      <c r="A649" s="31"/>
      <c r="B649" s="31"/>
      <c r="C649" s="31"/>
      <c r="F649" s="28"/>
    </row>
    <row r="650" hidden="1">
      <c r="A650" s="31"/>
      <c r="B650" s="31"/>
      <c r="C650" s="31"/>
      <c r="F650" s="28"/>
    </row>
    <row r="651" hidden="1">
      <c r="A651" s="31"/>
      <c r="B651" s="31"/>
      <c r="C651" s="31"/>
      <c r="F651" s="28"/>
    </row>
    <row r="652" hidden="1">
      <c r="A652" s="31"/>
      <c r="B652" s="31"/>
      <c r="C652" s="31"/>
      <c r="F652" s="28"/>
    </row>
    <row r="653" hidden="1">
      <c r="A653" s="31"/>
      <c r="B653" s="31"/>
      <c r="C653" s="31"/>
      <c r="F653" s="28"/>
    </row>
    <row r="654" hidden="1">
      <c r="A654" s="31"/>
      <c r="B654" s="31"/>
      <c r="C654" s="31"/>
      <c r="F654" s="28"/>
    </row>
    <row r="655" hidden="1">
      <c r="A655" s="31"/>
      <c r="B655" s="31"/>
      <c r="C655" s="31"/>
      <c r="F655" s="28"/>
    </row>
    <row r="656" hidden="1">
      <c r="A656" s="31"/>
      <c r="B656" s="31"/>
      <c r="C656" s="31"/>
      <c r="F656" s="28"/>
    </row>
    <row r="657" hidden="1">
      <c r="A657" s="31"/>
      <c r="B657" s="31"/>
      <c r="C657" s="31"/>
      <c r="F657" s="28"/>
    </row>
    <row r="658" hidden="1">
      <c r="A658" s="31"/>
      <c r="B658" s="31"/>
      <c r="C658" s="31"/>
      <c r="F658" s="28"/>
    </row>
    <row r="659" hidden="1">
      <c r="A659" s="31"/>
      <c r="B659" s="31"/>
      <c r="C659" s="31"/>
      <c r="F659" s="28"/>
    </row>
    <row r="660" hidden="1">
      <c r="A660" s="31"/>
      <c r="B660" s="31"/>
      <c r="C660" s="31"/>
      <c r="F660" s="28"/>
    </row>
    <row r="661" hidden="1">
      <c r="A661" s="31"/>
      <c r="B661" s="31"/>
      <c r="C661" s="31"/>
      <c r="F661" s="28"/>
    </row>
    <row r="662" hidden="1">
      <c r="A662" s="31"/>
      <c r="B662" s="31"/>
      <c r="C662" s="31"/>
      <c r="F662" s="28"/>
    </row>
    <row r="663" hidden="1">
      <c r="A663" s="31"/>
      <c r="B663" s="31"/>
      <c r="C663" s="31"/>
      <c r="F663" s="28"/>
    </row>
    <row r="664" hidden="1">
      <c r="A664" s="31"/>
      <c r="B664" s="31"/>
      <c r="C664" s="31"/>
      <c r="F664" s="28"/>
    </row>
    <row r="665" hidden="1">
      <c r="A665" s="31"/>
      <c r="B665" s="31"/>
      <c r="C665" s="31"/>
      <c r="F665" s="28"/>
    </row>
    <row r="666" hidden="1">
      <c r="A666" s="31"/>
      <c r="B666" s="31"/>
      <c r="C666" s="31"/>
      <c r="F666" s="28"/>
    </row>
    <row r="667" hidden="1">
      <c r="A667" s="31"/>
      <c r="B667" s="31"/>
      <c r="C667" s="31"/>
      <c r="F667" s="28"/>
    </row>
    <row r="668" hidden="1">
      <c r="A668" s="31"/>
      <c r="B668" s="31"/>
      <c r="C668" s="31"/>
      <c r="F668" s="28"/>
    </row>
    <row r="669" hidden="1">
      <c r="A669" s="31"/>
      <c r="B669" s="31"/>
      <c r="C669" s="31"/>
      <c r="F669" s="28"/>
    </row>
    <row r="670" hidden="1">
      <c r="A670" s="31"/>
      <c r="B670" s="31"/>
      <c r="C670" s="31"/>
      <c r="F670" s="28"/>
    </row>
    <row r="671" hidden="1">
      <c r="A671" s="31"/>
      <c r="B671" s="31"/>
      <c r="C671" s="31"/>
      <c r="F671" s="28"/>
    </row>
    <row r="672" hidden="1">
      <c r="A672" s="31"/>
      <c r="B672" s="31"/>
      <c r="C672" s="31"/>
      <c r="F672" s="28"/>
    </row>
    <row r="673" hidden="1">
      <c r="A673" s="31"/>
      <c r="B673" s="31"/>
      <c r="C673" s="31"/>
      <c r="F673" s="28"/>
    </row>
    <row r="674" hidden="1">
      <c r="A674" s="31"/>
      <c r="B674" s="31"/>
      <c r="C674" s="31"/>
      <c r="F674" s="28"/>
    </row>
    <row r="675" hidden="1">
      <c r="A675" s="31"/>
      <c r="B675" s="31"/>
      <c r="C675" s="31"/>
      <c r="F675" s="28"/>
    </row>
    <row r="676" hidden="1">
      <c r="A676" s="31"/>
      <c r="B676" s="31"/>
      <c r="C676" s="31"/>
      <c r="F676" s="28"/>
    </row>
    <row r="677" hidden="1">
      <c r="A677" s="31"/>
      <c r="B677" s="31"/>
      <c r="C677" s="31"/>
      <c r="F677" s="28"/>
    </row>
    <row r="678" hidden="1">
      <c r="A678" s="31"/>
      <c r="B678" s="31"/>
      <c r="C678" s="31"/>
      <c r="F678" s="28"/>
    </row>
    <row r="679" hidden="1">
      <c r="A679" s="31"/>
      <c r="B679" s="31"/>
      <c r="C679" s="31"/>
      <c r="F679" s="28"/>
    </row>
    <row r="680" hidden="1">
      <c r="A680" s="31"/>
      <c r="B680" s="31"/>
      <c r="C680" s="31"/>
      <c r="F680" s="28"/>
    </row>
    <row r="681" hidden="1">
      <c r="A681" s="31"/>
      <c r="B681" s="31"/>
      <c r="C681" s="31"/>
      <c r="F681" s="28"/>
    </row>
    <row r="682" hidden="1">
      <c r="A682" s="31"/>
      <c r="B682" s="31"/>
      <c r="C682" s="31"/>
      <c r="F682" s="28"/>
    </row>
    <row r="683" hidden="1">
      <c r="A683" s="31"/>
      <c r="B683" s="31"/>
      <c r="C683" s="31"/>
      <c r="F683" s="28"/>
    </row>
    <row r="684" hidden="1">
      <c r="A684" s="31"/>
      <c r="B684" s="31"/>
      <c r="C684" s="31"/>
      <c r="F684" s="28"/>
    </row>
    <row r="685" hidden="1">
      <c r="A685" s="31"/>
      <c r="B685" s="31"/>
      <c r="C685" s="31"/>
      <c r="F685" s="28"/>
    </row>
    <row r="686" hidden="1">
      <c r="A686" s="31"/>
      <c r="B686" s="31"/>
      <c r="C686" s="31"/>
      <c r="F686" s="28"/>
    </row>
    <row r="687" hidden="1">
      <c r="A687" s="31"/>
      <c r="B687" s="31"/>
      <c r="C687" s="31"/>
      <c r="F687" s="28"/>
    </row>
    <row r="688" hidden="1">
      <c r="A688" s="31"/>
      <c r="B688" s="31"/>
      <c r="C688" s="31"/>
      <c r="F688" s="28"/>
    </row>
    <row r="689" hidden="1">
      <c r="A689" s="31"/>
      <c r="B689" s="31"/>
      <c r="C689" s="31"/>
      <c r="F689" s="28"/>
    </row>
    <row r="690" hidden="1">
      <c r="A690" s="31"/>
      <c r="B690" s="31"/>
      <c r="C690" s="31"/>
      <c r="F690" s="28"/>
    </row>
    <row r="691" hidden="1">
      <c r="A691" s="31"/>
      <c r="B691" s="31"/>
      <c r="C691" s="31"/>
      <c r="F691" s="28"/>
    </row>
    <row r="692" hidden="1">
      <c r="A692" s="31"/>
      <c r="B692" s="31"/>
      <c r="C692" s="31"/>
      <c r="F692" s="28"/>
    </row>
    <row r="693" hidden="1">
      <c r="A693" s="31"/>
      <c r="B693" s="31"/>
      <c r="C693" s="31"/>
      <c r="F693" s="28"/>
    </row>
    <row r="694" hidden="1">
      <c r="A694" s="31"/>
      <c r="B694" s="31"/>
      <c r="C694" s="31"/>
      <c r="F694" s="28"/>
    </row>
    <row r="695" hidden="1">
      <c r="A695" s="31"/>
      <c r="B695" s="31"/>
      <c r="C695" s="31"/>
      <c r="F695" s="28"/>
    </row>
    <row r="696" hidden="1">
      <c r="A696" s="31"/>
      <c r="B696" s="31"/>
      <c r="C696" s="31"/>
      <c r="F696" s="28"/>
    </row>
    <row r="697" hidden="1">
      <c r="A697" s="31"/>
      <c r="B697" s="31"/>
      <c r="C697" s="31"/>
      <c r="F697" s="28"/>
    </row>
    <row r="698" hidden="1">
      <c r="A698" s="31"/>
      <c r="B698" s="31"/>
      <c r="C698" s="31"/>
      <c r="F698" s="28"/>
    </row>
    <row r="699" hidden="1">
      <c r="A699" s="31"/>
      <c r="B699" s="31"/>
      <c r="C699" s="31"/>
      <c r="F699" s="28"/>
    </row>
    <row r="700" hidden="1">
      <c r="A700" s="31"/>
      <c r="B700" s="31"/>
      <c r="C700" s="31"/>
      <c r="F700" s="28"/>
    </row>
    <row r="701" hidden="1">
      <c r="A701" s="31"/>
      <c r="B701" s="31"/>
      <c r="C701" s="31"/>
      <c r="F701" s="28"/>
    </row>
    <row r="702" hidden="1">
      <c r="A702" s="31"/>
      <c r="B702" s="31"/>
      <c r="C702" s="31"/>
      <c r="F702" s="28"/>
    </row>
    <row r="703" hidden="1">
      <c r="A703" s="31"/>
      <c r="B703" s="31"/>
      <c r="C703" s="31"/>
      <c r="F703" s="28"/>
    </row>
    <row r="704" hidden="1">
      <c r="A704" s="31"/>
      <c r="B704" s="31"/>
      <c r="C704" s="31"/>
      <c r="F704" s="28"/>
    </row>
    <row r="705" hidden="1">
      <c r="A705" s="31"/>
      <c r="B705" s="31"/>
      <c r="C705" s="31"/>
      <c r="F705" s="28"/>
    </row>
    <row r="706" hidden="1">
      <c r="A706" s="31"/>
      <c r="B706" s="31"/>
      <c r="C706" s="31"/>
      <c r="F706" s="28"/>
    </row>
    <row r="707" hidden="1">
      <c r="A707" s="31"/>
      <c r="B707" s="31"/>
      <c r="C707" s="31"/>
      <c r="F707" s="28"/>
    </row>
    <row r="708" hidden="1">
      <c r="A708" s="31"/>
      <c r="B708" s="31"/>
      <c r="C708" s="31"/>
      <c r="F708" s="28"/>
    </row>
    <row r="709" hidden="1">
      <c r="A709" s="31"/>
      <c r="B709" s="31"/>
      <c r="C709" s="31"/>
      <c r="F709" s="28"/>
    </row>
    <row r="710" hidden="1">
      <c r="A710" s="31"/>
      <c r="B710" s="31"/>
      <c r="C710" s="31"/>
      <c r="F710" s="28"/>
    </row>
    <row r="711" hidden="1">
      <c r="A711" s="31"/>
      <c r="B711" s="31"/>
      <c r="C711" s="31"/>
      <c r="F711" s="28"/>
    </row>
    <row r="712" hidden="1">
      <c r="A712" s="31"/>
      <c r="B712" s="31"/>
      <c r="C712" s="31"/>
      <c r="F712" s="28"/>
    </row>
    <row r="713" hidden="1">
      <c r="A713" s="31"/>
      <c r="B713" s="31"/>
      <c r="C713" s="31"/>
      <c r="F713" s="28"/>
    </row>
    <row r="714" hidden="1">
      <c r="A714" s="31"/>
      <c r="B714" s="31"/>
      <c r="C714" s="31"/>
      <c r="F714" s="28"/>
    </row>
    <row r="715" hidden="1">
      <c r="A715" s="31"/>
      <c r="B715" s="31"/>
      <c r="C715" s="31"/>
      <c r="F715" s="28"/>
    </row>
    <row r="716" hidden="1">
      <c r="A716" s="31"/>
      <c r="B716" s="31"/>
      <c r="C716" s="31"/>
      <c r="F716" s="28"/>
    </row>
    <row r="717" hidden="1">
      <c r="A717" s="31"/>
      <c r="B717" s="31"/>
      <c r="C717" s="31"/>
      <c r="F717" s="28"/>
    </row>
    <row r="718" hidden="1">
      <c r="A718" s="31"/>
      <c r="B718" s="31"/>
      <c r="C718" s="31"/>
      <c r="F718" s="28"/>
    </row>
    <row r="719" hidden="1">
      <c r="A719" s="31"/>
      <c r="B719" s="31"/>
      <c r="C719" s="31"/>
      <c r="F719" s="28"/>
    </row>
    <row r="720" hidden="1">
      <c r="A720" s="31"/>
      <c r="B720" s="31"/>
      <c r="C720" s="31"/>
      <c r="F720" s="28"/>
    </row>
    <row r="721" hidden="1">
      <c r="A721" s="31"/>
      <c r="B721" s="31"/>
      <c r="C721" s="31"/>
      <c r="F721" s="28"/>
    </row>
    <row r="722" hidden="1">
      <c r="A722" s="31"/>
      <c r="B722" s="31"/>
      <c r="C722" s="31"/>
      <c r="F722" s="28"/>
    </row>
    <row r="723" hidden="1">
      <c r="A723" s="31"/>
      <c r="B723" s="31"/>
      <c r="C723" s="31"/>
      <c r="F723" s="28"/>
    </row>
    <row r="724" hidden="1">
      <c r="A724" s="31"/>
      <c r="B724" s="31"/>
      <c r="C724" s="31"/>
      <c r="F724" s="28"/>
    </row>
    <row r="725" hidden="1">
      <c r="A725" s="31"/>
      <c r="B725" s="31"/>
      <c r="C725" s="31"/>
      <c r="F725" s="28"/>
    </row>
    <row r="726" hidden="1">
      <c r="A726" s="31"/>
      <c r="B726" s="31"/>
      <c r="C726" s="31"/>
      <c r="F726" s="28"/>
    </row>
    <row r="727" hidden="1">
      <c r="A727" s="31"/>
      <c r="B727" s="31"/>
      <c r="C727" s="31"/>
      <c r="F727" s="28"/>
    </row>
    <row r="728" hidden="1">
      <c r="A728" s="31"/>
      <c r="B728" s="31"/>
      <c r="C728" s="31"/>
      <c r="F728" s="28"/>
    </row>
    <row r="729" hidden="1">
      <c r="A729" s="31"/>
      <c r="B729" s="31"/>
      <c r="C729" s="31"/>
      <c r="F729" s="28"/>
    </row>
    <row r="730" hidden="1">
      <c r="A730" s="31"/>
      <c r="B730" s="31"/>
      <c r="C730" s="31"/>
      <c r="F730" s="28"/>
    </row>
    <row r="731" hidden="1">
      <c r="A731" s="31"/>
      <c r="B731" s="31"/>
      <c r="C731" s="31"/>
      <c r="F731" s="28"/>
    </row>
    <row r="732" hidden="1">
      <c r="A732" s="31"/>
      <c r="B732" s="31"/>
      <c r="C732" s="31"/>
      <c r="F732" s="28"/>
    </row>
    <row r="733" hidden="1">
      <c r="A733" s="31"/>
      <c r="B733" s="31"/>
      <c r="C733" s="31"/>
      <c r="F733" s="28"/>
    </row>
    <row r="734" hidden="1">
      <c r="A734" s="31"/>
      <c r="B734" s="31"/>
      <c r="C734" s="31"/>
      <c r="F734" s="28"/>
    </row>
    <row r="735" hidden="1">
      <c r="A735" s="31"/>
      <c r="B735" s="31"/>
      <c r="C735" s="31"/>
      <c r="F735" s="28"/>
    </row>
    <row r="736" hidden="1">
      <c r="A736" s="31"/>
      <c r="B736" s="31"/>
      <c r="C736" s="31"/>
      <c r="F736" s="28"/>
    </row>
    <row r="737" hidden="1">
      <c r="A737" s="31"/>
      <c r="B737" s="31"/>
      <c r="C737" s="31"/>
      <c r="F737" s="28"/>
    </row>
    <row r="738" hidden="1">
      <c r="A738" s="31"/>
      <c r="B738" s="31"/>
      <c r="C738" s="31"/>
      <c r="F738" s="28"/>
    </row>
    <row r="739" hidden="1">
      <c r="A739" s="31"/>
      <c r="B739" s="31"/>
      <c r="C739" s="31"/>
      <c r="F739" s="28"/>
    </row>
    <row r="740" hidden="1">
      <c r="A740" s="31"/>
      <c r="B740" s="31"/>
      <c r="C740" s="31"/>
      <c r="F740" s="28"/>
    </row>
    <row r="741" hidden="1">
      <c r="A741" s="31"/>
      <c r="B741" s="31"/>
      <c r="C741" s="31"/>
      <c r="F741" s="28"/>
    </row>
    <row r="742" hidden="1">
      <c r="A742" s="31"/>
      <c r="B742" s="31"/>
      <c r="C742" s="31"/>
      <c r="F742" s="28"/>
    </row>
    <row r="743" hidden="1">
      <c r="A743" s="31"/>
      <c r="B743" s="31"/>
      <c r="C743" s="31"/>
      <c r="F743" s="28"/>
    </row>
    <row r="744" hidden="1">
      <c r="A744" s="31"/>
      <c r="B744" s="31"/>
      <c r="C744" s="31"/>
      <c r="F744" s="28"/>
    </row>
    <row r="745" hidden="1">
      <c r="A745" s="31"/>
      <c r="B745" s="31"/>
      <c r="C745" s="31"/>
      <c r="F745" s="28"/>
    </row>
    <row r="746" hidden="1">
      <c r="A746" s="31"/>
      <c r="B746" s="31"/>
      <c r="C746" s="31"/>
      <c r="F746" s="28"/>
    </row>
    <row r="747" hidden="1">
      <c r="A747" s="31"/>
      <c r="B747" s="31"/>
      <c r="C747" s="31"/>
      <c r="F747" s="28"/>
    </row>
    <row r="748" hidden="1">
      <c r="A748" s="31"/>
      <c r="B748" s="31"/>
      <c r="C748" s="31"/>
      <c r="F748" s="28"/>
    </row>
    <row r="749" hidden="1">
      <c r="A749" s="31"/>
      <c r="B749" s="31"/>
      <c r="C749" s="31"/>
      <c r="F749" s="28"/>
    </row>
    <row r="750" hidden="1">
      <c r="A750" s="31"/>
      <c r="B750" s="31"/>
      <c r="C750" s="31"/>
      <c r="F750" s="28"/>
    </row>
    <row r="751" hidden="1">
      <c r="A751" s="31"/>
      <c r="B751" s="31"/>
      <c r="C751" s="31"/>
      <c r="F751" s="28"/>
    </row>
    <row r="752" hidden="1">
      <c r="A752" s="31"/>
      <c r="B752" s="31"/>
      <c r="C752" s="31"/>
      <c r="F752" s="28"/>
    </row>
    <row r="753" hidden="1">
      <c r="A753" s="31"/>
      <c r="B753" s="31"/>
      <c r="C753" s="31"/>
      <c r="F753" s="28"/>
    </row>
    <row r="754" hidden="1">
      <c r="A754" s="31"/>
      <c r="B754" s="31"/>
      <c r="C754" s="31"/>
      <c r="F754" s="28"/>
    </row>
    <row r="755" hidden="1">
      <c r="A755" s="31"/>
      <c r="B755" s="31"/>
      <c r="C755" s="31"/>
      <c r="F755" s="28"/>
    </row>
    <row r="756" hidden="1">
      <c r="A756" s="31"/>
      <c r="B756" s="31"/>
      <c r="C756" s="31"/>
      <c r="F756" s="28"/>
    </row>
    <row r="757" hidden="1">
      <c r="A757" s="31"/>
      <c r="B757" s="31"/>
      <c r="C757" s="31"/>
      <c r="F757" s="28"/>
    </row>
    <row r="758" hidden="1">
      <c r="A758" s="31"/>
      <c r="B758" s="31"/>
      <c r="C758" s="31"/>
      <c r="F758" s="28"/>
    </row>
    <row r="759" hidden="1">
      <c r="A759" s="31"/>
      <c r="B759" s="31"/>
      <c r="C759" s="31"/>
      <c r="F759" s="28"/>
    </row>
    <row r="760" hidden="1">
      <c r="A760" s="31"/>
      <c r="B760" s="31"/>
      <c r="C760" s="31"/>
      <c r="F760" s="28"/>
    </row>
    <row r="761" hidden="1">
      <c r="A761" s="31"/>
      <c r="B761" s="31"/>
      <c r="C761" s="31"/>
      <c r="F761" s="28"/>
    </row>
    <row r="762" hidden="1">
      <c r="A762" s="31"/>
      <c r="B762" s="31"/>
      <c r="C762" s="31"/>
      <c r="F762" s="28"/>
    </row>
    <row r="763" hidden="1">
      <c r="A763" s="31"/>
      <c r="B763" s="31"/>
      <c r="C763" s="31"/>
      <c r="F763" s="28"/>
    </row>
    <row r="764" hidden="1">
      <c r="A764" s="31"/>
      <c r="B764" s="31"/>
      <c r="C764" s="31"/>
      <c r="F764" s="28"/>
    </row>
    <row r="765" hidden="1">
      <c r="A765" s="31"/>
      <c r="B765" s="31"/>
      <c r="C765" s="31"/>
      <c r="F765" s="28"/>
    </row>
    <row r="766" hidden="1">
      <c r="A766" s="31"/>
      <c r="B766" s="31"/>
      <c r="C766" s="31"/>
      <c r="F766" s="28"/>
    </row>
    <row r="767" hidden="1">
      <c r="A767" s="31"/>
      <c r="B767" s="31"/>
      <c r="C767" s="31"/>
      <c r="F767" s="28"/>
    </row>
    <row r="768" hidden="1">
      <c r="A768" s="31"/>
      <c r="B768" s="31"/>
      <c r="C768" s="31"/>
      <c r="F768" s="28"/>
    </row>
    <row r="769" hidden="1">
      <c r="A769" s="31"/>
      <c r="B769" s="31"/>
      <c r="C769" s="31"/>
      <c r="F769" s="28"/>
    </row>
    <row r="770" hidden="1">
      <c r="A770" s="31"/>
      <c r="B770" s="31"/>
      <c r="C770" s="31"/>
      <c r="F770" s="28"/>
    </row>
    <row r="771" hidden="1">
      <c r="A771" s="31"/>
      <c r="B771" s="31"/>
      <c r="C771" s="31"/>
      <c r="F771" s="28"/>
    </row>
    <row r="772" hidden="1">
      <c r="A772" s="31"/>
      <c r="B772" s="31"/>
      <c r="C772" s="31"/>
      <c r="F772" s="28"/>
    </row>
    <row r="773" hidden="1">
      <c r="A773" s="31"/>
      <c r="B773" s="31"/>
      <c r="C773" s="31"/>
      <c r="F773" s="28"/>
    </row>
    <row r="774" hidden="1">
      <c r="A774" s="31"/>
      <c r="B774" s="31"/>
      <c r="C774" s="31"/>
      <c r="F774" s="28"/>
    </row>
    <row r="775" hidden="1">
      <c r="A775" s="31"/>
      <c r="B775" s="31"/>
      <c r="C775" s="31"/>
      <c r="F775" s="28"/>
    </row>
    <row r="776" hidden="1">
      <c r="A776" s="31"/>
      <c r="B776" s="31"/>
      <c r="C776" s="31"/>
      <c r="F776" s="28"/>
    </row>
    <row r="777" hidden="1">
      <c r="A777" s="31"/>
      <c r="B777" s="31"/>
      <c r="C777" s="31"/>
      <c r="F777" s="28"/>
    </row>
    <row r="778" hidden="1">
      <c r="A778" s="31"/>
      <c r="B778" s="31"/>
      <c r="C778" s="31"/>
      <c r="F778" s="28"/>
    </row>
    <row r="779" hidden="1">
      <c r="A779" s="31"/>
      <c r="B779" s="31"/>
      <c r="C779" s="31"/>
      <c r="F779" s="28"/>
    </row>
    <row r="780" hidden="1">
      <c r="A780" s="31"/>
      <c r="B780" s="31"/>
      <c r="C780" s="31"/>
      <c r="F780" s="28"/>
    </row>
    <row r="781" hidden="1">
      <c r="A781" s="31"/>
      <c r="B781" s="31"/>
      <c r="C781" s="31"/>
      <c r="F781" s="28"/>
    </row>
    <row r="782" hidden="1">
      <c r="A782" s="31"/>
      <c r="B782" s="31"/>
      <c r="C782" s="31"/>
      <c r="F782" s="28"/>
    </row>
    <row r="783" hidden="1">
      <c r="A783" s="31"/>
      <c r="B783" s="31"/>
      <c r="C783" s="31"/>
      <c r="F783" s="28"/>
    </row>
    <row r="784" hidden="1">
      <c r="A784" s="31"/>
      <c r="B784" s="31"/>
      <c r="C784" s="31"/>
      <c r="F784" s="28"/>
    </row>
    <row r="785" hidden="1">
      <c r="A785" s="31"/>
      <c r="B785" s="31"/>
      <c r="C785" s="31"/>
      <c r="F785" s="28"/>
    </row>
    <row r="786" hidden="1">
      <c r="A786" s="31"/>
      <c r="B786" s="31"/>
      <c r="C786" s="31"/>
      <c r="F786" s="28"/>
    </row>
    <row r="787" hidden="1">
      <c r="A787" s="31"/>
      <c r="B787" s="31"/>
      <c r="C787" s="31"/>
      <c r="F787" s="28"/>
    </row>
    <row r="788" hidden="1">
      <c r="A788" s="31"/>
      <c r="B788" s="31"/>
      <c r="C788" s="31"/>
      <c r="F788" s="28"/>
    </row>
    <row r="789" hidden="1">
      <c r="A789" s="31"/>
      <c r="B789" s="31"/>
      <c r="C789" s="31"/>
      <c r="F789" s="28"/>
    </row>
    <row r="790" hidden="1">
      <c r="A790" s="31"/>
      <c r="B790" s="31"/>
      <c r="C790" s="31"/>
      <c r="F790" s="28"/>
    </row>
    <row r="791" hidden="1">
      <c r="A791" s="31"/>
      <c r="B791" s="31"/>
      <c r="C791" s="31"/>
      <c r="F791" s="28"/>
    </row>
    <row r="792" hidden="1">
      <c r="A792" s="31"/>
      <c r="B792" s="31"/>
      <c r="C792" s="31"/>
      <c r="F792" s="28"/>
    </row>
    <row r="793" hidden="1">
      <c r="A793" s="31"/>
      <c r="B793" s="31"/>
      <c r="C793" s="31"/>
      <c r="F793" s="28"/>
    </row>
    <row r="794" hidden="1">
      <c r="A794" s="31"/>
      <c r="B794" s="31"/>
      <c r="C794" s="31"/>
      <c r="F794" s="28"/>
    </row>
    <row r="795" hidden="1">
      <c r="A795" s="31"/>
      <c r="B795" s="31"/>
      <c r="C795" s="31"/>
      <c r="F795" s="28"/>
    </row>
    <row r="796" hidden="1">
      <c r="A796" s="31"/>
      <c r="B796" s="31"/>
      <c r="C796" s="31"/>
      <c r="F796" s="28"/>
    </row>
    <row r="797" hidden="1">
      <c r="A797" s="31"/>
      <c r="B797" s="31"/>
      <c r="C797" s="31"/>
      <c r="F797" s="28"/>
    </row>
    <row r="798" hidden="1">
      <c r="A798" s="31"/>
      <c r="B798" s="31"/>
      <c r="C798" s="31"/>
      <c r="F798" s="28"/>
    </row>
    <row r="799" hidden="1">
      <c r="A799" s="31"/>
      <c r="B799" s="31"/>
      <c r="C799" s="31"/>
      <c r="F799" s="28"/>
    </row>
    <row r="800" hidden="1">
      <c r="A800" s="31"/>
      <c r="B800" s="31"/>
      <c r="C800" s="31"/>
      <c r="F800" s="28"/>
    </row>
    <row r="801" hidden="1">
      <c r="A801" s="31"/>
      <c r="B801" s="31"/>
      <c r="C801" s="31"/>
      <c r="F801" s="28"/>
    </row>
    <row r="802" hidden="1">
      <c r="A802" s="31"/>
      <c r="B802" s="31"/>
      <c r="C802" s="31"/>
      <c r="F802" s="28"/>
    </row>
    <row r="803" hidden="1">
      <c r="A803" s="31"/>
      <c r="B803" s="31"/>
      <c r="C803" s="31"/>
      <c r="F803" s="28"/>
    </row>
    <row r="804" hidden="1">
      <c r="A804" s="31"/>
      <c r="B804" s="31"/>
      <c r="C804" s="31"/>
      <c r="F804" s="28"/>
    </row>
    <row r="805" hidden="1">
      <c r="A805" s="31"/>
      <c r="B805" s="31"/>
      <c r="C805" s="31"/>
      <c r="F805" s="28"/>
    </row>
    <row r="806" hidden="1">
      <c r="A806" s="31"/>
      <c r="B806" s="31"/>
      <c r="C806" s="31"/>
      <c r="F806" s="28"/>
    </row>
    <row r="807" hidden="1">
      <c r="A807" s="31"/>
      <c r="B807" s="31"/>
      <c r="C807" s="31"/>
      <c r="F807" s="28"/>
    </row>
    <row r="808" hidden="1">
      <c r="A808" s="31"/>
      <c r="B808" s="31"/>
      <c r="C808" s="31"/>
      <c r="F808" s="28"/>
    </row>
    <row r="809" hidden="1">
      <c r="A809" s="31"/>
      <c r="B809" s="31"/>
      <c r="C809" s="31"/>
      <c r="F809" s="28"/>
    </row>
    <row r="810" hidden="1">
      <c r="A810" s="31"/>
      <c r="B810" s="31"/>
      <c r="C810" s="31"/>
      <c r="F810" s="28"/>
    </row>
    <row r="811" hidden="1">
      <c r="A811" s="31"/>
      <c r="B811" s="31"/>
      <c r="C811" s="31"/>
      <c r="F811" s="28"/>
    </row>
    <row r="812" hidden="1">
      <c r="A812" s="31"/>
      <c r="B812" s="31"/>
      <c r="C812" s="31"/>
      <c r="F812" s="28"/>
    </row>
    <row r="813" hidden="1">
      <c r="A813" s="31"/>
      <c r="B813" s="31"/>
      <c r="C813" s="31"/>
      <c r="F813" s="28"/>
    </row>
    <row r="814" hidden="1">
      <c r="A814" s="31"/>
      <c r="B814" s="31"/>
      <c r="C814" s="31"/>
      <c r="F814" s="28"/>
    </row>
    <row r="815" hidden="1">
      <c r="A815" s="31"/>
      <c r="B815" s="31"/>
      <c r="C815" s="31"/>
      <c r="F815" s="28"/>
    </row>
    <row r="816" hidden="1">
      <c r="A816" s="31"/>
      <c r="B816" s="31"/>
      <c r="C816" s="31"/>
      <c r="F816" s="28"/>
    </row>
    <row r="817" hidden="1">
      <c r="A817" s="31"/>
      <c r="B817" s="31"/>
      <c r="C817" s="31"/>
      <c r="F817" s="28"/>
    </row>
    <row r="818" hidden="1">
      <c r="A818" s="31"/>
      <c r="B818" s="31"/>
      <c r="C818" s="31"/>
      <c r="F818" s="28"/>
    </row>
    <row r="819" hidden="1">
      <c r="A819" s="31"/>
      <c r="B819" s="31"/>
      <c r="C819" s="31"/>
      <c r="F819" s="28"/>
    </row>
    <row r="820" hidden="1">
      <c r="A820" s="31"/>
      <c r="B820" s="31"/>
      <c r="C820" s="31"/>
      <c r="F820" s="28"/>
    </row>
    <row r="821" hidden="1">
      <c r="A821" s="31"/>
      <c r="B821" s="31"/>
      <c r="C821" s="31"/>
      <c r="F821" s="28"/>
    </row>
    <row r="822" hidden="1">
      <c r="A822" s="31"/>
      <c r="B822" s="31"/>
      <c r="C822" s="31"/>
      <c r="F822" s="28"/>
    </row>
    <row r="823" hidden="1">
      <c r="A823" s="31"/>
      <c r="B823" s="31"/>
      <c r="C823" s="31"/>
      <c r="F823" s="28"/>
    </row>
    <row r="824" hidden="1">
      <c r="A824" s="31"/>
      <c r="B824" s="31"/>
      <c r="C824" s="31"/>
      <c r="F824" s="28"/>
    </row>
    <row r="825" hidden="1">
      <c r="A825" s="31"/>
      <c r="B825" s="31"/>
      <c r="C825" s="31"/>
      <c r="F825" s="28"/>
    </row>
    <row r="826" hidden="1">
      <c r="A826" s="31"/>
      <c r="B826" s="31"/>
      <c r="C826" s="31"/>
      <c r="F826" s="28"/>
    </row>
    <row r="827" hidden="1">
      <c r="A827" s="31"/>
      <c r="B827" s="31"/>
      <c r="C827" s="31"/>
      <c r="F827" s="28"/>
    </row>
    <row r="828" hidden="1">
      <c r="A828" s="31"/>
      <c r="B828" s="31"/>
      <c r="C828" s="31"/>
      <c r="F828" s="28"/>
    </row>
    <row r="829" hidden="1">
      <c r="A829" s="31"/>
      <c r="B829" s="31"/>
      <c r="C829" s="31"/>
      <c r="F829" s="28"/>
    </row>
    <row r="830" hidden="1">
      <c r="A830" s="31"/>
      <c r="B830" s="31"/>
      <c r="C830" s="31"/>
      <c r="F830" s="28"/>
    </row>
    <row r="831" hidden="1">
      <c r="A831" s="31"/>
      <c r="B831" s="31"/>
      <c r="C831" s="31"/>
      <c r="F831" s="28"/>
    </row>
    <row r="832" hidden="1">
      <c r="A832" s="31"/>
      <c r="B832" s="31"/>
      <c r="C832" s="31"/>
      <c r="F832" s="28"/>
    </row>
    <row r="833" hidden="1">
      <c r="A833" s="31"/>
      <c r="B833" s="31"/>
      <c r="C833" s="31"/>
      <c r="F833" s="28"/>
    </row>
    <row r="834" hidden="1">
      <c r="A834" s="31"/>
      <c r="B834" s="31"/>
      <c r="C834" s="31"/>
      <c r="F834" s="28"/>
    </row>
    <row r="835" hidden="1">
      <c r="A835" s="31"/>
      <c r="B835" s="31"/>
      <c r="C835" s="31"/>
      <c r="F835" s="28"/>
    </row>
    <row r="836" hidden="1">
      <c r="A836" s="31"/>
      <c r="B836" s="31"/>
      <c r="C836" s="31"/>
      <c r="F836" s="28"/>
    </row>
    <row r="837" hidden="1">
      <c r="A837" s="31"/>
      <c r="B837" s="31"/>
      <c r="C837" s="31"/>
      <c r="F837" s="28"/>
    </row>
    <row r="838" hidden="1">
      <c r="A838" s="31"/>
      <c r="B838" s="31"/>
      <c r="C838" s="31"/>
      <c r="F838" s="28"/>
    </row>
    <row r="839" hidden="1">
      <c r="A839" s="31"/>
      <c r="B839" s="31"/>
      <c r="C839" s="31"/>
      <c r="F839" s="28"/>
    </row>
    <row r="840" hidden="1">
      <c r="A840" s="31"/>
      <c r="B840" s="31"/>
      <c r="C840" s="31"/>
      <c r="F840" s="28"/>
    </row>
    <row r="841" hidden="1">
      <c r="A841" s="31"/>
      <c r="B841" s="31"/>
      <c r="C841" s="31"/>
      <c r="F841" s="28"/>
    </row>
    <row r="842" hidden="1">
      <c r="A842" s="31"/>
      <c r="B842" s="31"/>
      <c r="C842" s="31"/>
      <c r="F842" s="28"/>
    </row>
    <row r="843" hidden="1">
      <c r="A843" s="31"/>
      <c r="B843" s="31"/>
      <c r="C843" s="31"/>
      <c r="F843" s="28"/>
    </row>
    <row r="844" hidden="1">
      <c r="A844" s="31"/>
      <c r="B844" s="31"/>
      <c r="C844" s="31"/>
      <c r="F844" s="28"/>
    </row>
    <row r="845" hidden="1">
      <c r="A845" s="31"/>
      <c r="B845" s="31"/>
      <c r="C845" s="31"/>
      <c r="F845" s="28"/>
    </row>
    <row r="846" hidden="1">
      <c r="A846" s="31"/>
      <c r="B846" s="31"/>
      <c r="C846" s="31"/>
      <c r="F846" s="28"/>
    </row>
    <row r="847" hidden="1">
      <c r="A847" s="31"/>
      <c r="B847" s="31"/>
      <c r="C847" s="31"/>
      <c r="F847" s="28"/>
    </row>
    <row r="848" hidden="1">
      <c r="A848" s="31"/>
      <c r="B848" s="31"/>
      <c r="C848" s="31"/>
      <c r="F848" s="28"/>
    </row>
    <row r="849" hidden="1">
      <c r="A849" s="31"/>
      <c r="B849" s="31"/>
      <c r="C849" s="31"/>
      <c r="F849" s="28"/>
    </row>
    <row r="850" hidden="1">
      <c r="A850" s="31"/>
      <c r="B850" s="31"/>
      <c r="C850" s="31"/>
      <c r="F850" s="28"/>
    </row>
    <row r="851" hidden="1">
      <c r="A851" s="31"/>
      <c r="B851" s="31"/>
      <c r="C851" s="31"/>
      <c r="F851" s="28"/>
    </row>
    <row r="852" hidden="1">
      <c r="A852" s="31"/>
      <c r="B852" s="31"/>
      <c r="C852" s="31"/>
      <c r="F852" s="28"/>
    </row>
    <row r="853" hidden="1">
      <c r="A853" s="31"/>
      <c r="B853" s="31"/>
      <c r="C853" s="31"/>
      <c r="F853" s="28"/>
    </row>
    <row r="854" hidden="1">
      <c r="A854" s="31"/>
      <c r="B854" s="31"/>
      <c r="C854" s="31"/>
      <c r="F854" s="28"/>
    </row>
    <row r="855" hidden="1">
      <c r="A855" s="31"/>
      <c r="B855" s="31"/>
      <c r="C855" s="31"/>
      <c r="F855" s="28"/>
    </row>
    <row r="856" hidden="1">
      <c r="A856" s="31"/>
      <c r="B856" s="31"/>
      <c r="C856" s="31"/>
      <c r="F856" s="28"/>
    </row>
    <row r="857" hidden="1">
      <c r="A857" s="31"/>
      <c r="B857" s="31"/>
      <c r="C857" s="31"/>
      <c r="F857" s="28"/>
    </row>
    <row r="858" hidden="1">
      <c r="A858" s="31"/>
      <c r="B858" s="31"/>
      <c r="C858" s="31"/>
      <c r="F858" s="28"/>
    </row>
    <row r="859" hidden="1">
      <c r="A859" s="31"/>
      <c r="B859" s="31"/>
      <c r="C859" s="31"/>
      <c r="F859" s="28"/>
    </row>
    <row r="860" hidden="1">
      <c r="A860" s="31"/>
      <c r="B860" s="31"/>
      <c r="C860" s="31"/>
      <c r="F860" s="28"/>
    </row>
    <row r="861" hidden="1">
      <c r="A861" s="31"/>
      <c r="B861" s="31"/>
      <c r="C861" s="31"/>
      <c r="F861" s="28"/>
    </row>
    <row r="862" hidden="1">
      <c r="A862" s="31"/>
      <c r="B862" s="31"/>
      <c r="C862" s="31"/>
      <c r="F862" s="28"/>
    </row>
    <row r="863" hidden="1">
      <c r="A863" s="31"/>
      <c r="B863" s="31"/>
      <c r="C863" s="31"/>
      <c r="F863" s="28"/>
    </row>
    <row r="864" hidden="1">
      <c r="A864" s="31"/>
      <c r="B864" s="31"/>
      <c r="C864" s="31"/>
      <c r="F864" s="28"/>
    </row>
    <row r="865" hidden="1">
      <c r="A865" s="31"/>
      <c r="B865" s="31"/>
      <c r="C865" s="31"/>
      <c r="F865" s="28"/>
    </row>
    <row r="866" hidden="1">
      <c r="A866" s="31"/>
      <c r="B866" s="31"/>
      <c r="C866" s="31"/>
      <c r="F866" s="28"/>
    </row>
    <row r="867" hidden="1">
      <c r="A867" s="31"/>
      <c r="B867" s="31"/>
      <c r="C867" s="31"/>
      <c r="F867" s="28"/>
    </row>
    <row r="868" hidden="1">
      <c r="A868" s="31"/>
      <c r="B868" s="31"/>
      <c r="C868" s="31"/>
      <c r="F868" s="28"/>
    </row>
    <row r="869" hidden="1">
      <c r="A869" s="31"/>
      <c r="B869" s="31"/>
      <c r="C869" s="31"/>
      <c r="F869" s="28"/>
    </row>
    <row r="870" hidden="1">
      <c r="A870" s="31"/>
      <c r="B870" s="31"/>
      <c r="C870" s="31"/>
      <c r="F870" s="28"/>
    </row>
    <row r="871" hidden="1">
      <c r="A871" s="31"/>
      <c r="B871" s="31"/>
      <c r="C871" s="31"/>
      <c r="F871" s="28"/>
    </row>
    <row r="872" hidden="1">
      <c r="A872" s="31"/>
      <c r="B872" s="31"/>
      <c r="C872" s="31"/>
      <c r="F872" s="28"/>
    </row>
    <row r="873" hidden="1">
      <c r="A873" s="31"/>
      <c r="B873" s="31"/>
      <c r="C873" s="31"/>
      <c r="F873" s="28"/>
    </row>
    <row r="874" hidden="1">
      <c r="A874" s="31"/>
      <c r="B874" s="31"/>
      <c r="C874" s="31"/>
      <c r="F874" s="28"/>
    </row>
    <row r="875" hidden="1">
      <c r="A875" s="31"/>
      <c r="B875" s="31"/>
      <c r="C875" s="31"/>
      <c r="F875" s="28"/>
    </row>
    <row r="876" hidden="1">
      <c r="A876" s="31"/>
      <c r="B876" s="31"/>
      <c r="C876" s="31"/>
      <c r="F876" s="28"/>
    </row>
    <row r="877" hidden="1">
      <c r="A877" s="31"/>
      <c r="B877" s="31"/>
      <c r="C877" s="31"/>
      <c r="F877" s="28"/>
    </row>
    <row r="878" hidden="1">
      <c r="A878" s="31"/>
      <c r="B878" s="31"/>
      <c r="C878" s="31"/>
      <c r="F878" s="28"/>
    </row>
    <row r="879" hidden="1">
      <c r="A879" s="31"/>
      <c r="B879" s="31"/>
      <c r="C879" s="31"/>
      <c r="F879" s="28"/>
    </row>
    <row r="880" hidden="1">
      <c r="A880" s="31"/>
      <c r="B880" s="31"/>
      <c r="C880" s="31"/>
      <c r="F880" s="28"/>
    </row>
    <row r="881" hidden="1">
      <c r="A881" s="31"/>
      <c r="B881" s="31"/>
      <c r="C881" s="31"/>
      <c r="F881" s="28"/>
    </row>
    <row r="882" hidden="1">
      <c r="A882" s="31"/>
      <c r="B882" s="31"/>
      <c r="C882" s="31"/>
      <c r="F882" s="28"/>
    </row>
    <row r="883" hidden="1">
      <c r="A883" s="31"/>
      <c r="B883" s="31"/>
      <c r="C883" s="31"/>
      <c r="F883" s="28"/>
    </row>
    <row r="884" hidden="1">
      <c r="A884" s="31"/>
      <c r="B884" s="31"/>
      <c r="C884" s="31"/>
      <c r="F884" s="28"/>
    </row>
    <row r="885" hidden="1">
      <c r="A885" s="31"/>
      <c r="B885" s="31"/>
      <c r="C885" s="31"/>
      <c r="F885" s="28"/>
    </row>
    <row r="886" hidden="1">
      <c r="A886" s="31"/>
      <c r="B886" s="31"/>
      <c r="C886" s="31"/>
      <c r="F886" s="28"/>
    </row>
    <row r="887" hidden="1">
      <c r="A887" s="31"/>
      <c r="B887" s="31"/>
      <c r="C887" s="31"/>
      <c r="F887" s="28"/>
    </row>
    <row r="888" hidden="1">
      <c r="A888" s="31"/>
      <c r="B888" s="31"/>
      <c r="C888" s="31"/>
      <c r="F888" s="28"/>
    </row>
    <row r="889" hidden="1">
      <c r="A889" s="31"/>
      <c r="B889" s="31"/>
      <c r="C889" s="31"/>
      <c r="F889" s="28"/>
    </row>
    <row r="890" hidden="1">
      <c r="A890" s="31"/>
      <c r="B890" s="31"/>
      <c r="C890" s="31"/>
      <c r="F890" s="28"/>
    </row>
    <row r="891" hidden="1">
      <c r="A891" s="31"/>
      <c r="B891" s="31"/>
      <c r="C891" s="31"/>
      <c r="F891" s="28"/>
    </row>
    <row r="892" hidden="1">
      <c r="A892" s="31"/>
      <c r="B892" s="31"/>
      <c r="C892" s="31"/>
      <c r="F892" s="28"/>
    </row>
    <row r="893" hidden="1">
      <c r="A893" s="31"/>
      <c r="B893" s="31"/>
      <c r="C893" s="31"/>
      <c r="F893" s="28"/>
    </row>
    <row r="894" hidden="1">
      <c r="A894" s="31"/>
      <c r="B894" s="31"/>
      <c r="C894" s="31"/>
      <c r="F894" s="28"/>
    </row>
    <row r="895" hidden="1">
      <c r="A895" s="31"/>
      <c r="B895" s="31"/>
      <c r="C895" s="31"/>
      <c r="F895" s="28"/>
    </row>
    <row r="896" hidden="1">
      <c r="A896" s="31"/>
      <c r="B896" s="31"/>
      <c r="C896" s="31"/>
      <c r="F896" s="28"/>
    </row>
    <row r="897" hidden="1">
      <c r="A897" s="31"/>
      <c r="B897" s="31"/>
      <c r="C897" s="31"/>
      <c r="F897" s="28"/>
    </row>
    <row r="898" hidden="1">
      <c r="A898" s="31"/>
      <c r="B898" s="31"/>
      <c r="C898" s="31"/>
      <c r="F898" s="28"/>
    </row>
    <row r="899" hidden="1">
      <c r="A899" s="31"/>
      <c r="B899" s="31"/>
      <c r="C899" s="31"/>
      <c r="F899" s="28"/>
    </row>
    <row r="900" hidden="1">
      <c r="A900" s="31"/>
      <c r="B900" s="31"/>
      <c r="C900" s="31"/>
      <c r="F900" s="28"/>
    </row>
    <row r="901" hidden="1">
      <c r="A901" s="31"/>
      <c r="B901" s="31"/>
      <c r="C901" s="31"/>
      <c r="F901" s="28"/>
    </row>
    <row r="902" hidden="1">
      <c r="A902" s="31"/>
      <c r="B902" s="31"/>
      <c r="C902" s="31"/>
      <c r="F902" s="28"/>
    </row>
    <row r="903" hidden="1">
      <c r="A903" s="31"/>
      <c r="B903" s="31"/>
      <c r="C903" s="31"/>
      <c r="F903" s="28"/>
    </row>
    <row r="904" hidden="1">
      <c r="A904" s="31"/>
      <c r="B904" s="31"/>
      <c r="C904" s="31"/>
      <c r="F904" s="28"/>
    </row>
    <row r="905" hidden="1">
      <c r="A905" s="31"/>
      <c r="B905" s="31"/>
      <c r="C905" s="31"/>
      <c r="F905" s="28"/>
    </row>
    <row r="906" hidden="1">
      <c r="A906" s="31"/>
      <c r="B906" s="31"/>
      <c r="C906" s="31"/>
      <c r="F906" s="28"/>
    </row>
    <row r="907" hidden="1">
      <c r="A907" s="31"/>
      <c r="B907" s="31"/>
      <c r="C907" s="31"/>
      <c r="F907" s="28"/>
    </row>
    <row r="908" hidden="1">
      <c r="A908" s="31"/>
      <c r="B908" s="31"/>
      <c r="C908" s="31"/>
      <c r="F908" s="28"/>
    </row>
    <row r="909" hidden="1">
      <c r="A909" s="31"/>
      <c r="B909" s="31"/>
      <c r="C909" s="31"/>
      <c r="F909" s="28"/>
    </row>
    <row r="910" hidden="1">
      <c r="A910" s="31"/>
      <c r="B910" s="31"/>
      <c r="C910" s="31"/>
      <c r="F910" s="28"/>
    </row>
    <row r="911" hidden="1">
      <c r="A911" s="31"/>
      <c r="B911" s="31"/>
      <c r="C911" s="31"/>
      <c r="F911" s="28"/>
    </row>
    <row r="912" hidden="1">
      <c r="A912" s="31"/>
      <c r="B912" s="31"/>
      <c r="C912" s="31"/>
      <c r="F912" s="28"/>
    </row>
    <row r="913" hidden="1">
      <c r="A913" s="31"/>
      <c r="B913" s="31"/>
      <c r="C913" s="31"/>
      <c r="F913" s="28"/>
    </row>
    <row r="914" hidden="1">
      <c r="A914" s="31"/>
      <c r="B914" s="31"/>
      <c r="C914" s="31"/>
      <c r="F914" s="28"/>
    </row>
    <row r="915" hidden="1">
      <c r="A915" s="31"/>
      <c r="B915" s="31"/>
      <c r="C915" s="31"/>
      <c r="F915" s="28"/>
    </row>
    <row r="916" hidden="1">
      <c r="A916" s="31"/>
      <c r="B916" s="31"/>
      <c r="C916" s="31"/>
      <c r="F916" s="28"/>
    </row>
    <row r="917" hidden="1">
      <c r="A917" s="31"/>
      <c r="B917" s="31"/>
      <c r="C917" s="31"/>
      <c r="F917" s="28"/>
    </row>
    <row r="918" hidden="1">
      <c r="A918" s="31"/>
      <c r="B918" s="31"/>
      <c r="C918" s="31"/>
      <c r="F918" s="28"/>
    </row>
    <row r="919" hidden="1">
      <c r="A919" s="31"/>
      <c r="B919" s="31"/>
      <c r="C919" s="31"/>
      <c r="F919" s="28"/>
    </row>
    <row r="920" hidden="1">
      <c r="A920" s="31"/>
      <c r="B920" s="31"/>
      <c r="C920" s="31"/>
      <c r="F920" s="28"/>
    </row>
    <row r="921" hidden="1">
      <c r="A921" s="31"/>
      <c r="B921" s="31"/>
      <c r="C921" s="31"/>
      <c r="F921" s="28"/>
    </row>
    <row r="922" hidden="1">
      <c r="A922" s="31"/>
      <c r="B922" s="31"/>
      <c r="C922" s="31"/>
      <c r="F922" s="28"/>
    </row>
    <row r="923" hidden="1">
      <c r="A923" s="31"/>
      <c r="B923" s="31"/>
      <c r="C923" s="31"/>
      <c r="F923" s="28"/>
    </row>
    <row r="924" hidden="1">
      <c r="A924" s="31"/>
      <c r="B924" s="31"/>
      <c r="C924" s="31"/>
      <c r="F924" s="28"/>
    </row>
    <row r="925" hidden="1">
      <c r="A925" s="31"/>
      <c r="B925" s="31"/>
      <c r="C925" s="31"/>
      <c r="F925" s="28"/>
    </row>
    <row r="926" hidden="1">
      <c r="A926" s="31"/>
      <c r="B926" s="31"/>
      <c r="C926" s="31"/>
      <c r="F926" s="28"/>
    </row>
    <row r="927" hidden="1">
      <c r="A927" s="31"/>
      <c r="B927" s="31"/>
      <c r="C927" s="31"/>
      <c r="F927" s="28"/>
    </row>
    <row r="928" hidden="1">
      <c r="A928" s="31"/>
      <c r="B928" s="31"/>
      <c r="C928" s="31"/>
      <c r="F928" s="28"/>
    </row>
    <row r="929" hidden="1">
      <c r="A929" s="31"/>
      <c r="B929" s="31"/>
      <c r="C929" s="31"/>
      <c r="F929" s="28"/>
    </row>
    <row r="930" hidden="1">
      <c r="A930" s="31"/>
      <c r="B930" s="31"/>
      <c r="C930" s="31"/>
      <c r="F930" s="28"/>
    </row>
    <row r="931" hidden="1">
      <c r="A931" s="31"/>
      <c r="B931" s="31"/>
      <c r="C931" s="31"/>
      <c r="F931" s="28"/>
    </row>
    <row r="932" hidden="1">
      <c r="A932" s="31"/>
      <c r="B932" s="31"/>
      <c r="C932" s="31"/>
      <c r="F932" s="28"/>
    </row>
    <row r="933" hidden="1">
      <c r="A933" s="31"/>
      <c r="B933" s="31"/>
      <c r="C933" s="31"/>
      <c r="F933" s="28"/>
    </row>
    <row r="934" hidden="1">
      <c r="A934" s="31"/>
      <c r="B934" s="31"/>
      <c r="C934" s="31"/>
      <c r="F934" s="28"/>
    </row>
    <row r="935" hidden="1">
      <c r="A935" s="31"/>
      <c r="B935" s="31"/>
      <c r="C935" s="31"/>
      <c r="F935" s="28"/>
    </row>
    <row r="936" hidden="1">
      <c r="A936" s="31"/>
      <c r="B936" s="31"/>
      <c r="C936" s="31"/>
      <c r="F936" s="28"/>
    </row>
    <row r="937" hidden="1">
      <c r="A937" s="31"/>
      <c r="B937" s="31"/>
      <c r="C937" s="31"/>
      <c r="F937" s="28"/>
    </row>
    <row r="938" hidden="1">
      <c r="A938" s="31"/>
      <c r="B938" s="31"/>
      <c r="C938" s="31"/>
      <c r="F938" s="28"/>
    </row>
    <row r="939" hidden="1">
      <c r="A939" s="31"/>
      <c r="B939" s="31"/>
      <c r="C939" s="31"/>
      <c r="F939" s="28"/>
    </row>
    <row r="940" hidden="1">
      <c r="A940" s="31"/>
      <c r="B940" s="31"/>
      <c r="C940" s="31"/>
      <c r="F940" s="28"/>
    </row>
    <row r="941" hidden="1">
      <c r="A941" s="31"/>
      <c r="B941" s="31"/>
      <c r="C941" s="31"/>
      <c r="F941" s="28"/>
    </row>
    <row r="942" hidden="1">
      <c r="A942" s="31"/>
      <c r="B942" s="31"/>
      <c r="C942" s="31"/>
      <c r="F942" s="28"/>
    </row>
    <row r="943" hidden="1">
      <c r="A943" s="31"/>
      <c r="B943" s="31"/>
      <c r="C943" s="31"/>
      <c r="F943" s="28"/>
    </row>
    <row r="944" hidden="1">
      <c r="A944" s="31"/>
      <c r="B944" s="31"/>
      <c r="C944" s="31"/>
      <c r="F944" s="28"/>
    </row>
    <row r="945" hidden="1">
      <c r="A945" s="31"/>
      <c r="B945" s="31"/>
      <c r="C945" s="31"/>
      <c r="F945" s="28"/>
    </row>
    <row r="946" hidden="1">
      <c r="A946" s="31"/>
      <c r="B946" s="31"/>
      <c r="C946" s="31"/>
      <c r="F946" s="28"/>
    </row>
    <row r="947" hidden="1">
      <c r="A947" s="31"/>
      <c r="B947" s="31"/>
      <c r="C947" s="31"/>
      <c r="F947" s="28"/>
    </row>
    <row r="948" hidden="1">
      <c r="A948" s="31"/>
      <c r="B948" s="31"/>
      <c r="C948" s="31"/>
      <c r="F948" s="28"/>
    </row>
    <row r="949" hidden="1">
      <c r="A949" s="31"/>
      <c r="B949" s="31"/>
      <c r="C949" s="31"/>
      <c r="F949" s="28"/>
    </row>
    <row r="950" hidden="1">
      <c r="A950" s="31"/>
      <c r="B950" s="31"/>
      <c r="C950" s="31"/>
      <c r="F950" s="28"/>
    </row>
    <row r="951" hidden="1">
      <c r="A951" s="31"/>
      <c r="B951" s="31"/>
      <c r="C951" s="31"/>
      <c r="F951" s="28"/>
    </row>
    <row r="952" hidden="1">
      <c r="A952" s="31"/>
      <c r="B952" s="31"/>
      <c r="C952" s="31"/>
      <c r="F952" s="28"/>
    </row>
    <row r="953" hidden="1">
      <c r="A953" s="31"/>
      <c r="B953" s="31"/>
      <c r="C953" s="31"/>
      <c r="F953" s="28"/>
    </row>
    <row r="954" hidden="1">
      <c r="A954" s="31"/>
      <c r="B954" s="31"/>
      <c r="C954" s="31"/>
      <c r="F954" s="28"/>
    </row>
    <row r="955" hidden="1">
      <c r="A955" s="31"/>
      <c r="B955" s="31"/>
      <c r="C955" s="31"/>
      <c r="F955" s="28"/>
    </row>
    <row r="956" hidden="1">
      <c r="A956" s="31"/>
      <c r="B956" s="31"/>
      <c r="C956" s="31"/>
      <c r="F956" s="28"/>
    </row>
    <row r="957" hidden="1">
      <c r="A957" s="31"/>
      <c r="B957" s="31"/>
      <c r="C957" s="31"/>
      <c r="F957" s="28"/>
    </row>
    <row r="958" hidden="1">
      <c r="A958" s="31"/>
      <c r="B958" s="31"/>
      <c r="C958" s="31"/>
      <c r="F958" s="28"/>
    </row>
    <row r="959" hidden="1">
      <c r="A959" s="31"/>
      <c r="B959" s="31"/>
      <c r="C959" s="31"/>
      <c r="F959" s="28"/>
    </row>
    <row r="960" hidden="1">
      <c r="A960" s="31"/>
      <c r="B960" s="31"/>
      <c r="C960" s="31"/>
      <c r="F960" s="28"/>
    </row>
    <row r="961" hidden="1">
      <c r="A961" s="31"/>
      <c r="B961" s="31"/>
      <c r="C961" s="31"/>
      <c r="F961" s="28"/>
    </row>
    <row r="962" hidden="1">
      <c r="A962" s="31"/>
      <c r="B962" s="31"/>
      <c r="C962" s="31"/>
      <c r="F962" s="28"/>
    </row>
    <row r="963" hidden="1">
      <c r="A963" s="31"/>
      <c r="B963" s="31"/>
      <c r="C963" s="31"/>
      <c r="F963" s="28"/>
    </row>
    <row r="964" hidden="1">
      <c r="A964" s="31"/>
      <c r="B964" s="31"/>
      <c r="C964" s="31"/>
      <c r="F964" s="28"/>
    </row>
    <row r="965" hidden="1">
      <c r="A965" s="31"/>
      <c r="B965" s="31"/>
      <c r="C965" s="31"/>
      <c r="F965" s="28"/>
    </row>
    <row r="966" hidden="1">
      <c r="A966" s="31"/>
      <c r="B966" s="31"/>
      <c r="C966" s="31"/>
      <c r="F966" s="28"/>
    </row>
    <row r="967" hidden="1">
      <c r="A967" s="31"/>
      <c r="B967" s="31"/>
      <c r="C967" s="31"/>
      <c r="F967" s="28"/>
    </row>
    <row r="968" hidden="1">
      <c r="A968" s="31"/>
      <c r="B968" s="31"/>
      <c r="C968" s="31"/>
      <c r="F968" s="28"/>
    </row>
    <row r="969" hidden="1">
      <c r="A969" s="31"/>
      <c r="B969" s="31"/>
      <c r="C969" s="31"/>
      <c r="F969" s="28"/>
    </row>
    <row r="970" hidden="1">
      <c r="A970" s="31"/>
      <c r="B970" s="31"/>
      <c r="C970" s="31"/>
      <c r="F970" s="28"/>
    </row>
    <row r="971" hidden="1">
      <c r="A971" s="31"/>
      <c r="B971" s="31"/>
      <c r="C971" s="31"/>
      <c r="F971" s="28"/>
    </row>
    <row r="972" hidden="1">
      <c r="A972" s="31"/>
      <c r="B972" s="31"/>
      <c r="C972" s="31"/>
      <c r="F972" s="28"/>
    </row>
    <row r="973" hidden="1">
      <c r="A973" s="31"/>
      <c r="B973" s="31"/>
      <c r="C973" s="31"/>
      <c r="F973" s="28"/>
    </row>
    <row r="974" hidden="1">
      <c r="A974" s="31"/>
      <c r="B974" s="31"/>
      <c r="C974" s="31"/>
      <c r="F974" s="28"/>
    </row>
    <row r="975" hidden="1">
      <c r="A975" s="31"/>
      <c r="B975" s="31"/>
      <c r="C975" s="31"/>
      <c r="F975" s="28"/>
    </row>
    <row r="976" hidden="1">
      <c r="A976" s="31"/>
      <c r="B976" s="31"/>
      <c r="C976" s="31"/>
      <c r="F976" s="28"/>
    </row>
    <row r="977" hidden="1">
      <c r="A977" s="31"/>
      <c r="B977" s="31"/>
      <c r="C977" s="31"/>
      <c r="F977" s="28"/>
    </row>
    <row r="978" hidden="1">
      <c r="A978" s="31"/>
      <c r="B978" s="31"/>
      <c r="C978" s="31"/>
      <c r="F978" s="28"/>
    </row>
    <row r="979" hidden="1">
      <c r="A979" s="31"/>
      <c r="B979" s="31"/>
      <c r="C979" s="31"/>
      <c r="F979" s="28"/>
    </row>
    <row r="980" hidden="1">
      <c r="A980" s="31"/>
      <c r="B980" s="31"/>
      <c r="C980" s="31"/>
      <c r="F980" s="28"/>
    </row>
    <row r="981" hidden="1">
      <c r="A981" s="31"/>
      <c r="B981" s="31"/>
      <c r="C981" s="31"/>
      <c r="F981" s="28"/>
    </row>
    <row r="982" hidden="1">
      <c r="A982" s="31"/>
      <c r="B982" s="31"/>
      <c r="C982" s="31"/>
      <c r="F982" s="28"/>
    </row>
    <row r="983" hidden="1">
      <c r="A983" s="31"/>
      <c r="B983" s="31"/>
      <c r="C983" s="31"/>
      <c r="F983" s="28"/>
    </row>
    <row r="984" hidden="1">
      <c r="A984" s="31"/>
      <c r="B984" s="31"/>
      <c r="C984" s="31"/>
      <c r="F984" s="28"/>
    </row>
    <row r="985" hidden="1">
      <c r="A985" s="31"/>
      <c r="B985" s="31"/>
      <c r="C985" s="31"/>
      <c r="F985" s="28"/>
    </row>
    <row r="986" hidden="1">
      <c r="A986" s="31"/>
      <c r="B986" s="31"/>
      <c r="C986" s="31"/>
      <c r="F986" s="28"/>
    </row>
    <row r="987" hidden="1">
      <c r="A987" s="31"/>
      <c r="B987" s="31"/>
      <c r="C987" s="31"/>
      <c r="F987" s="28"/>
    </row>
    <row r="988" hidden="1">
      <c r="A988" s="31"/>
      <c r="B988" s="31"/>
      <c r="C988" s="31"/>
      <c r="F988" s="28"/>
    </row>
    <row r="989" hidden="1">
      <c r="A989" s="31"/>
      <c r="B989" s="31"/>
      <c r="C989" s="31"/>
      <c r="F989" s="28"/>
    </row>
    <row r="990" hidden="1">
      <c r="A990" s="31"/>
      <c r="B990" s="31"/>
      <c r="C990" s="31"/>
      <c r="F990" s="28"/>
    </row>
    <row r="991" hidden="1">
      <c r="A991" s="31"/>
      <c r="B991" s="31"/>
      <c r="C991" s="31"/>
      <c r="F991" s="28"/>
    </row>
    <row r="992" hidden="1">
      <c r="A992" s="31"/>
      <c r="B992" s="31"/>
      <c r="C992" s="31"/>
      <c r="F992" s="28"/>
    </row>
    <row r="993" hidden="1">
      <c r="A993" s="31"/>
      <c r="B993" s="31"/>
      <c r="C993" s="31"/>
      <c r="F993" s="28"/>
    </row>
    <row r="994" hidden="1">
      <c r="A994" s="31"/>
      <c r="B994" s="31"/>
      <c r="C994" s="31"/>
      <c r="F994" s="28"/>
    </row>
    <row r="995" hidden="1">
      <c r="A995" s="31"/>
      <c r="B995" s="31"/>
      <c r="C995" s="31"/>
      <c r="F995" s="28"/>
    </row>
    <row r="996" hidden="1">
      <c r="A996" s="31"/>
      <c r="B996" s="31"/>
      <c r="C996" s="31"/>
      <c r="F996" s="28"/>
    </row>
    <row r="997" hidden="1">
      <c r="A997" s="31"/>
      <c r="B997" s="31"/>
      <c r="C997" s="31"/>
      <c r="F997" s="28"/>
    </row>
    <row r="998" hidden="1">
      <c r="A998" s="31"/>
      <c r="B998" s="31"/>
      <c r="C998" s="31"/>
      <c r="F998" s="28"/>
    </row>
    <row r="999" hidden="1">
      <c r="A999" s="31"/>
      <c r="B999" s="31"/>
      <c r="C999" s="31"/>
      <c r="F999" s="28"/>
    </row>
    <row r="1000" hidden="1">
      <c r="A1000" s="31"/>
      <c r="B1000" s="31"/>
      <c r="C1000" s="31"/>
      <c r="F1000" s="28"/>
    </row>
  </sheetData>
  <mergeCells count="400">
    <mergeCell ref="C281:E281"/>
    <mergeCell ref="C282:E282"/>
    <mergeCell ref="C274:E274"/>
    <mergeCell ref="C275:E275"/>
    <mergeCell ref="C276:E276"/>
    <mergeCell ref="C277:E277"/>
    <mergeCell ref="C278:E278"/>
    <mergeCell ref="C279:E279"/>
    <mergeCell ref="C280:E280"/>
    <mergeCell ref="C232:E232"/>
    <mergeCell ref="C233:E233"/>
    <mergeCell ref="C234:E234"/>
    <mergeCell ref="C235:E235"/>
    <mergeCell ref="C236:E236"/>
    <mergeCell ref="C237:E237"/>
    <mergeCell ref="C238:E238"/>
    <mergeCell ref="C239:E239"/>
    <mergeCell ref="C240:E240"/>
    <mergeCell ref="C241:E241"/>
    <mergeCell ref="C242:E242"/>
    <mergeCell ref="C243:E243"/>
    <mergeCell ref="C244:E244"/>
    <mergeCell ref="C245:E245"/>
    <mergeCell ref="C246:E246"/>
    <mergeCell ref="C247:E247"/>
    <mergeCell ref="C248:E248"/>
    <mergeCell ref="C249:E249"/>
    <mergeCell ref="C250:E250"/>
    <mergeCell ref="C251:E251"/>
    <mergeCell ref="C252:E252"/>
    <mergeCell ref="C253:E253"/>
    <mergeCell ref="C254:E254"/>
    <mergeCell ref="C255:E255"/>
    <mergeCell ref="C256:E256"/>
    <mergeCell ref="C257:E257"/>
    <mergeCell ref="C258:E258"/>
    <mergeCell ref="C259:E259"/>
    <mergeCell ref="C260:E260"/>
    <mergeCell ref="C261:E261"/>
    <mergeCell ref="C262:E262"/>
    <mergeCell ref="C263:E263"/>
    <mergeCell ref="C264:E264"/>
    <mergeCell ref="C265:E265"/>
    <mergeCell ref="C266:E266"/>
    <mergeCell ref="C267:E267"/>
    <mergeCell ref="C268:E268"/>
    <mergeCell ref="C269:E269"/>
    <mergeCell ref="C270:E270"/>
    <mergeCell ref="C271:E271"/>
    <mergeCell ref="C272:E272"/>
    <mergeCell ref="C273:E273"/>
    <mergeCell ref="C225:E225"/>
    <mergeCell ref="C226:E226"/>
    <mergeCell ref="C227:E227"/>
    <mergeCell ref="C228:E228"/>
    <mergeCell ref="C229:E229"/>
    <mergeCell ref="C230:E230"/>
    <mergeCell ref="C231:E231"/>
    <mergeCell ref="C18:E18"/>
    <mergeCell ref="C19:E19"/>
    <mergeCell ref="C7:E7"/>
    <mergeCell ref="C8:E8"/>
    <mergeCell ref="C9:E9"/>
    <mergeCell ref="C10:E10"/>
    <mergeCell ref="C11:E11"/>
    <mergeCell ref="C12:E12"/>
    <mergeCell ref="C1:E1"/>
    <mergeCell ref="C2:E2"/>
    <mergeCell ref="C3:E3"/>
    <mergeCell ref="C4:E4"/>
    <mergeCell ref="C5:E5"/>
    <mergeCell ref="C6:E6"/>
    <mergeCell ref="C20:E20"/>
    <mergeCell ref="C21:E21"/>
    <mergeCell ref="C13:E13"/>
    <mergeCell ref="C14:E14"/>
    <mergeCell ref="C15:E15"/>
    <mergeCell ref="C16:E16"/>
    <mergeCell ref="C17:E17"/>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5:E55"/>
    <mergeCell ref="C56:E56"/>
    <mergeCell ref="C54:E54"/>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 ref="C81:E81"/>
    <mergeCell ref="C82:E82"/>
    <mergeCell ref="C83:E83"/>
    <mergeCell ref="C84:E84"/>
    <mergeCell ref="C85:E85"/>
    <mergeCell ref="C86:E86"/>
    <mergeCell ref="C87:E87"/>
    <mergeCell ref="C88:E88"/>
    <mergeCell ref="C89:E89"/>
    <mergeCell ref="C90:E90"/>
    <mergeCell ref="C91:E91"/>
    <mergeCell ref="C141:E141"/>
    <mergeCell ref="C142:E142"/>
    <mergeCell ref="C143:E143"/>
    <mergeCell ref="C144:E144"/>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1:E161"/>
    <mergeCell ref="C169:E169"/>
    <mergeCell ref="C170:E170"/>
    <mergeCell ref="C171:E171"/>
    <mergeCell ref="C172:E172"/>
    <mergeCell ref="C173:E173"/>
    <mergeCell ref="C174:E174"/>
    <mergeCell ref="C175:E175"/>
    <mergeCell ref="C162:E162"/>
    <mergeCell ref="C163:E163"/>
    <mergeCell ref="C164:E164"/>
    <mergeCell ref="C165:E165"/>
    <mergeCell ref="C166:E166"/>
    <mergeCell ref="C167:E167"/>
    <mergeCell ref="C168:E168"/>
    <mergeCell ref="C92:E92"/>
    <mergeCell ref="C93:E93"/>
    <mergeCell ref="C94:E94"/>
    <mergeCell ref="C95:E95"/>
    <mergeCell ref="C96:E96"/>
    <mergeCell ref="C97:E97"/>
    <mergeCell ref="C98:E98"/>
    <mergeCell ref="C99:E99"/>
    <mergeCell ref="C100:E100"/>
    <mergeCell ref="C101:E101"/>
    <mergeCell ref="C102:E102"/>
    <mergeCell ref="C103:E103"/>
    <mergeCell ref="C104:E104"/>
    <mergeCell ref="C105:E105"/>
    <mergeCell ref="C106:E106"/>
    <mergeCell ref="C107:E107"/>
    <mergeCell ref="C108:E108"/>
    <mergeCell ref="C109:E109"/>
    <mergeCell ref="C110:E110"/>
    <mergeCell ref="C111:E111"/>
    <mergeCell ref="C112:E112"/>
    <mergeCell ref="C113:E113"/>
    <mergeCell ref="C114:E114"/>
    <mergeCell ref="C115:E115"/>
    <mergeCell ref="C116:E116"/>
    <mergeCell ref="C117:E117"/>
    <mergeCell ref="C118:E118"/>
    <mergeCell ref="C119:E119"/>
    <mergeCell ref="C120:E120"/>
    <mergeCell ref="C121:E121"/>
    <mergeCell ref="C122:E122"/>
    <mergeCell ref="C123:E123"/>
    <mergeCell ref="C124:E124"/>
    <mergeCell ref="C125:E125"/>
    <mergeCell ref="C126:E126"/>
    <mergeCell ref="C127:E127"/>
    <mergeCell ref="C128:E128"/>
    <mergeCell ref="C129:E129"/>
    <mergeCell ref="C130:E130"/>
    <mergeCell ref="C131:E131"/>
    <mergeCell ref="C132:E132"/>
    <mergeCell ref="C133:E133"/>
    <mergeCell ref="C134:E134"/>
    <mergeCell ref="C135:E135"/>
    <mergeCell ref="C136:E136"/>
    <mergeCell ref="C137:E137"/>
    <mergeCell ref="C138:E138"/>
    <mergeCell ref="C139:E139"/>
    <mergeCell ref="C140:E140"/>
    <mergeCell ref="C395:E395"/>
    <mergeCell ref="C396:E396"/>
    <mergeCell ref="C386:E386"/>
    <mergeCell ref="C387:E387"/>
    <mergeCell ref="C388:E388"/>
    <mergeCell ref="C389:E389"/>
    <mergeCell ref="C390:E390"/>
    <mergeCell ref="C391:E391"/>
    <mergeCell ref="C381:E381"/>
    <mergeCell ref="C382:E382"/>
    <mergeCell ref="C383:E383"/>
    <mergeCell ref="C384:E384"/>
    <mergeCell ref="C385:E385"/>
    <mergeCell ref="C393:E393"/>
    <mergeCell ref="C394:E394"/>
    <mergeCell ref="C392:E392"/>
    <mergeCell ref="C325:E325"/>
    <mergeCell ref="C326:E326"/>
    <mergeCell ref="C327:E327"/>
    <mergeCell ref="C328:E328"/>
    <mergeCell ref="C329:E329"/>
    <mergeCell ref="C330:E330"/>
    <mergeCell ref="C331:E331"/>
    <mergeCell ref="C332:E332"/>
    <mergeCell ref="C333:E333"/>
    <mergeCell ref="C334:E334"/>
    <mergeCell ref="C335:E335"/>
    <mergeCell ref="C336:E336"/>
    <mergeCell ref="C337:E337"/>
    <mergeCell ref="C338:E338"/>
    <mergeCell ref="C353:E353"/>
    <mergeCell ref="C354:E354"/>
    <mergeCell ref="C346:E346"/>
    <mergeCell ref="C347:E347"/>
    <mergeCell ref="C348:E348"/>
    <mergeCell ref="C349:E349"/>
    <mergeCell ref="C350:E350"/>
    <mergeCell ref="C351:E351"/>
    <mergeCell ref="C352:E352"/>
    <mergeCell ref="C283:E283"/>
    <mergeCell ref="C284:E284"/>
    <mergeCell ref="C285:E285"/>
    <mergeCell ref="C286:E286"/>
    <mergeCell ref="C287:E287"/>
    <mergeCell ref="C288:E288"/>
    <mergeCell ref="C289:E289"/>
    <mergeCell ref="C290:E290"/>
    <mergeCell ref="C291:E291"/>
    <mergeCell ref="C292:E292"/>
    <mergeCell ref="C293:E293"/>
    <mergeCell ref="C294:E294"/>
    <mergeCell ref="C295:E295"/>
    <mergeCell ref="C296:E296"/>
    <mergeCell ref="C297:E297"/>
    <mergeCell ref="C298:E298"/>
    <mergeCell ref="C299:E299"/>
    <mergeCell ref="C300:E300"/>
    <mergeCell ref="C301:E301"/>
    <mergeCell ref="C302:E302"/>
    <mergeCell ref="C303:E303"/>
    <mergeCell ref="C304:E304"/>
    <mergeCell ref="C305:E305"/>
    <mergeCell ref="C306:E306"/>
    <mergeCell ref="C307:E307"/>
    <mergeCell ref="C308:E308"/>
    <mergeCell ref="C309:E309"/>
    <mergeCell ref="C310:E310"/>
    <mergeCell ref="C311:E311"/>
    <mergeCell ref="C312:E312"/>
    <mergeCell ref="C313:E313"/>
    <mergeCell ref="C314:E314"/>
    <mergeCell ref="C315:E315"/>
    <mergeCell ref="C316:E316"/>
    <mergeCell ref="C317:E317"/>
    <mergeCell ref="C323:E323"/>
    <mergeCell ref="C324:E324"/>
    <mergeCell ref="C341:E341"/>
    <mergeCell ref="C342:E342"/>
    <mergeCell ref="C343:E343"/>
    <mergeCell ref="C344:E344"/>
    <mergeCell ref="C345:E345"/>
    <mergeCell ref="C369:E369"/>
    <mergeCell ref="C370:E370"/>
    <mergeCell ref="C371:E371"/>
    <mergeCell ref="C374:E374"/>
    <mergeCell ref="C375:E375"/>
    <mergeCell ref="C376:E376"/>
    <mergeCell ref="C377:E377"/>
    <mergeCell ref="C378:E378"/>
    <mergeCell ref="C379:E379"/>
    <mergeCell ref="C380:E380"/>
    <mergeCell ref="C367:E367"/>
    <mergeCell ref="C368:E368"/>
    <mergeCell ref="C318:E318"/>
    <mergeCell ref="C319:E319"/>
    <mergeCell ref="C320:E320"/>
    <mergeCell ref="C321:E321"/>
    <mergeCell ref="C322:E322"/>
    <mergeCell ref="C372:E372"/>
    <mergeCell ref="C373:E373"/>
    <mergeCell ref="C339:E339"/>
    <mergeCell ref="C340:E340"/>
    <mergeCell ref="C355:E355"/>
    <mergeCell ref="C356:E356"/>
    <mergeCell ref="C357:E357"/>
    <mergeCell ref="C358:E358"/>
    <mergeCell ref="C359:E359"/>
    <mergeCell ref="C360:E360"/>
    <mergeCell ref="C361:E361"/>
    <mergeCell ref="C362:E362"/>
    <mergeCell ref="C363:E363"/>
    <mergeCell ref="C364:E364"/>
    <mergeCell ref="C365:E365"/>
    <mergeCell ref="C366:E366"/>
    <mergeCell ref="C176:E176"/>
    <mergeCell ref="C177:E177"/>
    <mergeCell ref="C178:E178"/>
    <mergeCell ref="C179:E179"/>
    <mergeCell ref="C180:E180"/>
    <mergeCell ref="C181:E181"/>
    <mergeCell ref="C182:E182"/>
    <mergeCell ref="C183:E183"/>
    <mergeCell ref="C184:E184"/>
    <mergeCell ref="C185:E185"/>
    <mergeCell ref="C186:E186"/>
    <mergeCell ref="C187:E187"/>
    <mergeCell ref="C188:E188"/>
    <mergeCell ref="C189:E189"/>
    <mergeCell ref="C190:E190"/>
    <mergeCell ref="C191:E191"/>
    <mergeCell ref="C192:E192"/>
    <mergeCell ref="C193:E193"/>
    <mergeCell ref="C194:E194"/>
    <mergeCell ref="C195:E195"/>
    <mergeCell ref="C196:E196"/>
    <mergeCell ref="C197:E197"/>
    <mergeCell ref="C198:E198"/>
    <mergeCell ref="C199:E199"/>
    <mergeCell ref="C200:E200"/>
    <mergeCell ref="C201:E201"/>
    <mergeCell ref="C202:E202"/>
    <mergeCell ref="C203:E203"/>
    <mergeCell ref="C204:E204"/>
    <mergeCell ref="C205:E205"/>
    <mergeCell ref="C206:E206"/>
    <mergeCell ref="C207:E207"/>
    <mergeCell ref="C208:E208"/>
    <mergeCell ref="C209:E209"/>
    <mergeCell ref="C210:E210"/>
    <mergeCell ref="C211:E211"/>
    <mergeCell ref="C212:E212"/>
    <mergeCell ref="C213:E213"/>
    <mergeCell ref="C214:E214"/>
    <mergeCell ref="C215:E215"/>
    <mergeCell ref="C216:E216"/>
    <mergeCell ref="C217:E217"/>
    <mergeCell ref="C218:E218"/>
    <mergeCell ref="C219:E219"/>
    <mergeCell ref="C220:E220"/>
    <mergeCell ref="C221:E221"/>
    <mergeCell ref="C222:E222"/>
    <mergeCell ref="C223:E223"/>
    <mergeCell ref="C224:E224"/>
    <mergeCell ref="C397:E397"/>
    <mergeCell ref="C398:E398"/>
    <mergeCell ref="C399:E399"/>
    <mergeCell ref="C400:E400"/>
  </mergeCells>
  <conditionalFormatting sqref="A1:C400">
    <cfRule type="expression" dxfId="0" priority="1">
      <formula>#REF!=TRUE()</formula>
    </cfRule>
  </conditionalFormatting>
  <conditionalFormatting sqref="A89:C90">
    <cfRule type="expression" dxfId="1" priority="2">
      <formula>COUNTIF(#REF!,TRUE)&gt;0</formula>
    </cfRule>
  </conditionalFormatting>
  <conditionalFormatting sqref="A91:C93">
    <cfRule type="expression" dxfId="1" priority="3">
      <formula>COUNTIF(#REF!,TRUE)&gt;0</formula>
    </cfRule>
  </conditionalFormatting>
  <conditionalFormatting sqref="A94:C96">
    <cfRule type="expression" dxfId="1" priority="4">
      <formula>COUNTIF(#REF!,TRUE)&gt;0</formula>
    </cfRule>
  </conditionalFormatting>
  <conditionalFormatting sqref="A97:C99">
    <cfRule type="expression" dxfId="1" priority="5">
      <formula>COUNTIF(#REF!,TRUE)&gt;0</formula>
    </cfRule>
  </conditionalFormatting>
  <conditionalFormatting sqref="A101:C103">
    <cfRule type="expression" dxfId="1" priority="6">
      <formula>COUNTIF(#REF!,TRUE)&gt;0</formula>
    </cfRule>
  </conditionalFormatting>
  <conditionalFormatting sqref="A104:C105">
    <cfRule type="expression" dxfId="1" priority="7">
      <formula>COUNTIF(#REF!,TRUE)&gt;0</formula>
    </cfRule>
  </conditionalFormatting>
  <conditionalFormatting sqref="A106:C107">
    <cfRule type="expression" dxfId="1" priority="8">
      <formula>COUNTIF(#REF!,TRUE)&gt;0</formula>
    </cfRule>
  </conditionalFormatting>
  <conditionalFormatting sqref="A108:C110">
    <cfRule type="expression" dxfId="1" priority="9">
      <formula>COUNTIF(#REF!,TRUE)&gt;0</formula>
    </cfRule>
  </conditionalFormatting>
  <conditionalFormatting sqref="A111:C112">
    <cfRule type="expression" dxfId="1" priority="10">
      <formula>COUNTIF(#REF!,TRUE)&gt;0</formula>
    </cfRule>
  </conditionalFormatting>
  <conditionalFormatting sqref="A114:C115">
    <cfRule type="expression" dxfId="1" priority="11">
      <formula>COUNTIF(#REF!,TRUE)&gt;0</formula>
    </cfRule>
  </conditionalFormatting>
  <conditionalFormatting sqref="A116:C117">
    <cfRule type="expression" dxfId="1" priority="12">
      <formula>COUNTIF(#REF!,TRUE)&gt;0</formula>
    </cfRule>
  </conditionalFormatting>
  <conditionalFormatting sqref="A118:C119">
    <cfRule type="expression" dxfId="1" priority="13">
      <formula>COUNTIF(#REF!,TRUE)&gt;0</formula>
    </cfRule>
  </conditionalFormatting>
  <conditionalFormatting sqref="A120:C121">
    <cfRule type="expression" dxfId="1" priority="14">
      <formula>COUNTIF(#REF!,TRUE)&gt;0</formula>
    </cfRule>
  </conditionalFormatting>
  <conditionalFormatting sqref="A122:C123">
    <cfRule type="expression" dxfId="1" priority="15">
      <formula>COUNTIF(#REF!,TRUE)&gt;0</formula>
    </cfRule>
  </conditionalFormatting>
  <conditionalFormatting sqref="A124:C125">
    <cfRule type="expression" dxfId="1" priority="16">
      <formula>COUNTIF(#REF!,TRUE)&gt;0</formula>
    </cfRule>
  </conditionalFormatting>
  <conditionalFormatting sqref="A126:C128">
    <cfRule type="expression" dxfId="1" priority="17">
      <formula>COUNTIF(#REF!,TRUE)&gt;0</formula>
    </cfRule>
  </conditionalFormatting>
  <conditionalFormatting sqref="A129:C131">
    <cfRule type="expression" dxfId="1" priority="18">
      <formula>COUNTIF(#REF!,TRUE)&gt;0</formula>
    </cfRule>
  </conditionalFormatting>
  <conditionalFormatting sqref="A132:C133">
    <cfRule type="expression" dxfId="1" priority="19">
      <formula>COUNTIF(#REF!,TRUE)&gt;0</formula>
    </cfRule>
  </conditionalFormatting>
  <conditionalFormatting sqref="A134:C135">
    <cfRule type="expression" dxfId="1" priority="20">
      <formula>COUNTIF(#REF!,TRUE)&gt;0</formula>
    </cfRule>
  </conditionalFormatting>
  <conditionalFormatting sqref="A136:C137">
    <cfRule type="expression" dxfId="1" priority="21">
      <formula>COUNTIF(#REF!,TRUE)&gt;0</formula>
    </cfRule>
  </conditionalFormatting>
  <conditionalFormatting sqref="A139:C140">
    <cfRule type="expression" dxfId="1" priority="22">
      <formula>COUNTIF(#REF!,TRUE)&gt;0</formula>
    </cfRule>
  </conditionalFormatting>
  <conditionalFormatting sqref="A141:C142">
    <cfRule type="expression" dxfId="1" priority="23">
      <formula>COUNTIF(#REF!,TRUE)&gt;0</formula>
    </cfRule>
  </conditionalFormatting>
  <conditionalFormatting sqref="A143:C144">
    <cfRule type="expression" dxfId="1" priority="24">
      <formula>COUNTIF(#REF!,TRUE)&gt;0</formula>
    </cfRule>
  </conditionalFormatting>
  <conditionalFormatting sqref="A145:C147">
    <cfRule type="expression" dxfId="1" priority="25">
      <formula>COUNTIF(#REF!,TRUE)&gt;0</formula>
    </cfRule>
  </conditionalFormatting>
  <conditionalFormatting sqref="A148:C149">
    <cfRule type="expression" dxfId="1" priority="26">
      <formula>COUNTIF(#REF!,TRUE)&gt;0</formula>
    </cfRule>
  </conditionalFormatting>
  <conditionalFormatting sqref="A151:C152">
    <cfRule type="expression" dxfId="1" priority="27">
      <formula>COUNTIF(#REF!,TRUE)&gt;0</formula>
    </cfRule>
  </conditionalFormatting>
  <conditionalFormatting sqref="A153:C154">
    <cfRule type="expression" dxfId="1" priority="28">
      <formula>COUNTIF(#REF!,TRUE)&gt;0</formula>
    </cfRule>
  </conditionalFormatting>
  <conditionalFormatting sqref="A155:C157">
    <cfRule type="expression" dxfId="1" priority="29">
      <formula>COUNTIF(#REF!,TRUE)&gt;0</formula>
    </cfRule>
  </conditionalFormatting>
  <conditionalFormatting sqref="A158:C160">
    <cfRule type="expression" dxfId="1" priority="30">
      <formula>COUNTIF(#REF!,TRUE)&gt;0</formula>
    </cfRule>
  </conditionalFormatting>
  <conditionalFormatting sqref="A161:C162">
    <cfRule type="expression" dxfId="1" priority="31">
      <formula>COUNTIF(#REF!,TRUE)&gt;0</formula>
    </cfRule>
  </conditionalFormatting>
  <conditionalFormatting sqref="A163:C164">
    <cfRule type="expression" dxfId="1" priority="32">
      <formula>COUNTIF(#REF!,TRUE)&gt;0</formula>
    </cfRule>
  </conditionalFormatting>
  <conditionalFormatting sqref="A165:C167">
    <cfRule type="expression" dxfId="1" priority="33">
      <formula>COUNTIF(#REF!,TRUE)&gt;0</formula>
    </cfRule>
  </conditionalFormatting>
  <conditionalFormatting sqref="A168:C169">
    <cfRule type="expression" dxfId="1" priority="34">
      <formula>COUNTIF(#REF!,TRUE)&gt;0</formula>
    </cfRule>
  </conditionalFormatting>
  <conditionalFormatting sqref="A170:C171">
    <cfRule type="expression" dxfId="1" priority="35">
      <formula>COUNTIF(#REF!,TRUE)&gt;0</formula>
    </cfRule>
  </conditionalFormatting>
  <conditionalFormatting sqref="A172:C174">
    <cfRule type="expression" dxfId="1" priority="36">
      <formula>COUNTIF(#REF!,TRUE)&gt;0</formula>
    </cfRule>
  </conditionalFormatting>
  <conditionalFormatting sqref="A175:C176">
    <cfRule type="expression" dxfId="1" priority="37">
      <formula>COUNTIF(#REF!,TRUE)&gt;0</formula>
    </cfRule>
  </conditionalFormatting>
  <conditionalFormatting sqref="A177:C178">
    <cfRule type="expression" dxfId="1" priority="38">
      <formula>COUNTIF(#REF!,TRUE)&gt;0</formula>
    </cfRule>
  </conditionalFormatting>
  <conditionalFormatting sqref="A179:C187">
    <cfRule type="expression" dxfId="1" priority="39">
      <formula>COUNTIF(#REF!,TRUE)&gt;0</formula>
    </cfRule>
  </conditionalFormatting>
  <conditionalFormatting sqref="A188:C189">
    <cfRule type="expression" dxfId="1" priority="40">
      <formula>COUNTIF(#REF!,TRUE)&gt;0</formula>
    </cfRule>
  </conditionalFormatting>
  <conditionalFormatting sqref="A190:C191">
    <cfRule type="expression" dxfId="1" priority="41">
      <formula>COUNTIF(#REF!,TRUE)&gt;0</formula>
    </cfRule>
  </conditionalFormatting>
  <conditionalFormatting sqref="A192:C193">
    <cfRule type="expression" dxfId="1" priority="42">
      <formula>COUNTIF(#REF!,TRUE)&gt;0</formula>
    </cfRule>
  </conditionalFormatting>
  <conditionalFormatting sqref="A194:C195">
    <cfRule type="expression" dxfId="1" priority="43">
      <formula>COUNTIF(#REF!,TRUE)&gt;0</formula>
    </cfRule>
  </conditionalFormatting>
  <conditionalFormatting sqref="A196:C197">
    <cfRule type="expression" dxfId="1" priority="44">
      <formula>COUNTIF(#REF!,TRUE)&gt;0</formula>
    </cfRule>
  </conditionalFormatting>
  <conditionalFormatting sqref="A198:C199">
    <cfRule type="expression" dxfId="1" priority="45">
      <formula>COUNTIF(#REF!,TRUE)&gt;0</formula>
    </cfRule>
  </conditionalFormatting>
  <conditionalFormatting sqref="A202:C203">
    <cfRule type="expression" dxfId="1" priority="46">
      <formula>COUNTIF(#REF!,TRUE)&gt;0</formula>
    </cfRule>
  </conditionalFormatting>
  <conditionalFormatting sqref="A205:C206">
    <cfRule type="expression" dxfId="1" priority="47">
      <formula>COUNTIF(#REF!,TRUE)&gt;0</formula>
    </cfRule>
  </conditionalFormatting>
  <conditionalFormatting sqref="A207:C208">
    <cfRule type="expression" dxfId="1" priority="48">
      <formula>COUNTIF(#REF!,TRUE)&gt;0</formula>
    </cfRule>
  </conditionalFormatting>
  <conditionalFormatting sqref="A209:C211">
    <cfRule type="expression" dxfId="1" priority="49">
      <formula>COUNTIF(#REF!,TRUE)&gt;0</formula>
    </cfRule>
  </conditionalFormatting>
  <conditionalFormatting sqref="A213:C214">
    <cfRule type="expression" dxfId="1" priority="50">
      <formula>COUNTIF(#REF!,TRUE)&gt;0</formula>
    </cfRule>
  </conditionalFormatting>
  <conditionalFormatting sqref="A215:C216">
    <cfRule type="expression" dxfId="1" priority="51">
      <formula>COUNTIF(#REF!,TRUE)&gt;0</formula>
    </cfRule>
  </conditionalFormatting>
  <conditionalFormatting sqref="A219:C220">
    <cfRule type="expression" dxfId="1" priority="52">
      <formula>COUNTIF(#REF!,TRUE)&gt;0</formula>
    </cfRule>
  </conditionalFormatting>
  <conditionalFormatting sqref="A221:C222">
    <cfRule type="expression" dxfId="1" priority="53">
      <formula>COUNTIF(#REF!,TRUE)&gt;0</formula>
    </cfRule>
  </conditionalFormatting>
  <conditionalFormatting sqref="A224:C225">
    <cfRule type="expression" dxfId="1" priority="54">
      <formula>COUNTIF(#REF!,TRUE)&gt;0</formula>
    </cfRule>
  </conditionalFormatting>
  <conditionalFormatting sqref="A226:C227">
    <cfRule type="expression" dxfId="1" priority="55">
      <formula>COUNTIF(#REF!,TRUE)&gt;0</formula>
    </cfRule>
  </conditionalFormatting>
  <conditionalFormatting sqref="A228:C229">
    <cfRule type="expression" dxfId="1" priority="56">
      <formula>COUNTIF(#REF!,TRUE)&gt;0</formula>
    </cfRule>
  </conditionalFormatting>
  <conditionalFormatting sqref="A230:C231">
    <cfRule type="expression" dxfId="1" priority="57">
      <formula>COUNTIF(#REF!,TRUE)&gt;0</formula>
    </cfRule>
  </conditionalFormatting>
  <conditionalFormatting sqref="A232:C233">
    <cfRule type="expression" dxfId="1" priority="58">
      <formula>COUNTIF(#REF!,TRUE)&gt;0</formula>
    </cfRule>
  </conditionalFormatting>
  <conditionalFormatting sqref="A234:C236">
    <cfRule type="expression" dxfId="1" priority="59">
      <formula>COUNTIF(#REF!,TRUE)&gt;0</formula>
    </cfRule>
  </conditionalFormatting>
  <conditionalFormatting sqref="A237:C238">
    <cfRule type="expression" dxfId="1" priority="60">
      <formula>COUNTIF(#REF!,TRUE)&gt;0</formula>
    </cfRule>
  </conditionalFormatting>
  <conditionalFormatting sqref="A242:C243">
    <cfRule type="expression" dxfId="1" priority="61">
      <formula>COUNTIF(#REF!,TRUE)&gt;0</formula>
    </cfRule>
  </conditionalFormatting>
  <conditionalFormatting sqref="A244:C245">
    <cfRule type="expression" dxfId="1" priority="62">
      <formula>COUNTIF(#REF!,TRUE)&gt;0</formula>
    </cfRule>
  </conditionalFormatting>
  <conditionalFormatting sqref="A247:C248">
    <cfRule type="expression" dxfId="1" priority="63">
      <formula>COUNTIF(#REF!,TRUE)&gt;0</formula>
    </cfRule>
  </conditionalFormatting>
  <conditionalFormatting sqref="A250:C251">
    <cfRule type="expression" dxfId="1" priority="64">
      <formula>COUNTIF(#REF!,TRUE)&gt;0</formula>
    </cfRule>
  </conditionalFormatting>
  <conditionalFormatting sqref="A252:C253">
    <cfRule type="expression" dxfId="1" priority="65">
      <formula>COUNTIF(#REF!,TRUE)&gt;0</formula>
    </cfRule>
  </conditionalFormatting>
  <conditionalFormatting sqref="A254:C255">
    <cfRule type="expression" dxfId="1" priority="66">
      <formula>COUNTIF(#REF!,TRUE)&gt;0</formula>
    </cfRule>
  </conditionalFormatting>
  <conditionalFormatting sqref="A256:C257">
    <cfRule type="expression" dxfId="1" priority="67">
      <formula>COUNTIF(#REF!,TRUE)&gt;0</formula>
    </cfRule>
  </conditionalFormatting>
  <conditionalFormatting sqref="A258:C259">
    <cfRule type="expression" dxfId="1" priority="68">
      <formula>COUNTIF(#REF!,TRUE)&gt;0</formula>
    </cfRule>
  </conditionalFormatting>
  <conditionalFormatting sqref="A260:C261">
    <cfRule type="expression" dxfId="1" priority="69">
      <formula>COUNTIF(#REF!,TRUE)&gt;0</formula>
    </cfRule>
  </conditionalFormatting>
  <conditionalFormatting sqref="A263:C264">
    <cfRule type="expression" dxfId="1" priority="70">
      <formula>COUNTIF(#REF!,TRUE)&gt;0</formula>
    </cfRule>
  </conditionalFormatting>
  <conditionalFormatting sqref="A265:C266">
    <cfRule type="expression" dxfId="1" priority="71">
      <formula>COUNTIF(#REF!,TRUE)&gt;0</formula>
    </cfRule>
  </conditionalFormatting>
  <conditionalFormatting sqref="A267:C269">
    <cfRule type="expression" dxfId="1" priority="72">
      <formula>COUNTIF(#REF!,TRUE)&gt;0</formula>
    </cfRule>
  </conditionalFormatting>
  <conditionalFormatting sqref="A270:C271">
    <cfRule type="expression" dxfId="1" priority="73">
      <formula>COUNTIF(#REF!,TRUE)&gt;0</formula>
    </cfRule>
  </conditionalFormatting>
  <conditionalFormatting sqref="A272:C273">
    <cfRule type="expression" dxfId="1" priority="74">
      <formula>COUNTIF(#REF!,TRUE)&gt;0</formula>
    </cfRule>
  </conditionalFormatting>
  <conditionalFormatting sqref="A274:C275">
    <cfRule type="expression" dxfId="1" priority="75">
      <formula>COUNTIF(#REF!,TRUE)&gt;0</formula>
    </cfRule>
  </conditionalFormatting>
  <conditionalFormatting sqref="A276:C278">
    <cfRule type="expression" dxfId="1" priority="76">
      <formula>COUNTIF(#REF!,TRUE)&gt;0</formula>
    </cfRule>
  </conditionalFormatting>
  <conditionalFormatting sqref="A279:C281">
    <cfRule type="expression" dxfId="1" priority="77">
      <formula>COUNTIF(#REF!,TRUE)&gt;0</formula>
    </cfRule>
  </conditionalFormatting>
  <conditionalFormatting sqref="A282:C284">
    <cfRule type="expression" dxfId="1" priority="78">
      <formula>COUNTIF(#REF!,TRUE)&gt;0</formula>
    </cfRule>
  </conditionalFormatting>
  <conditionalFormatting sqref="A285:C287">
    <cfRule type="expression" dxfId="1" priority="79">
      <formula>COUNTIF(#REF!,TRUE)&gt;0</formula>
    </cfRule>
  </conditionalFormatting>
  <conditionalFormatting sqref="A288:C289">
    <cfRule type="expression" dxfId="1" priority="80">
      <formula>COUNTIF(#REF!,TRUE)&gt;0</formula>
    </cfRule>
  </conditionalFormatting>
  <conditionalFormatting sqref="A291:C292">
    <cfRule type="expression" dxfId="1" priority="81">
      <formula>COUNTIF(#REF!,TRUE)&gt;0</formula>
    </cfRule>
  </conditionalFormatting>
  <conditionalFormatting sqref="A293:C294">
    <cfRule type="expression" dxfId="1" priority="82">
      <formula>COUNTIF(#REF!,TRUE)&gt;0</formula>
    </cfRule>
  </conditionalFormatting>
  <conditionalFormatting sqref="A298:C299">
    <cfRule type="expression" dxfId="1" priority="83">
      <formula>COUNTIF(#REF!,TRUE)&gt;0</formula>
    </cfRule>
  </conditionalFormatting>
  <conditionalFormatting sqref="A303:C304">
    <cfRule type="expression" dxfId="1" priority="84">
      <formula>COUNTIF(#REF!,TRUE)&gt;0</formula>
    </cfRule>
  </conditionalFormatting>
  <conditionalFormatting sqref="A305:C307">
    <cfRule type="expression" dxfId="1" priority="85">
      <formula>COUNTIF(#REF!,TRUE)&gt;0</formula>
    </cfRule>
  </conditionalFormatting>
  <conditionalFormatting sqref="A308:C309">
    <cfRule type="expression" dxfId="1" priority="86">
      <formula>COUNTIF(#REF!,TRUE)&gt;0</formula>
    </cfRule>
  </conditionalFormatting>
  <conditionalFormatting sqref="A311:C312">
    <cfRule type="expression" dxfId="1" priority="87">
      <formula>COUNTIF(#REF!,TRUE)&gt;0</formula>
    </cfRule>
  </conditionalFormatting>
  <conditionalFormatting sqref="A316:C318">
    <cfRule type="expression" dxfId="1" priority="88">
      <formula>COUNTIF(#REF!,TRUE)&gt;0</formula>
    </cfRule>
  </conditionalFormatting>
  <conditionalFormatting sqref="A322:C323">
    <cfRule type="expression" dxfId="1" priority="89">
      <formula>COUNTIF(#REF!,TRUE)&gt;0</formula>
    </cfRule>
  </conditionalFormatting>
  <conditionalFormatting sqref="A324:C326">
    <cfRule type="expression" dxfId="1" priority="90">
      <formula>COUNTIF(#REF!,TRUE)&gt;0</formula>
    </cfRule>
  </conditionalFormatting>
  <conditionalFormatting sqref="A327:C328">
    <cfRule type="expression" dxfId="1" priority="91">
      <formula>COUNTIF(#REF!,TRUE)&gt;0</formula>
    </cfRule>
  </conditionalFormatting>
  <conditionalFormatting sqref="A329:C330">
    <cfRule type="expression" dxfId="1" priority="92">
      <formula>COUNTIF(#REF!,TRUE)&gt;0</formula>
    </cfRule>
  </conditionalFormatting>
  <conditionalFormatting sqref="A333:C334">
    <cfRule type="expression" dxfId="1" priority="93">
      <formula>COUNTIF(#REF!,TRUE)&gt;0</formula>
    </cfRule>
  </conditionalFormatting>
  <conditionalFormatting sqref="A337:C338">
    <cfRule type="expression" dxfId="1" priority="94">
      <formula>COUNTIF(#REF!,TRUE)&gt;0</formula>
    </cfRule>
  </conditionalFormatting>
  <conditionalFormatting sqref="A339:C340">
    <cfRule type="expression" dxfId="1" priority="95">
      <formula>COUNTIF(#REF!,TRUE)&gt;0</formula>
    </cfRule>
  </conditionalFormatting>
  <conditionalFormatting sqref="A341:C343">
    <cfRule type="expression" dxfId="1" priority="96">
      <formula>COUNTIF(#REF!,TRUE)&gt;0</formula>
    </cfRule>
  </conditionalFormatting>
  <conditionalFormatting sqref="A344:C345">
    <cfRule type="expression" dxfId="1" priority="97">
      <formula>COUNTIF(#REF!,TRUE)&gt;0</formula>
    </cfRule>
  </conditionalFormatting>
  <conditionalFormatting sqref="A347:C349">
    <cfRule type="expression" dxfId="1" priority="98">
      <formula>COUNTIF(#REF!,TRUE)&gt;0</formula>
    </cfRule>
  </conditionalFormatting>
  <conditionalFormatting sqref="A350:C351">
    <cfRule type="expression" dxfId="1" priority="99">
      <formula>COUNTIF(#REF!,TRUE)&gt;0</formula>
    </cfRule>
  </conditionalFormatting>
  <conditionalFormatting sqref="A352:C353">
    <cfRule type="expression" dxfId="1" priority="100">
      <formula>COUNTIF(#REF!,TRUE)&gt;0</formula>
    </cfRule>
  </conditionalFormatting>
  <conditionalFormatting sqref="A355:C356">
    <cfRule type="expression" dxfId="1" priority="101">
      <formula>COUNTIF(#REF!,TRUE)&gt;0</formula>
    </cfRule>
  </conditionalFormatting>
  <conditionalFormatting sqref="A357:C359">
    <cfRule type="expression" dxfId="1" priority="102">
      <formula>COUNTIF(#REF!,TRUE)&gt;0</formula>
    </cfRule>
  </conditionalFormatting>
  <conditionalFormatting sqref="A361:C362">
    <cfRule type="expression" dxfId="1" priority="103">
      <formula>COUNTIF(#REF!,TRUE)&gt;0</formula>
    </cfRule>
  </conditionalFormatting>
  <conditionalFormatting sqref="A363:C364">
    <cfRule type="expression" dxfId="1" priority="104">
      <formula>COUNTIF(#REF!,TRUE)&gt;0</formula>
    </cfRule>
  </conditionalFormatting>
  <conditionalFormatting sqref="A365:C366">
    <cfRule type="expression" dxfId="1" priority="105">
      <formula>COUNTIF(#REF!,TRUE)&gt;0</formula>
    </cfRule>
  </conditionalFormatting>
  <conditionalFormatting sqref="A367:C369">
    <cfRule type="expression" dxfId="1" priority="106">
      <formula>COUNTIF(#REF!,TRUE)&gt;0</formula>
    </cfRule>
  </conditionalFormatting>
  <conditionalFormatting sqref="A370:C372">
    <cfRule type="expression" dxfId="1" priority="107">
      <formula>COUNTIF(#REF!,TRUE)&gt;0</formula>
    </cfRule>
  </conditionalFormatting>
  <conditionalFormatting sqref="A388:C390">
    <cfRule type="expression" dxfId="1" priority="108">
      <formula>COUNTIF(#REF!,TRUE)&gt;0</formula>
    </cfRule>
  </conditionalFormatting>
  <conditionalFormatting sqref="A391:C392">
    <cfRule type="expression" dxfId="1" priority="109">
      <formula>COUNTIF(#REF!,TRUE)&gt;0</formula>
    </cfRule>
  </conditionalFormatting>
  <conditionalFormatting sqref="A1:C400">
    <cfRule type="expression" dxfId="2" priority="110">
      <formula>COUNTIF(#REF!,FALSE)&gt;0</formula>
    </cfRule>
  </conditionalFormatting>
  <printOptions horizontalCentered="1"/>
  <pageMargins bottom="0.75" footer="0.0" header="0.0" left="0.25" right="0.25" top="0.75"/>
  <pageSetup fitToHeight="0" orientation="landscape" pageOrder="overThenDown"/>
  <drawing r:id="rId1"/>
</worksheet>
</file>