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omments1.xml" ContentType="application/vnd.openxmlformats-officedocument.spreadsheetml.comments+xml"/>
  <Override PartName="/xl/customProperty2.bin" ContentType="application/vnd.openxmlformats-officedocument.spreadsheetml.customProperty"/>
  <Override PartName="/xl/drawings/drawing2.xml" ContentType="application/vnd.openxmlformats-officedocument.drawing+xml"/>
  <Override PartName="/xl/customProperty3.bin" ContentType="application/vnd.openxmlformats-officedocument.spreadsheetml.customProperty"/>
  <Override PartName="/xl/drawings/drawing3.xml" ContentType="application/vnd.openxmlformats-officedocument.drawing+xml"/>
  <Override PartName="/xl/customProperty4.bin" ContentType="application/vnd.openxmlformats-officedocument.spreadsheetml.customProperty"/>
  <Override PartName="/xl/drawings/drawing4.xml" ContentType="application/vnd.openxmlformats-officedocument.drawing+xml"/>
  <Override PartName="/xl/customProperty5.bin" ContentType="application/vnd.openxmlformats-officedocument.spreadsheetml.customProperty"/>
  <Override PartName="/xl/drawings/drawing5.xml" ContentType="application/vnd.openxmlformats-officedocument.drawing+xml"/>
  <Override PartName="/xl/customProperty6.bin" ContentType="application/vnd.openxmlformats-officedocument.spreadsheetml.customProperty"/>
  <Override PartName="/xl/drawings/drawing6.xml" ContentType="application/vnd.openxmlformats-officedocument.drawing+xml"/>
  <Override PartName="/xl/customProperty7.bin" ContentType="application/vnd.openxmlformats-officedocument.spreadsheetml.customProperty"/>
  <Override PartName="/xl/drawings/drawing7.xml" ContentType="application/vnd.openxmlformats-officedocument.drawing+xml"/>
  <Override PartName="/xl/customProperty8.bin" ContentType="application/vnd.openxmlformats-officedocument.spreadsheetml.customProperty"/>
  <Override PartName="/xl/drawings/drawing8.xml" ContentType="application/vnd.openxmlformats-officedocument.drawing+xml"/>
  <Override PartName="/xl/customProperty9.bin" ContentType="application/vnd.openxmlformats-officedocument.spreadsheetml.customProperty"/>
  <Override PartName="/xl/drawings/drawing9.xml" ContentType="application/vnd.openxmlformats-officedocument.drawing+xml"/>
  <Override PartName="/xl/customProperty10.bin" ContentType="application/vnd.openxmlformats-officedocument.spreadsheetml.customProperty"/>
  <Override PartName="/xl/drawings/drawing10.xml" ContentType="application/vnd.openxmlformats-officedocument.drawing+xml"/>
  <Override PartName="/xl/customProperty11.bin" ContentType="application/vnd.openxmlformats-officedocument.spreadsheetml.customProperty"/>
  <Override PartName="/xl/drawings/drawing11.xml" ContentType="application/vnd.openxmlformats-officedocument.drawing+xml"/>
  <Override PartName="/xl/customProperty12.bin" ContentType="application/vnd.openxmlformats-officedocument.spreadsheetml.customProperty"/>
  <Override PartName="/xl/drawings/drawing12.xml" ContentType="application/vnd.openxmlformats-officedocument.drawing+xml"/>
  <Override PartName="/xl/customProperty13.bin" ContentType="application/vnd.openxmlformats-officedocument.spreadsheetml.customProperty"/>
  <Override PartName="/xl/drawings/drawing13.xml" ContentType="application/vnd.openxmlformats-officedocument.drawing+xml"/>
  <Override PartName="/xl/customProperty14.bin" ContentType="application/vnd.openxmlformats-officedocument.spreadsheetml.customProperty"/>
  <Override PartName="/xl/drawings/drawing14.xml" ContentType="application/vnd.openxmlformats-officedocument.drawing+xml"/>
  <Override PartName="/xl/customProperty15.bin" ContentType="application/vnd.openxmlformats-officedocument.spreadsheetml.customProperty"/>
  <Override PartName="/xl/drawings/drawing15.xml" ContentType="application/vnd.openxmlformats-officedocument.drawing+xml"/>
  <Override PartName="/xl/customProperty16.bin" ContentType="application/vnd.openxmlformats-officedocument.spreadsheetml.customProperty"/>
  <Override PartName="/xl/drawings/drawing16.xml" ContentType="application/vnd.openxmlformats-officedocument.drawing+xml"/>
  <Override PartName="/xl/customProperty17.bin" ContentType="application/vnd.openxmlformats-officedocument.spreadsheetml.customProperty"/>
  <Override PartName="/xl/drawings/drawing17.xml" ContentType="application/vnd.openxmlformats-officedocument.drawing+xml"/>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drawings/drawing18.xml" ContentType="application/vnd.openxmlformats-officedocument.drawing+xml"/>
  <Override PartName="/xl/customProperty21.bin" ContentType="application/vnd.openxmlformats-officedocument.spreadsheetml.customProperty"/>
  <Override PartName="/xl/drawings/drawing19.xml" ContentType="application/vnd.openxmlformats-officedocument.drawing+xml"/>
  <Override PartName="/xl/customProperty22.bin" ContentType="application/vnd.openxmlformats-officedocument.spreadsheetml.customProperty"/>
  <Override PartName="/xl/drawings/drawing20.xml" ContentType="application/vnd.openxmlformats-officedocument.drawing+xml"/>
  <Override PartName="/xl/customProperty23.bin" ContentType="application/vnd.openxmlformats-officedocument.spreadsheetml.customProperty"/>
  <Override PartName="/xl/drawings/drawing21.xml" ContentType="application/vnd.openxmlformats-officedocument.drawing+xml"/>
  <Override PartName="/xl/customProperty24.bin" ContentType="application/vnd.openxmlformats-officedocument.spreadsheetml.customProperty"/>
  <Override PartName="/xl/drawings/drawing22.xml" ContentType="application/vnd.openxmlformats-officedocument.drawing+xml"/>
  <Override PartName="/xl/customProperty25.bin" ContentType="application/vnd.openxmlformats-officedocument.spreadsheetml.customProperty"/>
  <Override PartName="/xl/drawings/drawing23.xml" ContentType="application/vnd.openxmlformats-officedocument.drawing+xml"/>
  <Override PartName="/xl/customProperty26.bin" ContentType="application/vnd.openxmlformats-officedocument.spreadsheetml.customProperty"/>
  <Override PartName="/xl/drawings/drawing24.xml" ContentType="application/vnd.openxmlformats-officedocument.drawing+xml"/>
  <Override PartName="/xl/customProperty27.bin" ContentType="application/vnd.openxmlformats-officedocument.spreadsheetml.customProperty"/>
  <Override PartName="/xl/drawings/drawing25.xml" ContentType="application/vnd.openxmlformats-officedocument.drawing+xml"/>
  <Override PartName="/xl/customProperty28.bin" ContentType="application/vnd.openxmlformats-officedocument.spreadsheetml.customProperty"/>
  <Override PartName="/xl/drawings/drawing26.xml" ContentType="application/vnd.openxmlformats-officedocument.drawing+xml"/>
  <Override PartName="/xl/customProperty29.bin" ContentType="application/vnd.openxmlformats-officedocument.spreadsheetml.customProperty"/>
  <Override PartName="/xl/drawings/drawing27.xml" ContentType="application/vnd.openxmlformats-officedocument.drawing+xml"/>
  <Override PartName="/xl/customProperty30.bin" ContentType="application/vnd.openxmlformats-officedocument.spreadsheetml.customProperty"/>
  <Override PartName="/xl/customProperty31.bin" ContentType="application/vnd.openxmlformats-officedocument.spreadsheetml.customProperty"/>
  <Override PartName="/xl/drawings/drawing28.xml" ContentType="application/vnd.openxmlformats-officedocument.drawing+xml"/>
  <Override PartName="/xl/customProperty32.bin" ContentType="application/vnd.openxmlformats-officedocument.spreadsheetml.customProperty"/>
  <Override PartName="/xl/drawings/drawing29.xml" ContentType="application/vnd.openxmlformats-officedocument.drawing+xml"/>
  <Override PartName="/xl/customProperty33.bin" ContentType="application/vnd.openxmlformats-officedocument.spreadsheetml.customProperty"/>
  <Override PartName="/xl/drawings/drawing30.xml" ContentType="application/vnd.openxmlformats-officedocument.drawing+xml"/>
  <Override PartName="/xl/customProperty34.bin" ContentType="application/vnd.openxmlformats-officedocument.spreadsheetml.customProperty"/>
  <Override PartName="/xl/drawings/drawing31.xml" ContentType="application/vnd.openxmlformats-officedocument.drawing+xml"/>
  <Override PartName="/xl/customProperty35.bin" ContentType="application/vnd.openxmlformats-officedocument.spreadsheetml.customProperty"/>
  <Override PartName="/xl/drawings/drawing32.xml" ContentType="application/vnd.openxmlformats-officedocument.drawing+xml"/>
  <Override PartName="/xl/customProperty36.bin" ContentType="application/vnd.openxmlformats-officedocument.spreadsheetml.customProperty"/>
  <Override PartName="/xl/drawings/drawing33.xml" ContentType="application/vnd.openxmlformats-officedocument.drawing+xml"/>
  <Override PartName="/xl/customProperty37.bin" ContentType="application/vnd.openxmlformats-officedocument.spreadsheetml.customProperty"/>
  <Override PartName="/xl/drawings/drawing34.xml" ContentType="application/vnd.openxmlformats-officedocument.drawing+xml"/>
  <Override PartName="/xl/customProperty38.bin" ContentType="application/vnd.openxmlformats-officedocument.spreadsheetml.customProperty"/>
  <Override PartName="/xl/drawings/drawing35.xml" ContentType="application/vnd.openxmlformats-officedocument.drawing+xml"/>
  <Override PartName="/xl/customProperty39.bin" ContentType="application/vnd.openxmlformats-officedocument.spreadsheetml.customProperty"/>
  <Override PartName="/xl/drawings/drawing36.xml" ContentType="application/vnd.openxmlformats-officedocument.drawing+xml"/>
  <Override PartName="/xl/customProperty40.bin" ContentType="application/vnd.openxmlformats-officedocument.spreadsheetml.customProperty"/>
  <Override PartName="/xl/drawings/drawing37.xml" ContentType="application/vnd.openxmlformats-officedocument.drawing+xml"/>
  <Override PartName="/xl/customProperty41.bin" ContentType="application/vnd.openxmlformats-officedocument.spreadsheetml.customProperty"/>
  <Override PartName="/xl/drawings/drawing38.xml" ContentType="application/vnd.openxmlformats-officedocument.drawing+xml"/>
  <Override PartName="/xl/customProperty42.bin" ContentType="application/vnd.openxmlformats-officedocument.spreadsheetml.customProperty"/>
  <Override PartName="/xl/drawings/drawing39.xml" ContentType="application/vnd.openxmlformats-officedocument.drawing+xml"/>
  <Override PartName="/xl/customProperty43.bin" ContentType="application/vnd.openxmlformats-officedocument.spreadsheetml.customProperty"/>
  <Override PartName="/xl/drawings/drawing40.xml" ContentType="application/vnd.openxmlformats-officedocument.drawing+xml"/>
  <Override PartName="/xl/drawings/drawing41.xml" ContentType="application/vnd.openxmlformats-officedocument.drawing+xml"/>
  <Override PartName="/xl/customProperty44.bin" ContentType="application/vnd.openxmlformats-officedocument.spreadsheetml.customProperty"/>
  <Override PartName="/xl/customProperty45.bin" ContentType="application/vnd.openxmlformats-officedocument.spreadsheetml.customProperty"/>
  <Override PartName="/xl/customProperty46.bin" ContentType="application/vnd.openxmlformats-officedocument.spreadsheetml.customProperty"/>
  <Override PartName="/xl/customProperty47.bin" ContentType="application/vnd.openxmlformats-officedocument.spreadsheetml.customProperty"/>
  <Override PartName="/xl/customProperty48.bin" ContentType="application/vnd.openxmlformats-officedocument.spreadsheetml.customProperty"/>
  <Override PartName="/xl/drawings/drawing42.xml" ContentType="application/vnd.openxmlformats-officedocument.drawing+xml"/>
  <Override PartName="/xl/customProperty49.bin" ContentType="application/vnd.openxmlformats-officedocument.spreadsheetml.customProperty"/>
  <Override PartName="/xl/customProperty50.bin" ContentType="application/vnd.openxmlformats-officedocument.spreadsheetml.customProperty"/>
  <Override PartName="/xl/drawings/drawing43.xml" ContentType="application/vnd.openxmlformats-officedocument.drawing+xml"/>
  <Override PartName="/xl/customProperty51.bin" ContentType="application/vnd.openxmlformats-officedocument.spreadsheetml.customProperty"/>
  <Override PartName="/xl/customProperty52.bin" ContentType="application/vnd.openxmlformats-officedocument.spreadsheetml.customProperty"/>
  <Override PartName="/xl/customProperty53.bin" ContentType="application/vnd.openxmlformats-officedocument.spreadsheetml.customProperty"/>
  <Override PartName="/xl/customProperty54.bin" ContentType="application/vnd.openxmlformats-officedocument.spreadsheetml.customProperty"/>
  <Override PartName="/xl/drawings/drawing44.xml" ContentType="application/vnd.openxmlformats-officedocument.drawing+xml"/>
  <Override PartName="/xl/customProperty55.bin" ContentType="application/vnd.openxmlformats-officedocument.spreadsheetml.customProperty"/>
  <Override PartName="/xl/drawings/drawing45.xml" ContentType="application/vnd.openxmlformats-officedocument.drawing+xml"/>
  <Override PartName="/xl/customProperty56.bin" ContentType="application/vnd.openxmlformats-officedocument.spreadsheetml.customProperty"/>
  <Override PartName="/xl/drawings/drawing46.xml" ContentType="application/vnd.openxmlformats-officedocument.drawing+xml"/>
  <Override PartName="/xl/media/image19.bin" ContentType="image/png"/>
  <Override PartName="/xl/customProperty57.bin" ContentType="application/vnd.openxmlformats-officedocument.spreadsheetml.customProperty"/>
  <Override PartName="/xl/customProperty58.bin" ContentType="application/vnd.openxmlformats-officedocument.spreadsheetml.customProperty"/>
  <Override PartName="/xl/drawings/drawing47.xml" ContentType="application/vnd.openxmlformats-officedocument.drawing+xml"/>
  <Override PartName="/xl/customProperty59.bin" ContentType="application/vnd.openxmlformats-officedocument.spreadsheetml.customProperty"/>
  <Override PartName="/xl/customProperty60.bin" ContentType="application/vnd.openxmlformats-officedocument.spreadsheetml.customProperty"/>
  <Override PartName="/xl/drawings/drawing48.xml" ContentType="application/vnd.openxmlformats-officedocument.drawing+xml"/>
  <Override PartName="/xl/customProperty61.bin" ContentType="application/vnd.openxmlformats-officedocument.spreadsheetml.customProperty"/>
  <Override PartName="/xl/drawings/drawing49.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ustomProperty62.bin" ContentType="application/vnd.openxmlformats-officedocument.spreadsheetml.customProperty"/>
  <Override PartName="/xl/drawings/drawing5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anheuserbuschinbev-my.sharepoint.com/personal/narendhrakumar_murugan_ab-inbev_com/Documents/GAC/PET/Data/Supplier Sheets/"/>
    </mc:Choice>
  </mc:AlternateContent>
  <xr:revisionPtr revIDLastSave="182" documentId="8_{6D3AC22A-273B-4EF9-B272-16FDD7A2E71A}" xr6:coauthVersionLast="47" xr6:coauthVersionMax="47" xr10:uidLastSave="{C839B969-F51B-4ACF-9D84-264012F38724}"/>
  <bookViews>
    <workbookView xWindow="-110" yWindow="-110" windowWidth="19420" windowHeight="11500" tabRatio="908" firstSheet="30" activeTab="45" xr2:uid="{00000000-000D-0000-FFFF-FFFF00000000}"/>
  </bookViews>
  <sheets>
    <sheet name="ICIS Price Forecast" sheetId="81" r:id="rId1"/>
    <sheet name="Resina" sheetId="2" r:id="rId2"/>
    <sheet name="Sep17" sheetId="3" state="hidden" r:id="rId3"/>
    <sheet name="Oct17" sheetId="4" state="hidden" r:id="rId4"/>
    <sheet name="Nov17" sheetId="5" state="hidden" r:id="rId5"/>
    <sheet name="Dic17" sheetId="7" state="hidden" r:id="rId6"/>
    <sheet name="Ene18" sheetId="8" state="hidden" r:id="rId7"/>
    <sheet name="Feb18" sheetId="9" state="hidden" r:id="rId8"/>
    <sheet name="Mar18" sheetId="10" state="hidden" r:id="rId9"/>
    <sheet name="Abril18" sheetId="11" state="hidden" r:id="rId10"/>
    <sheet name="Mayo18" sheetId="12" state="hidden" r:id="rId11"/>
    <sheet name="Junio18" sheetId="13" state="hidden" r:id="rId12"/>
    <sheet name="Julio18" sheetId="14" state="hidden" r:id="rId13"/>
    <sheet name="Agosto18" sheetId="15" state="hidden" r:id="rId14"/>
    <sheet name="Septiembre18" sheetId="18" state="hidden" r:id="rId15"/>
    <sheet name="Octubre18" sheetId="19" state="hidden" r:id="rId16"/>
    <sheet name="Noviembre18" sheetId="20" state="hidden" r:id="rId17"/>
    <sheet name="Diciembre18" sheetId="21" state="hidden" r:id="rId18"/>
    <sheet name="Precios facturados" sheetId="6" r:id="rId19"/>
    <sheet name="IHS (Mod)" sheetId="17" r:id="rId20"/>
    <sheet name="Enero19" sheetId="22" state="hidden" r:id="rId21"/>
    <sheet name="Feb19" sheetId="23" state="hidden" r:id="rId22"/>
    <sheet name="Marzo19" sheetId="25" state="hidden" r:id="rId23"/>
    <sheet name="Abril19" sheetId="26" state="hidden" r:id="rId24"/>
    <sheet name="May19" sheetId="27" state="hidden" r:id="rId25"/>
    <sheet name="Jun19" sheetId="28" state="hidden" r:id="rId26"/>
    <sheet name="Jul19" sheetId="29" state="hidden" r:id="rId27"/>
    <sheet name="Ago19" sheetId="30" state="hidden" r:id="rId28"/>
    <sheet name="Sep19 (2)" sheetId="33" state="hidden" r:id="rId29"/>
    <sheet name="Sep19" sheetId="32" state="hidden" r:id="rId30"/>
    <sheet name="Ejercicio costo PCR" sheetId="31" r:id="rId31"/>
    <sheet name="Oct19" sheetId="34" state="hidden" r:id="rId32"/>
    <sheet name="Mayo20 (2)" sheetId="43" state="hidden" r:id="rId33"/>
    <sheet name="Nov19" sheetId="35" state="hidden" r:id="rId34"/>
    <sheet name="Dic19" sheetId="36" state="hidden" r:id="rId35"/>
    <sheet name="Ene20" sheetId="37" state="hidden" r:id="rId36"/>
    <sheet name="Feb20" sheetId="38" state="hidden" r:id="rId37"/>
    <sheet name="Mar20" sheetId="39" state="hidden" r:id="rId38"/>
    <sheet name="Abril20" sheetId="40" state="hidden" r:id="rId39"/>
    <sheet name="Mayo20" sheetId="41" state="hidden" r:id="rId40"/>
    <sheet name="Junio20" sheetId="44" state="hidden" r:id="rId41"/>
    <sheet name="Julio20" sheetId="45" state="hidden" r:id="rId42"/>
    <sheet name="Agost20" sheetId="46" state="hidden" r:id="rId43"/>
    <sheet name="Septiembre" sheetId="50" state="hidden" r:id="rId44"/>
    <sheet name="Amcor - Ecudor" sheetId="79" r:id="rId45"/>
    <sheet name="Formula Virgen May_Esti" sheetId="80" r:id="rId46"/>
    <sheet name="Formula Virgen" sheetId="59" r:id="rId47"/>
    <sheet name="Abril 2026" sheetId="51" r:id="rId48"/>
    <sheet name="Propuesta Ecuador 2023" sheetId="74" r:id="rId49"/>
    <sheet name="Base 2024" sheetId="69" state="hidden" r:id="rId50"/>
    <sheet name="Soportes 2024" sheetId="68" state="hidden" r:id="rId51"/>
    <sheet name="Sheet1" sheetId="66" state="hidden" r:id="rId52"/>
    <sheet name="IHS PCR" sheetId="49" state="hidden" r:id="rId53"/>
    <sheet name="ICIS PCR" sheetId="53" state="hidden" r:id="rId54"/>
    <sheet name="Formula PCR" sheetId="61" r:id="rId55"/>
    <sheet name="ICIS WC 24" sheetId="64" r:id="rId56"/>
    <sheet name="Contrato" sheetId="58" state="hidden" r:id="rId57"/>
    <sheet name="SORF" sheetId="62" r:id="rId58"/>
    <sheet name="ICIS " sheetId="63" r:id="rId59"/>
    <sheet name="ICIS -1" sheetId="75" r:id="rId60"/>
    <sheet name="Soportes" sheetId="76" state="hidden" r:id="rId61"/>
    <sheet name="NC " sheetId="78" state="hidden" r:id="rId62"/>
    <sheet name="FIFO" sheetId="71" r:id="rId63"/>
    <sheet name="EE" sheetId="73" state="hidden" r:id="rId64"/>
    <sheet name="Hoja1" sheetId="57" state="hidden" r:id="rId65"/>
  </sheets>
  <externalReferences>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s>
  <definedNames>
    <definedName name="\P">#REF!</definedName>
    <definedName name="_________CTM1">#REF!</definedName>
    <definedName name="_________CTM2">#REF!</definedName>
    <definedName name="_________CTM3">#REF!</definedName>
    <definedName name="_________CTM4">#REF!</definedName>
    <definedName name="________CTM1">#REF!</definedName>
    <definedName name="________CTM2">#REF!</definedName>
    <definedName name="________CTM3">#REF!</definedName>
    <definedName name="________CTM4">#REF!</definedName>
    <definedName name="_______CTM1">#REF!</definedName>
    <definedName name="_______CTM2">#REF!</definedName>
    <definedName name="_______CTM3">#REF!</definedName>
    <definedName name="_______CTM4">#REF!</definedName>
    <definedName name="______CTM1">#REF!</definedName>
    <definedName name="______CTM2">#REF!</definedName>
    <definedName name="______CTM3">#REF!</definedName>
    <definedName name="______CTM4">#REF!</definedName>
    <definedName name="_____CTM1">#REF!</definedName>
    <definedName name="_____CTM2">#REF!</definedName>
    <definedName name="_____CTM3">#REF!</definedName>
    <definedName name="_____CTM4">#REF!</definedName>
    <definedName name="_____pag2">#REF!</definedName>
    <definedName name="_____pag3">#REF!</definedName>
    <definedName name="____CTM1">#REF!</definedName>
    <definedName name="____CTM2">#REF!</definedName>
    <definedName name="____CTM3">#REF!</definedName>
    <definedName name="____CTM4">#REF!</definedName>
    <definedName name="____pag2">#REF!</definedName>
    <definedName name="____pag3">#REF!</definedName>
    <definedName name="___CTM1">#REF!</definedName>
    <definedName name="___CTM2">#REF!</definedName>
    <definedName name="___CTM3">#REF!</definedName>
    <definedName name="___CTM4">#REF!</definedName>
    <definedName name="___pag2">#REF!</definedName>
    <definedName name="___pag3">#REF!</definedName>
    <definedName name="__CTM1">#REF!</definedName>
    <definedName name="__CTM2">#REF!</definedName>
    <definedName name="__CTM3">#REF!</definedName>
    <definedName name="__CTM4">#REF!</definedName>
    <definedName name="__pag2">#REF!</definedName>
    <definedName name="__pag3">#REF!</definedName>
    <definedName name="_38LINE">#REF!</definedName>
    <definedName name="_4LINEADJ">#REF!</definedName>
    <definedName name="_94BPRICE">#REF!</definedName>
    <definedName name="_CTM1">#REF!</definedName>
    <definedName name="_CTM2">#REF!</definedName>
    <definedName name="_CTM3">#REF!</definedName>
    <definedName name="_CTM4">#REF!</definedName>
    <definedName name="_Fill" hidden="1">#REF!</definedName>
    <definedName name="_xlnm._FilterDatabase" localSheetId="52" hidden="1">'IHS PCR'!$B$10:$X$29</definedName>
    <definedName name="_Key1" hidden="1">#REF!</definedName>
    <definedName name="_MAG1" localSheetId="0">'[1]Mag 1'!$E$2:$E$208</definedName>
    <definedName name="_MAG1">#REF!</definedName>
    <definedName name="_MAG2" localSheetId="0">'[1]Mag 2'!$E$82:$E$208</definedName>
    <definedName name="_MAG2">#REF!</definedName>
    <definedName name="_MAG3" localSheetId="0">'[1]Mag 3'!$E$4:$E$208</definedName>
    <definedName name="_MAG3">#REF!</definedName>
    <definedName name="_MAG4" localSheetId="0">'[1]Mag 4'!$E$4:$E$208</definedName>
    <definedName name="_MAG4">#REF!</definedName>
    <definedName name="_MOR2">#REF!</definedName>
    <definedName name="_MOR3" hidden="1">#REF!</definedName>
    <definedName name="_MOR4" hidden="1">#REF!</definedName>
    <definedName name="_MOR5" hidden="1">#REF!</definedName>
    <definedName name="_MOR6">#REF!</definedName>
    <definedName name="_MOR8">#REF!</definedName>
    <definedName name="_Order1" hidden="1">255</definedName>
    <definedName name="_Order2" hidden="1">255</definedName>
    <definedName name="_pag2">#REF!</definedName>
    <definedName name="_pag3">#REF!</definedName>
    <definedName name="_Sort" hidden="1">#REF!</definedName>
    <definedName name="_top10" hidden="1">#REF!</definedName>
    <definedName name="a" hidden="1">#REF!</definedName>
    <definedName name="AA">#REF!</definedName>
    <definedName name="ACC">#REF!</definedName>
    <definedName name="ACT">#REF!</definedName>
    <definedName name="ActYTD">#REF!</definedName>
    <definedName name="AFPISR">#REF!</definedName>
    <definedName name="ANNUAL_CAPACITY">#REF!</definedName>
    <definedName name="Año" localSheetId="0">[2]Hoja1!$L$2:$L$42</definedName>
    <definedName name="Año">#REF!</definedName>
    <definedName name="APP">#REF!</definedName>
    <definedName name="Application_Name" localSheetId="0">[3]Admin!$B$16</definedName>
    <definedName name="Application_Name">#REF!</definedName>
    <definedName name="Approval" localSheetId="0">[4]Control!$D$25:$D$26</definedName>
    <definedName name="Approval">#REF!</definedName>
    <definedName name="AQPMIX" localSheetId="0">'[5]AQP 97'!#REF!</definedName>
    <definedName name="AQPMIX">#REF!</definedName>
    <definedName name="area" localSheetId="0">[6]Sheet3!$C$4:$C$10</definedName>
    <definedName name="area">#REF!</definedName>
    <definedName name="arrrrr" localSheetId="0" hidden="1">{"RA_1",#N/A,FALSE,"RF Att";"RA_2",#N/A,FALSE,"RF Att";"RA_2.1",#N/A,FALSE,"RF Att"}</definedName>
    <definedName name="arrrrr" hidden="1">{"RA_1",#N/A,FALSE,"RF Att";"RA_2",#N/A,FALSE,"RF Att";"RA_2.1",#N/A,FALSE,"RF Att"}</definedName>
    <definedName name="ASFQAD">#REF!</definedName>
    <definedName name="ASSETCAP">#REF!</definedName>
    <definedName name="ASSUMPTIONS">#REF!</definedName>
    <definedName name="AVGMTH_USD" localSheetId="0">'[7]HQ Control'!$B$55</definedName>
    <definedName name="AVGMTH_USD">#REF!</definedName>
    <definedName name="BALANCE_SHEET">#REF!</definedName>
    <definedName name="BALASSUME">#REF!</definedName>
    <definedName name="BASEDATOS" localSheetId="0">OFFSET('[8]Base Datos'!$B:$B,0,0,COUNTA('[8]Base Datos'!$B:$B),COUNTA('[8]Base Datos'!$2:$2))</definedName>
    <definedName name="BASEDATOS">OFFSET(#REF!,0,0,COUNTA(#REF!),COUNTA(#REF!))</definedName>
    <definedName name="BD_Diarios">#REF!</definedName>
    <definedName name="BEx0041RNVGGN8SKGQTWHTVAGKBV" hidden="1">#REF!</definedName>
    <definedName name="BEx00J6L4N3WDFUWI1GNCD89U2A5" hidden="1">#REF!</definedName>
    <definedName name="BEx00U9SHQ0NHO9GPJITAMG5T4E9" hidden="1">#REF!</definedName>
    <definedName name="BEx01049R9ZE3WM0TJWIDL7I2AO5" hidden="1">#REF!</definedName>
    <definedName name="BEx01T1EVAEW9BLAP4L6II4G6OC4" hidden="1">#REF!</definedName>
    <definedName name="BEx01X35DZBL50I19K4ZSW4F1ESH" hidden="1">#REF!</definedName>
    <definedName name="BEx040GNGACOQI5MY5X2NE42ZWDU" hidden="1">#REF!</definedName>
    <definedName name="BEx1GACQL91IG43LSU6M1F2TWPZN" hidden="1">#REF!</definedName>
    <definedName name="BEx1GB92OWY6P3B3Z6EYFUUWMITG" hidden="1">#REF!</definedName>
    <definedName name="BEx1HGM2TBFL6UBVA6E4PKNSPI96" hidden="1">#REF!</definedName>
    <definedName name="BEx1I38LBZSH2UZJIZXAE5XOUU55" hidden="1">#REF!</definedName>
    <definedName name="BEx1KCWQ445PDI0YUBIXZBK5EWCP" hidden="1">#REF!</definedName>
    <definedName name="BEx1M3JJGKF1YALMTNWMK99YH9FT" hidden="1">#REF!</definedName>
    <definedName name="BEx1MEBZTWO6XAWNC9Z6T7VUC26Q" hidden="1">#REF!</definedName>
    <definedName name="BEx1MMQ3H3E9MBH330J6MD3EP8AD" hidden="1">#REF!</definedName>
    <definedName name="BEx1N0IFWPSL686RSLZTZA4KIY2A" hidden="1">#REF!</definedName>
    <definedName name="BEx1NFCG8AI9NXWO5ROKI6DYZP77" hidden="1">#REF!</definedName>
    <definedName name="BEx1NT4RIIP1DMELF4Z1FL5857FC" hidden="1">#REF!</definedName>
    <definedName name="BEx1O0MGQM4TJHAG3V5X3GKUUAYF" hidden="1">#REF!</definedName>
    <definedName name="BEx1O0XA02OXBEY6AAS94L6P1KSR" hidden="1">#REF!</definedName>
    <definedName name="BEx1P4S5Y4X1AG5YL9DS164978PB" hidden="1">#REF!</definedName>
    <definedName name="BEx1PR415U01RF514LC24LSXZ46E" hidden="1">#REF!</definedName>
    <definedName name="BEx1PXUPD5XRUU2SPVGZCRNTWS98" hidden="1">#REF!</definedName>
    <definedName name="BEx1QIU02UKQDRQO4JFJQTQPA9M2" hidden="1">#REF!</definedName>
    <definedName name="BEx1QOTTD8A7ZISZKTC3BOOVKWEN" hidden="1">#REF!</definedName>
    <definedName name="BEx1QYPUX6MF45RLF3WETZ926DJW" hidden="1">#REF!</definedName>
    <definedName name="BEx1R02C8KNH9YXA8P430NC2J4P0" hidden="1">#REF!</definedName>
    <definedName name="BEx1S0MOOGSSYT24R5GZFG5GMGFR" hidden="1">#REF!</definedName>
    <definedName name="BEx1T7SCX7KK0ROG334AKM67Y8WU" hidden="1">#REF!</definedName>
    <definedName name="BEx1TNTKITTEKOJ5Q0RUF0799ZGD" hidden="1">#REF!</definedName>
    <definedName name="BEx1UR2V405DAD2Z6NEBP3D42EYX" hidden="1">#REF!</definedName>
    <definedName name="BEx1VQQSB5BKTBE7EAFXSN31CNVX" hidden="1">#REF!</definedName>
    <definedName name="BEx1W8FDLOFGE28JXY6J54MICRMP" hidden="1">#REF!</definedName>
    <definedName name="BEx1WDO53ZG95BCDDJH20QVTZIEM" hidden="1">#REF!</definedName>
    <definedName name="BEx1WU09CIHOI0L84XXCKC501H1F" hidden="1">#REF!</definedName>
    <definedName name="BEx1X3QU07GK7I7KLROCFBELK7NH" hidden="1">#REF!</definedName>
    <definedName name="BEx1XN86QZPXEC2550TP8XT6SWZX" hidden="1">#REF!</definedName>
    <definedName name="BEx1YKHSW5HDSZLEI6ETN0XC509V" hidden="1">#REF!</definedName>
    <definedName name="BEx3085IKWARA6NCJOLRBRJFMEWW1" hidden="1">#REF!</definedName>
    <definedName name="BEx3C5ACPKV4XIAY0LO077TCRNLJ" hidden="1">#REF!</definedName>
    <definedName name="BEx3CBKXPIN2XM7QJNI7O0MB70AR" hidden="1">#REF!</definedName>
    <definedName name="BEx3D35KVB55GTY44YX4O9YGEVQI" hidden="1">#REF!</definedName>
    <definedName name="BEx3E22INXU2VKWET4AVSBR8WAD6" hidden="1">#REF!</definedName>
    <definedName name="BEx3EQY1DLE7G1BN4GY27QI7C7L8" hidden="1">#REF!</definedName>
    <definedName name="BEx3FG4DPAPTA9PM2Q6BMWI6BIHV" hidden="1">#REF!</definedName>
    <definedName name="BEx3G7JJTHVF4MLZMKET3CUT2VEE" hidden="1">#REF!</definedName>
    <definedName name="BEx3G8FY85SUKO01ZJQZYO51EA75" hidden="1">#REF!</definedName>
    <definedName name="BEx3GDZH5KHUU0C7RY1PDVGKTH8E" hidden="1">#REF!</definedName>
    <definedName name="BEx3GQ9V1DONRHIKU8HGIPUP1EGT" hidden="1">#REF!</definedName>
    <definedName name="BEx3HFG6LK44XBCK36TOS0ZUC8N9" hidden="1">#REF!</definedName>
    <definedName name="BEx3IMLPLFDY04Z6ON69TCWA33TL" hidden="1">#REF!</definedName>
    <definedName name="BEx3IWN8YPN2XHSCISQB9608ZLOD" hidden="1">#REF!</definedName>
    <definedName name="BEx3J2XUDDF0SSPYVBJC3N2BVRNR" hidden="1">#REF!</definedName>
    <definedName name="BEx3JWB8EIB42E4QPNP0F6ZKJHSM" hidden="1">#REF!</definedName>
    <definedName name="BEx3JZAXL8KNT6BS2DKSBQW8WFTT" hidden="1">#REF!</definedName>
    <definedName name="BEx3L9WT886UPC0M8AH5Y82YAB1H" hidden="1">#REF!</definedName>
    <definedName name="BEx3LRQPBEYUQ8NMLL8AOZ2SXLOI" hidden="1">#REF!</definedName>
    <definedName name="BEx3MW1VHR8JIAS5J58XQ0CC4L8U" hidden="1">#REF!</definedName>
    <definedName name="BEx3N51IHA88UXRPEENI44P0KP7U" hidden="1">#REF!</definedName>
    <definedName name="BEx3N7FW0O3BI5FG5H3TN8ESSC61" hidden="1">#REF!</definedName>
    <definedName name="BEx3N7VYL8CCBFTRFOA6W3BWAQJ0" hidden="1">#REF!</definedName>
    <definedName name="BEx3O85IKWARA6NCJOLRBRJFMEWW" hidden="1">#REF!</definedName>
    <definedName name="BEx3OK5349EJ2XRYXV7W13YG9FSL" hidden="1">#REF!</definedName>
    <definedName name="BEx3OSDPC76YELEXOE4HPHR08Z63" hidden="1">#REF!</definedName>
    <definedName name="BEx3P54EFPJ9XERKXPZGLNSLQXCN" hidden="1">#REF!</definedName>
    <definedName name="BEx3PH99MLZU1LB38QDL3NELDJBG" hidden="1">#REF!</definedName>
    <definedName name="BEx3PPNDD7L6SUISGSI2D375NSCH" hidden="1">#REF!</definedName>
    <definedName name="BEx3PQZZ6L9TOCDKNGIDPO8Y2G54" hidden="1">#REF!</definedName>
    <definedName name="BEx3Q3QHHJB3PUJIXDIL8G6EHCRE" hidden="1">#REF!</definedName>
    <definedName name="BEx3Q9QA35ZVN9VVHN81BBIVN881" hidden="1">#REF!</definedName>
    <definedName name="BEx3QD0XYUEL1G6J200V2STCORG5" hidden="1">#REF!</definedName>
    <definedName name="BEx3QH2K40ZZFYJES4QCRY78Q560" hidden="1">#REF!</definedName>
    <definedName name="BEx3RSFBB83TAKX7N3F394TT3RW4" hidden="1">#REF!</definedName>
    <definedName name="BEx3S2WXUEQA8PLX4U6G9LJB63ZN" hidden="1">#REF!</definedName>
    <definedName name="BEx3SL1NUYCLQWKW8EFSFZGONHKE" hidden="1">#REF!</definedName>
    <definedName name="BEx3ST4Y5OZXSIK7V846SMFT5B23" hidden="1">#REF!</definedName>
    <definedName name="BEx3SWQG9ED1M1Q5D63K0HZ15GQG" hidden="1">#REF!</definedName>
    <definedName name="BEx3TEPSM88IET8PDLKKCHMFEMFM" hidden="1">#REF!</definedName>
    <definedName name="BEx3TO09F9SV99SJXCUC1B49RVCJ" hidden="1">#REF!</definedName>
    <definedName name="BEx3TXG47ZBKMYPF3VVWYHVTEIWT" hidden="1">#REF!</definedName>
    <definedName name="BEx3UJBQWUJW9KX0PXKZ4TRHMR71" hidden="1">#REF!</definedName>
    <definedName name="BEx3V6EJO8BG91O9M5DVBLNPDBKG" hidden="1">#REF!</definedName>
    <definedName name="BEx3VNHJY90Y2ADPLJ9XL3XRVJ0C" hidden="1">#REF!</definedName>
    <definedName name="BEx5802QAJKNHFBFPTR0PSRHQPJE" hidden="1">#REF!</definedName>
    <definedName name="BEx5906TJX9THIW1ETRVRBR1RL1X" hidden="1">#REF!</definedName>
    <definedName name="BEx591ZJ14LAJI4Q8DU3CQQBHZDV" hidden="1">#REF!</definedName>
    <definedName name="BEx59WPJZYWUOEGJHPOVM5ETCM6G" hidden="1">#REF!</definedName>
    <definedName name="BEx5A53I4OI80LV9DRIR9EFD2XUD" hidden="1">#REF!</definedName>
    <definedName name="BEx5ACAHJPLAS35SPSXQ88PJYGPI" hidden="1">#REF!</definedName>
    <definedName name="BEx5ANDOOW91YBCYUL4H4JOJKCSS" hidden="1">#REF!</definedName>
    <definedName name="BEx5ARQ6V82KDMN77WT0B1AK7B5S" hidden="1">#REF!</definedName>
    <definedName name="BEx5BQN48A0P0HALA6YWGQLFIY7R" hidden="1">#REF!</definedName>
    <definedName name="BEx5CNR9ZYFH7VDST1YKR6JOAOVD" hidden="1">#REF!</definedName>
    <definedName name="BEx5CQR6PPHZ1S1UI8J4XM1TRDYC" hidden="1">#REF!</definedName>
    <definedName name="BEx5D5536MTF5S6B42FBV21GSOR7" hidden="1">#REF!</definedName>
    <definedName name="BEx5DX5UA290Y6L069VPC79NY6JH" hidden="1">#REF!</definedName>
    <definedName name="BEx5EZ2ORDJQSTT4KQMZALOFR80B" hidden="1">#REF!</definedName>
    <definedName name="BEx5FGR7YST9UWW32VFER0W4LEF2" hidden="1">#REF!</definedName>
    <definedName name="BEx5FSW55LVAZI956T9XU4KIBELE" hidden="1">#REF!</definedName>
    <definedName name="BEx5FTCEIIRM9OOPXK6PB2KJSLTA" hidden="1">#REF!</definedName>
    <definedName name="BEx5G8H70AOIQNK90C2VU5BAF8TV" hidden="1">#REF!</definedName>
    <definedName name="BEx5GE66YNPSS5MSPTBXLYLNUHSJ" hidden="1">#REF!</definedName>
    <definedName name="BEx5GL2CVWMY3S947ALVPBQG1W21" hidden="1">#REF!</definedName>
    <definedName name="BEx5GT5PB17R2GKX3F4H7WWN4M94" hidden="1">#REF!</definedName>
    <definedName name="BEx5GZR2KDETMC7ZPNE1YU6YELWI" hidden="1">#REF!</definedName>
    <definedName name="BEx5H2WFSII73OJ41QGRAZ28JO53" hidden="1">#REF!</definedName>
    <definedName name="BEx5I3B4OHOD6SAPLK3PZDRO1GYC" hidden="1">#REF!</definedName>
    <definedName name="BEx5I4CZWURJPJZH95QO8E7MXFWV" hidden="1">#REF!</definedName>
    <definedName name="BEx5IMSLC54GPUCYLJQPPLGQM8WG" hidden="1">#REF!</definedName>
    <definedName name="BEx5JED2T9PRX3G6DW95UWQOM4MG" hidden="1">#REF!</definedName>
    <definedName name="BEx5JENVO7X0TBQGRMGKRTMFB470" hidden="1">#REF!</definedName>
    <definedName name="BEx5JP02DZ97IB62ITCKG1MMWBKN" hidden="1">#REF!</definedName>
    <definedName name="BEx5JR91NO6ECBKQUI7KBAUHVWQY" hidden="1">#REF!</definedName>
    <definedName name="BEx5JTHW7OW4QTNV5XZ3NC20LDLF" hidden="1">#REF!</definedName>
    <definedName name="BEx5K1AKPNBF18M8BS3MHI13PF7R" hidden="1">#REF!</definedName>
    <definedName name="BEx5K21HQCDNYPG2QWFOVS99PE4A" hidden="1">#REF!</definedName>
    <definedName name="BEx5KCJ4JCAHU2E4LCLVKFWL64CX" hidden="1">#REF!</definedName>
    <definedName name="BEx5KM9PJMIQFJSBANJO5FVW3Z28" hidden="1">#REF!</definedName>
    <definedName name="BEx5KOO1FHA4BJJBZGOZKTK8PRRN" hidden="1">#REF!</definedName>
    <definedName name="BEx5KRIL3PFC9PIM7NQWA09TEQWG" hidden="1">#REF!</definedName>
    <definedName name="BEx5LWQ2YRWKLHNPUOX7A77685LZ" hidden="1">#REF!</definedName>
    <definedName name="BEx5LYO5AGM9ICPKZBV7EN03XYO9" hidden="1">#REF!</definedName>
    <definedName name="BEx5M7T5JER9G2MLDH3G50GCW8PO" hidden="1">#REF!</definedName>
    <definedName name="BEx5MAIGJD3C3AO0RGLKRTEZBVUE" hidden="1">#REF!</definedName>
    <definedName name="BEx5MJSWQ04VS8WFHCZXYA7ZWU81" hidden="1">#REF!</definedName>
    <definedName name="BEx5MLQZM68YQSKARVWTTPINFQ2C" hidden="1">#REF!</definedName>
    <definedName name="BEx5NUEM24ZED9VYADF1LHA31YNV" hidden="1">#REF!</definedName>
    <definedName name="BEx5OHXI4R617RH4NY6VKOI4ZRA2" hidden="1">#REF!</definedName>
    <definedName name="BEx5OI8BNLQGLN7K2GY4U3ELQVUI" hidden="1">#REF!</definedName>
    <definedName name="BEx5OL87PVSZSDHUK8KZBXSXHK2L" hidden="1">#REF!</definedName>
    <definedName name="BEx5OXIKDIYQDT89AL1I005KPLFQ" hidden="1">#REF!</definedName>
    <definedName name="BEx5PHG040UB6SAJGMT6H4JLV2O8" hidden="1">#REF!</definedName>
    <definedName name="BEx5PYJ1M7KNW4566RAPKTK159HP" hidden="1">#REF!</definedName>
    <definedName name="BEx5QGT6ZJDVW73MNRC6IUML0GKF" hidden="1">#REF!</definedName>
    <definedName name="BEx746ZZ73QHTXKD87X7R3HKC2KM" hidden="1">#REF!</definedName>
    <definedName name="BEx74IZJLRUQ03RCK06W91H2260J" hidden="1">#REF!</definedName>
    <definedName name="BEx757V4HY4OAGXYAJGM7RJQE3NM" hidden="1">#REF!</definedName>
    <definedName name="BEx75BGL4B587TM29E78APZYJUTT" hidden="1">#REF!</definedName>
    <definedName name="BEx75MJT47XEWZSLZAG6IUOQKXIX" hidden="1">#REF!</definedName>
    <definedName name="BEx765A28KL05DU9PG2REPK40UX3" hidden="1">#REF!</definedName>
    <definedName name="BEx76V1XKGBEDZIV9DV1A2YV1JOI" hidden="1">#REF!</definedName>
    <definedName name="BEx77OQ625E4LSEXLQEMAZHPDMMC" hidden="1">#REF!</definedName>
    <definedName name="BEx78A5IYYCMR88AXOWEFKVY8371" hidden="1">#REF!</definedName>
    <definedName name="BEx78A5JAWI6EMCWJ7AJWGAH8AMJ" hidden="1">#REF!</definedName>
    <definedName name="BEx78NSKC3OQCQ4WQAIZ6JURE7GW" hidden="1">#REF!</definedName>
    <definedName name="BEx78OOPYID4QYC9KQ8TPDG220E4" hidden="1">#REF!</definedName>
    <definedName name="BEx79ERFUSJZ8MJGMGVCE2QQLL69" hidden="1">#REF!</definedName>
    <definedName name="BEx79HRD8NL9EMUOALME68ALFZYA" hidden="1">#REF!</definedName>
    <definedName name="BEx79YOUHTDD16ZGGUBH3JDBW1VZ" hidden="1">#REF!</definedName>
    <definedName name="BEx7AQV3PGI9EVX19Y61TNZWQD3Z" hidden="1">#REF!</definedName>
    <definedName name="BEx7ASYMO87QTI4OGS8RP4M3OLYE" hidden="1">#REF!</definedName>
    <definedName name="BEx7B11YDBMRZG7EYCKJUO3H1Y6F" hidden="1">#REF!</definedName>
    <definedName name="BEx7B3LKPGMDIE1WTF5ZO95GA2PN" hidden="1">#REF!</definedName>
    <definedName name="BEx7BIQJ5XHOJHZUAVG3KLP0T1HX" hidden="1">#REF!</definedName>
    <definedName name="BEx7DD4D7DAI5BN4L7AHWYB979CQ" hidden="1">#REF!</definedName>
    <definedName name="BEx7DUY9GQT85CKH4WAODRIT380W" hidden="1">#REF!</definedName>
    <definedName name="BEx7DXHVQ3XRVZ2H7QO8TYMIA4P9" hidden="1">#REF!</definedName>
    <definedName name="BEx7F3GG2FI10JUMINUOIYICFVD9" hidden="1">#REF!</definedName>
    <definedName name="BEx7F4NMGGTZWR8S7710RWGFG8W2" hidden="1">#REF!</definedName>
    <definedName name="BEx7FBJRLJUZKK1FVSCNP0F4GBYT" hidden="1">#REF!</definedName>
    <definedName name="BEx7FEJOQNYA7A6O7YB4SBB1KK73" hidden="1">#REF!</definedName>
    <definedName name="BEx7FIL87TXQSUJ03S7NBB9S4HA5" hidden="1">#REF!</definedName>
    <definedName name="BEx7FTOFOYQLDCCOJY1H3JHICFOI" hidden="1">#REF!</definedName>
    <definedName name="BEx7FVMORQ1N6SIECWJVJWT23E6Y" hidden="1">#REF!</definedName>
    <definedName name="BEx7FZ2NBD60FXGNYS120WYBTXA3" hidden="1">#REF!</definedName>
    <definedName name="BEx7GMG8RQ2YB3WVSLKZZZKKRMV0" hidden="1">#REF!</definedName>
    <definedName name="BEx7GQCIM1W1OR8EP7JKRMYGFHW2" hidden="1">#REF!</definedName>
    <definedName name="BEx7GSLEAEDT83F2LWWOC5ZLL5JW" hidden="1">#REF!</definedName>
    <definedName name="BEx7H6ZA84EDCYX9HQKE2VH03R77" hidden="1">#REF!</definedName>
    <definedName name="BEx7H7A3IND3XX895B1NI519TC8J" hidden="1">#REF!</definedName>
    <definedName name="BEx7HHRP6OIBN749NAR4JO512P36" hidden="1">#REF!</definedName>
    <definedName name="BEx7IJTYZHWYWQ1TQVKRC67VVT77" hidden="1">#REF!</definedName>
    <definedName name="BEx7IWV99LM4FB1AXIXRNLT7DZJM" hidden="1">#REF!</definedName>
    <definedName name="BEx7J9B4EOP8JPRQCUQJTYF4X0D6" hidden="1">#REF!</definedName>
    <definedName name="BEx7K0VL25LF11UTEBHWBIQ4JLM9" hidden="1">#REF!</definedName>
    <definedName name="BEx7L3DZH58ZUVXJY3QMJYM4KE2N" hidden="1">#REF!</definedName>
    <definedName name="BEx8ZY6UFM571XUE82FQZRNOKP90" hidden="1">#REF!</definedName>
    <definedName name="BEx90CVJHW2G83ZSI8F4ZSPTFSPI" hidden="1">#REF!</definedName>
    <definedName name="BEx91YKG5M0ZZDVWNGF80SPL8GUP" hidden="1">#REF!</definedName>
    <definedName name="BEx92DJXEXVC627QL1HYSV2VSHSS" hidden="1">#REF!</definedName>
    <definedName name="BEx935VHGQGAJAXJKSPCC6GC2KIE" hidden="1">#REF!</definedName>
    <definedName name="BEx93EF2OPUY92WSYH0W2RMHNX2M" hidden="1">#REF!</definedName>
    <definedName name="BEx94E8CBMGM9YP8Z0W8OWHAAZH1" hidden="1">#REF!</definedName>
    <definedName name="BEx95ZBPVBQBIU0LCXSH93UZK4VU" hidden="1">#REF!</definedName>
    <definedName name="BEx9706NFOGJWDFFOFDUAFC8NNTP" hidden="1">#REF!</definedName>
    <definedName name="BEx99995OO0X4HC0IQDAISYRWAJG" hidden="1">#REF!</definedName>
    <definedName name="BEx99GQX6WSI9BO2ANCR1TCI2PML" hidden="1">#REF!</definedName>
    <definedName name="BEx99YFJ8JDPEEEQRABGIA0M020Y" hidden="1">#REF!</definedName>
    <definedName name="BEx9A6O42JQ9S10LN2KZS5GW0FYE" hidden="1">#REF!</definedName>
    <definedName name="BEx9ADPRQZSMQBC5ZVK9Y67PRZBV" hidden="1">#REF!</definedName>
    <definedName name="BEx9AKWPNM58M88D1ZL7PKKW6ES3" hidden="1">#REF!</definedName>
    <definedName name="BEx9ARY7F2Q2JQT63RW0CEZQ1WDB" hidden="1">#REF!</definedName>
    <definedName name="BEx9B1371TZRU4SMAC7I7IDRCDUZ" hidden="1">#REF!</definedName>
    <definedName name="BEx9BAOGUISRQKRB42IUZNSUS3RS" hidden="1">#REF!</definedName>
    <definedName name="BEx9BCBV86NAOTMCAYGOG2K426CC" hidden="1">#REF!</definedName>
    <definedName name="BEx9C17AHM4NMY8G3WK6YQ0T0WDU" hidden="1">#REF!</definedName>
    <definedName name="BEx9CAHR0MOSAMJUXHVZJPP7EFD1" hidden="1">#REF!</definedName>
    <definedName name="BEx9CJHG02ADUIJ0WCG5FYLWETIN" hidden="1">#REF!</definedName>
    <definedName name="BEx9CMMSQA4LXHX5RGGTAJ9WVHTY" hidden="1">#REF!</definedName>
    <definedName name="BEx9CTDJ6OYUCCHJVREB4QE71EVB" hidden="1">#REF!</definedName>
    <definedName name="BEx9DGLRBAA81DUUOT35XR05XLKG" hidden="1">#REF!</definedName>
    <definedName name="BEx9DIZXF9X0GE90ROFYKV6K3PM9" hidden="1">#REF!</definedName>
    <definedName name="BEx9E08EK253W8SNA7NOGR32IG6U" hidden="1">#REF!</definedName>
    <definedName name="BEx9E2S1LDHWNY3YCSQ6AY2CX2VH" hidden="1">#REF!</definedName>
    <definedName name="BEx9EEGVFGD9P2J88ICA4KVPXY9N" hidden="1">#REF!</definedName>
    <definedName name="BEx9EHGQHOBSWB60JAPUOVE46FK0" hidden="1">#REF!</definedName>
    <definedName name="BEx9FLRVEKHKYUC14ZMVEXYYH8R8" hidden="1">#REF!</definedName>
    <definedName name="BEx9G17GB2V3PQ50QQFW2NROEZT9" hidden="1">#REF!</definedName>
    <definedName name="BEx9G892CF6SM99J007LDYZPPYNL" hidden="1">#REF!</definedName>
    <definedName name="BEx9GJCC7BWX156MTPY59VC5JN0O" hidden="1">#REF!</definedName>
    <definedName name="BEx9GNU701BD7YSS9TFG6GMA2Z8A" hidden="1">#REF!</definedName>
    <definedName name="BEx9H9V5D52IFWEZD3I221Z2VYVD" hidden="1">#REF!</definedName>
    <definedName name="BEx9HQHV4N00R3PBTH3QTYPDU3WQ" hidden="1">#REF!</definedName>
    <definedName name="BEx9IX1ZRFUE85ATW4NGTSACFIOO" hidden="1">#REF!</definedName>
    <definedName name="BEx9J1EJIB9UVZKMZ7QHB9U6VVOO" hidden="1">#REF!</definedName>
    <definedName name="BExAWZZESKY1TTEXT1TXEWLER11I" hidden="1">#REF!</definedName>
    <definedName name="BExAX2TU15VIP65OGKSZD41PMO4N" hidden="1">#REF!</definedName>
    <definedName name="BExAXEDC2IXZ6Z8R5OUFS8OGJR89" hidden="1">#REF!</definedName>
    <definedName name="BExAXI9K2PJQH4QLETR7MGS2BNZZ" hidden="1">#REF!</definedName>
    <definedName name="BExAXL3ZT02BUZOGSRNS6WGCOV7K" hidden="1">#REF!</definedName>
    <definedName name="BExAXL40LDNIK611AYB1QPTYW9XW" hidden="1">#REF!</definedName>
    <definedName name="BExAY9DZDS6RN4F7LPICOBGZ4AF5" hidden="1">#REF!</definedName>
    <definedName name="BExAY9ZJT64UBNSHPOGOXOER0FA5" hidden="1">#REF!</definedName>
    <definedName name="BExAYHBSWQUF9G9K8NBSN4S7YN0Z" hidden="1">#REF!</definedName>
    <definedName name="BExAYOO9DKXP4BYOJNDXGK1R2ZSV" hidden="1">#REF!</definedName>
    <definedName name="BExAYVKDXJJ761HTFFUOH6P2CSF7" hidden="1">#REF!</definedName>
    <definedName name="BExAZ43TWFQRX5G3R2E5J3JPQXFL" hidden="1">#REF!</definedName>
    <definedName name="BExAZNFTTSXASHLBAG5O0MNFU583" hidden="1">#REF!</definedName>
    <definedName name="BExB0OASZZC08FMDYX9HRSM9OXEF" hidden="1">#REF!</definedName>
    <definedName name="BExB12OPX4FIWY3UUQ7N9MXBTXY2" hidden="1">#REF!</definedName>
    <definedName name="BExB12ZHTPYICL0A8RA5MRDZPYAX" hidden="1">#REF!</definedName>
    <definedName name="BExB1C4NSEETUB7Y7RWTCT69T21I" hidden="1">#REF!</definedName>
    <definedName name="BExB1D6DDDMV7AOB9S4XD45OPKJ3" hidden="1">#REF!</definedName>
    <definedName name="BExB1FKN9YUYJ7B8ZJSMRSJ6ONT6" hidden="1">#REF!</definedName>
    <definedName name="BExB1HIQKUZGEBQ2MPH0TPTAZKIT" hidden="1">#REF!</definedName>
    <definedName name="BExB1I4BK3AB6GEEFY7ZAOON31BO" hidden="1">#REF!</definedName>
    <definedName name="BExB1UENFKIO27UN311RA6Q7UZX5" hidden="1">#REF!</definedName>
    <definedName name="BExB215J1NNKYW4GH1K0YLOO9FUN" hidden="1">#REF!</definedName>
    <definedName name="BExB2V4G4W3DIHZU05TOOTUR2SQF" hidden="1">#REF!</definedName>
    <definedName name="BExB35M4M9VQF0DHGYBEA3KV711P" hidden="1">#REF!</definedName>
    <definedName name="BExB406HXCZGNSDPPO8VOG1110ZG" hidden="1">#REF!</definedName>
    <definedName name="BExB4B9PTN6T4CSKH6U5OZ3JFDD8" hidden="1">#REF!</definedName>
    <definedName name="BExB4R5JZFW6A1CMY56N51JV2U9K" hidden="1">#REF!</definedName>
    <definedName name="BExB541CBB1D8CTY30SOY75V64NO" hidden="1">#REF!</definedName>
    <definedName name="BExB5536XH8UOALXKSVFV92GBQ05" hidden="1">#REF!</definedName>
    <definedName name="BExB5HOCLU167WPENG7UY2N6YXMR" hidden="1">#REF!</definedName>
    <definedName name="BExB5QO30WI9WES28Y2RINNXRHWC" hidden="1">#REF!</definedName>
    <definedName name="BExB6692ZQP36NHHWV7TLSTYCP8G" hidden="1">#REF!</definedName>
    <definedName name="BExB6CZTE0PWILZ6X0SQ2FCCSK0D" hidden="1">#REF!</definedName>
    <definedName name="BExB6Q6JKBMO3M4WX8XUD0JET6HB" hidden="1">#REF!</definedName>
    <definedName name="BExB6W6CK8Y6ZHBOKMDQHJY7ZNFM" hidden="1">#REF!</definedName>
    <definedName name="BExB74F088Z5LM9SEUAESIZUQ3X8" hidden="1">#REF!</definedName>
    <definedName name="BExB9S66MFUL9J891R547MSVIVV1" hidden="1">#REF!</definedName>
    <definedName name="BExBAGQYIBV77JKN346FU4VT1MB4" hidden="1">#REF!</definedName>
    <definedName name="BExBATS6QTKFZ3S66DBSAAJJ1257" hidden="1">#REF!</definedName>
    <definedName name="BExBB9D9GNURCRZN3NR6UY375OX5" hidden="1">#REF!</definedName>
    <definedName name="BExBBJ9BWME32GCDTD4GDSQBG1SE" hidden="1">#REF!</definedName>
    <definedName name="BExBC6S9JZS9ZX6V7SBKDJ5R3CGN" hidden="1">#REF!</definedName>
    <definedName name="BExBCDTV7GTBOTIE9EFJ36EX4FKM" hidden="1">#REF!</definedName>
    <definedName name="BExBCK4H2CF3XDL7AH3W254CWF4R" hidden="1">#REF!</definedName>
    <definedName name="BExBCMTEH63P6H1CKWQH2DGVNSVX" hidden="1">#REF!</definedName>
    <definedName name="BExBCZUU1UR90PQUCOSYNFQQTXI1" hidden="1">#REF!</definedName>
    <definedName name="BExBD1CR31JE4TBZEMZ6ZNRFIDNP" hidden="1">#REF!</definedName>
    <definedName name="BExBDTDIHS3IA85P49E3FM64KE4B" hidden="1">#REF!</definedName>
    <definedName name="BExBDWDG2GXBTEGBOQMQLB38QUEV" hidden="1">#REF!</definedName>
    <definedName name="BExBDZITI2UCDSH0V24NITQG9SFA" hidden="1">#REF!</definedName>
    <definedName name="BExBE4M6YL512JJD7QCT5NHC893P" hidden="1">#REF!</definedName>
    <definedName name="BExBF0U1PNBWLGLVVPNYEZHKB0ON" hidden="1">#REF!</definedName>
    <definedName name="BExBF3TXJTJ52WTH5JS1IEEUKRWA" hidden="1">#REF!</definedName>
    <definedName name="BExCRGF42366OIKCDCRBBEDGE10U" hidden="1">#REF!</definedName>
    <definedName name="BExCROIFDQP6GEN1GZNTC0JUNTOZ" hidden="1">#REF!</definedName>
    <definedName name="BExCRRIBGG57IJ1DUG0GCSPL72DO" hidden="1">#REF!</definedName>
    <definedName name="BExCS078RE3CUATM8A8NCC0WWHGC" hidden="1">#REF!</definedName>
    <definedName name="BExCSGZG9G2SOKYYBCQF48XUIYCJ" hidden="1">#REF!</definedName>
    <definedName name="BExCU16FAFHSYEENQXBNLERR7V3K" hidden="1">#REF!</definedName>
    <definedName name="BExCUD60H1UMM2E28QIX022PMAO3" hidden="1">#REF!</definedName>
    <definedName name="BExCUPAWHM0P4BSKFZ5SJKV1ERM7" hidden="1">#REF!</definedName>
    <definedName name="BExCUVQYX84C9JVOMUFD0GL6XE85" hidden="1">#REF!</definedName>
    <definedName name="BExCUW1Q2AR1JX2Z1B9CGJ6H60GY" hidden="1">#REF!</definedName>
    <definedName name="BExCUW1RF5RHW7OK9J4GFUGR30IK" hidden="1">#REF!</definedName>
    <definedName name="BExCVBXG4TTE2ERW52ZA09FBTDH2" hidden="1">#REF!</definedName>
    <definedName name="BExCVKH0KFLY4D0IVRFGVTJYRXFX" hidden="1">#REF!</definedName>
    <definedName name="BExCVWLXVAKW0MGL9EAXK4DRRB6T" hidden="1">#REF!</definedName>
    <definedName name="BExCWX69ER7R6C6VGOZAPRGXJR2R" hidden="1">#REF!</definedName>
    <definedName name="BExCWXBL3F3UL7WAB98ZRROVKMZQ" hidden="1">#REF!</definedName>
    <definedName name="BExCXAYLA3TMOHIRCEXCXXUSNOKZ" hidden="1">#REF!</definedName>
    <definedName name="BExCXC0EIRZGKHGFWVH6BZGZKSL5" hidden="1">#REF!</definedName>
    <definedName name="BExCY4H9JMPB090TG2SILY28IPCR" hidden="1">#REF!</definedName>
    <definedName name="BExCYK7MZ56O5XIV8T5XIE9VBQXN" hidden="1">#REF!</definedName>
    <definedName name="BExCZBHJ4ZDFD4N4ZS7VAL7FA7P7" hidden="1">#REF!</definedName>
    <definedName name="BExCZVPR1W4N0BD29PL4C9S5AC2M" hidden="1">#REF!</definedName>
    <definedName name="BExD06SXR2OPV4282WTX6ARRQ4JS" hidden="1">#REF!</definedName>
    <definedName name="BExD0WQ71JYMUDXQTQEITA6DXV3F" hidden="1">#REF!</definedName>
    <definedName name="BExD17YVNHBO53V2CZK4MM2NR84O" hidden="1">#REF!</definedName>
    <definedName name="BExD189NLCZ0MV1E8GXPW23W160D" hidden="1">#REF!</definedName>
    <definedName name="BExD28ZBC1R5FS53RDQFUKXD44H4" hidden="1">#REF!</definedName>
    <definedName name="BExD2MRMSOCW29ZLJ226FVCE2K34" hidden="1">#REF!</definedName>
    <definedName name="BExD2RK9LE7I985N677G3WNH5DIV" hidden="1">#REF!</definedName>
    <definedName name="BExD37W7YUULHO5DGYRP7KYM65NC" hidden="1">#REF!</definedName>
    <definedName name="BExD3PKTT0MHJPK56ADYPFIYXKO7" hidden="1">#REF!</definedName>
    <definedName name="BExD47UZN79E7UZ1PF13H1AL03VT" hidden="1">#REF!</definedName>
    <definedName name="BExD4B5OJKUPJMFR7AZJGR6UVR3E" hidden="1">#REF!</definedName>
    <definedName name="BExD4EGCVOR6P4YKQGF2RYORVZLJ" hidden="1">#REF!</definedName>
    <definedName name="BExD4RHMHOHG2WM6HI950PSP13F8" hidden="1">#REF!</definedName>
    <definedName name="BExD4Y8GT92JWI9FMFEYLDUSFLWP" hidden="1">#REF!</definedName>
    <definedName name="BExD5HV3ERP9CEZ35S7IS5J3Q66D" hidden="1">#REF!</definedName>
    <definedName name="BExD5P7D7B3TCMJQY4TM56KCPB73" hidden="1">#REF!</definedName>
    <definedName name="BExD6BZF6UGC8YXEZJ8URJDY0HUJ" hidden="1">#REF!</definedName>
    <definedName name="BExD6XV0BDU8LPQPWSKHU0XX0UPR" hidden="1">#REF!</definedName>
    <definedName name="BExD7CE8ZR0EL3ZQP0AYQ5XQUH9L" hidden="1">#REF!</definedName>
    <definedName name="BExD7GAIHX094KROB46WFTL2XBWL" hidden="1">#REF!</definedName>
    <definedName name="BExD7IZMKM0QIFE7EV1NYL6EZVJZ" hidden="1">#REF!</definedName>
    <definedName name="BExD7SVOH5J3ZVHK9KI2N1XE0CC3" hidden="1">#REF!</definedName>
    <definedName name="BExD7V4PCVR1ACVPOJXKJ4CSROIX" hidden="1">#REF!</definedName>
    <definedName name="BExD819S39VUTMASCBMYI883THJ3" hidden="1">#REF!</definedName>
    <definedName name="BExD8CYKX2WGEDSW6KFP6MND1PM0" hidden="1">#REF!</definedName>
    <definedName name="BExD8H5MGJFMK4HK6DOAGTFYV6JT" hidden="1">#REF!</definedName>
    <definedName name="BExD8KWFYVMYYY2YJ34JT4QNLLTE" hidden="1">#REF!</definedName>
    <definedName name="BExD9IMBI0P6S6QRAXHE26HMK86D" hidden="1">#REF!</definedName>
    <definedName name="BExD9R5SL0ZVQFVSBS8BU3KIMQCJ" hidden="1">#REF!</definedName>
    <definedName name="BExD9ZUOC2GG9LBACX8ROP20H2VQ" hidden="1">#REF!</definedName>
    <definedName name="BExDB39GNDHCPPB7U2PZQO5TJ1OI" hidden="1">#REF!</definedName>
    <definedName name="BExDBECNFJKO0HIOIKTWDCSWP755" hidden="1">#REF!</definedName>
    <definedName name="BExDBI8WRY61SHXKAT4UFXLB15E8" hidden="1">#REF!</definedName>
    <definedName name="BExDBZBW3EHQF6J0XXIT3ZMXPL8C" hidden="1">#REF!</definedName>
    <definedName name="BExDCMPIHH27EAXTDLP095HYA29X" hidden="1">#REF!</definedName>
    <definedName name="BExENRJDC2MGQRJ6EHLAWX5I4SRS" hidden="1">#REF!</definedName>
    <definedName name="BExEP7388TKNL6FEJW00XN7FHEUG" hidden="1">#REF!</definedName>
    <definedName name="BExEQD73QE34MW57L1HFXSTB7QEG" hidden="1">#REF!</definedName>
    <definedName name="BExERCETL5ZVXSS6EENB85QCSRYG" hidden="1">#REF!</definedName>
    <definedName name="BExERIUTB21WQ9WVQXUCDCGSH23E" hidden="1">#REF!</definedName>
    <definedName name="BExERSLFEDXNMOLAZ2VOI6VVJCBW" hidden="1">#REF!</definedName>
    <definedName name="BExERWCEBKQRYWRQLYJ4UCMMKTHG" hidden="1">#REF!</definedName>
    <definedName name="BExERWSHS5678NWP0NM8J09K2OGY" hidden="1">#REF!</definedName>
    <definedName name="BExETQFFLH766OHX0PD3NEIK0DIF" hidden="1">#REF!</definedName>
    <definedName name="BExETVDCXGPYA4OP2UI1URTJ60TK" hidden="1">#REF!</definedName>
    <definedName name="BExEUM6Y5MUDV2WYYY9ICV8796JQ" hidden="1">#REF!</definedName>
    <definedName name="BExEUTOOSAR1CJ6S2O9NTTQMWXNZ" hidden="1">#REF!</definedName>
    <definedName name="BExEVAM8BLTWVS6IMVJWDOZBQK9R" hidden="1">#REF!</definedName>
    <definedName name="BExEVL3UZ22W55ZRF3F0J21PKQLX" hidden="1">#REF!</definedName>
    <definedName name="BExEW6357VV6LVZCWOOM0R3T78QK" hidden="1">#REF!</definedName>
    <definedName name="BExEWHXF5F2E8FN7TRI5U2ZY0T0P" hidden="1">#REF!</definedName>
    <definedName name="BExEY067KMBNYP9WMRGOH8ITDBLD" hidden="1">#REF!</definedName>
    <definedName name="BExEYGCSYH6XC1X89ZT8VJVQ6THP" hidden="1">#REF!</definedName>
    <definedName name="BExEYVHM7COM2XBAZH71USCAT6K9" hidden="1">#REF!</definedName>
    <definedName name="BExEYW8O56SE67A8CIT413PPQFWN" hidden="1">#REF!</definedName>
    <definedName name="BExEYXQGOT90CC2QXVUDAMIS2SD6" hidden="1">#REF!</definedName>
    <definedName name="BExEYY17N22FDMK6IA4HQRCTNPYL" hidden="1">#REF!</definedName>
    <definedName name="BExEZ34NTXG2N8FAMKBEWP6EJDFQ" hidden="1">#REF!</definedName>
    <definedName name="BExEZFPZKLS4GGKV39NX0GL8AK7B" hidden="1">#REF!</definedName>
    <definedName name="BExEZQYJW81F362CWKW5HLAAM45I" hidden="1">#REF!</definedName>
    <definedName name="BExEZSWLMZZ2RK34GSJ9Q3NPCFT2" hidden="1">#REF!</definedName>
    <definedName name="BExF0L2TP18E48BYIVEYR9BGX4HR" hidden="1">#REF!</definedName>
    <definedName name="BExF0QH116YF95UAL83HSM0C2X7Y" hidden="1">#REF!</definedName>
    <definedName name="BExF200VK438ANZMJEAPZ2RQDB8U" hidden="1">#REF!</definedName>
    <definedName name="BExF21OBXGVA9D1CPMHVJHL599BC" hidden="1">#REF!</definedName>
    <definedName name="BExF28PXA9VBW4OZ74OITX6LHR12" hidden="1">#REF!</definedName>
    <definedName name="BExF2LR83KWDOSK9ACAROCGMTQ8X" hidden="1">#REF!</definedName>
    <definedName name="BExF3AS2T7GFVNU9JPBXWUQH845Y" hidden="1">#REF!</definedName>
    <definedName name="BExF3GBMLCA5ZT2251N0N3CRN11O" hidden="1">#REF!</definedName>
    <definedName name="BExF3RET913530OJZJYWUA4LCSLF" hidden="1">#REF!</definedName>
    <definedName name="BExF59NQHJ39J7AF8B91RVX0H3P6" hidden="1">#REF!</definedName>
    <definedName name="BExF65FFOHNFLM63A7M0XSPHOAGY" hidden="1">#REF!</definedName>
    <definedName name="BExF6E475UZT4S79PDNY72MLQFXM" hidden="1">#REF!</definedName>
    <definedName name="BExF6JNWE4H8L694Y8Z1VCZ9EMVP" hidden="1">#REF!</definedName>
    <definedName name="BExF71SL7S5BDGRZ694893ZZ2ZTI" hidden="1">#REF!</definedName>
    <definedName name="BExF76L7679DVYH0G72DZH7FMUU5" hidden="1">#REF!</definedName>
    <definedName name="BExF7FVNFEHQQH5MIO6AIUWSERR7" hidden="1">#REF!</definedName>
    <definedName name="BExF7RV9JQHNUU59Z7TLWW2ARAN8" hidden="1">#REF!</definedName>
    <definedName name="BExF84R8ZH2K4C0CYI1IVFH8WUYD" hidden="1">#REF!</definedName>
    <definedName name="BExF9CTA0UGH0U2JUPUJKMEEI1Z2" hidden="1">#REF!</definedName>
    <definedName name="BExGKNC6UCNO0YTOPVJZMQ34IVMH" hidden="1">#REF!</definedName>
    <definedName name="BExGKT17Q7NLLXEVPD5JH5USNBZN" hidden="1">#REF!</definedName>
    <definedName name="BExGMEFBL47KYW564WF1RQ6VY453" hidden="1">#REF!</definedName>
    <definedName name="BExGN0LRKAPMAKXJTDAKS7Q1MV6S" hidden="1">#REF!</definedName>
    <definedName name="BExGN3R3VSJKSDZRWSR5ADXX3XBA" hidden="1">#REF!</definedName>
    <definedName name="BExGNCFW1HJRE2CBZ65J7JB4DCF3" hidden="1">#REF!</definedName>
    <definedName name="BExGNPBUQ4MFVXFVD9LJPL5PZU68" hidden="1">#REF!</definedName>
    <definedName name="BExGOE7C2HSW9M6L6R25H0Z4JEKM" hidden="1">#REF!</definedName>
    <definedName name="BExGOI3M84PCOV0FSX0APR834A9T" hidden="1">#REF!</definedName>
    <definedName name="BExGOL903YF63SRYHHD7UNE2B0E7" hidden="1">#REF!</definedName>
    <definedName name="BExGOROWSCEN1I6IXZVXWNFSY76K" hidden="1">#REF!</definedName>
    <definedName name="BExGPB0QWZQYZ4O1B28QZMIZK4R5" hidden="1">#REF!</definedName>
    <definedName name="BExGQOX5SC3QE5GND2P8HAHC7ZN6" hidden="1">#REF!</definedName>
    <definedName name="BExGQP2M90PWKZU8RDMLC9SJN90J" hidden="1">#REF!</definedName>
    <definedName name="BExGQRM9NCME1AQA8RNH8GRKBEY8" hidden="1">#REF!</definedName>
    <definedName name="BExGR23WEFG8G3CHQC5Q2M1VP9Q0" hidden="1">#REF!</definedName>
    <definedName name="BExGRHZROC86IFGNDBDWZNBH5Q2V" hidden="1">#REF!</definedName>
    <definedName name="BExGRWOG8H774BWL55XHDM510RIO" hidden="1">#REF!</definedName>
    <definedName name="BExGUQVJE1MV019H8EUN9O73RXA9" hidden="1">#REF!</definedName>
    <definedName name="BExGVFWDKW8LO48OL2ZZUGFJFDDA" hidden="1">#REF!</definedName>
    <definedName name="BExGW0FLC5BN20XY6J6MI8085KPJ" hidden="1">#REF!</definedName>
    <definedName name="BExGW0KVOL93Z29HD7AAKNQ59I24" hidden="1">#REF!</definedName>
    <definedName name="BExGX453OMLZPGJF63K8PNB8EDJJ" hidden="1">#REF!</definedName>
    <definedName name="BExGXQGVELUHEDSBNLEGTLOGNVS5" hidden="1">#REF!</definedName>
    <definedName name="BExGY0T0UPBWF73OV2QYIOSP1VVJ" hidden="1">#REF!</definedName>
    <definedName name="BExGYHAGH0IZT9WAS43U752U84WI" hidden="1">#REF!</definedName>
    <definedName name="BExGYXXCM53K2H84S4WZTHTHZPHE" hidden="1">#REF!</definedName>
    <definedName name="BExGYY2PBI68I55GPNKXV5RYR1WF" hidden="1">#REF!</definedName>
    <definedName name="BExGZ0MC1XT4VWABFT1UK2UMI0CP" hidden="1">#REF!</definedName>
    <definedName name="BExGZSN96MC2HMMYQ3BMZ50490SJ" hidden="1">#REF!</definedName>
    <definedName name="BExGZYXS0GTA29TRAW6KAUBGG6D4" hidden="1">#REF!</definedName>
    <definedName name="BExH07XC83E8WXF2O7EJTNS1DOZD" hidden="1">#REF!</definedName>
    <definedName name="BExH0KTA6PC3C1H961G6G3WB4ROD" hidden="1">#REF!</definedName>
    <definedName name="BExH0Y5JGUO7Z6TD8HXAB8MDIXSA" hidden="1">#REF!</definedName>
    <definedName name="BExH1AFVY3DFB10LXJXXA05EU6X8" hidden="1">#REF!</definedName>
    <definedName name="BExH1K14EK7UDRW0PA245MVG0N0S" hidden="1">#REF!</definedName>
    <definedName name="BExH1NRXNXU0WLQASP81I62087ON" hidden="1">#REF!</definedName>
    <definedName name="BExH1QMD1UU8X5NZERDZ7OIP3IBI" hidden="1">#REF!</definedName>
    <definedName name="BExH2VU17ZSQ6UMFZ9FOP753TT9E" hidden="1">#REF!</definedName>
    <definedName name="BExH3BPW245WVGA1K1DGTL1XWDCH" hidden="1">#REF!</definedName>
    <definedName name="BExH4HTPYPQ91XIJ8IWIMHWOB0RA" hidden="1">#REF!</definedName>
    <definedName name="BExIG9FMY6OOSODNTWQJ2F28Y2FK" hidden="1">#REF!</definedName>
    <definedName name="BExIH51URLQJA6KNX5CJKIUIR5UQ" hidden="1">#REF!</definedName>
    <definedName name="BExIHNMT9P59WY619GEWB1XONTAE" hidden="1">#REF!</definedName>
    <definedName name="BExIHNMTY8HBM7KQDSTMXEM6MHL4" hidden="1">#REF!</definedName>
    <definedName name="BExIHU2VSXTKRMO3RHJI6RZ206Q5" hidden="1">#REF!</definedName>
    <definedName name="BExIHZ6ALVREAYK4T741OOLGXOZA" hidden="1">#REF!</definedName>
    <definedName name="BExII20QQ1K3GHOPL1ZQX5SL618M" hidden="1">#REF!</definedName>
    <definedName name="BExIJ8Q4WWPTKVONF0FPLTD4L7CH" hidden="1">#REF!</definedName>
    <definedName name="BExIJ9MI8QNCVF6L1SK4ZWC4CPJ7" hidden="1">#REF!</definedName>
    <definedName name="BExIJFMB0RSA8TFQ5Q21DW1O9UU7" hidden="1">#REF!</definedName>
    <definedName name="BExIJZP8AKK000EFDGK7KZ1YKRXT" hidden="1">#REF!</definedName>
    <definedName name="BExIL45UAJTQCLO0PRR3OAT4FUN0" hidden="1">#REF!</definedName>
    <definedName name="BExILI8Z41WP1I83L06KGRLKLGUL" hidden="1">#REF!</definedName>
    <definedName name="BExILJ558DU4VWYTKQGUZWNZN6KS" hidden="1">#REF!</definedName>
    <definedName name="BExILMQS7IRCA22FAZK9ZT7D3WJ3" hidden="1">#REF!</definedName>
    <definedName name="BExIM02UP3RCUWZ2RO86WO6595EZ" hidden="1">#REF!</definedName>
    <definedName name="BExIMIT427CJSYOCFG8JGTIJC8EC" hidden="1">#REF!</definedName>
    <definedName name="BExIMTAR1TFV3DP2D7HWECJEOYUG" hidden="1">#REF!</definedName>
    <definedName name="BExIN3SELWXIGE9EWSK9QJ3RHFPD" hidden="1">#REF!</definedName>
    <definedName name="BExIN8FK0VJT3CRRWGRO3XE26YZS" hidden="1">#REF!</definedName>
    <definedName name="BExINO0MM0VFZGX84AO4LV2VTJSL" hidden="1">#REF!</definedName>
    <definedName name="BExINVT50DNQFXWZEBLEC0HIJDBS" hidden="1">#REF!</definedName>
    <definedName name="BExINYT1S9HTKX12F6T1MBDFL53T" hidden="1">#REF!</definedName>
    <definedName name="BExIOEUDLMQULYKSXV94CO63QD9I" hidden="1">#REF!</definedName>
    <definedName name="BExIP3EYMLXYSYD644AIULVB4SM4" hidden="1">#REF!</definedName>
    <definedName name="BExIPKCNG2M6L73ES2UQI5310WB7" hidden="1">#REF!</definedName>
    <definedName name="BExIPLJTRJRKOL7VVP0PEP05W0QL" hidden="1">#REF!</definedName>
    <definedName name="BExIPYFR9Q89IRAL0HPOES7623H9" hidden="1">#REF!</definedName>
    <definedName name="BExIQCDFFALELXAMMR1ZQBGNV1HO" hidden="1">#REF!</definedName>
    <definedName name="BExIQCTILU1D6OD8XR0K44Z9OTI8" hidden="1">#REF!</definedName>
    <definedName name="BExIQIII4MABGPDVFEBH294F5JBS" hidden="1">#REF!</definedName>
    <definedName name="BExISJ6WFYQKE0RGTDWHAWUAE1AP" hidden="1">#REF!</definedName>
    <definedName name="BExIT2IT2V9GEHP8BOT7V4TQL64A" hidden="1">#REF!</definedName>
    <definedName name="BExIUB6GMB0SK1G4X7OS9A0AYW30" hidden="1">#REF!</definedName>
    <definedName name="BExIULYTKJ6F74ZZ6GFR3H0502B9" hidden="1">#REF!</definedName>
    <definedName name="BExIUXI7T2XUZCSZE9GKUIN8NC2X" hidden="1">#REF!</definedName>
    <definedName name="BExIVHVWLE97GSYXI5MCGEPG5OPB" hidden="1">#REF!</definedName>
    <definedName name="BExIWLFYNT371I3ZMOBVYP04U3EZ" hidden="1">#REF!</definedName>
    <definedName name="BExIX2DMJCFY68X9XPKX7A9YBWQV" hidden="1">#REF!</definedName>
    <definedName name="BExIX4S01VKH0V2KWQZGAY2FUFFS" hidden="1">#REF!</definedName>
    <definedName name="BExIXS03V3D41466O0R1XOSJEK36" hidden="1">#REF!</definedName>
    <definedName name="BExIYOO4P2NLI0GTES3GN8FDL0US" hidden="1">#REF!</definedName>
    <definedName name="BExIYRTCOZA1OQ7D46XDWMCW6RFR" hidden="1">#REF!</definedName>
    <definedName name="BExJ08KB42GOUC2P92D8UI7KEHKL" hidden="1">#REF!</definedName>
    <definedName name="BExJ0JCRE7HP1J5ICCTGR58SY007" hidden="1">#REF!</definedName>
    <definedName name="BExJ11MY9B0F7RFESFSORX1Z25QM" hidden="1">#REF!</definedName>
    <definedName name="BExKCCREBIWYDT3KYY47J6PKFUJC" hidden="1">#REF!</definedName>
    <definedName name="BExKDJBKAJPY1RL4WY6D99TGYHCW" hidden="1">#REF!</definedName>
    <definedName name="BExKDO45GL6PAZQR3PAOWFVA6WLZ" hidden="1">#REF!</definedName>
    <definedName name="BExKE400P7WOFSUK628BT91CWB4H" hidden="1">#REF!</definedName>
    <definedName name="BExKEKMRQLC0TPETMUVPBOHVEK6D" hidden="1">#REF!</definedName>
    <definedName name="BExKES9ZA5L22XTSO9Y8GAI2RIIH" hidden="1">#REF!</definedName>
    <definedName name="BExKF02HYBPMKRSPJGAK1MWM2V4R" hidden="1">#REF!</definedName>
    <definedName name="BExKF6YPEER21HQW1M2FXF8RNGUC" hidden="1">#REF!</definedName>
    <definedName name="BExKG8KO0T2K2PJKN0MY59LZRPC0" hidden="1">#REF!</definedName>
    <definedName name="BExKGFM5ZQHNKLDFVKFAC32TFV75" hidden="1">#REF!</definedName>
    <definedName name="BExKGWUGUAZ9RHGMMEHY6AG0GBZC" hidden="1">#REF!</definedName>
    <definedName name="BExKH0ANKNJUT5MEASVBDV24PB47" hidden="1">#REF!</definedName>
    <definedName name="BExKH6L8BUEGZ1O7ZYFE7R04MJJV" hidden="1">#REF!</definedName>
    <definedName name="BExKI703H6LLQ9SUAO1Q66RXBCFT" hidden="1">#REF!</definedName>
    <definedName name="BExKL002TQQTZZ9BETERCDLUDV0K" hidden="1">#REF!</definedName>
    <definedName name="BExKLGBZ8D7W1HW672WZB4ZK47TN" hidden="1">#REF!</definedName>
    <definedName name="BExKLO4OJ4LE6YA3WZB02FDH4ZBC" hidden="1">#REF!</definedName>
    <definedName name="BExKLWYWL8HEKZRA5IGCCM60HYID" hidden="1">#REF!</definedName>
    <definedName name="BExKLX9OMIZRVELEESUGRFHXM0CU" hidden="1">#REF!</definedName>
    <definedName name="BExKNM3TO8JLDR94J4BKF7TE6872" hidden="1">#REF!</definedName>
    <definedName name="BExKNYUAYWR68YCUOIW6WYVNJ198" hidden="1">#REF!</definedName>
    <definedName name="BExKOBVR6FBO1U02GWCHZEQEFC13" hidden="1">#REF!</definedName>
    <definedName name="BExKOEA1HY8RIY04636RSKF38SDX" hidden="1">#REF!</definedName>
    <definedName name="BExKQJ01GRP9KX7BHWUGSV76KSSN" hidden="1">#REF!</definedName>
    <definedName name="BExKQO3G0R230211GSQXEUMGOJJH" hidden="1">#REF!</definedName>
    <definedName name="BExKQROXFHOAXZAJ9P338TCB51AS" hidden="1">#REF!</definedName>
    <definedName name="BExKRS3TU9ZISEFNAGIP4D2THSPK" hidden="1">#REF!</definedName>
    <definedName name="BExKSAJ9PLFSAM5DGYLJ0LGWBOCJ" hidden="1">#REF!</definedName>
    <definedName name="BExKSFHEJYQU3MJ64AXH349TS3AS" hidden="1">#REF!</definedName>
    <definedName name="BExKSMDKVAO0A43CLVBQQD41BXOS" hidden="1">#REF!</definedName>
    <definedName name="BExKSR66M8VX6DOVY5XKESJ3UH2N" hidden="1">#REF!</definedName>
    <definedName name="BExKTGHU41U7OXQNLCH9L528CTKN" hidden="1">#REF!</definedName>
    <definedName name="BExKUEIEGD9JH03Q4QGCL2ZVM2AQ" hidden="1">#REF!</definedName>
    <definedName name="BExKUPASS3H5268MTUCTQGAWNU4C" hidden="1">#REF!</definedName>
    <definedName name="BExKV8S497WD25N3LA72PSCGO8G3" hidden="1">#REF!</definedName>
    <definedName name="BExM9UQN0TIL2QB8BQX5YK9L7EW9" hidden="1">#REF!</definedName>
    <definedName name="BExMAXP9FNE9OKT6LBW7UITT26ZG" hidden="1">#REF!</definedName>
    <definedName name="BExMB2Y08ZQ6ES53Z1Z85LK1XPJG" hidden="1">#REF!</definedName>
    <definedName name="BExMBYPQDG9AYDQ5E8IECVFREPO6" hidden="1">#REF!</definedName>
    <definedName name="BExMC5R82S07KSLMO7YA8CCU0ZAI" hidden="1">#REF!</definedName>
    <definedName name="BExMCAPB2KR2CNKS8MYVWTH5MOT2" hidden="1">#REF!</definedName>
    <definedName name="BExMCRSC61GNE2C255DR0NN6NYI0" hidden="1">#REF!</definedName>
    <definedName name="BExMCXMMDFHHNJDRURMCXF1DGUOM" hidden="1">#REF!</definedName>
    <definedName name="BExMD963673NTBXBO0VDNBAG9YWM" hidden="1">#REF!</definedName>
    <definedName name="BExMDQ3NI3GV1A8JDHIRIL4YLESR" hidden="1">#REF!</definedName>
    <definedName name="BExMDUWAATB6AI7BI1UYVBD6BVVO" hidden="1">#REF!</definedName>
    <definedName name="BExMDVSO20ADTTVCKT513NZBKC0Q" hidden="1">#REF!</definedName>
    <definedName name="BExMEB88DLX5IN40GEZDB5QHNAYB" hidden="1">#REF!</definedName>
    <definedName name="BExMEKTHIM47ERJ7ML7M759FF32G" hidden="1">#REF!</definedName>
    <definedName name="BExMEY095ELVR1FY94CBBWCTD3ND" hidden="1">#REF!</definedName>
    <definedName name="BExMFFJCU2N6QOC5V50II5WTLPAF" hidden="1">#REF!</definedName>
    <definedName name="BExMFH6SWBYCN98LEO4HJ8MYBMEV" hidden="1">#REF!</definedName>
    <definedName name="BExMFQ102FN53YEFF1Q73O5PKTN2" hidden="1">#REF!</definedName>
    <definedName name="BExMFY4B5JW31L4PL9F4S16LTC8G" hidden="1">#REF!</definedName>
    <definedName name="BExMGFSWSVUC8O4EM6ZP6T82VC1A" hidden="1">#REF!</definedName>
    <definedName name="BExMI3QOZTYEQUF0SE6AK4HHWJO7" hidden="1">#REF!</definedName>
    <definedName name="BExMIIFDGCCCRDJFZ2ER2V70XTOW" hidden="1">#REF!</definedName>
    <definedName name="BExMIKZ5EDDZDK5D6GTXJPH9XWND" hidden="1">#REF!</definedName>
    <definedName name="BExMJ51XJZN31B84NVPI18J3CWTB" hidden="1">#REF!</definedName>
    <definedName name="BExMJA01LCAWUR1OX7H4E7JGNN3W" hidden="1">#REF!</definedName>
    <definedName name="BExMK0OA4CYPHQFXIOZFG5E4Y027" hidden="1">#REF!</definedName>
    <definedName name="BExMKOI0IEYQSWL82F4MI37J9NZ3" hidden="1">#REF!</definedName>
    <definedName name="BExMKZFQBJXI2764F47EKBLDDLQR" hidden="1">#REF!</definedName>
    <definedName name="BExMLORJ1T0Z9H011MEQ921C3FAA" hidden="1">#REF!</definedName>
    <definedName name="BExMMZTDDCFDHK0GU54VF8EVH99F" hidden="1">#REF!</definedName>
    <definedName name="BExMNQ1J7QX20FWV4DQ41E6S4T2W" hidden="1">#REF!</definedName>
    <definedName name="BExMNQMY2IUP61KESI720VOMTAJ1" hidden="1">#REF!</definedName>
    <definedName name="BExMNRZLSLXKXUI29M6G23R13CPX" hidden="1">#REF!</definedName>
    <definedName name="BExMNUZHMKFZ814RTA641MNKZ7HQ" hidden="1">#REF!</definedName>
    <definedName name="BExMNW6NIOK4PW2K16RX2DT8BCKP" hidden="1">#REF!</definedName>
    <definedName name="BExMOJ9GY6AQGI153FV703AE296H" hidden="1">#REF!</definedName>
    <definedName name="BExMP06Y7JRUYXTNBLZEZIIFMP8Z" hidden="1">#REF!</definedName>
    <definedName name="BExMPGTVPYQ1ACGV1RRRS5LYB125" hidden="1">#REF!</definedName>
    <definedName name="BExMPI6DQJ514F6AZ44OOOQ97A5J" hidden="1">#REF!</definedName>
    <definedName name="BExMPLBKFPJM4GF27I2D45X0U9QF" hidden="1">#REF!</definedName>
    <definedName name="BExMQ41ZQNCI291UVV7EBWD8RXWS" hidden="1">#REF!</definedName>
    <definedName name="BExMQSBRFTHQ25F1O0KC9SFQE3U6" hidden="1">#REF!</definedName>
    <definedName name="BExMR4GUTFCN4RD7H81IOKECLEG3" hidden="1">#REF!</definedName>
    <definedName name="BExMRP5C9V3XNIT2DRA9I6G73H2V" hidden="1">#REF!</definedName>
    <definedName name="BExMRPG54LNH7HRC92MBSUT6UL6L" hidden="1">#REF!</definedName>
    <definedName name="BExMSM9I7XZ0BC793Y8GWVJNG1V9" hidden="1">#REF!</definedName>
    <definedName name="BExO4P9G3CC5P66YXQJ1MQZE3Q3L" hidden="1">#REF!</definedName>
    <definedName name="BExO4Q5T1IO39TUFXG41PZPWD8H5" hidden="1">#REF!</definedName>
    <definedName name="BExO7A0RAM8VLJ9WVOS0CNSGVOZA" hidden="1">#REF!</definedName>
    <definedName name="BExO7W1PSMP8KLLJ6LI9QUDVQEVV" hidden="1">#REF!</definedName>
    <definedName name="BExO8TM4L261JTCSQ24FHE73242J" hidden="1">#REF!</definedName>
    <definedName name="BExO8TM5V5CFSV5A13AYOWY4NGRS" hidden="1">#REF!</definedName>
    <definedName name="BExOA8PPAT6BFKDHD9OQK39O9RSG" hidden="1">#REF!</definedName>
    <definedName name="BExOAFR6JHRK4AP8O7TB9UDEAVJL" hidden="1">#REF!</definedName>
    <definedName name="BExOAGCX9ISY83KMXO02KFMKR8OW" hidden="1">#REF!</definedName>
    <definedName name="BExOB886RIKYRO6D0LXJDAB2M84Z" hidden="1">#REF!</definedName>
    <definedName name="BExOBNNWXJI9Y0IQ9VT4NMZCB3SW" hidden="1">#REF!</definedName>
    <definedName name="BExOBYLMYCYZ1NJLHJCPLA3PVKYK" hidden="1">#REF!</definedName>
    <definedName name="BExOBYLO8NTLBKV3569Y2UNNIV1K" hidden="1">#REF!</definedName>
    <definedName name="BExOC08Y6OIMB5N7XH5Q1IR1M20Q" hidden="1">#REF!</definedName>
    <definedName name="BExOC7LCVAJC36Q60I8PKPCD0T1S" hidden="1">#REF!</definedName>
    <definedName name="BExOCQX7MZG1R6UPBHNGI606SL8K" hidden="1">#REF!</definedName>
    <definedName name="BExOE89QWLYZ033JJYOXL9EN126C" hidden="1">#REF!</definedName>
    <definedName name="BExOEIWQ9UNELF9YZVQZIJSOY3X2" hidden="1">#REF!</definedName>
    <definedName name="BExOF5OPS77MUPKJ33QNAUBL7JSL" hidden="1">#REF!</definedName>
    <definedName name="BExOF5ZJR1UJ9IQRGDTEZM7GPQX4" hidden="1">#REF!</definedName>
    <definedName name="BExOFAS55U8T71JR0C28SASQL6WB" hidden="1">#REF!</definedName>
    <definedName name="BExOFJH1W33H5R9GH680DNXTZ0ZN" hidden="1">#REF!</definedName>
    <definedName name="BExOFN2CCI1J0EUWG6CV07EKJOT7" hidden="1">#REF!</definedName>
    <definedName name="BExOG1AZCK9QN09SNEN2DTTFFCLJ" hidden="1">#REF!</definedName>
    <definedName name="BExOGYVEAJFUXQVT8YQO2U7YT5OY" hidden="1">#REF!</definedName>
    <definedName name="BExOH2GVFOFXDG3YQK89NSKG7WJG" hidden="1">#REF!</definedName>
    <definedName name="BExOH7KB5HAPBB5K1Z3DIW5LCRSI" hidden="1">#REF!</definedName>
    <definedName name="BExOHBB43JS54D6MARIQR5PJNUDG" hidden="1">#REF!</definedName>
    <definedName name="BExOIN9ETPA87K6NINBIFRSWHK4C" hidden="1">#REF!</definedName>
    <definedName name="BExOJYM1QL95RT8HEC7JR5N8A2PA" hidden="1">#REF!</definedName>
    <definedName name="BExOKCECQSFWA99RY6KEDPH30KT6" hidden="1">#REF!</definedName>
    <definedName name="BExOKDAQ31PVS0Q7NXOF66C24GYL" hidden="1">#REF!</definedName>
    <definedName name="BExOLB5SC7VD8OG53K8II93SAENQ" hidden="1">#REF!</definedName>
    <definedName name="BExOLD411QWFX4FN11349510DRJ8" hidden="1">#REF!</definedName>
    <definedName name="BExOLYZNCQU9YFRCJTSR1R7098U7" hidden="1">#REF!</definedName>
    <definedName name="BExOMBFCBGGM6KO5RX1LMJ0M22S4" hidden="1">#REF!</definedName>
    <definedName name="BExOMI672TH8VPB5MGW4I7CD339Q" hidden="1">#REF!</definedName>
    <definedName name="BExON8UB96J8UZO1ZX4IVWLM8DGA" hidden="1">#REF!</definedName>
    <definedName name="BExONFL4TFXSXWK3WNKGBKED9MO0" hidden="1">#REF!</definedName>
    <definedName name="BExONIL1EPN8W1SVF4S473NVT9G0" hidden="1">#REF!</definedName>
    <definedName name="BExONVBIXX436X1BG1TMAO4S9LD0" hidden="1">#REF!</definedName>
    <definedName name="BExOOQXY7L4IL41VQ9RQBIZCSBBN" hidden="1">#REF!</definedName>
    <definedName name="BExOORE1DP6UVW28XJX2VS05649B" hidden="1">#REF!</definedName>
    <definedName name="BExOPJV0G43Z50LNI0UWME9NPU9S" hidden="1">#REF!</definedName>
    <definedName name="BExQ1X1RE71HCCMKWV64X8HPHR0R" hidden="1">#REF!</definedName>
    <definedName name="BExQ2ZEV9HMJV53PBWW04RNTHC5V" hidden="1">#REF!</definedName>
    <definedName name="BExQ41BOL730OSEM60CEMAMP4ARQ" hidden="1">#REF!</definedName>
    <definedName name="BExQ4B7Q3NN5PZMR9C0YCQ9KMIUO" hidden="1">#REF!</definedName>
    <definedName name="BExQ53U1WPQDQWX1BVV1GSXRBF6E" hidden="1">#REF!</definedName>
    <definedName name="BExQ586M703VDDAK1UGQF0QVTMXJ" hidden="1">#REF!</definedName>
    <definedName name="BExQ5EBP0T50N1AZDONY7DHOAGY9" hidden="1">#REF!</definedName>
    <definedName name="BExQ6JJ6GQ820H268M24Q000VLS5" hidden="1">#REF!</definedName>
    <definedName name="BExQ6NKT7GLCK5DO3FT99FA0VH7Y" hidden="1">#REF!</definedName>
    <definedName name="BExQ6PIZEB3532T46HXOTSDMM8XR" hidden="1">#REF!</definedName>
    <definedName name="BExQ8U95JXE2ZGDDWOEHH46ENO5L" hidden="1">#REF!</definedName>
    <definedName name="BExQ8UUP7KQWLXPL81ZMF3AC1K7V" hidden="1">#REF!</definedName>
    <definedName name="BExQ9DQATTM64NGUOQWM96CIR7J1" hidden="1">#REF!</definedName>
    <definedName name="BExQ9DVR0WJQK432BJFWT5WHPMRB" hidden="1">#REF!</definedName>
    <definedName name="BExQ9ZLYHWABXAA9NJDW8ZS0UQ9P" hidden="1">#REF!</definedName>
    <definedName name="BExQCAH2ZJLQUWIGX2JS7M87ODDV" hidden="1">#REF!</definedName>
    <definedName name="BExQCD0UZPG7AEA9UYJZKEUL6LQE" hidden="1">#REF!</definedName>
    <definedName name="BExQCI9M5F9BX0WO90T8KQKXJECZ" hidden="1">#REF!</definedName>
    <definedName name="BExQE6IAA3QFZ6TX9BXPJISLE0Q1" hidden="1">#REF!</definedName>
    <definedName name="BExQEJUD5RQJ325ULPV2E4W8QAL6" hidden="1">#REF!</definedName>
    <definedName name="BExQF00ZDAC842R706797DN4H4HE" hidden="1">#REF!</definedName>
    <definedName name="BExQFMNOOBC2XE1R03V1MF8QJSDG" hidden="1">#REF!</definedName>
    <definedName name="BExQFNPE0JNBFPGM91B5GNSDG31N" hidden="1">#REF!</definedName>
    <definedName name="BExQGFKTOP6WGJAF2OI8PXQPMWT4" hidden="1">#REF!</definedName>
    <definedName name="BExQGMM9RZL83B2Z0ZZPHKUY6VTK" hidden="1">#REF!</definedName>
    <definedName name="BExQHCP11K644YQ3D4O5NJT9F7DR" hidden="1">#REF!</definedName>
    <definedName name="BExQHZGZ5JZ4AE00IROC5LG5734F" hidden="1">#REF!</definedName>
    <definedName name="BExQICT281Q1E6HHLEIC7LOYTR4F" hidden="1">#REF!</definedName>
    <definedName name="BExQIDUXFRRQTUP42M6V5KODFDPZ" hidden="1">#REF!</definedName>
    <definedName name="BExQIEWM4YHWE15RFGAT8AWBZ25Y" hidden="1">#REF!</definedName>
    <definedName name="BExQIII2YKNNBPUFZNOC88FK394S" hidden="1">#REF!</definedName>
    <definedName name="BExQINW95C7N048P3U0KM5A2Q0VU" hidden="1">#REF!</definedName>
    <definedName name="BExQJ7IXTYN8ELZIUSOUURFAP5Z5" hidden="1">#REF!</definedName>
    <definedName name="BExQJIBCENFZ4FNIPQ8IC1PBMHA9" hidden="1">#REF!</definedName>
    <definedName name="BExQJX019VWBQMW1HCV154DP9287" hidden="1">#REF!</definedName>
    <definedName name="BExQK1SODHG66277P2K5V2W6173O" hidden="1">#REF!</definedName>
    <definedName name="BExQKBOR26WP0FNJGIS0CR2IC8N0" hidden="1">#REF!</definedName>
    <definedName name="BExRZDJ0UXHHB2ECBB12TGEUFC0D" hidden="1">#REF!</definedName>
    <definedName name="BExRZRBDN51PN9PUQFUMRMVZPAM1" hidden="1">#REF!</definedName>
    <definedName name="BExS02PDU3RIYDBR02EV6VUXEVN6" hidden="1">#REF!</definedName>
    <definedName name="BExS04I4YMGANXCN8UW06U63GPI9" hidden="1">#REF!</definedName>
    <definedName name="BExS0UFCKI6Z4BDWL0C1TI1UZA8D" hidden="1">#REF!</definedName>
    <definedName name="BExS16PROWSNHW3MZQBGQNQU7S8R" hidden="1">#REF!</definedName>
    <definedName name="BExS1VQKWZC7SM0UY7BWIPST3VU3" hidden="1">#REF!</definedName>
    <definedName name="BExS2OT61VXS58SSI0I90Z76DFCQ" hidden="1">#REF!</definedName>
    <definedName name="BExS2RIBMZPBDB3W6PKRNHUM06WI" hidden="1">#REF!</definedName>
    <definedName name="BExS38AHQWKT950DKJR1SJAY5NKD" hidden="1">#REF!</definedName>
    <definedName name="BExS3BL7KZUM0PK7UW1Y6M98ZKXC" hidden="1">#REF!</definedName>
    <definedName name="BExS3N9TZOHLS9IJL1UOC5F1SQ76" hidden="1">#REF!</definedName>
    <definedName name="BExS3OH5XH1H0NEUDJGB0D1EF3C6" hidden="1">#REF!</definedName>
    <definedName name="BExS3WV2VQ19L2A1DJ73AUFN7SRX" hidden="1">#REF!</definedName>
    <definedName name="BExS4IAMWTT1CKFNHGN8SPWSD3QR" hidden="1">#REF!</definedName>
    <definedName name="BExS4UFKWNI7QAX0PTOVVBUB0LP8" hidden="1">#REF!</definedName>
    <definedName name="BExS5BYO19H5ZKO75ERO60KF7DQH" hidden="1">#REF!</definedName>
    <definedName name="BExS5SG3GBHVDR15MOYHV230A4BG" hidden="1">#REF!</definedName>
    <definedName name="BExS5TY0F5R1ZXIVJHAAVVG81G5H" hidden="1">#REF!</definedName>
    <definedName name="BExS67FL0BE9LNMBLA78F2ZDX1TA" hidden="1">#REF!</definedName>
    <definedName name="BExS6IYVVGGZJXGGYPX7UNAQOB2X" hidden="1">#REF!</definedName>
    <definedName name="BExS6KGU63BUOXCPJ9TSCDS9ZY2T" hidden="1">#REF!</definedName>
    <definedName name="BExS6TWROKG2XNYD9G32PR0OMFMD" hidden="1">#REF!</definedName>
    <definedName name="BExS79HUY1GAJJP4VMMZHU8UJI6O" hidden="1">#REF!</definedName>
    <definedName name="BExS7DU7IOWG5MHL28Z4KOM2V434" hidden="1">#REF!</definedName>
    <definedName name="BExS7G38ASJVTDO2IAPA36EB2SPF" hidden="1">#REF!</definedName>
    <definedName name="BExS7HQI0PBQNP39JUZ69RMC7M7N" hidden="1">#REF!</definedName>
    <definedName name="BExS7TVIHJQ54K2Q7S5TI60WWB6A" hidden="1">#REF!</definedName>
    <definedName name="BExS80RP8GCPNFHHGN85D3RLJQWW" hidden="1">#REF!</definedName>
    <definedName name="BExS8LQTNX922FCMI8FORKMV1ZCD" hidden="1">#REF!</definedName>
    <definedName name="BExS8W8G0X4RIQXAZCCLUM05FF9P" hidden="1">#REF!</definedName>
    <definedName name="BExS8ZDU0L23ASFGH706LEM2U8J8" hidden="1">#REF!</definedName>
    <definedName name="BExS970VMB40OE1CEB7FR2ZHFGZ0" hidden="1">#REF!</definedName>
    <definedName name="BExSA6ZNVCMHR6F6N6EGQGQDRMPZ" hidden="1">#REF!</definedName>
    <definedName name="BExSAA4TQVBEW9YTSAC7IB9WGR0N" hidden="1">#REF!</definedName>
    <definedName name="BExSAT5WZEM6Z4GG7X374JPK349Y" hidden="1">#REF!</definedName>
    <definedName name="BExSBLHMDPAU7TLJHXOGAD2L0A74" hidden="1">#REF!</definedName>
    <definedName name="BExSC9M353D3EKCXI5GRYJZYPZYZ" hidden="1">#REF!</definedName>
    <definedName name="BExSD16RWPJ4BKJERNVKGA3W1V8N" hidden="1">#REF!</definedName>
    <definedName name="BExSDJ5ZE3T46HSF6W0OXL80TXQG" hidden="1">#REF!</definedName>
    <definedName name="BExSFBWJOCPLHAQSAMRI905HXIBS" hidden="1">#REF!</definedName>
    <definedName name="BExSGEEWSM6V6B3J3F29MN7WAH14" hidden="1">#REF!</definedName>
    <definedName name="BExSGJT4LF1CNH5RN5GZ373ISW9D" hidden="1">#REF!</definedName>
    <definedName name="BExSH4HLTQVL4MI545VJL4WFN9U2" hidden="1">#REF!</definedName>
    <definedName name="BExSH4HMJS0TXSYHRWJRFTJ7NOSN" hidden="1">#REF!</definedName>
    <definedName name="BExSHDS3RJMD6MEJ67RL63M0SEIC" hidden="1">#REF!</definedName>
    <definedName name="BExSHUKBQVT2G9G0K9ORVIJO6TU8" hidden="1">#REF!</definedName>
    <definedName name="BExTUOOMC43GH95KQ1PJ86MN9XDF" hidden="1">#REF!</definedName>
    <definedName name="BExTUY9WNSJ91GV8CP0SKJTEIV82" hidden="1">#REF!</definedName>
    <definedName name="BExTVTLH2E1SH7Z2XBYHUOQBWWLI" hidden="1">#REF!</definedName>
    <definedName name="BExTWDIXNM0MKX6S284JB5PT2D6I" hidden="1">#REF!</definedName>
    <definedName name="BExTWFX8OYD9IX59PTP73YAC8O9G" hidden="1">#REF!</definedName>
    <definedName name="BExTWI0R31187AOWYLZ1W1WNI84K" hidden="1">#REF!</definedName>
    <definedName name="BExTWJTGTEM42YMMOXES1DOPT9UG" hidden="1">#REF!</definedName>
    <definedName name="BExTWTERU1SE8R3LRC2C4HQMOIB1" hidden="1">#REF!</definedName>
    <definedName name="BExTY1WXTBXUD0M1NWE12NMAUGCO" hidden="1">#REF!</definedName>
    <definedName name="BExTY8T41OBZ32MRCWT76H4XO1YE" hidden="1">#REF!</definedName>
    <definedName name="BExU091A10QVE7583Q5CAHW138RD" hidden="1">#REF!</definedName>
    <definedName name="BExU0FMLYKBHXH0JHAD0FA64EF92" hidden="1">#REF!</definedName>
    <definedName name="BExU1DN4RELJSQTQUF8YK7BNGXKO" hidden="1">#REF!</definedName>
    <definedName name="BExU2941Z7GTMQ5O1VVPEU7YRR7P" hidden="1">#REF!</definedName>
    <definedName name="BExU3D9R4DRJADX0E7E2OZ3T6J9D" hidden="1">#REF!</definedName>
    <definedName name="BExU3HX1IEJGNDJI6N6CLR8ZJK9D" hidden="1">#REF!</definedName>
    <definedName name="BExU3QWQVA35KFNEQYRLU0ZG2TZ0" hidden="1">#REF!</definedName>
    <definedName name="BExU4MIZMMFZZWTK4WHGFZSMWPS8" hidden="1">#REF!</definedName>
    <definedName name="BExU4V7ULXBIGK8FV26V6C0059N5" hidden="1">#REF!</definedName>
    <definedName name="BExU4XWZRGDFLCPK6HI2B3EXIQNU" hidden="1">#REF!</definedName>
    <definedName name="BExU529CJ5AWHU0WNPZUYLVVT9GO" hidden="1">#REF!</definedName>
    <definedName name="BExU5N8L0E2WDEBA4ITD4A8FT8ON" hidden="1">#REF!</definedName>
    <definedName name="BExU67BIP4IDGLTCZMUKNEA7DFWZ" hidden="1">#REF!</definedName>
    <definedName name="BExU6MWL30NHY8I1G97R2SU1TD1Y" hidden="1">#REF!</definedName>
    <definedName name="BExU77L1ZM2BRJB4M5RWTLREPRBO" hidden="1">#REF!</definedName>
    <definedName name="BExU7DVMNLPZ8DIZKTOS0GLZESXN" hidden="1">#REF!</definedName>
    <definedName name="BExU7VUWIK7942LR3XULMKX3BJWZ" hidden="1">#REF!</definedName>
    <definedName name="BExU85AUW6RSKQIVXFO60KKE5T20" hidden="1">#REF!</definedName>
    <definedName name="BExU89XZ24NAEGSD8GN6NKO3596G" hidden="1">#REF!</definedName>
    <definedName name="BExU8FSGATXULCM675VF1KYAHGP1" hidden="1">#REF!</definedName>
    <definedName name="BExU8S2O68RLH6LUDGJKFXMKKE5J" hidden="1">#REF!</definedName>
    <definedName name="BExU8V2QEONF9R0X2D3R15MZ0GVY" hidden="1">#REF!</definedName>
    <definedName name="BExU9B98E0WUJ89KDTIKL2K0JEM7" hidden="1">#REF!</definedName>
    <definedName name="BExUB33FJHDI3XKPQSVL75HO9RQ3" hidden="1">#REF!</definedName>
    <definedName name="BExUB3JHDL430WKBOVB9KNTSWU3Q" hidden="1">#REF!</definedName>
    <definedName name="BExUBN64LPXX4Z738WO97YQ5MXMX" hidden="1">#REF!</definedName>
    <definedName name="BExUBNRVHXRIJBHKA2TWL10IFYUF" hidden="1">#REF!</definedName>
    <definedName name="BExUBPV8GB3LLCKQZCK9OFOFPN4G" hidden="1">#REF!</definedName>
    <definedName name="BExUCAEGQZ6PB4AG64761OAR17RY" hidden="1">#REF!</definedName>
    <definedName name="BExUDQ3JPLF15XXZMZ6T43VLXCV3" hidden="1">#REF!</definedName>
    <definedName name="BExVR15ITEN8TF2H5MGLG77YNGFE" hidden="1">#REF!</definedName>
    <definedName name="BExVR8NAH73TVNEQ6TXX8GAYA4RX" hidden="1">#REF!</definedName>
    <definedName name="BExVS6TAND82CBJNY4L4SO9LKEMV" hidden="1">#REF!</definedName>
    <definedName name="BExVTUAYUR922VXBNO4MN569BULR" hidden="1">#REF!</definedName>
    <definedName name="BExVTW3OZ04QHKTFPPDM5JDNT6C1" hidden="1">#REF!</definedName>
    <definedName name="BExVU6QMM5J49S1312H8AMNK3Y8U" hidden="1">#REF!</definedName>
    <definedName name="BExVV5YCKK0MXE0YK4RAVU70NQ9J" hidden="1">#REF!</definedName>
    <definedName name="BExVVA033OB71P301YYKYS90S2LK" hidden="1">#REF!</definedName>
    <definedName name="BExVVNMYH2AL4KNO33ZBGZMFPOT0" hidden="1">#REF!</definedName>
    <definedName name="BExVX3HJPV9ZPAY12RMBV261NE68" hidden="1">#REF!</definedName>
    <definedName name="BExVY7N7APOSX562C86T41J73BNN" hidden="1">#REF!</definedName>
    <definedName name="BExVY7XZS7ZEEEI66TWUYUKRGMHJ" hidden="1">#REF!</definedName>
    <definedName name="BExVYHJ8EVLAN4DTEXKNBKT2QX9B" hidden="1">#REF!</definedName>
    <definedName name="BExVZESW4KWQ72XZ6AAT3JSAGMMO" hidden="1">#REF!</definedName>
    <definedName name="BExW08X7MUCAUZUT84HH2K0HG8JM" hidden="1">#REF!</definedName>
    <definedName name="BExW0HBAR94L0RTT4FLGEJ88FO94" hidden="1">#REF!</definedName>
    <definedName name="BExW0HBC1RMZ2GDGOGDTNAOOFO74" hidden="1">#REF!</definedName>
    <definedName name="BExW0PJY0QT1YYHEOQPDHHNJJOC5" hidden="1">#REF!</definedName>
    <definedName name="BExW0ZFZK22WVH1ET2MVEUVKIIWF" hidden="1">#REF!</definedName>
    <definedName name="BExW22PGTQTO5C5TK1RQUWPR4X8X" hidden="1">#REF!</definedName>
    <definedName name="BExW27CKTHXIQCUL3RSLAFEQV8VT" hidden="1">#REF!</definedName>
    <definedName name="BExW29WF535OHEG91SW5OF7MQBU2" hidden="1">#REF!</definedName>
    <definedName name="BExW35YV9V70DFOPLUGI2W7IYOU2" hidden="1">#REF!</definedName>
    <definedName name="BExW4L7R1NVUKEQSVWZPXWCI6NVN" hidden="1">#REF!</definedName>
    <definedName name="BExW4S980QVHHT7SZ0CMVH1Z25PN" hidden="1">#REF!</definedName>
    <definedName name="BExW4W5HHUEZ3O9DYN9KJZWC1FEL" hidden="1">#REF!</definedName>
    <definedName name="BExW5EFO6R6U4UQLT4G2G4W9SX94" hidden="1">#REF!</definedName>
    <definedName name="BExW5X64UZDAB8GEIIQBWQV66NV9" hidden="1">#REF!</definedName>
    <definedName name="BExW61NYOHBXEBCZ80ZJTB38E7BS" hidden="1">#REF!</definedName>
    <definedName name="BExW64T5GUYKW4V1314DJGUR4ABG" hidden="1">#REF!</definedName>
    <definedName name="BExW6QE0VJ5RRAQZB4SWWF8JTHCL" hidden="1">#REF!</definedName>
    <definedName name="BExW6WJ2VW51JNF32JZF98WJDRR3" hidden="1">#REF!</definedName>
    <definedName name="BExW74MG1WIOS7FRGX4CXWYNPZV1" hidden="1">#REF!</definedName>
    <definedName name="BExW782LBJUIVCV6ACRLJBIKVJFQ" hidden="1">#REF!</definedName>
    <definedName name="BExW7NSY9CQA1O23DAZ9TYTC0PAO" hidden="1">#REF!</definedName>
    <definedName name="BExW7Q79RJWXCSWJIY4GLGGQXX5G" hidden="1">#REF!</definedName>
    <definedName name="BExW89DT2OUQ24LOFUS7BMP44P4B" hidden="1">#REF!</definedName>
    <definedName name="BExW9G39X58B5FGJEE8EY65TJ80A" hidden="1">#REF!</definedName>
    <definedName name="BExW9JZK2CSFMKED1TX7YD9FRDO3" hidden="1">#REF!</definedName>
    <definedName name="BExXLDOYNIS8GLKISUIBXIOW06CA" hidden="1">#REF!</definedName>
    <definedName name="BExXNRUWHTVKJZUNKVBFHLNVSDV2" hidden="1">#REF!</definedName>
    <definedName name="BExXNSLYWITH4246M4YVOUIV04ZJ" hidden="1">#REF!</definedName>
    <definedName name="BExXO1G5TG80TSHNS86X0DXO6YHY" hidden="1">#REF!</definedName>
    <definedName name="BExXO6E9ABFOYA2LVN6RLW4BO9G6" hidden="1">#REF!</definedName>
    <definedName name="BExXO6ZP85325PSLSXWM38N73O6V" hidden="1">#REF!</definedName>
    <definedName name="BExXOJQBVBDGLVEYZAE7AL8F0VWX" hidden="1">#REF!</definedName>
    <definedName name="BExXOMQ9421Y32TZ81U6YGIP35QU" hidden="1">#REF!</definedName>
    <definedName name="BExXPDUMN4B85QFXGPSJPII52QR3" hidden="1">#REF!</definedName>
    <definedName name="BExXPUMU4BLFWI2L0MHMM5F3OUPL" hidden="1">#REF!</definedName>
    <definedName name="BExXQ06J7OF0O2FO4WR0QK93RJ17" hidden="1">#REF!</definedName>
    <definedName name="BExXQHPNAFE4M6C2HYRCQNIU9D31" hidden="1">#REF!</definedName>
    <definedName name="BExXQMYEOGRO69K9BLZF14USRMVP" hidden="1">#REF!</definedName>
    <definedName name="BExXQS1SGPIQX0ESRMCECOYMUQQJ" hidden="1">#REF!</definedName>
    <definedName name="BExXRHIY77F53DUYX7CMZPXGRDAG" hidden="1">#REF!</definedName>
    <definedName name="BExXS406J7AGMJP1O0FOF1T8C1TH" hidden="1">#REF!</definedName>
    <definedName name="BExXSBY0S70HRJ1R0POASBK3RJTG" hidden="1">#REF!</definedName>
    <definedName name="BExXTINEGPKZ75DCUCEF3QOV6OES" hidden="1">#REF!</definedName>
    <definedName name="BExXTKAV4Y4JQ7D62LKGD89F9WMF" hidden="1">#REF!</definedName>
    <definedName name="BExXV1HWKTB46UXT08JLMPP8P4SP" hidden="1">#REF!</definedName>
    <definedName name="BExXWCEFPM2UFC3LC37H8GSMA5GA" hidden="1">#REF!</definedName>
    <definedName name="BExXY0SAZOPJMDG9GOR625UDCCS8" hidden="1">#REF!</definedName>
    <definedName name="BExXY2FR7PFLXNGA6J0Z6IQF8TYJ" hidden="1">#REF!</definedName>
    <definedName name="BExXZ3WEYVVV9XKKD5E86QEX5U57" hidden="1">#REF!</definedName>
    <definedName name="BExXZ4CKWN3R9HA311KINBA3R2K4" hidden="1">#REF!</definedName>
    <definedName name="BExXZ6QU5C0UMWY7U4BHVZNIPANK" hidden="1">#REF!</definedName>
    <definedName name="BExXZM14XID3OAA88OURJ7QSZW1E" hidden="1">#REF!</definedName>
    <definedName name="BExY05T95YHBLI9ZYWFFT2O2B871" hidden="1">#REF!</definedName>
    <definedName name="BExY1FIMLW9L499KIE7ZJ706UYLM" hidden="1">#REF!</definedName>
    <definedName name="BExY1ONMI973LYH6W67SZIDXWDA0" hidden="1">#REF!</definedName>
    <definedName name="BExY3BUHF49HBMC20Z30YPLFCPS7" hidden="1">#REF!</definedName>
    <definedName name="BExY3C59PDF2BON135CH8LLYNO9W" hidden="1">#REF!</definedName>
    <definedName name="BExY3FAME3HIN2RXBJJ7BFZOQELW" hidden="1">#REF!</definedName>
    <definedName name="BExY3JXT10HDV8IRQXYNHEEU49VD" hidden="1">#REF!</definedName>
    <definedName name="BExY3PS9FF16S8QWSYU89GM4E8VB" hidden="1">#REF!</definedName>
    <definedName name="BExY3YMHKXSM8ZA6J2QVK2F5QV01" hidden="1">#REF!</definedName>
    <definedName name="BExY4DRA1NB56I6KHB22C0U0NKPH" hidden="1">#REF!</definedName>
    <definedName name="BExY4PQUTBYZGBCOH80JJH5VLRD6" hidden="1">#REF!</definedName>
    <definedName name="BExY4SW8AV0ZS8G2TZLIRJTOBSGD" hidden="1">#REF!</definedName>
    <definedName name="BExY5BXBLQUW4SOF44M3WMGHRNE2" hidden="1">#REF!</definedName>
    <definedName name="BExZJA22HQFUO0AXG89KJGS2WE03" hidden="1">#REF!</definedName>
    <definedName name="BExZJU4ZJUO53Z0ZDKXRX3KI682X" hidden="1">#REF!</definedName>
    <definedName name="BExZJUFR8ZD3MXOX1G4GG5XP2KED" hidden="1">#REF!</definedName>
    <definedName name="BExZKGRIH1C8XY2R7Z1LHBXCBRJC" hidden="1">#REF!</definedName>
    <definedName name="BExZKSGC7HMLNQ93MWD3WL1IC9CB" hidden="1">#REF!</definedName>
    <definedName name="BExZLCDWOXSAL3E45Y87GOH1NUUX" hidden="1">#REF!</definedName>
    <definedName name="BExZLHRZMB1LAT56CZDZRRPS2Q5E" hidden="1">#REF!</definedName>
    <definedName name="BExZLT5ZPFGYISDYWOPOK90JLRBR" hidden="1">#REF!</definedName>
    <definedName name="BExZNIB2Z0PW4MJVTRVEDQX8NTGC" hidden="1">#REF!</definedName>
    <definedName name="BExZNJ1Y8RSOGU7HCLNI4JJ9WA8U" hidden="1">#REF!</definedName>
    <definedName name="BExZNT3IENBP4PJ3O1VRGS96XB1T" hidden="1">#REF!</definedName>
    <definedName name="BExZOEIVPQXLMQIOFZKVB6QU4PL2" hidden="1">#REF!</definedName>
    <definedName name="BExZOGBLV9VKIJSZA9FTH6F6I902" hidden="1">#REF!</definedName>
    <definedName name="BExZPFU3AP7RASS5X21Q6MTP5DI1" hidden="1">#REF!</definedName>
    <definedName name="BExZPUO3WXZZLJS5CMNV98Z7IUYV" hidden="1">#REF!</definedName>
    <definedName name="BExZPWBJ4H8RND8XVKNCJ474L2J6" hidden="1">#REF!</definedName>
    <definedName name="BExZQ97GRS1JT451BUNZG7OVGF7Q" hidden="1">#REF!</definedName>
    <definedName name="BExZRGNSUPG6TBX2L292MP1PLVMU" hidden="1">#REF!</definedName>
    <definedName name="BExZRYN6TKLS1N70DLRI2IKWN37Q" hidden="1">#REF!</definedName>
    <definedName name="BExZS1CBTC8QC8S2HIB93A2TPFQA" hidden="1">#REF!</definedName>
    <definedName name="BExZSYRAL38T8SFTHLEC94VZAPTB" hidden="1">#REF!</definedName>
    <definedName name="BExZSZ21VX9ESDG8PFXHDLT82KLO" hidden="1">#REF!</definedName>
    <definedName name="BExZT099CSLD6DJMIKJKIXDO8GD5" hidden="1">#REF!</definedName>
    <definedName name="BExZT4G9XWEXQ18D0PEKSEHI6WID" hidden="1">#REF!</definedName>
    <definedName name="BExZTC8S1L60TW34BLBQLDKD9RH4" hidden="1">#REF!</definedName>
    <definedName name="BExZTCP3AS1RQUH3NNZGOJY7ORHW" hidden="1">#REF!</definedName>
    <definedName name="BExZTYQ1JEJ7OY2XU5OVPIV2ST7B" hidden="1">#REF!</definedName>
    <definedName name="BExZUSZSJZU49WES7TCI0N0HW4M5" hidden="1">#REF!</definedName>
    <definedName name="BExZV4OFC4E044NV2AK8G2UA1XAF" hidden="1">#REF!</definedName>
    <definedName name="BExZV9H1B6HQ3CTT36TSBPJVPBCC" hidden="1">#REF!</definedName>
    <definedName name="BExZVCRRWDAEMKOMWLKW8Y589BTB" hidden="1">#REF!</definedName>
    <definedName name="BExZVW92BIGOE7S7BGNAK369OBAA" hidden="1">#REF!</definedName>
    <definedName name="BExZVY1T5KQPQN14OA9DGHD5LQ73" hidden="1">#REF!</definedName>
    <definedName name="BExZWO4ITR24TI60TY7ZB4VTJJ3K" hidden="1">#REF!</definedName>
    <definedName name="BExZWTO13WI5HYOD923V9HWRJYKJ" hidden="1">#REF!</definedName>
    <definedName name="BExZX1WSR48BBWSFW7QP7EUMPQM7" hidden="1">#REF!</definedName>
    <definedName name="BExZX4GH35RKUS1J9QYCED707B40" hidden="1">#REF!</definedName>
    <definedName name="BExZX6UR1O56BWA6BQC4BXY0VH5A" hidden="1">#REF!</definedName>
    <definedName name="BExZX8I6XYE9MJFC5JUG3ZJE9YCS" hidden="1">#REF!</definedName>
    <definedName name="BExZXYA4YA3LROELPDUCJ8SP9YM0" hidden="1">#REF!</definedName>
    <definedName name="BExZZ24YQOBUJTDPVU4JE2DI81OU" hidden="1">#REF!</definedName>
    <definedName name="BExZZC6HAIITD2LG9VYL7VF2213L" hidden="1">#REF!</definedName>
    <definedName name="BExZZX5LNMXWHX5WKP9XRZI1YZA1" hidden="1">#REF!</definedName>
    <definedName name="BGCurrencySelected" localSheetId="0">[7]Control!$K$6</definedName>
    <definedName name="BGCurrencySelected">#REF!</definedName>
    <definedName name="BGDetailSpendCategory">#REF!</definedName>
    <definedName name="BGOffset" localSheetId="0">[7]Control!$K$7</definedName>
    <definedName name="BGOffset">#REF!</definedName>
    <definedName name="BGSelected" localSheetId="0">[7]Control!$K$3</definedName>
    <definedName name="BGSelected">#REF!</definedName>
    <definedName name="BGSelectedList" localSheetId="0">[7]Control!$K$11:$K$15</definedName>
    <definedName name="BGSelectedList">#REF!</definedName>
    <definedName name="BGSpendCategory">#REF!</definedName>
    <definedName name="bidones">#REF!</definedName>
    <definedName name="Bidones2">#REF!</definedName>
    <definedName name="BLOKCAV">#REF!</definedName>
    <definedName name="BlowEffic">#REF!</definedName>
    <definedName name="bom" localSheetId="0">[9]BOM!$A$4:$AS$22</definedName>
    <definedName name="bom">#REF!</definedName>
    <definedName name="BPC" localSheetId="0">[10]Hoja1!$F$3:$F$62</definedName>
    <definedName name="BPC">#REF!</definedName>
    <definedName name="BUD">#REF!</definedName>
    <definedName name="BudFY">#REF!</definedName>
    <definedName name="BudHY">#REF!</definedName>
    <definedName name="BUDNY_USD" localSheetId="0">'[7]HQ Control'!$B$70</definedName>
    <definedName name="BUDNY_USD">#REF!</definedName>
    <definedName name="BudYTD">#REF!</definedName>
    <definedName name="BusinessGroupCodes" localSheetId="0">[11]Control!$P$11:$P$19</definedName>
    <definedName name="BusinessGroupCodes">#REF!</definedName>
    <definedName name="BusinessGroupCurrency" localSheetId="0">[11]Control!$T$11:$T$19</definedName>
    <definedName name="BusinessGroupCurrency">#REF!</definedName>
    <definedName name="BusinessGroups" localSheetId="0">[11]Control!$O$11:$O$19</definedName>
    <definedName name="BusinessGroups">#REF!</definedName>
    <definedName name="BUSpendCategory">#REF!</definedName>
    <definedName name="CAP_STD">#REF!</definedName>
    <definedName name="CAP_SUMMARY">#REF!</definedName>
    <definedName name="Cap1a">#REF!</definedName>
    <definedName name="Cap1b">#REF!</definedName>
    <definedName name="Cap1c">#REF!</definedName>
    <definedName name="Cap1d">#REF!</definedName>
    <definedName name="Cap1e">#REF!</definedName>
    <definedName name="Cap1f">#REF!</definedName>
    <definedName name="Cap1g">#REF!</definedName>
    <definedName name="Cap1h">#REF!</definedName>
    <definedName name="Cap1i">#REF!</definedName>
    <definedName name="Cap1j">#REF!</definedName>
    <definedName name="Cap1k">#REF!</definedName>
    <definedName name="Cap1l">#REF!</definedName>
    <definedName name="capacity">#REF!</definedName>
    <definedName name="CapAct">#REF!</definedName>
    <definedName name="CapBud">#REF!</definedName>
    <definedName name="CapFct">#REF!</definedName>
    <definedName name="CAPITAL">#REF!</definedName>
    <definedName name="CAPITAL_RANGE">#REF!</definedName>
    <definedName name="CASHFLOW">#REF!</definedName>
    <definedName name="CE">#REF!</definedName>
    <definedName name="CEÇ">#REF!</definedName>
    <definedName name="CEN">#REF!</definedName>
    <definedName name="CLIENTE">#REF!</definedName>
    <definedName name="CLIENTES_RECYPET">#REF!</definedName>
    <definedName name="cod.preformas">#REF!</definedName>
    <definedName name="COD_MAQ">#REF!</definedName>
    <definedName name="CODIGO">OFFSET(#REF!,0,0,COUNTA(#REF!),1)</definedName>
    <definedName name="colHide">#REF!</definedName>
    <definedName name="COLORES" localSheetId="0">[12]DATA!$A$2:$A$7</definedName>
    <definedName name="COLORES">#REF!</definedName>
    <definedName name="COVER_SHEET">#REF!</definedName>
    <definedName name="crecim" localSheetId="0">[13]Ventas!#REF!</definedName>
    <definedName name="crecim">#REF!</definedName>
    <definedName name="cur_list_2" localSheetId="0">[14]FXRates!$B$10:$C$20</definedName>
    <definedName name="cur_list_2">#REF!</definedName>
    <definedName name="Currency">#REF!</definedName>
    <definedName name="CUSMIX" localSheetId="0">'[5]CUS 97'!#REF!</definedName>
    <definedName name="CUSMIX">#REF!</definedName>
    <definedName name="dACC">#REF!</definedName>
    <definedName name="_xlnm.Database">#REF!</definedName>
    <definedName name="DataSpendCategory">#REF!</definedName>
    <definedName name="DCol1">#REF!</definedName>
    <definedName name="DCol10">#REF!</definedName>
    <definedName name="DCol11">#REF!</definedName>
    <definedName name="DCol12">#REF!</definedName>
    <definedName name="DCol13">#REF!</definedName>
    <definedName name="DCol14">#REF!</definedName>
    <definedName name="DCol15">#REF!</definedName>
    <definedName name="DCol16">#REF!</definedName>
    <definedName name="DCol17">#REF!</definedName>
    <definedName name="DCol18">#REF!</definedName>
    <definedName name="DCol19">#REF!</definedName>
    <definedName name="DCol2">#REF!</definedName>
    <definedName name="DCol20">#REF!</definedName>
    <definedName name="DCol21">#REF!</definedName>
    <definedName name="DCol22">#REF!</definedName>
    <definedName name="DCol23">#REF!</definedName>
    <definedName name="DCol24">#REF!</definedName>
    <definedName name="DCol3">#REF!</definedName>
    <definedName name="DCol30">#REF!</definedName>
    <definedName name="DCol31">#REF!</definedName>
    <definedName name="DCol4">#REF!</definedName>
    <definedName name="DCol5">#REF!</definedName>
    <definedName name="DCol6">#REF!</definedName>
    <definedName name="DCol7">#REF!</definedName>
    <definedName name="DCol8">#REF!</definedName>
    <definedName name="DCol9">#REF!</definedName>
    <definedName name="DColBG">#REF!</definedName>
    <definedName name="dCTM1">#REF!</definedName>
    <definedName name="dCTM2">#REF!</definedName>
    <definedName name="dCTM3">#REF!</definedName>
    <definedName name="dCTM4">#REF!</definedName>
    <definedName name="DEFECTOSPYS" localSheetId="0">[12]DATA!$C$2:$C$65</definedName>
    <definedName name="DEFECTOSPYS">#REF!</definedName>
    <definedName name="dENT">#REF!</definedName>
    <definedName name="DEPR">#REF!</definedName>
    <definedName name="DEPR1">#REF!</definedName>
    <definedName name="Descripción">#REF!</definedName>
    <definedName name="DESCUENTOS">#REF!</definedName>
    <definedName name="dICP">#REF!</definedName>
    <definedName name="DivSpendCategory">#REF!</definedName>
    <definedName name="dPER">#REF!</definedName>
    <definedName name="dSCE">#REF!</definedName>
    <definedName name="dVAL">#REF!</definedName>
    <definedName name="dVIEW">#REF!</definedName>
    <definedName name="dYEAR">#REF!</definedName>
    <definedName name="ea" localSheetId="0" hidden="1">{"RF_1",#N/A,FALSE,"RF Forms";"RF_2",#N/A,FALSE,"RF Forms";"RF_3",#N/A,FALSE,"RF Forms";"RF_4",#N/A,FALSE,"RF Forms";"RF_5",#N/A,FALSE,"RF Forms";"RF_6",#N/A,FALSE,"RF Forms";"RF_8",#N/A,FALSE,"RF Forms";"RF_9",#N/A,FALSE,"RF Forms";"RF_10",#N/A,FALSE,"RF Forms";"RF_11",#N/A,FALSE,"RF Forms";"RF_11.1",#N/A,FALSE,"RF Forms"}</definedName>
    <definedName name="ea" hidden="1">{"RF_1",#N/A,FALSE,"RF Forms";"RF_2",#N/A,FALSE,"RF Forms";"RF_3",#N/A,FALSE,"RF Forms";"RF_4",#N/A,FALSE,"RF Forms";"RF_5",#N/A,FALSE,"RF Forms";"RF_6",#N/A,FALSE,"RF Forms";"RF_8",#N/A,FALSE,"RF Forms";"RF_9",#N/A,FALSE,"RF Forms";"RF_10",#N/A,FALSE,"RF Forms";"RF_11",#N/A,FALSE,"RF Forms";"RF_11.1",#N/A,FALSE,"RF Forms"}</definedName>
    <definedName name="Efficiency">#REF!</definedName>
    <definedName name="el" localSheetId="0" hidden="1">{"MA_1",#N/A,FALSE,"Mgt Att";"MA_2",#N/A,FALSE,"Mgt Att"}</definedName>
    <definedName name="el" hidden="1">{"MA_1",#N/A,FALSE,"Mgt Att";"MA_2",#N/A,FALSE,"Mgt Att"}</definedName>
    <definedName name="ENT">#REF!</definedName>
    <definedName name="ENVASES" localSheetId="62">#REF!</definedName>
    <definedName name="ENVASES" localSheetId="0">[15]Varios!$B$2:$B$116</definedName>
    <definedName name="ENVASES">#REF!</definedName>
    <definedName name="Equipo1" localSheetId="0">[16]listas!$F$1:$F$27</definedName>
    <definedName name="Equipo1">#REF!</definedName>
    <definedName name="es" localSheetId="0" hidden="1">{"MF_1",#N/A,FALSE,"Mgt Forms";"MF_2",#N/A,FALSE,"Mgt Forms";"MF_3",#N/A,FALSE,"Mgt Forms";"MF_4",#N/A,FALSE,"Mgt Forms";"MF_5",#N/A,FALSE,"Mgt Forms";"MF_6",#N/A,FALSE,"Mgt Forms";"MF_7",#N/A,FALSE,"Mgt Forms";"MF_8",#N/A,FALSE,"Mgt Forms";"MF_9",#N/A,FALSE,"Mgt Forms";"MF_10",#N/A,FALSE,"Mgt Forms";"MF_11",#N/A,FALSE,"Mgt Forms";"MF_111",#N/A,FALSE,"Mgt Forms"}</definedName>
    <definedName name="es" hidden="1">{"MF_1",#N/A,FALSE,"Mgt Forms";"MF_2",#N/A,FALSE,"Mgt Forms";"MF_3",#N/A,FALSE,"Mgt Forms";"MF_4",#N/A,FALSE,"Mgt Forms";"MF_5",#N/A,FALSE,"Mgt Forms";"MF_6",#N/A,FALSE,"Mgt Forms";"MF_7",#N/A,FALSE,"Mgt Forms";"MF_8",#N/A,FALSE,"Mgt Forms";"MF_9",#N/A,FALSE,"Mgt Forms";"MF_10",#N/A,FALSE,"Mgt Forms";"MF_11",#N/A,FALSE,"Mgt Forms";"MF_111",#N/A,FALSE,"Mgt Forms"}</definedName>
    <definedName name="estac_mix" localSheetId="0">[13]Ventas!#REF!</definedName>
    <definedName name="estac_mix">#REF!</definedName>
    <definedName name="et" localSheetId="0" hidden="1">{"RA_1",#N/A,FALSE,"RF Att";"RA_2",#N/A,FALSE,"RF Att";"RA_2.1",#N/A,FALSE,"RF Att"}</definedName>
    <definedName name="et" hidden="1">{"RA_1",#N/A,FALSE,"RF Att";"RA_2",#N/A,FALSE,"RF Att";"RA_2.1",#N/A,FALSE,"RF Att"}</definedName>
    <definedName name="EV__CVPARAMS__" hidden="1">"Any by Any!$B$17:$C$38;"</definedName>
    <definedName name="EV__EVCOM_OPTIONS__" hidden="1">8</definedName>
    <definedName name="EV__EXPOPTIONS__" hidden="1">0</definedName>
    <definedName name="EV__LASTREFTIME__" hidden="1">40365.740775463</definedName>
    <definedName name="EV__MAXEXPCOLS__" hidden="1">100</definedName>
    <definedName name="EV__MAXEXPROWS__" hidden="1">3000</definedName>
    <definedName name="EV__MEMORYCVW__" hidden="1">0</definedName>
    <definedName name="EV__MEMORYCVW__BOOK3" hidden="1">"FINANCE"</definedName>
    <definedName name="EV__MEMORYCVW__BOOK3_ACCOUNT" hidden="1">"Financials"</definedName>
    <definedName name="EV__MEMORYCVW__BOOK3_CATEGORY" hidden="1">"PERActual"</definedName>
    <definedName name="EV__MEMORYCVW__BOOK3_DATASRC" hidden="1">"TOTALADJ"</definedName>
    <definedName name="EV__MEMORYCVW__BOOK3_DEPARTMENT" hidden="1">"TotalDept"</definedName>
    <definedName name="EV__MEMORYCVW__BOOK3_ENTITY" hidden="1">"PPUS"</definedName>
    <definedName name="EV__MEMORYCVW__BOOK3_INTCO" hidden="1">"All_InterCo"</definedName>
    <definedName name="EV__MEMORYCVW__BOOK3_MEASURES" hidden="1">"Periodic"</definedName>
    <definedName name="EV__MEMORYCVW__BOOK3_MFGTYPE" hidden="1">"TotalMfgType"</definedName>
    <definedName name="EV__MEMORYCVW__BOOK3_MOVEMENT" hidden="1">"EB"</definedName>
    <definedName name="EV__MEMORYCVW__BOOK3_RPTCURRENCY" hidden="1">"LC"</definedName>
    <definedName name="EV__MEMORYCVW__BOOK3_SEGMENT" hidden="1">"TotalSegment"</definedName>
    <definedName name="EV__MEMORYCVW__BOOK3_TIME" hidden="1">"2009.JUL"</definedName>
    <definedName name="EV__WBEVMODE__" hidden="1">1</definedName>
    <definedName name="EV__WBREFOPTIONS__" hidden="1">134217742</definedName>
    <definedName name="EV__WBVERSION__" hidden="1">0</definedName>
    <definedName name="EXTRAHRS">#REF!</definedName>
    <definedName name="FC_Jun_EUR" localSheetId="0">'[7]HQ Control'!#REF!</definedName>
    <definedName name="FC_Jun_EUR">#REF!</definedName>
    <definedName name="FC_Jun_SGD" localSheetId="0">'[7]HQ Control'!#REF!</definedName>
    <definedName name="FC_Jun_SGD">#REF!</definedName>
    <definedName name="FC_Jun_USD" localSheetId="0">'[7]HQ Control'!#REF!</definedName>
    <definedName name="FC_Jun_USD">#REF!</definedName>
    <definedName name="FCDEC_USD" localSheetId="0">'[7]HQ Control'!$B$57</definedName>
    <definedName name="FCDEC_USD">#REF!</definedName>
    <definedName name="FCJUN_USD" localSheetId="0">'[7]HQ Control'!$B$58</definedName>
    <definedName name="FCJUN_USD">#REF!</definedName>
    <definedName name="Fcst" localSheetId="0" hidden="1">{"RA_1",#N/A,FALSE,"RF Att";"RA_2",#N/A,FALSE,"RF Att";"RA_2.1",#N/A,FALSE,"RF Att"}</definedName>
    <definedName name="Fcst" hidden="1">{"RA_1",#N/A,FALSE,"RF Att";"RA_2",#N/A,FALSE,"RF Att";"RA_2.1",#N/A,FALSE,"RF Att"}</definedName>
    <definedName name="FctFY">#REF!</definedName>
    <definedName name="FctHY">#REF!</definedName>
    <definedName name="Feb" localSheetId="0">[17]ENE07!$A$1:$C$65536</definedName>
    <definedName name="Feb">#REF!</definedName>
    <definedName name="fecha" localSheetId="0">[12]DATA!$N$2:$N$32</definedName>
    <definedName name="fecha">#REF!</definedName>
    <definedName name="FHYrs" localSheetId="0">[11]Control!$C$11:$C$16</definedName>
    <definedName name="FHYrs">#REF!</definedName>
    <definedName name="FISICA">#REF!</definedName>
    <definedName name="Form_17">#REF!</definedName>
    <definedName name="Form_18">#REF!</definedName>
    <definedName name="GGGR">OFFSET(#REF!,0,0,COUNTA(#REF!))</definedName>
    <definedName name="GRAFCAT">#REF!</definedName>
    <definedName name="GRAFTOTAL">#REF!</definedName>
    <definedName name="gruposcargos" localSheetId="0">[6]Sheet3!$G$4:$G$14</definedName>
    <definedName name="gruposcargos">#REF!</definedName>
    <definedName name="hA" localSheetId="0">[18]XA!$C$3</definedName>
    <definedName name="hA">#REF!</definedName>
    <definedName name="hB" localSheetId="0">[3]Admin!$B$15</definedName>
    <definedName name="hB">#REF!</definedName>
    <definedName name="hC" localSheetId="0">[18]XA!$C$18</definedName>
    <definedName name="hC">#REF!</definedName>
    <definedName name="hC_B" localSheetId="0">[18]XA!$C$22</definedName>
    <definedName name="hC_B">#REF!</definedName>
    <definedName name="hCUR" localSheetId="0">[3]Admin!$D$12</definedName>
    <definedName name="hCUR">#REF!</definedName>
    <definedName name="hdrData">#REF!</definedName>
    <definedName name="hE" localSheetId="0">[18]XA!$C$5</definedName>
    <definedName name="hE">#REF!</definedName>
    <definedName name="hED" localSheetId="0">[18]XA!$C$6</definedName>
    <definedName name="hED">#REF!</definedName>
    <definedName name="hEDB_OFFSET" localSheetId="0">[18]XA!#REF!</definedName>
    <definedName name="hEDB_OFFSET">#REF!</definedName>
    <definedName name="hEDB_PKG" localSheetId="0">[18]XA!#REF!</definedName>
    <definedName name="hEDB_PKG">#REF!</definedName>
    <definedName name="hEDB_PMILLS" localSheetId="0">[18]XA!#REF!</definedName>
    <definedName name="hEDB_PMILLS">#REF!</definedName>
    <definedName name="hENTITY" localSheetId="0">[3]Admin!$C$12</definedName>
    <definedName name="hENTITY">#REF!</definedName>
    <definedName name="hF" localSheetId="0">[3]Admin!$B$19</definedName>
    <definedName name="hF">#REF!</definedName>
    <definedName name="HFI_Causas">#REF!</definedName>
    <definedName name="hFP" localSheetId="0">[3]Admin!$B$18</definedName>
    <definedName name="hFP">#REF!</definedName>
    <definedName name="hFY" localSheetId="0">[18]XA!$C$11</definedName>
    <definedName name="hFY">#REF!</definedName>
    <definedName name="HideShowBusUnits" localSheetId="0">[11]Control!$X$11:$X$16</definedName>
    <definedName name="HideShowBusUnits">#REF!</definedName>
    <definedName name="HideShowPeriods" localSheetId="0">[11]Control!$E$11:$E$16</definedName>
    <definedName name="HideShowPeriods">#REF!</definedName>
    <definedName name="HOJA1">#REF!</definedName>
    <definedName name="hP" localSheetId="0">[3]Admin!$B$17</definedName>
    <definedName name="hP">#REF!</definedName>
    <definedName name="hP_CMONTH" localSheetId="0">[18]XA!$G$6</definedName>
    <definedName name="hP_CMONTH">#REF!</definedName>
    <definedName name="hP_CYEAR" localSheetId="0">[18]XA!$M$6</definedName>
    <definedName name="hP_CYEAR">#REF!</definedName>
    <definedName name="hP_MNO" localSheetId="0">[18]XA!$F$6</definedName>
    <definedName name="hP_MNO">#REF!</definedName>
    <definedName name="hRound">#REF!</definedName>
    <definedName name="hSCALE" localSheetId="0">[18]XA!$C$13</definedName>
    <definedName name="hSCALE">#REF!</definedName>
    <definedName name="I">#REF!</definedName>
    <definedName name="ICAMIX" localSheetId="0">'[5]ICA 97 '!#REF!</definedName>
    <definedName name="ICAMIX">#REF!</definedName>
    <definedName name="ICP">#REF!</definedName>
    <definedName name="II">#REF!</definedName>
    <definedName name="Imprimir_área_IM">#REF!</definedName>
    <definedName name="Imprimir_títulos_IM">#REF!</definedName>
    <definedName name="IN09_M">#REF!</definedName>
    <definedName name="InjEffic">#REF!</definedName>
    <definedName name="IntercompanyListing" localSheetId="0">'[19]Bal Sheet'!#REF!</definedName>
    <definedName name="IntercompanyListing">#REF!</definedName>
    <definedName name="Inventory">#REF!</definedName>
    <definedName name="INY_GENER">#REF!</definedName>
    <definedName name="INYECTORAS">#REF!</definedName>
    <definedName name="INYECTORAS_BD">#REF!</definedName>
    <definedName name="IT" localSheetId="0">[10]Hoja3!$B$2:$B$88</definedName>
    <definedName name="IT">#REF!</definedName>
    <definedName name="item">#REF!</definedName>
    <definedName name="JULMIX" localSheetId="0">'[5]JUL 97'!#REF!</definedName>
    <definedName name="JULMIX">#REF!</definedName>
    <definedName name="K2_WBEVMODE" hidden="1">0</definedName>
    <definedName name="LA" localSheetId="0">[10]Hoja3!#REF!</definedName>
    <definedName name="LA">#REF!</definedName>
    <definedName name="LEFT">#REF!</definedName>
    <definedName name="LIQUIDATION">#REF!</definedName>
    <definedName name="LISTA_1">#REF!</definedName>
    <definedName name="LISTA_2">#REF!</definedName>
    <definedName name="LISTAPLANTAS">#REF!</definedName>
    <definedName name="LY">#REF!</definedName>
    <definedName name="MACRO">#REF!</definedName>
    <definedName name="MANNING">#REF!</definedName>
    <definedName name="MAQ">#REF!</definedName>
    <definedName name="MAQUINAS">#REF!</definedName>
    <definedName name="material">#REF!</definedName>
    <definedName name="MATRIZ_BD">#REF!</definedName>
    <definedName name="matriz_produccion">#REF!</definedName>
    <definedName name="Mix_estac" localSheetId="0">[20]Ventas!#REF!</definedName>
    <definedName name="Mix_estac">#REF!</definedName>
    <definedName name="MonthSelected">#REF!</definedName>
    <definedName name="MOR">#REF!</definedName>
    <definedName name="MOT">#REF!</definedName>
    <definedName name="MOY">#REF!</definedName>
    <definedName name="MTH" localSheetId="0">'[7]HQ Control'!$B$32</definedName>
    <definedName name="MTH">#REF!</definedName>
    <definedName name="mw" localSheetId="0">OFFSET('[21]Base GGGR'!$E$1,0,0,COUNTA('[21]Base GGGR'!$E:$E),1)</definedName>
    <definedName name="mw">OFFSET(#REF!,0,0,COUNTA(#REF!),1)</definedName>
    <definedName name="N">#REF!</definedName>
    <definedName name="NetCap1a">#REF!</definedName>
    <definedName name="NetCap1b">#REF!</definedName>
    <definedName name="NetCap1c">#REF!</definedName>
    <definedName name="NetCap2a">#REF!</definedName>
    <definedName name="NetCap2b">#REF!</definedName>
    <definedName name="NetCap2c">#REF!</definedName>
    <definedName name="NetCap3a">#REF!</definedName>
    <definedName name="NetCap3b">#REF!</definedName>
    <definedName name="NetCap3c">#REF!</definedName>
    <definedName name="NombreTabla">"Dummy"</definedName>
    <definedName name="NON_LABOR_SAVINGS">#REF!</definedName>
    <definedName name="NOV" localSheetId="0">[22]NOV!$A$1:$C$65536</definedName>
    <definedName name="NOV">#REF!</definedName>
    <definedName name="NYFGDSA">#REF!</definedName>
    <definedName name="O">#REF!</definedName>
    <definedName name="Operativo" localSheetId="0">[2]Hoja1!$H$2:$H$4</definedName>
    <definedName name="Operativo">#REF!</definedName>
    <definedName name="OUTLITHO">#REF!</definedName>
    <definedName name="Owner" localSheetId="0">[23]Hoja1!$N$2:$N$10</definedName>
    <definedName name="Owner">#REF!</definedName>
    <definedName name="P">#REF!</definedName>
    <definedName name="pagina1">#REF!</definedName>
    <definedName name="País" localSheetId="0">[2]Hoja1!$B$2:$B$7</definedName>
    <definedName name="País">#REF!</definedName>
    <definedName name="PAPET" localSheetId="0">OFFSET('[24]Base GGGR'!$I$1,0,0,COUNTA('[24]Base GGGR'!$I$1:$I$65536),1)</definedName>
    <definedName name="PAPET">OFFSET(#REF!,0,0,COUNTA(#REF!),1)</definedName>
    <definedName name="PARADAS" localSheetId="0">'[25]CARGA PARADAS'!$B$8:$E$1003</definedName>
    <definedName name="PARADAS">#REF!</definedName>
    <definedName name="PE">#REF!</definedName>
    <definedName name="PER">#REF!</definedName>
    <definedName name="PeriodMonths" localSheetId="0">[7]Control!$H$11:$H$22</definedName>
    <definedName name="PeriodMonths">#REF!</definedName>
    <definedName name="PG" localSheetId="0">OFFSET('[26]Base GGGR'!$E$1,0,0,COUNTA('[26]Base GGGR'!$E$1:$E$65536),1)</definedName>
    <definedName name="PG">OFFSET(#REF!,0,0,COUNTA(#REF!),1)</definedName>
    <definedName name="Planta" localSheetId="0">[2]Hoja1!$D$2:$D$11</definedName>
    <definedName name="Planta">#REF!</definedName>
    <definedName name="PlantSelectedList" localSheetId="0">[7]Control!$X$11:$X$17</definedName>
    <definedName name="PlantSelectedList">#REF!</definedName>
    <definedName name="PMAINT">#REF!</definedName>
    <definedName name="PREFORMA">#REF!</definedName>
    <definedName name="_xlnm.Print_Area" localSheetId="52">'IHS PCR'!$A$1:$X$53</definedName>
    <definedName name="Print_F07">#REF!</definedName>
    <definedName name="Productos">#REF!</definedName>
    <definedName name="PSUM_BUD">#REF!</definedName>
    <definedName name="qq" localSheetId="0">[27]XA!#REF!</definedName>
    <definedName name="qq">#REF!</definedName>
    <definedName name="RANGE1_ATT1">#REF!</definedName>
    <definedName name="RANGE1_CAPEX">#REF!</definedName>
    <definedName name="RANGE1_F01">#REF!</definedName>
    <definedName name="RANGE1_F05">#REF!</definedName>
    <definedName name="RANGE1_F06">#REF!</definedName>
    <definedName name="RANGE1_F07">#REF!</definedName>
    <definedName name="RANGE1_F08">#REF!</definedName>
    <definedName name="RANGE1_F1">#REF!</definedName>
    <definedName name="RANGE1_F5">#REF!</definedName>
    <definedName name="RANGE1_F7">#REF!</definedName>
    <definedName name="RANGE1_INDEX">#REF!</definedName>
    <definedName name="RANGE1_INSTRUCTIONS">#REF!</definedName>
    <definedName name="RANGE1_INTERCOY">#REF!</definedName>
    <definedName name="RANGE1_TAX">#REF!</definedName>
    <definedName name="RANGE1_VAL">#REF!</definedName>
    <definedName name="RANGE1_WCAP">#REF!</definedName>
    <definedName name="RANGE2_ATT1">#REF!</definedName>
    <definedName name="RANGE2_CAPEX">#REF!</definedName>
    <definedName name="RANGE2_F01">#REF!</definedName>
    <definedName name="RANGE2_F06">#REF!</definedName>
    <definedName name="RANGE2_F07">#REF!</definedName>
    <definedName name="RANGE2_f08">#REF!</definedName>
    <definedName name="RANGE2_F1">#REF!</definedName>
    <definedName name="RANGE2_F5">#REF!</definedName>
    <definedName name="RANGE2_F7">#REF!</definedName>
    <definedName name="RANGE2_INTERCOY">#REF!</definedName>
    <definedName name="RANGE2_VAL">#REF!</definedName>
    <definedName name="RANGE2_WCAP">#REF!</definedName>
    <definedName name="reporteOEE">#REF!</definedName>
    <definedName name="Reportexdia2">#REF!</definedName>
    <definedName name="resina">#REF!</definedName>
    <definedName name="RESINAS">OFFSET(#REF!,0,0,COUNTA(#REF!),1)</definedName>
    <definedName name="ResinInventory">#REF!</definedName>
    <definedName name="Resumen" hidden="1">#REF!</definedName>
    <definedName name="resumen_diario">#REF!</definedName>
    <definedName name="RI">#REF!</definedName>
    <definedName name="rowHide">#REF!</definedName>
    <definedName name="rownumber">#REF!</definedName>
    <definedName name="s" hidden="1">#REF!</definedName>
    <definedName name="salestax">#REF!</definedName>
    <definedName name="SAPBEXhrIndnt" hidden="1">"Wide"</definedName>
    <definedName name="SAPsysID" hidden="1">"708C5W7SBKP804JT78WJ0JNKI"</definedName>
    <definedName name="SAPwbID" hidden="1">"ARS"</definedName>
    <definedName name="SCALE" localSheetId="0">[28]Retrieve!$A$2</definedName>
    <definedName name="SCALE">#REF!</definedName>
    <definedName name="SCE">#REF!</definedName>
    <definedName name="SCRAP">#REF!</definedName>
    <definedName name="sdfasdf" localSheetId="0">'[29]Any by Any'!#REF!</definedName>
    <definedName name="sdfasdf">#REF!</definedName>
    <definedName name="ShowDataColumnsSelector" localSheetId="0">[7]Control!$B$11</definedName>
    <definedName name="ShowDataColumnsSelector">#REF!</definedName>
    <definedName name="SHYrs" localSheetId="0">[11]Control!$B$11:$B$16</definedName>
    <definedName name="SHYrs">#REF!</definedName>
    <definedName name="SIDEL10" localSheetId="0">'[1]Sidel 1014'!$E$4:$E$213</definedName>
    <definedName name="SIDEL10">#REF!</definedName>
    <definedName name="SIDEL2" localSheetId="0">'[1]Sidel 1032'!$E$4:$E$210</definedName>
    <definedName name="SIDEL2">#REF!</definedName>
    <definedName name="SIDEL4" localSheetId="0">'[1]Sidel 302'!$E$4:$E$185</definedName>
    <definedName name="SIDEL4">#REF!</definedName>
    <definedName name="SpendCategories" localSheetId="0">[7]Control!$D$11:$D$21</definedName>
    <definedName name="SpendCategories">#REF!</definedName>
    <definedName name="SPOILAGE">#REF!</definedName>
    <definedName name="STARTUP">#REF!</definedName>
    <definedName name="StratOptionTypes" localSheetId="0">[11]Control!$Z$11:$Z$13</definedName>
    <definedName name="StratOptionTypes">#REF!</definedName>
    <definedName name="subareaops" localSheetId="0">[6]Sheet3!$F$4:$F$7</definedName>
    <definedName name="subareaops">#REF!</definedName>
    <definedName name="SummarySpendCategory">#REF!</definedName>
    <definedName name="sup_bwn">#REF!</definedName>
    <definedName name="SUPERVISOR">OFFSET(#REF!,0,0,COUNTA(#REF!),1)</definedName>
    <definedName name="SUPERVISORES">#REF!</definedName>
    <definedName name="TACMIX" localSheetId="0">'[5]TAC 97'!#REF!</definedName>
    <definedName name="TACMIX">#REF!</definedName>
    <definedName name="TAXABLE">#REF!</definedName>
    <definedName name="TC" localSheetId="0">'[30]BD$'!$C$1</definedName>
    <definedName name="TC">#REF!</definedName>
    <definedName name="Test" localSheetId="0" hidden="1">{"RA_1",#N/A,FALSE,"RF Att";"RA_2",#N/A,FALSE,"RF Att";"RA_2.1",#N/A,FALSE,"RF Att"}</definedName>
    <definedName name="Test" hidden="1">{"RA_1",#N/A,FALSE,"RF Att";"RA_2",#N/A,FALSE,"RF Att";"RA_2.1",#N/A,FALSE,"RF Att"}</definedName>
    <definedName name="TF">#REF!</definedName>
    <definedName name="TIME_A">#REF!</definedName>
    <definedName name="TIME_B">#REF!</definedName>
    <definedName name="TIME_C">#REF!</definedName>
    <definedName name="TIME_D">#REF!</definedName>
    <definedName name="TIME_E">#REF!</definedName>
    <definedName name="Tipo" localSheetId="0">[2]Hoja1!$F$2:$F$7</definedName>
    <definedName name="Tipo">#REF!</definedName>
    <definedName name="tipoempleado" localSheetId="0">[6]Sheet3!$D$4:$D$6</definedName>
    <definedName name="tipoempleado">#REF!</definedName>
    <definedName name="total_savings">#REF!</definedName>
    <definedName name="UNPROGMACH">#REF!</definedName>
    <definedName name="UPDATE">#REF!</definedName>
    <definedName name="usd">#REF!</definedName>
    <definedName name="UTILITY___REPAIR">#REF!</definedName>
    <definedName name="VAL">#REF!</definedName>
    <definedName name="VAL_CAPEX">#REF!</definedName>
    <definedName name="VAL_F1">#REF!</definedName>
    <definedName name="VAL_F10_1">#REF!</definedName>
    <definedName name="VAL_F5">#REF!</definedName>
    <definedName name="VAL_F7">#REF!</definedName>
    <definedName name="VAL_INTERCOY">#REF!</definedName>
    <definedName name="VAL_WCAP">#REF!</definedName>
    <definedName name="VATTEM">#REF!</definedName>
    <definedName name="VB_CHECK">#REF!</definedName>
    <definedName name="VB_CHECKRANGE">#REF!</definedName>
    <definedName name="VB_INDEX">#REF!</definedName>
    <definedName name="VB_PAPERSIZE">#REF!</definedName>
    <definedName name="VB_SHEETNAME">#REF!</definedName>
    <definedName name="VIEW">#REF!</definedName>
    <definedName name="VLOOKUP_RANGE">#REF!</definedName>
    <definedName name="Volume" hidden="1">40773.7581134259</definedName>
    <definedName name="VTACCP">#REF!</definedName>
    <definedName name="VTACONS">#REF!</definedName>
    <definedName name="VTADIA">#REF!</definedName>
    <definedName name="VTAEWB" localSheetId="0">[31]Centro!$B$12:$G$37</definedName>
    <definedName name="VTAEWB">#REF!</definedName>
    <definedName name="VTAEXPR">#REF!</definedName>
    <definedName name="VTAPMONTT">#REF!</definedName>
    <definedName name="VTATAL">#REF!</definedName>
    <definedName name="VTAVIÑ">#REF!</definedName>
    <definedName name="VTAVIÑA">#REF!</definedName>
    <definedName name="VTOL" localSheetId="0">[32]XA!$C$19</definedName>
    <definedName name="VTOL">#REF!</definedName>
    <definedName name="w" localSheetId="0">'[21]Produccion codigos SAP'!$EZ$3:$EZ$1004</definedName>
    <definedName name="w">#REF!</definedName>
    <definedName name="WITH">#REF!</definedName>
    <definedName name="WITHOUT">#REF!</definedName>
    <definedName name="WkgCap">#REF!</definedName>
    <definedName name="wm" localSheetId="0">OFFSET('[21]Base GGGR'!$E$1,0,0,COUNTA('[21]Base GGGR'!$E:$E),1)</definedName>
    <definedName name="wm">OFFSET(#REF!,0,0,COUNTA(#REF!),1)</definedName>
    <definedName name="wrn.Management._.Attachments." localSheetId="0" hidden="1">{"MA_1",#N/A,FALSE,"Mgt Att";"MA_2",#N/A,FALSE,"Mgt Att"}</definedName>
    <definedName name="wrn.Management._.Attachments." hidden="1">{"MA_1",#N/A,FALSE,"Mgt Att";"MA_2",#N/A,FALSE,"Mgt Att"}</definedName>
    <definedName name="wrn.Management._.Reports." localSheetId="0" hidden="1">{"MF_1",#N/A,FALSE,"Mgt Forms";"MF_2",#N/A,FALSE,"Mgt Forms";"MF_3",#N/A,FALSE,"Mgt Forms";"MF_4",#N/A,FALSE,"Mgt Forms";"MF_5",#N/A,FALSE,"Mgt Forms";"MF_6",#N/A,FALSE,"Mgt Forms";"MF_7",#N/A,FALSE,"Mgt Forms";"MF_8",#N/A,FALSE,"Mgt Forms";"MF_9",#N/A,FALSE,"Mgt Forms";"MF_10",#N/A,FALSE,"Mgt Forms";"MF_11",#N/A,FALSE,"Mgt Forms";"MF_111",#N/A,FALSE,"Mgt Forms"}</definedName>
    <definedName name="wrn.Management._.Reports." hidden="1">{"MF_1",#N/A,FALSE,"Mgt Forms";"MF_2",#N/A,FALSE,"Mgt Forms";"MF_3",#N/A,FALSE,"Mgt Forms";"MF_4",#N/A,FALSE,"Mgt Forms";"MF_5",#N/A,FALSE,"Mgt Forms";"MF_6",#N/A,FALSE,"Mgt Forms";"MF_7",#N/A,FALSE,"Mgt Forms";"MF_8",#N/A,FALSE,"Mgt Forms";"MF_9",#N/A,FALSE,"Mgt Forms";"MF_10",#N/A,FALSE,"Mgt Forms";"MF_11",#N/A,FALSE,"Mgt Forms";"MF_111",#N/A,FALSE,"Mgt Forms"}</definedName>
    <definedName name="wrn.Revised._.Forecast._.1._.Attachments." localSheetId="0" hidden="1">{"RA_1",#N/A,FALSE,"RF Att";"RA_2",#N/A,FALSE,"RF Att";"RA_2.1",#N/A,FALSE,"RF Att"}</definedName>
    <definedName name="wrn.Revised._.Forecast._.1._.Attachments." hidden="1">{"RA_1",#N/A,FALSE,"RF Att";"RA_2",#N/A,FALSE,"RF Att";"RA_2.1",#N/A,FALSE,"RF Att"}</definedName>
    <definedName name="wrn.Revised._.Forecast._.1._.Forms." localSheetId="0" hidden="1">{"RF_1",#N/A,FALSE,"RF Forms";"RF_2",#N/A,FALSE,"RF Forms";"RF_3",#N/A,FALSE,"RF Forms";"RF_4",#N/A,FALSE,"RF Forms";"RF_5",#N/A,FALSE,"RF Forms";"RF_6",#N/A,FALSE,"RF Forms";"RF_8",#N/A,FALSE,"RF Forms";"RF_9",#N/A,FALSE,"RF Forms";"RF_10",#N/A,FALSE,"RF Forms";"RF_11",#N/A,FALSE,"RF Forms";"RF_11.1",#N/A,FALSE,"RF Forms"}</definedName>
    <definedName name="wrn.Revised._.Forecast._.1._.Forms." hidden="1">{"RF_1",#N/A,FALSE,"RF Forms";"RF_2",#N/A,FALSE,"RF Forms";"RF_3",#N/A,FALSE,"RF Forms";"RF_4",#N/A,FALSE,"RF Forms";"RF_5",#N/A,FALSE,"RF Forms";"RF_6",#N/A,FALSE,"RF Forms";"RF_8",#N/A,FALSE,"RF Forms";"RF_9",#N/A,FALSE,"RF Forms";"RF_10",#N/A,FALSE,"RF Forms";"RF_11",#N/A,FALSE,"RF Forms";"RF_11.1",#N/A,FALSE,"RF Forms"}</definedName>
    <definedName name="XAQ">#REF!</definedName>
    <definedName name="XASDDF">#REF!</definedName>
    <definedName name="XCol1">#REF!</definedName>
    <definedName name="XCol2">#REF!</definedName>
    <definedName name="XCol3">#REF!</definedName>
    <definedName name="XCol4">#REF!</definedName>
    <definedName name="XCol5">#REF!</definedName>
    <definedName name="XCol6">#REF!</definedName>
    <definedName name="XCol7">#REF!</definedName>
    <definedName name="XE">#REF!</definedName>
    <definedName name="XET">#REF!</definedName>
    <definedName name="XQ">#REF!</definedName>
    <definedName name="XS">#REF!</definedName>
    <definedName name="y" localSheetId="0" hidden="1">{"RA_1",#N/A,FALSE,"RF Att";"RA_2",#N/A,FALSE,"RF Att";"RA_2.1",#N/A,FALSE,"RF Att"}</definedName>
    <definedName name="y" hidden="1">{"RA_1",#N/A,FALSE,"RF Att";"RA_2",#N/A,FALSE,"RF Att";"RA_2.1",#N/A,FALSE,"RF Att"}</definedName>
    <definedName name="YEAR">#REF!</definedName>
    <definedName name="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V4" i="80" l="1"/>
  <c r="D12" i="51" l="1"/>
  <c r="AL3" i="64"/>
  <c r="AV13" i="80"/>
  <c r="AU4" i="80"/>
  <c r="D62" i="81"/>
  <c r="AE22" i="80" l="1"/>
  <c r="AD22" i="80"/>
  <c r="AC22" i="80"/>
  <c r="AB22" i="80"/>
  <c r="AA22" i="80"/>
  <c r="AA23" i="80" s="1"/>
  <c r="Z22" i="80"/>
  <c r="Z23" i="80" s="1"/>
  <c r="AE21" i="80"/>
  <c r="AD21" i="80"/>
  <c r="AC21" i="80"/>
  <c r="AB21" i="80"/>
  <c r="AA21" i="80"/>
  <c r="Z21" i="80"/>
  <c r="AE20" i="80"/>
  <c r="AM15" i="80"/>
  <c r="AL15" i="80"/>
  <c r="AK15" i="80"/>
  <c r="AJ15" i="80"/>
  <c r="AI15" i="80"/>
  <c r="AH15" i="80"/>
  <c r="AG15" i="80"/>
  <c r="AF15" i="80"/>
  <c r="AE15" i="80"/>
  <c r="AD15" i="80"/>
  <c r="AC15" i="80"/>
  <c r="AB15" i="80"/>
  <c r="AA15" i="80"/>
  <c r="Z15" i="80"/>
  <c r="Y15" i="80"/>
  <c r="X15" i="80"/>
  <c r="W15" i="80"/>
  <c r="V15" i="80"/>
  <c r="U15" i="80"/>
  <c r="T15" i="80"/>
  <c r="S15" i="80"/>
  <c r="R15" i="80"/>
  <c r="Q15" i="80"/>
  <c r="P15" i="80"/>
  <c r="O15" i="80"/>
  <c r="AU13" i="80"/>
  <c r="AU17" i="80" s="1"/>
  <c r="AT13" i="80"/>
  <c r="AT17" i="80" s="1"/>
  <c r="AS13" i="80"/>
  <c r="AS17" i="80" s="1"/>
  <c r="AR13" i="80"/>
  <c r="AR17" i="80" s="1"/>
  <c r="AQ13" i="80"/>
  <c r="AQ17" i="80" s="1"/>
  <c r="AP13" i="80"/>
  <c r="AP17" i="80" s="1"/>
  <c r="AO13" i="80"/>
  <c r="AO17" i="80" s="1"/>
  <c r="AN13" i="80"/>
  <c r="AN17" i="80" s="1"/>
  <c r="AM13" i="80"/>
  <c r="AL13" i="80"/>
  <c r="AK13" i="80"/>
  <c r="AJ13" i="80"/>
  <c r="AI13" i="80"/>
  <c r="AH13" i="80"/>
  <c r="AG13" i="80"/>
  <c r="AF13" i="80"/>
  <c r="AE13" i="80"/>
  <c r="AD13" i="80"/>
  <c r="AC13" i="80"/>
  <c r="AB13" i="80"/>
  <c r="AA13" i="80"/>
  <c r="Z13" i="80"/>
  <c r="Y13" i="80"/>
  <c r="X13" i="80"/>
  <c r="W13" i="80"/>
  <c r="V13" i="80"/>
  <c r="U13" i="80"/>
  <c r="T13" i="80"/>
  <c r="S13" i="80"/>
  <c r="R13" i="80"/>
  <c r="Q13" i="80"/>
  <c r="P13" i="80"/>
  <c r="O13" i="80"/>
  <c r="AP11" i="80"/>
  <c r="AO11" i="80"/>
  <c r="AN11" i="80"/>
  <c r="AE7" i="80"/>
  <c r="AE8" i="80" s="1"/>
  <c r="AD6" i="80"/>
  <c r="AD7" i="80" s="1"/>
  <c r="AC6" i="80"/>
  <c r="AC7" i="80" s="1"/>
  <c r="AC10" i="80" s="1"/>
  <c r="AB6" i="80"/>
  <c r="AB7" i="80" s="1"/>
  <c r="AB9" i="80" s="1"/>
  <c r="AA6" i="80"/>
  <c r="AA7" i="80" s="1"/>
  <c r="Z6" i="80"/>
  <c r="Z7" i="80" s="1"/>
  <c r="Y6" i="80"/>
  <c r="Y7" i="80" s="1"/>
  <c r="X6" i="80"/>
  <c r="X7" i="80" s="1"/>
  <c r="W6" i="80"/>
  <c r="W7" i="80" s="1"/>
  <c r="V6" i="80"/>
  <c r="V7" i="80" s="1"/>
  <c r="U6" i="80"/>
  <c r="U7" i="80" s="1"/>
  <c r="T6" i="80"/>
  <c r="T7" i="80" s="1"/>
  <c r="S6" i="80"/>
  <c r="S7" i="80" s="1"/>
  <c r="R6" i="80"/>
  <c r="R7" i="80" s="1"/>
  <c r="Q6" i="80"/>
  <c r="Q7" i="80" s="1"/>
  <c r="P6" i="80"/>
  <c r="P7" i="80" s="1"/>
  <c r="O6" i="80"/>
  <c r="O7" i="80" s="1"/>
  <c r="AU5" i="80"/>
  <c r="AV5" i="80" s="1"/>
  <c r="AV7" i="80" s="1"/>
  <c r="AT5" i="80"/>
  <c r="AS5" i="80"/>
  <c r="AR5" i="80"/>
  <c r="AQ5" i="80"/>
  <c r="AP5" i="80"/>
  <c r="AO5" i="80"/>
  <c r="AN5" i="80"/>
  <c r="AN7" i="80" s="1"/>
  <c r="AM5" i="80"/>
  <c r="AM7" i="80" s="1"/>
  <c r="AL5" i="80"/>
  <c r="AL7" i="80" s="1"/>
  <c r="AK5" i="80"/>
  <c r="AK7" i="80" s="1"/>
  <c r="AJ5" i="80"/>
  <c r="AJ7" i="80" s="1"/>
  <c r="AI5" i="80"/>
  <c r="AI7" i="80" s="1"/>
  <c r="AH5" i="80"/>
  <c r="AH7" i="80" s="1"/>
  <c r="AG5" i="80"/>
  <c r="AG7" i="80" s="1"/>
  <c r="AF5" i="80"/>
  <c r="AF7" i="80" s="1"/>
  <c r="AU7" i="80"/>
  <c r="AU8" i="80" s="1"/>
  <c r="AT4" i="80"/>
  <c r="AT7" i="80" s="1"/>
  <c r="AS4" i="80"/>
  <c r="AS7" i="80" s="1"/>
  <c r="AR4" i="80"/>
  <c r="AR7" i="80" s="1"/>
  <c r="AR9" i="80" s="1"/>
  <c r="AQ4" i="80"/>
  <c r="AQ7" i="80" s="1"/>
  <c r="AP4" i="80"/>
  <c r="AP7" i="80" s="1"/>
  <c r="AO4" i="80"/>
  <c r="AO7" i="80" s="1"/>
  <c r="N14" i="79"/>
  <c r="J3" i="51"/>
  <c r="AU5" i="61"/>
  <c r="AO13" i="63"/>
  <c r="AU10" i="61"/>
  <c r="AU8" i="61"/>
  <c r="AU6" i="61"/>
  <c r="AU4" i="59"/>
  <c r="AU13" i="59"/>
  <c r="AU17" i="59" s="1"/>
  <c r="AU5" i="59"/>
  <c r="AU7" i="59"/>
  <c r="AV8" i="80" l="1"/>
  <c r="AV9" i="80"/>
  <c r="AV10" i="80"/>
  <c r="AQ10" i="80"/>
  <c r="AQ9" i="80"/>
  <c r="AQ8" i="80"/>
  <c r="AC23" i="80"/>
  <c r="AD23" i="80"/>
  <c r="AE23" i="80"/>
  <c r="AB23" i="80"/>
  <c r="AL10" i="80"/>
  <c r="AL9" i="80"/>
  <c r="AL8" i="80"/>
  <c r="AL18" i="80" s="1"/>
  <c r="AJ9" i="80"/>
  <c r="AJ10" i="80"/>
  <c r="AJ8" i="80"/>
  <c r="AK10" i="80"/>
  <c r="AK9" i="80"/>
  <c r="AK8" i="80"/>
  <c r="AK18" i="80" s="1"/>
  <c r="V10" i="80"/>
  <c r="V9" i="80"/>
  <c r="V8" i="80"/>
  <c r="V18" i="80"/>
  <c r="S10" i="80"/>
  <c r="S9" i="80"/>
  <c r="S8" i="80"/>
  <c r="S18" i="80" s="1"/>
  <c r="T10" i="80"/>
  <c r="T9" i="80"/>
  <c r="T8" i="80"/>
  <c r="T18" i="80" s="1"/>
  <c r="U9" i="80"/>
  <c r="U18" i="80" s="1"/>
  <c r="U10" i="80"/>
  <c r="U8" i="80"/>
  <c r="AM10" i="80"/>
  <c r="AM9" i="80"/>
  <c r="AM8" i="80"/>
  <c r="AN10" i="80"/>
  <c r="AN9" i="80"/>
  <c r="AN8" i="80"/>
  <c r="AN18" i="80"/>
  <c r="W10" i="80"/>
  <c r="W9" i="80"/>
  <c r="W8" i="80"/>
  <c r="W18" i="80"/>
  <c r="AO9" i="80"/>
  <c r="AO8" i="80"/>
  <c r="AO18" i="80" s="1"/>
  <c r="AO10" i="80"/>
  <c r="X10" i="80"/>
  <c r="X9" i="80"/>
  <c r="X8" i="80"/>
  <c r="X18" i="80" s="1"/>
  <c r="AP8" i="80"/>
  <c r="AP9" i="80"/>
  <c r="AP10" i="80"/>
  <c r="AP18" i="80"/>
  <c r="Y9" i="80"/>
  <c r="Y8" i="80"/>
  <c r="Y10" i="80"/>
  <c r="Y18" i="80"/>
  <c r="Z8" i="80"/>
  <c r="Z10" i="80"/>
  <c r="Z9" i="80"/>
  <c r="Z18" i="80"/>
  <c r="AA10" i="80"/>
  <c r="AA9" i="80"/>
  <c r="AA8" i="80"/>
  <c r="AS8" i="80"/>
  <c r="AS9" i="80"/>
  <c r="AS10" i="80"/>
  <c r="AT9" i="80"/>
  <c r="AT10" i="80"/>
  <c r="AT8" i="80"/>
  <c r="AT18" i="80"/>
  <c r="AU9" i="80"/>
  <c r="AU10" i="80"/>
  <c r="AU18" i="80" s="1"/>
  <c r="AD10" i="80"/>
  <c r="AD8" i="80"/>
  <c r="AD9" i="80"/>
  <c r="AD18" i="80" s="1"/>
  <c r="AF8" i="80"/>
  <c r="AF10" i="80"/>
  <c r="AF9" i="80"/>
  <c r="O9" i="80"/>
  <c r="O8" i="80"/>
  <c r="O10" i="80"/>
  <c r="AG10" i="80"/>
  <c r="AG9" i="80"/>
  <c r="AG8" i="80"/>
  <c r="AG18" i="80" s="1"/>
  <c r="P8" i="80"/>
  <c r="P10" i="80"/>
  <c r="P9" i="80"/>
  <c r="P18" i="80" s="1"/>
  <c r="AH10" i="80"/>
  <c r="AH9" i="80"/>
  <c r="AH8" i="80"/>
  <c r="AH18" i="80" s="1"/>
  <c r="Q10" i="80"/>
  <c r="Q9" i="80"/>
  <c r="Q8" i="80"/>
  <c r="AI10" i="80"/>
  <c r="AI9" i="80"/>
  <c r="AI8" i="80"/>
  <c r="R10" i="80"/>
  <c r="R9" i="80"/>
  <c r="R8" i="80"/>
  <c r="R18" i="80" s="1"/>
  <c r="AQ18" i="80"/>
  <c r="AR10" i="80"/>
  <c r="AE10" i="80"/>
  <c r="AB10" i="80"/>
  <c r="AR8" i="80"/>
  <c r="AR18" i="80" s="1"/>
  <c r="AC9" i="80"/>
  <c r="AE9" i="80"/>
  <c r="AE18" i="80"/>
  <c r="AB8" i="80"/>
  <c r="AB18" i="80" s="1"/>
  <c r="AC8" i="80"/>
  <c r="AU11" i="61"/>
  <c r="AU10" i="59"/>
  <c r="AU9" i="59"/>
  <c r="AU8" i="59"/>
  <c r="AV18" i="80" l="1"/>
  <c r="AA18" i="80"/>
  <c r="AJ18" i="80"/>
  <c r="AF18" i="80"/>
  <c r="AI18" i="80"/>
  <c r="O18" i="80"/>
  <c r="AS18" i="80"/>
  <c r="AM18" i="80"/>
  <c r="AC18" i="80"/>
  <c r="Q18" i="80"/>
  <c r="AU18" i="59"/>
  <c r="J2" i="51" s="1"/>
  <c r="AT8" i="61" l="1"/>
  <c r="AT10" i="61" s="1"/>
  <c r="AT6" i="61"/>
  <c r="AT5" i="61"/>
  <c r="AT11" i="61" s="1"/>
  <c r="L13" i="51" s="1"/>
  <c r="C2" i="64"/>
  <c r="AT4" i="59"/>
  <c r="AT7" i="59" s="1"/>
  <c r="AT13" i="59"/>
  <c r="AT17" i="59" s="1"/>
  <c r="AT5" i="59"/>
  <c r="AK3" i="64"/>
  <c r="AN13" i="63"/>
  <c r="AS5" i="61"/>
  <c r="AR4" i="59"/>
  <c r="AS4" i="59"/>
  <c r="AS7" i="59" s="1"/>
  <c r="AS8" i="61"/>
  <c r="AS10" i="61" s="1"/>
  <c r="AS13" i="59"/>
  <c r="AS17" i="59" s="1"/>
  <c r="AS5" i="59"/>
  <c r="I13" i="51" l="1"/>
  <c r="AT10" i="59"/>
  <c r="AT9" i="59"/>
  <c r="AT8" i="59"/>
  <c r="AS9" i="59"/>
  <c r="AS10" i="59"/>
  <c r="AS8" i="59"/>
  <c r="AS18" i="59" s="1"/>
  <c r="AT18" i="59" l="1"/>
  <c r="AM13" i="63"/>
  <c r="AJ3" i="64"/>
  <c r="AI3" i="64"/>
  <c r="AS6" i="61" s="1"/>
  <c r="AS11" i="61" s="1"/>
  <c r="AR8" i="61"/>
  <c r="AR10" i="61" s="1"/>
  <c r="AR5" i="61"/>
  <c r="AQ4" i="59"/>
  <c r="AR13" i="59"/>
  <c r="AR17" i="59" s="1"/>
  <c r="AR5" i="59"/>
  <c r="AL13" i="63"/>
  <c r="AK13" i="63"/>
  <c r="AQ13" i="59"/>
  <c r="AQ17" i="59" s="1"/>
  <c r="AQ5" i="59"/>
  <c r="AQ8" i="61"/>
  <c r="AQ10" i="61" s="1"/>
  <c r="AQ5" i="61"/>
  <c r="F17" i="51"/>
  <c r="E17" i="51"/>
  <c r="D17" i="51"/>
  <c r="AO5" i="61"/>
  <c r="AN5" i="61"/>
  <c r="AM5" i="61"/>
  <c r="AL5" i="61"/>
  <c r="AP5" i="61"/>
  <c r="AP11" i="59"/>
  <c r="AO11" i="59"/>
  <c r="AN11" i="59"/>
  <c r="L12" i="51" l="1"/>
  <c r="L14" i="51" s="1"/>
  <c r="I12" i="51"/>
  <c r="AR6" i="61"/>
  <c r="AR7" i="59"/>
  <c r="AR10" i="59" s="1"/>
  <c r="AR11" i="61"/>
  <c r="AR9" i="59"/>
  <c r="AR8" i="59"/>
  <c r="AQ7" i="59"/>
  <c r="AQ10" i="59" s="1"/>
  <c r="AE13" i="63"/>
  <c r="AF13" i="63"/>
  <c r="AG13" i="63"/>
  <c r="AH13" i="63"/>
  <c r="AI13" i="63"/>
  <c r="AJ13" i="63"/>
  <c r="AQ8" i="59" l="1"/>
  <c r="AR18" i="59"/>
  <c r="AQ9" i="59"/>
  <c r="J16" i="51"/>
  <c r="I16" i="51"/>
  <c r="H16" i="51"/>
  <c r="J15" i="51"/>
  <c r="I15" i="51"/>
  <c r="H15" i="51"/>
  <c r="AQ18" i="59" l="1"/>
  <c r="L15" i="51"/>
  <c r="L18" i="51" s="1"/>
  <c r="L19" i="51" s="1"/>
  <c r="G9" i="78"/>
  <c r="F3" i="76" l="1"/>
  <c r="E3" i="76"/>
  <c r="AP8" i="61" l="1"/>
  <c r="AP10" i="61" s="1"/>
  <c r="AO4" i="59"/>
  <c r="AP4" i="59"/>
  <c r="AP13" i="59"/>
  <c r="AP17" i="59" s="1"/>
  <c r="AP5" i="59"/>
  <c r="AH3" i="64"/>
  <c r="AP6" i="61" l="1"/>
  <c r="AP11" i="61" s="1"/>
  <c r="AQ6" i="61"/>
  <c r="AQ11" i="61" s="1"/>
  <c r="AP7" i="59"/>
  <c r="AP10" i="59" l="1"/>
  <c r="AP9" i="59"/>
  <c r="AP8" i="59"/>
  <c r="AP18" i="59" l="1"/>
  <c r="X7" i="71" l="1"/>
  <c r="AO5" i="59"/>
  <c r="W8" i="71" l="1"/>
  <c r="AO8" i="61" l="1"/>
  <c r="AO10" i="61" s="1"/>
  <c r="AG3" i="64"/>
  <c r="AO6" i="61" s="1"/>
  <c r="AO13" i="59"/>
  <c r="AO17" i="59" s="1"/>
  <c r="W12" i="71"/>
  <c r="X12" i="71"/>
  <c r="J18" i="51"/>
  <c r="I18" i="51"/>
  <c r="H18" i="51"/>
  <c r="AO11" i="61" l="1"/>
  <c r="AO7" i="59"/>
  <c r="AN5" i="59"/>
  <c r="AN13" i="59"/>
  <c r="AN17" i="59" s="1"/>
  <c r="AO10" i="59" l="1"/>
  <c r="AO9" i="59"/>
  <c r="AO8" i="59"/>
  <c r="U12" i="71"/>
  <c r="U8" i="71"/>
  <c r="AN8" i="61"/>
  <c r="AN10" i="61" s="1"/>
  <c r="AF3" i="64"/>
  <c r="AN6" i="61" s="1"/>
  <c r="AO18" i="59" l="1"/>
  <c r="AN11" i="61"/>
  <c r="AN7" i="59"/>
  <c r="H13" i="51"/>
  <c r="J13" i="51"/>
  <c r="F18" i="51"/>
  <c r="E18" i="51"/>
  <c r="D18" i="51"/>
  <c r="AE3" i="64"/>
  <c r="AM6" i="61" s="1"/>
  <c r="AM8" i="61"/>
  <c r="AN10" i="59" l="1"/>
  <c r="AN9" i="59"/>
  <c r="AN8" i="59"/>
  <c r="AM15" i="59"/>
  <c r="AM13" i="59"/>
  <c r="AM5" i="59"/>
  <c r="AN18" i="59" l="1"/>
  <c r="V7" i="71" s="1"/>
  <c r="V12" i="71" s="1"/>
  <c r="AM7" i="59"/>
  <c r="AM10" i="59" l="1"/>
  <c r="AM9" i="59"/>
  <c r="AM8" i="59"/>
  <c r="AM18" i="59" l="1"/>
  <c r="T7" i="71" s="1"/>
  <c r="T12" i="71" s="1"/>
  <c r="S8" i="71"/>
  <c r="S12" i="71"/>
  <c r="AC3" i="64"/>
  <c r="AM11" i="61" l="1"/>
  <c r="AK5" i="61"/>
  <c r="AL6" i="61"/>
  <c r="AD3" i="64"/>
  <c r="AL8" i="61"/>
  <c r="AL15" i="59"/>
  <c r="AL13" i="59"/>
  <c r="AL5" i="59"/>
  <c r="Q8" i="71"/>
  <c r="O8" i="71"/>
  <c r="Q12" i="71"/>
  <c r="AK6" i="61" l="1"/>
  <c r="AK8" i="61"/>
  <c r="AK15" i="59"/>
  <c r="AK13" i="59"/>
  <c r="AK5" i="59"/>
  <c r="AJ5" i="61"/>
  <c r="O12" i="71"/>
  <c r="AJ8" i="61"/>
  <c r="I13" i="74" l="1"/>
  <c r="G13" i="74"/>
  <c r="H8" i="74"/>
  <c r="F8" i="74"/>
  <c r="D8" i="74"/>
  <c r="H26" i="74"/>
  <c r="F26" i="74"/>
  <c r="H27" i="74"/>
  <c r="F27" i="74"/>
  <c r="D27" i="74"/>
  <c r="C4" i="68"/>
  <c r="D26" i="74"/>
  <c r="D21" i="69" l="1"/>
  <c r="E21" i="69"/>
  <c r="C21" i="69"/>
  <c r="P28" i="73" l="1"/>
  <c r="C7" i="71"/>
  <c r="AB3" i="64" l="1"/>
  <c r="AJ6" i="61" s="1"/>
  <c r="F13" i="74" l="1"/>
  <c r="F21" i="74" s="1"/>
  <c r="H13" i="74"/>
  <c r="H21" i="74" s="1"/>
  <c r="H19" i="74" l="1"/>
  <c r="H20" i="74"/>
  <c r="H18" i="74"/>
  <c r="H17" i="74"/>
  <c r="F17" i="74"/>
  <c r="F20" i="74"/>
  <c r="F18" i="74"/>
  <c r="F19" i="74"/>
  <c r="I8" i="74"/>
  <c r="G8" i="74"/>
  <c r="I5" i="74"/>
  <c r="I6" i="74"/>
  <c r="I7" i="74"/>
  <c r="G7" i="74"/>
  <c r="D13" i="74"/>
  <c r="G5" i="74"/>
  <c r="G6" i="74"/>
  <c r="D21" i="74" l="1"/>
  <c r="D17" i="74" s="1"/>
  <c r="H33" i="74"/>
  <c r="F33" i="74"/>
  <c r="E5" i="74"/>
  <c r="E8" i="74"/>
  <c r="E6" i="74"/>
  <c r="E7" i="74"/>
  <c r="E13" i="74" l="1"/>
  <c r="D19" i="74"/>
  <c r="D18" i="74"/>
  <c r="D20" i="74"/>
  <c r="D33" i="74"/>
  <c r="F101" i="73"/>
  <c r="F79" i="73"/>
  <c r="F58" i="73"/>
  <c r="F29" i="73"/>
  <c r="F5" i="73"/>
  <c r="AJ15" i="59"/>
  <c r="AJ13" i="59"/>
  <c r="AJ5" i="59"/>
  <c r="AD13" i="63"/>
  <c r="AI5" i="61" s="1"/>
  <c r="K12" i="71" l="1"/>
  <c r="M12" i="71"/>
  <c r="I12" i="71"/>
  <c r="G12" i="71"/>
  <c r="E12" i="71"/>
  <c r="C12" i="71"/>
  <c r="C9" i="71" l="1"/>
  <c r="E6" i="71" s="1"/>
  <c r="C11" i="71"/>
  <c r="C13" i="71" l="1"/>
  <c r="E11" i="71"/>
  <c r="E13" i="71" s="1"/>
  <c r="E9" i="71"/>
  <c r="G6" i="71" s="1"/>
  <c r="G11" i="71" l="1"/>
  <c r="G9" i="71"/>
  <c r="I6" i="71" l="1"/>
  <c r="I9" i="71" s="1"/>
  <c r="K6" i="71" s="1"/>
  <c r="G13" i="71"/>
  <c r="I11" i="71" l="1"/>
  <c r="I13" i="71" s="1"/>
  <c r="K11" i="71"/>
  <c r="K13" i="71" s="1"/>
  <c r="K9" i="71"/>
  <c r="M6" i="71" s="1"/>
  <c r="M11" i="71" s="1"/>
  <c r="M13" i="71" s="1"/>
  <c r="M9" i="71" l="1"/>
  <c r="O6" i="71" s="1"/>
  <c r="O11" i="71" l="1"/>
  <c r="O9" i="71"/>
  <c r="Q6" i="71" s="1"/>
  <c r="AI5" i="59"/>
  <c r="AA3" i="64"/>
  <c r="AI6" i="61" s="1"/>
  <c r="AI8" i="61"/>
  <c r="AC13" i="63"/>
  <c r="AH5" i="61" s="1"/>
  <c r="AB13" i="63"/>
  <c r="AI15" i="59"/>
  <c r="AI13" i="59"/>
  <c r="AH8" i="61"/>
  <c r="AH15" i="59"/>
  <c r="AH13" i="59"/>
  <c r="AH5" i="59"/>
  <c r="Q9" i="71" l="1"/>
  <c r="S6" i="71" s="1"/>
  <c r="Q11" i="71"/>
  <c r="O13" i="71"/>
  <c r="Z3" i="64"/>
  <c r="AH6" i="61" s="1"/>
  <c r="S11" i="71" l="1"/>
  <c r="S9" i="71"/>
  <c r="U6" i="71" s="1"/>
  <c r="Q13" i="71"/>
  <c r="AF5" i="59"/>
  <c r="AG8" i="61"/>
  <c r="Y3" i="64"/>
  <c r="AF13" i="59"/>
  <c r="AG13" i="59"/>
  <c r="AF15" i="59"/>
  <c r="AG15" i="59"/>
  <c r="AG5" i="59"/>
  <c r="X3" i="64"/>
  <c r="AG6" i="61" s="1"/>
  <c r="W3" i="64"/>
  <c r="AF6" i="61" s="1"/>
  <c r="V3" i="64"/>
  <c r="U3" i="64"/>
  <c r="AE20" i="59"/>
  <c r="AE21" i="59" s="1"/>
  <c r="Z21" i="59"/>
  <c r="AA21" i="59"/>
  <c r="AB21" i="59"/>
  <c r="AC21" i="59"/>
  <c r="AD21" i="59"/>
  <c r="Z22" i="59"/>
  <c r="AA22" i="59"/>
  <c r="AB22" i="59"/>
  <c r="AC22" i="59"/>
  <c r="AD22" i="59"/>
  <c r="AE22" i="59"/>
  <c r="AA13" i="63"/>
  <c r="AG5" i="61" s="1"/>
  <c r="Z13" i="63"/>
  <c r="AF5" i="61" s="1"/>
  <c r="AF8" i="61"/>
  <c r="U11" i="71" l="1"/>
  <c r="U9" i="71"/>
  <c r="W6" i="71" s="1"/>
  <c r="S13" i="71"/>
  <c r="Z23" i="59"/>
  <c r="AD23" i="59"/>
  <c r="AE23" i="59"/>
  <c r="AA23" i="59"/>
  <c r="AC23" i="59"/>
  <c r="AB23" i="59"/>
  <c r="W11" i="71" l="1"/>
  <c r="W13" i="71" s="1"/>
  <c r="W9" i="71"/>
  <c r="U13" i="71"/>
  <c r="M19" i="69"/>
  <c r="L19" i="69"/>
  <c r="K19" i="69"/>
  <c r="I19" i="69"/>
  <c r="H19" i="69"/>
  <c r="G19" i="69"/>
  <c r="M18" i="69"/>
  <c r="L18" i="69"/>
  <c r="K18" i="69"/>
  <c r="M17" i="69"/>
  <c r="L17" i="69"/>
  <c r="K17" i="69"/>
  <c r="I17" i="69"/>
  <c r="H17" i="69"/>
  <c r="G17" i="69"/>
  <c r="E16" i="69"/>
  <c r="D16" i="69"/>
  <c r="C16" i="69"/>
  <c r="R14" i="69"/>
  <c r="M14" i="69"/>
  <c r="M16" i="69" s="1"/>
  <c r="L14" i="69"/>
  <c r="L16" i="69" s="1"/>
  <c r="K14" i="69"/>
  <c r="K16" i="69" s="1"/>
  <c r="I14" i="69"/>
  <c r="I16" i="69" s="1"/>
  <c r="H14" i="69"/>
  <c r="H16" i="69" s="1"/>
  <c r="G14" i="69"/>
  <c r="G16" i="69" s="1"/>
  <c r="R12" i="69"/>
  <c r="T7" i="69"/>
  <c r="C2" i="68"/>
  <c r="L4" i="68"/>
  <c r="U7" i="66" l="1"/>
  <c r="S7" i="66"/>
  <c r="AE8" i="61"/>
  <c r="Y13" i="63"/>
  <c r="AE5" i="61" s="1"/>
  <c r="AB6" i="61"/>
  <c r="AD8" i="61"/>
  <c r="X13" i="63" l="1"/>
  <c r="AD5" i="61" s="1"/>
  <c r="AE15" i="59" l="1"/>
  <c r="AE13" i="59"/>
  <c r="AC8" i="61"/>
  <c r="W13" i="63"/>
  <c r="AC5" i="61" s="1"/>
  <c r="AD15" i="59"/>
  <c r="AD13" i="59"/>
  <c r="V13" i="63" l="1"/>
  <c r="AC6" i="61" l="1"/>
  <c r="AB5" i="61"/>
  <c r="U13" i="63"/>
  <c r="AB8" i="61"/>
  <c r="AC15" i="59"/>
  <c r="AC13" i="59"/>
  <c r="AE6" i="61" l="1"/>
  <c r="AD6" i="61"/>
  <c r="AA5" i="61"/>
  <c r="AA6" i="61" l="1"/>
  <c r="AA8" i="61" l="1"/>
  <c r="AB15" i="59"/>
  <c r="AB13" i="59"/>
  <c r="Z8" i="61" l="1"/>
  <c r="Z6" i="61"/>
  <c r="AA15" i="59" l="1"/>
  <c r="AA13" i="59"/>
  <c r="Z15" i="59"/>
  <c r="Z13" i="59"/>
  <c r="Y8" i="61"/>
  <c r="Y6" i="61"/>
  <c r="Y15" i="59"/>
  <c r="Y13" i="59"/>
  <c r="D4" i="62"/>
  <c r="X6" i="61"/>
  <c r="X8" i="61"/>
  <c r="AF7" i="61" l="1"/>
  <c r="AF11" i="61" s="1"/>
  <c r="AL7" i="61"/>
  <c r="AL11" i="61" s="1"/>
  <c r="AL7" i="59"/>
  <c r="AK7" i="61"/>
  <c r="AK11" i="61" s="1"/>
  <c r="AJ7" i="61"/>
  <c r="AJ11" i="61" s="1"/>
  <c r="AK7" i="59"/>
  <c r="AJ7" i="59"/>
  <c r="AI7" i="61"/>
  <c r="AI11" i="61" s="1"/>
  <c r="AI7" i="59"/>
  <c r="AH7" i="59"/>
  <c r="AH7" i="61"/>
  <c r="AH11" i="61" s="1"/>
  <c r="AG7" i="61"/>
  <c r="AG11" i="61" s="1"/>
  <c r="AG7" i="59"/>
  <c r="AF7" i="59"/>
  <c r="AE11" i="61"/>
  <c r="AD11" i="61"/>
  <c r="AE7" i="59"/>
  <c r="AD6" i="59"/>
  <c r="AD7" i="59" s="1"/>
  <c r="AC11" i="61"/>
  <c r="AB11" i="61"/>
  <c r="AC6" i="59"/>
  <c r="AC7" i="59" s="1"/>
  <c r="AB6" i="59"/>
  <c r="AB7" i="59" s="1"/>
  <c r="AA11" i="61"/>
  <c r="Y6" i="59"/>
  <c r="AA6" i="59"/>
  <c r="AA7" i="59" s="1"/>
  <c r="Z6" i="59"/>
  <c r="Z7" i="59" s="1"/>
  <c r="Q12" i="63"/>
  <c r="T13" i="63" s="1"/>
  <c r="Z5" i="61" s="1"/>
  <c r="Z11" i="61" s="1"/>
  <c r="AJ10" i="59" l="1"/>
  <c r="AJ9" i="59"/>
  <c r="AJ8" i="59"/>
  <c r="AF10" i="59"/>
  <c r="AF9" i="59"/>
  <c r="AF8" i="59"/>
  <c r="AK10" i="59"/>
  <c r="AK9" i="59"/>
  <c r="AK8" i="59"/>
  <c r="AG9" i="59"/>
  <c r="AG10" i="59"/>
  <c r="AG8" i="59"/>
  <c r="E13" i="51"/>
  <c r="AL8" i="59"/>
  <c r="AL9" i="59"/>
  <c r="AL10" i="59"/>
  <c r="AH9" i="59"/>
  <c r="AH10" i="59"/>
  <c r="AH8" i="59"/>
  <c r="F13" i="51"/>
  <c r="D13" i="51"/>
  <c r="AI9" i="59"/>
  <c r="AI8" i="59"/>
  <c r="AI10" i="59"/>
  <c r="M3" i="69"/>
  <c r="AD9" i="59"/>
  <c r="AD8" i="59"/>
  <c r="AD10" i="59"/>
  <c r="AE10" i="59"/>
  <c r="AE8" i="59"/>
  <c r="AE9" i="59"/>
  <c r="AB8" i="59"/>
  <c r="AB10" i="59"/>
  <c r="AB9" i="59"/>
  <c r="AC10" i="59"/>
  <c r="AC9" i="59"/>
  <c r="AC8" i="59"/>
  <c r="AA8" i="59"/>
  <c r="AA10" i="59"/>
  <c r="AA9" i="59"/>
  <c r="Z10" i="59"/>
  <c r="Z9" i="59"/>
  <c r="Z8" i="59"/>
  <c r="Y7" i="59"/>
  <c r="Z18" i="59" l="1"/>
  <c r="AH18" i="59"/>
  <c r="J7" i="71" s="1"/>
  <c r="J12" i="71" s="1"/>
  <c r="AJ18" i="59"/>
  <c r="N7" i="71" s="1"/>
  <c r="N12" i="71" s="1"/>
  <c r="AC18" i="59"/>
  <c r="AL18" i="59"/>
  <c r="R7" i="71" s="1"/>
  <c r="R12" i="71" s="1"/>
  <c r="AF18" i="59"/>
  <c r="F7" i="71" s="1"/>
  <c r="F12" i="71" s="1"/>
  <c r="AG18" i="59"/>
  <c r="H7" i="71" s="1"/>
  <c r="H12" i="71" s="1"/>
  <c r="AI18" i="59"/>
  <c r="L7" i="71" s="1"/>
  <c r="L12" i="71" s="1"/>
  <c r="AK18" i="59"/>
  <c r="P7" i="71" s="1"/>
  <c r="P12" i="71" s="1"/>
  <c r="AD18" i="59"/>
  <c r="D6" i="71" s="1"/>
  <c r="D11" i="71" s="1"/>
  <c r="E12" i="69"/>
  <c r="G12" i="69"/>
  <c r="K12" i="69"/>
  <c r="C12" i="69"/>
  <c r="M12" i="69"/>
  <c r="H12" i="69"/>
  <c r="D12" i="69"/>
  <c r="I12" i="69"/>
  <c r="L12" i="69"/>
  <c r="AE18" i="59"/>
  <c r="D7" i="71" s="1"/>
  <c r="D12" i="71" s="1"/>
  <c r="AB18" i="59"/>
  <c r="AA18" i="59"/>
  <c r="Y10" i="59"/>
  <c r="Y8" i="59"/>
  <c r="Y9" i="59"/>
  <c r="M2" i="69" l="1"/>
  <c r="G11" i="69" s="1"/>
  <c r="G13" i="69" s="1"/>
  <c r="G20" i="69" s="1"/>
  <c r="D13" i="71"/>
  <c r="D8" i="71" s="1"/>
  <c r="D9" i="71" s="1"/>
  <c r="F6" i="71" s="1"/>
  <c r="F11" i="71" s="1"/>
  <c r="F13" i="71" s="1"/>
  <c r="F8" i="71" s="1"/>
  <c r="F9" i="71" s="1"/>
  <c r="H6" i="71" s="1"/>
  <c r="H11" i="71" s="1"/>
  <c r="H13" i="71" s="1"/>
  <c r="H8" i="71" s="1"/>
  <c r="H9" i="71" s="1"/>
  <c r="Y18" i="59"/>
  <c r="D11" i="69" l="1"/>
  <c r="D13" i="69" s="1"/>
  <c r="D20" i="69" s="1"/>
  <c r="H11" i="69"/>
  <c r="H13" i="69" s="1"/>
  <c r="H20" i="69" s="1"/>
  <c r="L11" i="69"/>
  <c r="L13" i="69" s="1"/>
  <c r="L20" i="69" s="1"/>
  <c r="E11" i="69"/>
  <c r="E13" i="69" s="1"/>
  <c r="E20" i="69" s="1"/>
  <c r="I11" i="69"/>
  <c r="I13" i="69" s="1"/>
  <c r="I20" i="69" s="1"/>
  <c r="K11" i="69"/>
  <c r="K13" i="69" s="1"/>
  <c r="K20" i="69" s="1"/>
  <c r="M11" i="69"/>
  <c r="M13" i="69" s="1"/>
  <c r="M20" i="69" s="1"/>
  <c r="C11" i="69"/>
  <c r="C13" i="69" s="1"/>
  <c r="C20" i="69" s="1"/>
  <c r="J6" i="71"/>
  <c r="J11" i="71" s="1"/>
  <c r="J13" i="71" s="1"/>
  <c r="J8" i="71" s="1"/>
  <c r="J9" i="71" s="1"/>
  <c r="X15" i="59"/>
  <c r="X13" i="59"/>
  <c r="W6" i="61"/>
  <c r="W8" i="61"/>
  <c r="N6" i="71" l="1"/>
  <c r="N11" i="71" s="1"/>
  <c r="N13" i="71" s="1"/>
  <c r="N8" i="71" s="1"/>
  <c r="N9" i="71" s="1"/>
  <c r="R6" i="71" s="1"/>
  <c r="L6" i="71"/>
  <c r="L11" i="71" s="1"/>
  <c r="L13" i="71" s="1"/>
  <c r="L8" i="71" s="1"/>
  <c r="L9" i="71" s="1"/>
  <c r="P6" i="71" s="1"/>
  <c r="X6" i="59"/>
  <c r="X7" i="59" s="1"/>
  <c r="W15" i="59"/>
  <c r="W13" i="59"/>
  <c r="V8" i="61"/>
  <c r="V6" i="61"/>
  <c r="V15" i="59"/>
  <c r="V13" i="59"/>
  <c r="U8" i="61"/>
  <c r="U6" i="61"/>
  <c r="P12" i="63"/>
  <c r="S13" i="63" s="1"/>
  <c r="Y5" i="61" s="1"/>
  <c r="Y7" i="61" s="1"/>
  <c r="Y11" i="61" s="1"/>
  <c r="U15" i="59"/>
  <c r="U13" i="59"/>
  <c r="U6" i="59"/>
  <c r="N12" i="63"/>
  <c r="O12" i="63"/>
  <c r="R13" i="63" s="1"/>
  <c r="X5" i="61" s="1"/>
  <c r="X7" i="61" s="1"/>
  <c r="X11" i="61" s="1"/>
  <c r="Q13" i="63" l="1"/>
  <c r="W5" i="61" s="1"/>
  <c r="W7" i="61" s="1"/>
  <c r="W11" i="61" s="1"/>
  <c r="W6" i="59"/>
  <c r="W7" i="59" s="1"/>
  <c r="W9" i="59" s="1"/>
  <c r="R11" i="71"/>
  <c r="R13" i="71" s="1"/>
  <c r="R8" i="71" s="1"/>
  <c r="R9" i="71" s="1"/>
  <c r="P11" i="71"/>
  <c r="P13" i="71" s="1"/>
  <c r="P8" i="71" s="1"/>
  <c r="P9" i="71" s="1"/>
  <c r="T6" i="71" s="1"/>
  <c r="V6" i="59"/>
  <c r="V7" i="59" s="1"/>
  <c r="X10" i="59"/>
  <c r="X9" i="59"/>
  <c r="X8" i="59"/>
  <c r="V5" i="61"/>
  <c r="V7" i="61" s="1"/>
  <c r="V11" i="61" s="1"/>
  <c r="U7" i="59"/>
  <c r="T8" i="61"/>
  <c r="S8" i="61"/>
  <c r="T15" i="59"/>
  <c r="T13" i="59"/>
  <c r="T6" i="61"/>
  <c r="S15" i="59"/>
  <c r="S13" i="59"/>
  <c r="R8" i="61"/>
  <c r="R15" i="59"/>
  <c r="R13" i="59"/>
  <c r="Q8" i="61"/>
  <c r="S6" i="61"/>
  <c r="W8" i="59" l="1"/>
  <c r="W10" i="59"/>
  <c r="V6" i="71"/>
  <c r="T11" i="71"/>
  <c r="T13" i="71" s="1"/>
  <c r="T8" i="71" s="1"/>
  <c r="T9" i="71" s="1"/>
  <c r="X6" i="71" s="1"/>
  <c r="V10" i="59"/>
  <c r="V8" i="59"/>
  <c r="V9" i="59"/>
  <c r="X18" i="59"/>
  <c r="U9" i="59"/>
  <c r="U8" i="59"/>
  <c r="U10" i="59"/>
  <c r="M12" i="63"/>
  <c r="L12" i="63"/>
  <c r="K12" i="63"/>
  <c r="N13" i="63" s="1"/>
  <c r="P8" i="61"/>
  <c r="R6" i="61"/>
  <c r="O13" i="63" l="1"/>
  <c r="T5" i="61" s="1"/>
  <c r="P13" i="63"/>
  <c r="U5" i="61" s="1"/>
  <c r="U7" i="61" s="1"/>
  <c r="U11" i="61" s="1"/>
  <c r="W18" i="59"/>
  <c r="X11" i="71"/>
  <c r="X13" i="71" s="1"/>
  <c r="X8" i="71" s="1"/>
  <c r="X9" i="71" s="1"/>
  <c r="V11" i="71"/>
  <c r="V13" i="71" s="1"/>
  <c r="V8" i="71" s="1"/>
  <c r="V18" i="59"/>
  <c r="S5" i="61"/>
  <c r="U18" i="59"/>
  <c r="V9" i="71" l="1"/>
  <c r="Q6" i="61"/>
  <c r="H12" i="51" l="1"/>
  <c r="H14" i="51" s="1"/>
  <c r="H19" i="51" s="1"/>
  <c r="I14" i="51"/>
  <c r="I19" i="51" s="1"/>
  <c r="J12" i="51"/>
  <c r="J14" i="51" s="1"/>
  <c r="J19" i="51" s="1"/>
  <c r="D14" i="51"/>
  <c r="E12" i="51"/>
  <c r="E14" i="51" s="1"/>
  <c r="E19" i="51" s="1"/>
  <c r="F12" i="51"/>
  <c r="F14" i="51" s="1"/>
  <c r="I12" i="63"/>
  <c r="J12" i="63"/>
  <c r="K13" i="63" s="1"/>
  <c r="P15" i="59"/>
  <c r="Q15" i="59"/>
  <c r="P13" i="59"/>
  <c r="Q13" i="59"/>
  <c r="O8" i="61"/>
  <c r="P6" i="61"/>
  <c r="O6" i="61"/>
  <c r="H12" i="63"/>
  <c r="G12" i="63"/>
  <c r="F12" i="63"/>
  <c r="J13" i="63" l="1"/>
  <c r="I13" i="63"/>
  <c r="N5" i="61"/>
  <c r="L13" i="63"/>
  <c r="Q5" i="61" s="1"/>
  <c r="M13" i="63"/>
  <c r="R5" i="61" s="1"/>
  <c r="P5" i="61"/>
  <c r="N6" i="61"/>
  <c r="O5" i="61"/>
  <c r="N8" i="61" l="1"/>
  <c r="O15" i="59"/>
  <c r="O13" i="59"/>
  <c r="N7" i="61"/>
  <c r="P7" i="61" l="1"/>
  <c r="P11" i="61" s="1"/>
  <c r="Q7" i="61"/>
  <c r="Q11" i="61" s="1"/>
  <c r="R7" i="61"/>
  <c r="R11" i="61" s="1"/>
  <c r="T6" i="59"/>
  <c r="T7" i="59" s="1"/>
  <c r="S6" i="59"/>
  <c r="S7" i="59" s="1"/>
  <c r="R6" i="59"/>
  <c r="R7" i="59" s="1"/>
  <c r="T7" i="61"/>
  <c r="T11" i="61" s="1"/>
  <c r="S7" i="61"/>
  <c r="S11" i="61" s="1"/>
  <c r="P6" i="59"/>
  <c r="P7" i="59" s="1"/>
  <c r="Q6" i="59"/>
  <c r="Q7" i="59" s="1"/>
  <c r="O6" i="59"/>
  <c r="O7" i="61"/>
  <c r="O11" i="61" s="1"/>
  <c r="N11" i="61"/>
  <c r="S8" i="59" l="1"/>
  <c r="S10" i="59"/>
  <c r="S9" i="59"/>
  <c r="R10" i="59"/>
  <c r="R8" i="59"/>
  <c r="R9" i="59"/>
  <c r="T10" i="59"/>
  <c r="T8" i="59"/>
  <c r="T9" i="59"/>
  <c r="Q8" i="59"/>
  <c r="Q9" i="59"/>
  <c r="Q10" i="59"/>
  <c r="P9" i="59"/>
  <c r="P10" i="59"/>
  <c r="P8" i="59"/>
  <c r="S18" i="59" l="1"/>
  <c r="P18" i="59"/>
  <c r="Q18" i="59"/>
  <c r="R18" i="59"/>
  <c r="T18" i="59"/>
  <c r="O7" i="59"/>
  <c r="O9" i="59" l="1"/>
  <c r="O10" i="59"/>
  <c r="O8" i="59"/>
  <c r="O18" i="59" l="1"/>
  <c r="N6" i="58"/>
  <c r="G6" i="58"/>
  <c r="K5" i="58"/>
  <c r="G5" i="58"/>
  <c r="I4" i="58"/>
  <c r="M4" i="58"/>
  <c r="G4" i="58"/>
  <c r="L5" i="58" l="1"/>
  <c r="M5" i="58"/>
  <c r="K6" i="58"/>
  <c r="K4" i="58"/>
  <c r="N5" i="58"/>
  <c r="L4" i="58"/>
  <c r="N4" i="58"/>
  <c r="O5" i="58"/>
  <c r="M6" i="58"/>
  <c r="L6" i="58"/>
  <c r="O6" i="58" l="1"/>
  <c r="O4" i="58"/>
  <c r="F19" i="51" l="1"/>
  <c r="E28" i="53"/>
  <c r="BA6" i="50" l="1"/>
  <c r="BA7" i="50" s="1"/>
  <c r="F25" i="50"/>
  <c r="R20" i="50"/>
  <c r="S20" i="50" s="1"/>
  <c r="T20" i="50" s="1"/>
  <c r="U20" i="50" s="1"/>
  <c r="V20" i="50" s="1"/>
  <c r="W20" i="50" s="1"/>
  <c r="X20" i="50" s="1"/>
  <c r="Y20" i="50" s="1"/>
  <c r="Z20" i="50" s="1"/>
  <c r="AA20" i="50" s="1"/>
  <c r="AB20" i="50" s="1"/>
  <c r="AC20" i="50" s="1"/>
  <c r="AD20" i="50" s="1"/>
  <c r="AE20" i="50" s="1"/>
  <c r="AF20" i="50" s="1"/>
  <c r="AG20" i="50" s="1"/>
  <c r="AZ15" i="50"/>
  <c r="AZ16" i="50" s="1"/>
  <c r="AY15" i="50"/>
  <c r="AY16" i="50" s="1"/>
  <c r="AX15" i="50"/>
  <c r="AX16" i="50" s="1"/>
  <c r="AW15" i="50"/>
  <c r="AW16" i="50" s="1"/>
  <c r="AN15" i="50"/>
  <c r="AN16" i="50" s="1"/>
  <c r="AK15" i="50"/>
  <c r="I15" i="50"/>
  <c r="H15" i="50"/>
  <c r="G15" i="50"/>
  <c r="F15" i="50"/>
  <c r="D15" i="50"/>
  <c r="C15" i="50"/>
  <c r="N13" i="50"/>
  <c r="N14" i="50" s="1"/>
  <c r="M13" i="50"/>
  <c r="M14" i="50" s="1"/>
  <c r="E13" i="50"/>
  <c r="E15" i="50" s="1"/>
  <c r="J12" i="50"/>
  <c r="AE11" i="50"/>
  <c r="AE12" i="50" s="1"/>
  <c r="AE10" i="50"/>
  <c r="AB10" i="50"/>
  <c r="AB11" i="50" s="1"/>
  <c r="AB12" i="50" s="1"/>
  <c r="AA10" i="50"/>
  <c r="AA11" i="50" s="1"/>
  <c r="AA12" i="50" s="1"/>
  <c r="Z10" i="50"/>
  <c r="Z11" i="50" s="1"/>
  <c r="Z12" i="50" s="1"/>
  <c r="Y10" i="50"/>
  <c r="Y11" i="50" s="1"/>
  <c r="Y12" i="50" s="1"/>
  <c r="X10" i="50"/>
  <c r="X11" i="50" s="1"/>
  <c r="X12" i="50" s="1"/>
  <c r="W10" i="50"/>
  <c r="W11" i="50" s="1"/>
  <c r="W12" i="50" s="1"/>
  <c r="V10" i="50"/>
  <c r="V11" i="50" s="1"/>
  <c r="V12" i="50" s="1"/>
  <c r="U10" i="50"/>
  <c r="U11" i="50" s="1"/>
  <c r="U12" i="50" s="1"/>
  <c r="T10" i="50"/>
  <c r="T11" i="50" s="1"/>
  <c r="T12" i="50" s="1"/>
  <c r="S10" i="50"/>
  <c r="S11" i="50" s="1"/>
  <c r="S12" i="50" s="1"/>
  <c r="R10" i="50"/>
  <c r="R11" i="50" s="1"/>
  <c r="R12" i="50" s="1"/>
  <c r="L9" i="50"/>
  <c r="AZ6" i="50"/>
  <c r="AZ7" i="50" s="1"/>
  <c r="AY6" i="50"/>
  <c r="AY7" i="50" s="1"/>
  <c r="AX6" i="50"/>
  <c r="AX7" i="50" s="1"/>
  <c r="AX10" i="50" s="1"/>
  <c r="AX11" i="50" s="1"/>
  <c r="AX12" i="50" s="1"/>
  <c r="AW6" i="50"/>
  <c r="AV6" i="50"/>
  <c r="AU6" i="50"/>
  <c r="AU7" i="50" s="1"/>
  <c r="AT6" i="50"/>
  <c r="AT7" i="50" s="1"/>
  <c r="AS6" i="50"/>
  <c r="AS7" i="50" s="1"/>
  <c r="AR6" i="50"/>
  <c r="AR7" i="50" s="1"/>
  <c r="AQ6" i="50"/>
  <c r="AQ7" i="50" s="1"/>
  <c r="AP6" i="50"/>
  <c r="AP7" i="50" s="1"/>
  <c r="AP10" i="50" s="1"/>
  <c r="AP11" i="50" s="1"/>
  <c r="AP12" i="50" s="1"/>
  <c r="AO6" i="50"/>
  <c r="AO7" i="50" s="1"/>
  <c r="AN6" i="50"/>
  <c r="AN7" i="50" s="1"/>
  <c r="AM6" i="50"/>
  <c r="AM10" i="50" s="1"/>
  <c r="AM11" i="50" s="1"/>
  <c r="AM12" i="50" s="1"/>
  <c r="AL6" i="50"/>
  <c r="AL10" i="50" s="1"/>
  <c r="AL11" i="50" s="1"/>
  <c r="AL12" i="50" s="1"/>
  <c r="AK6" i="50"/>
  <c r="AK10" i="50" s="1"/>
  <c r="AK11" i="50" s="1"/>
  <c r="AK12" i="50" s="1"/>
  <c r="AJ6" i="50"/>
  <c r="AJ10" i="50" s="1"/>
  <c r="AJ11" i="50" s="1"/>
  <c r="AJ12" i="50" s="1"/>
  <c r="AI6" i="50"/>
  <c r="AI10" i="50" s="1"/>
  <c r="AI11" i="50" s="1"/>
  <c r="AI12" i="50" s="1"/>
  <c r="AH6" i="50"/>
  <c r="AH10" i="50" s="1"/>
  <c r="AH11" i="50" s="1"/>
  <c r="AH12" i="50" s="1"/>
  <c r="AG6" i="50"/>
  <c r="AG10" i="50" s="1"/>
  <c r="AG11" i="50" s="1"/>
  <c r="AG12" i="50" s="1"/>
  <c r="AF6" i="50"/>
  <c r="AF10" i="50" s="1"/>
  <c r="AF11" i="50" s="1"/>
  <c r="AF12" i="50" s="1"/>
  <c r="AD6" i="50"/>
  <c r="AC6" i="50"/>
  <c r="AC10" i="50" s="1"/>
  <c r="AC11" i="50" s="1"/>
  <c r="AC12" i="50" s="1"/>
  <c r="AO10" i="50" l="1"/>
  <c r="AO11" i="50" s="1"/>
  <c r="AO12" i="50" s="1"/>
  <c r="AO13" i="50" s="1"/>
  <c r="AN10" i="50"/>
  <c r="AN11" i="50" s="1"/>
  <c r="AN12" i="50" s="1"/>
  <c r="AN17" i="50" s="1"/>
  <c r="AN18" i="50" s="1"/>
  <c r="AN19" i="50" s="1"/>
  <c r="AT10" i="50"/>
  <c r="AT11" i="50" s="1"/>
  <c r="AT12" i="50" s="1"/>
  <c r="AT13" i="50" s="1"/>
  <c r="AV7" i="50"/>
  <c r="AV10" i="50" s="1"/>
  <c r="AV11" i="50" s="1"/>
  <c r="AV12" i="50" s="1"/>
  <c r="AV13" i="50" s="1"/>
  <c r="AW7" i="50"/>
  <c r="AW10" i="50" s="1"/>
  <c r="AW11" i="50" s="1"/>
  <c r="AW12" i="50" s="1"/>
  <c r="AW17" i="50" s="1"/>
  <c r="AW18" i="50" s="1"/>
  <c r="AW19" i="50" s="1"/>
  <c r="AB13" i="50"/>
  <c r="AB17" i="50" s="1"/>
  <c r="AB18" i="50" s="1"/>
  <c r="AB19" i="50" s="1"/>
  <c r="U13" i="50"/>
  <c r="U17" i="50" s="1"/>
  <c r="U18" i="50" s="1"/>
  <c r="U19" i="50" s="1"/>
  <c r="AG13" i="50"/>
  <c r="AG17" i="50" s="1"/>
  <c r="AG18" i="50" s="1"/>
  <c r="AG19" i="50" s="1"/>
  <c r="S13" i="50"/>
  <c r="S17" i="50" s="1"/>
  <c r="S18" i="50" s="1"/>
  <c r="S19" i="50" s="1"/>
  <c r="AM13" i="50"/>
  <c r="AM16" i="50" s="1"/>
  <c r="AM17" i="50" s="1"/>
  <c r="AM18" i="50" s="1"/>
  <c r="AM19" i="50" s="1"/>
  <c r="T13" i="50"/>
  <c r="T17" i="50" s="1"/>
  <c r="T18" i="50" s="1"/>
  <c r="T19" i="50" s="1"/>
  <c r="AF13" i="50"/>
  <c r="AF17" i="50" s="1"/>
  <c r="AF18" i="50" s="1"/>
  <c r="AF19" i="50" s="1"/>
  <c r="AP13" i="50"/>
  <c r="AX17" i="50"/>
  <c r="AX18" i="50" s="1"/>
  <c r="AX19" i="50" s="1"/>
  <c r="AH13" i="50"/>
  <c r="AH17" i="50" s="1"/>
  <c r="AH18" i="50" s="1"/>
  <c r="AH19" i="50" s="1"/>
  <c r="AL13" i="50"/>
  <c r="AL16" i="50" s="1"/>
  <c r="AL17" i="50" s="1"/>
  <c r="AL18" i="50" s="1"/>
  <c r="AL19" i="50" s="1"/>
  <c r="AA13" i="50"/>
  <c r="AA17" i="50" s="1"/>
  <c r="AA18" i="50" s="1"/>
  <c r="AA19" i="50" s="1"/>
  <c r="AI13" i="50"/>
  <c r="AI17" i="50" s="1"/>
  <c r="AI18" i="50" s="1"/>
  <c r="AI19" i="50" s="1"/>
  <c r="X13" i="50"/>
  <c r="X17" i="50" s="1"/>
  <c r="X18" i="50" s="1"/>
  <c r="X19" i="50" s="1"/>
  <c r="AJ13" i="50"/>
  <c r="AJ17" i="50" s="1"/>
  <c r="AJ18" i="50" s="1"/>
  <c r="AJ19" i="50" s="1"/>
  <c r="Y13" i="50"/>
  <c r="Y17" i="50" s="1"/>
  <c r="Y18" i="50" s="1"/>
  <c r="Y19" i="50" s="1"/>
  <c r="AC13" i="50"/>
  <c r="AC17" i="50" s="1"/>
  <c r="AC18" i="50" s="1"/>
  <c r="AC19" i="50" s="1"/>
  <c r="AK13" i="50"/>
  <c r="AK16" i="50" s="1"/>
  <c r="AK17" i="50" s="1"/>
  <c r="AK18" i="50" s="1"/>
  <c r="AK19" i="50" s="1"/>
  <c r="R13" i="50"/>
  <c r="R17" i="50" s="1"/>
  <c r="R18" i="50" s="1"/>
  <c r="R19" i="50" s="1"/>
  <c r="Z13" i="50"/>
  <c r="Z17" i="50" s="1"/>
  <c r="Z18" i="50" s="1"/>
  <c r="Z19" i="50" s="1"/>
  <c r="V13" i="50"/>
  <c r="V17" i="50" s="1"/>
  <c r="V18" i="50" s="1"/>
  <c r="V19" i="50" s="1"/>
  <c r="AQ10" i="50"/>
  <c r="AQ11" i="50" s="1"/>
  <c r="AQ12" i="50" s="1"/>
  <c r="AY10" i="50"/>
  <c r="AY11" i="50" s="1"/>
  <c r="AY12" i="50" s="1"/>
  <c r="AY17" i="50" s="1"/>
  <c r="AY18" i="50" s="1"/>
  <c r="AY19" i="50" s="1"/>
  <c r="AR10" i="50"/>
  <c r="AR11" i="50" s="1"/>
  <c r="AR12" i="50" s="1"/>
  <c r="AZ10" i="50"/>
  <c r="AZ11" i="50" s="1"/>
  <c r="AZ12" i="50" s="1"/>
  <c r="AZ17" i="50" s="1"/>
  <c r="AZ18" i="50" s="1"/>
  <c r="AZ19" i="50" s="1"/>
  <c r="AS10" i="50"/>
  <c r="AS11" i="50" s="1"/>
  <c r="AS12" i="50" s="1"/>
  <c r="BA10" i="50"/>
  <c r="BA11" i="50" s="1"/>
  <c r="BA12" i="50" s="1"/>
  <c r="AU10" i="50"/>
  <c r="AU11" i="50" s="1"/>
  <c r="AU12" i="50" s="1"/>
  <c r="W13" i="50"/>
  <c r="W17" i="50" s="1"/>
  <c r="W18" i="50" s="1"/>
  <c r="W19" i="50" s="1"/>
  <c r="AE13" i="50"/>
  <c r="AE17" i="50" s="1"/>
  <c r="AE18" i="50" s="1"/>
  <c r="AE19" i="50" s="1"/>
  <c r="AO15" i="50" l="1"/>
  <c r="AO16" i="50" s="1"/>
  <c r="AO17" i="50" s="1"/>
  <c r="AO18" i="50" s="1"/>
  <c r="AO19" i="50" s="1"/>
  <c r="F2" i="50"/>
  <c r="AS13" i="50"/>
  <c r="AQ13" i="50"/>
  <c r="AR13" i="50"/>
  <c r="AT15" i="50"/>
  <c r="AT16" i="50" s="1"/>
  <c r="AT17" i="50" s="1"/>
  <c r="AT18" i="50" s="1"/>
  <c r="AT19" i="50" s="1"/>
  <c r="AP15" i="50"/>
  <c r="AP16" i="50" s="1"/>
  <c r="AP17" i="50" s="1"/>
  <c r="AP18" i="50" s="1"/>
  <c r="AP19" i="50" s="1"/>
  <c r="AU13" i="50"/>
  <c r="AV15" i="50"/>
  <c r="AV16" i="50" s="1"/>
  <c r="AV17" i="50" s="1"/>
  <c r="AV18" i="50" s="1"/>
  <c r="AV19" i="50" s="1"/>
  <c r="AU15" i="50" l="1"/>
  <c r="AU16" i="50" s="1"/>
  <c r="AU17" i="50" s="1"/>
  <c r="AU18" i="50" s="1"/>
  <c r="AU19" i="50" s="1"/>
  <c r="AS15" i="50"/>
  <c r="AS16" i="50"/>
  <c r="AS17" i="50" s="1"/>
  <c r="AS18" i="50" s="1"/>
  <c r="AS19" i="50" s="1"/>
  <c r="AQ15" i="50"/>
  <c r="AQ16" i="50" s="1"/>
  <c r="AQ17" i="50" s="1"/>
  <c r="AQ18" i="50" s="1"/>
  <c r="AQ19" i="50" s="1"/>
  <c r="N10" i="50"/>
  <c r="N12" i="50" s="1"/>
  <c r="N19" i="50" s="1"/>
  <c r="C10" i="50"/>
  <c r="O10" i="50"/>
  <c r="M10" i="50"/>
  <c r="I10" i="50"/>
  <c r="E10" i="50"/>
  <c r="H10" i="50"/>
  <c r="G10" i="50"/>
  <c r="D10" i="50"/>
  <c r="F10" i="50"/>
  <c r="J3" i="50"/>
  <c r="AR15" i="50"/>
  <c r="AR16" i="50" s="1"/>
  <c r="AR17" i="50" s="1"/>
  <c r="AR18" i="50" s="1"/>
  <c r="AR19" i="50" s="1"/>
  <c r="E4" i="50" l="1"/>
  <c r="E12" i="50"/>
  <c r="E19" i="50" s="1"/>
  <c r="G12" i="50"/>
  <c r="G19" i="50" s="1"/>
  <c r="D4" i="50"/>
  <c r="BA13" i="50" l="1"/>
  <c r="BA15" i="50" s="1"/>
  <c r="BA13" i="46"/>
  <c r="BA6" i="46"/>
  <c r="BA16" i="50" l="1"/>
  <c r="F3" i="50" s="1"/>
  <c r="BA7" i="46"/>
  <c r="BA10" i="46" s="1"/>
  <c r="BA11" i="46" s="1"/>
  <c r="BA12" i="46" s="1"/>
  <c r="F2" i="46" s="1"/>
  <c r="BA15" i="46"/>
  <c r="BA16" i="46" s="1"/>
  <c r="F3" i="46" s="1"/>
  <c r="H11" i="46" s="1"/>
  <c r="F25" i="46"/>
  <c r="R20" i="46"/>
  <c r="S20" i="46" s="1"/>
  <c r="T20" i="46" s="1"/>
  <c r="U20" i="46" s="1"/>
  <c r="V20" i="46" s="1"/>
  <c r="W20" i="46" s="1"/>
  <c r="X20" i="46" s="1"/>
  <c r="Y20" i="46" s="1"/>
  <c r="Z20" i="46" s="1"/>
  <c r="AA20" i="46" s="1"/>
  <c r="AB20" i="46" s="1"/>
  <c r="AC20" i="46" s="1"/>
  <c r="AD20" i="46" s="1"/>
  <c r="AE20" i="46" s="1"/>
  <c r="AF20" i="46" s="1"/>
  <c r="AG20" i="46" s="1"/>
  <c r="AZ15" i="46"/>
  <c r="AZ16" i="46" s="1"/>
  <c r="AY15" i="46"/>
  <c r="AY16" i="46" s="1"/>
  <c r="AX15" i="46"/>
  <c r="AX16" i="46" s="1"/>
  <c r="AW15" i="46"/>
  <c r="AW16" i="46" s="1"/>
  <c r="AN15" i="46"/>
  <c r="AN16" i="46" s="1"/>
  <c r="AK15" i="46"/>
  <c r="I15" i="46"/>
  <c r="H15" i="46"/>
  <c r="G15" i="46"/>
  <c r="F15" i="46"/>
  <c r="D15" i="46"/>
  <c r="C15" i="46"/>
  <c r="N13" i="46"/>
  <c r="N14" i="46" s="1"/>
  <c r="M13" i="46"/>
  <c r="M14" i="46" s="1"/>
  <c r="E13" i="46"/>
  <c r="E15" i="46" s="1"/>
  <c r="R12" i="46"/>
  <c r="R13" i="46" s="1"/>
  <c r="J12" i="46"/>
  <c r="X11" i="46"/>
  <c r="X12" i="46" s="1"/>
  <c r="X13" i="46" s="1"/>
  <c r="U11" i="46"/>
  <c r="U12" i="46" s="1"/>
  <c r="AE10" i="46"/>
  <c r="AE11" i="46" s="1"/>
  <c r="AE12" i="46" s="1"/>
  <c r="AB10" i="46"/>
  <c r="AB11" i="46" s="1"/>
  <c r="AB12" i="46" s="1"/>
  <c r="AB13" i="46" s="1"/>
  <c r="AA10" i="46"/>
  <c r="AA11" i="46" s="1"/>
  <c r="AA12" i="46" s="1"/>
  <c r="Z10" i="46"/>
  <c r="Z11" i="46" s="1"/>
  <c r="Z12" i="46" s="1"/>
  <c r="Y10" i="46"/>
  <c r="Y11" i="46" s="1"/>
  <c r="Y12" i="46" s="1"/>
  <c r="X10" i="46"/>
  <c r="W10" i="46"/>
  <c r="W11" i="46" s="1"/>
  <c r="W12" i="46" s="1"/>
  <c r="V10" i="46"/>
  <c r="V11" i="46" s="1"/>
  <c r="V12" i="46" s="1"/>
  <c r="U10" i="46"/>
  <c r="T10" i="46"/>
  <c r="T11" i="46" s="1"/>
  <c r="T12" i="46" s="1"/>
  <c r="T13" i="46" s="1"/>
  <c r="S10" i="46"/>
  <c r="S11" i="46" s="1"/>
  <c r="S12" i="46" s="1"/>
  <c r="R10" i="46"/>
  <c r="R11" i="46" s="1"/>
  <c r="L9" i="46"/>
  <c r="AZ6" i="46"/>
  <c r="AZ7" i="46" s="1"/>
  <c r="AY6" i="46"/>
  <c r="AX6" i="46"/>
  <c r="AX7" i="46" s="1"/>
  <c r="AW6" i="46"/>
  <c r="AV6" i="46"/>
  <c r="AU6" i="46"/>
  <c r="AU7" i="46" s="1"/>
  <c r="AU10" i="46" s="1"/>
  <c r="AU11" i="46" s="1"/>
  <c r="AU12" i="46" s="1"/>
  <c r="AT6" i="46"/>
  <c r="AT7" i="46" s="1"/>
  <c r="AS6" i="46"/>
  <c r="AR6" i="46"/>
  <c r="AR7" i="46" s="1"/>
  <c r="AQ6" i="46"/>
  <c r="AP6" i="46"/>
  <c r="AP7" i="46" s="1"/>
  <c r="AO6" i="46"/>
  <c r="AN6" i="46"/>
  <c r="AN7" i="46" s="1"/>
  <c r="AM6" i="46"/>
  <c r="AM10" i="46" s="1"/>
  <c r="AM11" i="46" s="1"/>
  <c r="AM12" i="46" s="1"/>
  <c r="AL6" i="46"/>
  <c r="AL10" i="46" s="1"/>
  <c r="AL11" i="46" s="1"/>
  <c r="AL12" i="46" s="1"/>
  <c r="AK6" i="46"/>
  <c r="AK10" i="46" s="1"/>
  <c r="AK11" i="46" s="1"/>
  <c r="AK12" i="46" s="1"/>
  <c r="AJ6" i="46"/>
  <c r="AJ10" i="46" s="1"/>
  <c r="AJ11" i="46" s="1"/>
  <c r="AJ12" i="46" s="1"/>
  <c r="AI6" i="46"/>
  <c r="AI10" i="46" s="1"/>
  <c r="AI11" i="46" s="1"/>
  <c r="AI12" i="46" s="1"/>
  <c r="AH6" i="46"/>
  <c r="AH10" i="46" s="1"/>
  <c r="AH11" i="46" s="1"/>
  <c r="AH12" i="46" s="1"/>
  <c r="AG6" i="46"/>
  <c r="AG10" i="46" s="1"/>
  <c r="AG11" i="46" s="1"/>
  <c r="AG12" i="46" s="1"/>
  <c r="AF6" i="46"/>
  <c r="AF10" i="46" s="1"/>
  <c r="AF11" i="46" s="1"/>
  <c r="AF12" i="46" s="1"/>
  <c r="AD6" i="46"/>
  <c r="AC6" i="46"/>
  <c r="AC10" i="46" s="1"/>
  <c r="AC11" i="46" s="1"/>
  <c r="AC12" i="46" s="1"/>
  <c r="BA17" i="50" l="1"/>
  <c r="BA18" i="50" s="1"/>
  <c r="BA19" i="50" s="1"/>
  <c r="F11" i="50"/>
  <c r="H11" i="50"/>
  <c r="H12" i="50" s="1"/>
  <c r="H19" i="50" s="1"/>
  <c r="D11" i="50"/>
  <c r="D12" i="50" s="1"/>
  <c r="D19" i="50" s="1"/>
  <c r="I11" i="50"/>
  <c r="O11" i="50"/>
  <c r="O12" i="50" s="1"/>
  <c r="O18" i="50" s="1"/>
  <c r="C11" i="50"/>
  <c r="M11" i="50"/>
  <c r="M12" i="50" s="1"/>
  <c r="M19" i="50" s="1"/>
  <c r="BA17" i="46"/>
  <c r="BA18" i="46" s="1"/>
  <c r="BA19" i="46" s="1"/>
  <c r="AQ7" i="46"/>
  <c r="AQ10" i="46" s="1"/>
  <c r="AQ11" i="46" s="1"/>
  <c r="AQ12" i="46" s="1"/>
  <c r="AQ13" i="46" s="1"/>
  <c r="AN10" i="46"/>
  <c r="AN11" i="46" s="1"/>
  <c r="AN12" i="46" s="1"/>
  <c r="AN17" i="46" s="1"/>
  <c r="AN18" i="46" s="1"/>
  <c r="AN19" i="46" s="1"/>
  <c r="AZ10" i="46"/>
  <c r="AZ11" i="46" s="1"/>
  <c r="AZ12" i="46" s="1"/>
  <c r="AZ17" i="46" s="1"/>
  <c r="AZ18" i="46" s="1"/>
  <c r="AZ19" i="46" s="1"/>
  <c r="AP10" i="46"/>
  <c r="AP11" i="46" s="1"/>
  <c r="AP12" i="46" s="1"/>
  <c r="AP13" i="46" s="1"/>
  <c r="AV7" i="46"/>
  <c r="AV10" i="46" s="1"/>
  <c r="AV11" i="46" s="1"/>
  <c r="AV12" i="46" s="1"/>
  <c r="AV13" i="46" s="1"/>
  <c r="AV15" i="46" s="1"/>
  <c r="AV16" i="46" s="1"/>
  <c r="AV17" i="46" s="1"/>
  <c r="AV18" i="46" s="1"/>
  <c r="AV19" i="46" s="1"/>
  <c r="AL13" i="46"/>
  <c r="AL16" i="46" s="1"/>
  <c r="AL17" i="46" s="1"/>
  <c r="AL18" i="46" s="1"/>
  <c r="AL19" i="46" s="1"/>
  <c r="U13" i="46"/>
  <c r="U17" i="46" s="1"/>
  <c r="U18" i="46" s="1"/>
  <c r="U19" i="46" s="1"/>
  <c r="AC13" i="46"/>
  <c r="AC17" i="46" s="1"/>
  <c r="AC18" i="46" s="1"/>
  <c r="AC19" i="46" s="1"/>
  <c r="AI13" i="46"/>
  <c r="AI17" i="46" s="1"/>
  <c r="AI18" i="46" s="1"/>
  <c r="AI19" i="46" s="1"/>
  <c r="Y13" i="46"/>
  <c r="Y17" i="46" s="1"/>
  <c r="Y18" i="46" s="1"/>
  <c r="Y19" i="46" s="1"/>
  <c r="AJ13" i="46"/>
  <c r="AJ17" i="46" s="1"/>
  <c r="AJ18" i="46" s="1"/>
  <c r="AJ19" i="46" s="1"/>
  <c r="AH13" i="46"/>
  <c r="AH17" i="46" s="1"/>
  <c r="AH18" i="46" s="1"/>
  <c r="AH19" i="46" s="1"/>
  <c r="AM13" i="46"/>
  <c r="AM16" i="46" s="1"/>
  <c r="AM17" i="46" s="1"/>
  <c r="AM18" i="46" s="1"/>
  <c r="AM19" i="46" s="1"/>
  <c r="AU13" i="46"/>
  <c r="AE13" i="46"/>
  <c r="AE17" i="46" s="1"/>
  <c r="AE18" i="46" s="1"/>
  <c r="AE19" i="46" s="1"/>
  <c r="V13" i="46"/>
  <c r="V17" i="46" s="1"/>
  <c r="V18" i="46" s="1"/>
  <c r="V19" i="46" s="1"/>
  <c r="Z13" i="46"/>
  <c r="Z17" i="46" s="1"/>
  <c r="Z18" i="46" s="1"/>
  <c r="Z19" i="46" s="1"/>
  <c r="AG13" i="46"/>
  <c r="AG17" i="46" s="1"/>
  <c r="AG18" i="46" s="1"/>
  <c r="AG19" i="46" s="1"/>
  <c r="AK13" i="46"/>
  <c r="AK16" i="46" s="1"/>
  <c r="AK17" i="46" s="1"/>
  <c r="AK18" i="46" s="1"/>
  <c r="AK19" i="46" s="1"/>
  <c r="S17" i="46"/>
  <c r="S18" i="46" s="1"/>
  <c r="S19" i="46" s="1"/>
  <c r="S13" i="46"/>
  <c r="W13" i="46"/>
  <c r="W17" i="46" s="1"/>
  <c r="W18" i="46" s="1"/>
  <c r="W19" i="46" s="1"/>
  <c r="AA13" i="46"/>
  <c r="AA17" i="46" s="1"/>
  <c r="AA18" i="46" s="1"/>
  <c r="AA19" i="46" s="1"/>
  <c r="AW7" i="46"/>
  <c r="AW10" i="46" s="1"/>
  <c r="AW11" i="46" s="1"/>
  <c r="AW12" i="46" s="1"/>
  <c r="AW17" i="46" s="1"/>
  <c r="AW18" i="46" s="1"/>
  <c r="AW19" i="46" s="1"/>
  <c r="R17" i="46"/>
  <c r="R18" i="46" s="1"/>
  <c r="R19" i="46" s="1"/>
  <c r="AS7" i="46"/>
  <c r="AS10" i="46" s="1"/>
  <c r="AS11" i="46" s="1"/>
  <c r="AS12" i="46" s="1"/>
  <c r="AY7" i="46"/>
  <c r="AY10" i="46" s="1"/>
  <c r="AY11" i="46" s="1"/>
  <c r="AY12" i="46" s="1"/>
  <c r="AY17" i="46" s="1"/>
  <c r="AY18" i="46" s="1"/>
  <c r="AY19" i="46" s="1"/>
  <c r="D11" i="46"/>
  <c r="O11" i="46"/>
  <c r="AB17" i="46"/>
  <c r="AB18" i="46" s="1"/>
  <c r="AB19" i="46" s="1"/>
  <c r="AO7" i="46"/>
  <c r="AO10" i="46" s="1"/>
  <c r="AO11" i="46" s="1"/>
  <c r="AO12" i="46" s="1"/>
  <c r="AX10" i="46"/>
  <c r="AX11" i="46" s="1"/>
  <c r="AX12" i="46" s="1"/>
  <c r="AX17" i="46" s="1"/>
  <c r="AX18" i="46" s="1"/>
  <c r="AX19" i="46" s="1"/>
  <c r="F11" i="46"/>
  <c r="X17" i="46"/>
  <c r="X18" i="46" s="1"/>
  <c r="X19" i="46" s="1"/>
  <c r="C11" i="46"/>
  <c r="M11" i="46"/>
  <c r="AR10" i="46"/>
  <c r="AR11" i="46" s="1"/>
  <c r="AR12" i="46" s="1"/>
  <c r="AT10" i="46"/>
  <c r="AT11" i="46" s="1"/>
  <c r="AT12" i="46" s="1"/>
  <c r="I11" i="46"/>
  <c r="T17" i="46"/>
  <c r="T18" i="46" s="1"/>
  <c r="T19" i="46" s="1"/>
  <c r="AF13" i="46"/>
  <c r="AF17" i="46" s="1"/>
  <c r="AF18" i="46" s="1"/>
  <c r="AF19" i="46" s="1"/>
  <c r="AY15" i="45"/>
  <c r="AY16" i="45" s="1"/>
  <c r="AY6" i="45"/>
  <c r="AY7" i="45" s="1"/>
  <c r="AY10" i="45" s="1"/>
  <c r="AY11" i="45" s="1"/>
  <c r="AY12" i="45" s="1"/>
  <c r="AZ6" i="45"/>
  <c r="AZ7" i="45" s="1"/>
  <c r="AZ10" i="45" s="1"/>
  <c r="AZ11" i="45" s="1"/>
  <c r="AZ12" i="45" s="1"/>
  <c r="F25" i="45"/>
  <c r="R20" i="45"/>
  <c r="S20" i="45" s="1"/>
  <c r="T20" i="45" s="1"/>
  <c r="U20" i="45" s="1"/>
  <c r="V20" i="45" s="1"/>
  <c r="W20" i="45" s="1"/>
  <c r="X20" i="45" s="1"/>
  <c r="Y20" i="45" s="1"/>
  <c r="Z20" i="45" s="1"/>
  <c r="AA20" i="45" s="1"/>
  <c r="AB20" i="45" s="1"/>
  <c r="AC20" i="45" s="1"/>
  <c r="AD20" i="45" s="1"/>
  <c r="AE20" i="45" s="1"/>
  <c r="AF20" i="45" s="1"/>
  <c r="AG20" i="45" s="1"/>
  <c r="AZ15" i="45"/>
  <c r="AZ16" i="45" s="1"/>
  <c r="F3" i="45" s="1"/>
  <c r="H11" i="45" s="1"/>
  <c r="AX15" i="45"/>
  <c r="AX16" i="45" s="1"/>
  <c r="AW15" i="45"/>
  <c r="AW16" i="45" s="1"/>
  <c r="AN15" i="45"/>
  <c r="AN16" i="45" s="1"/>
  <c r="AK15" i="45"/>
  <c r="I15" i="45"/>
  <c r="H15" i="45"/>
  <c r="G15" i="45"/>
  <c r="F15" i="45"/>
  <c r="D15" i="45"/>
  <c r="C15" i="45"/>
  <c r="N13" i="45"/>
  <c r="N14" i="45" s="1"/>
  <c r="M13" i="45"/>
  <c r="M14" i="45" s="1"/>
  <c r="E13" i="45"/>
  <c r="E15" i="45" s="1"/>
  <c r="J12" i="45"/>
  <c r="AE10" i="45"/>
  <c r="AE11" i="45" s="1"/>
  <c r="AE12" i="45" s="1"/>
  <c r="AB10" i="45"/>
  <c r="AB11" i="45" s="1"/>
  <c r="AB12" i="45" s="1"/>
  <c r="AA10" i="45"/>
  <c r="AA11" i="45" s="1"/>
  <c r="AA12" i="45" s="1"/>
  <c r="Z10" i="45"/>
  <c r="Z11" i="45" s="1"/>
  <c r="Z12" i="45" s="1"/>
  <c r="Y10" i="45"/>
  <c r="Y11" i="45" s="1"/>
  <c r="Y12" i="45" s="1"/>
  <c r="X10" i="45"/>
  <c r="X11" i="45" s="1"/>
  <c r="X12" i="45" s="1"/>
  <c r="W10" i="45"/>
  <c r="W11" i="45" s="1"/>
  <c r="W12" i="45" s="1"/>
  <c r="V10" i="45"/>
  <c r="V11" i="45" s="1"/>
  <c r="V12" i="45" s="1"/>
  <c r="U10" i="45"/>
  <c r="U11" i="45" s="1"/>
  <c r="U12" i="45" s="1"/>
  <c r="T10" i="45"/>
  <c r="T11" i="45" s="1"/>
  <c r="T12" i="45" s="1"/>
  <c r="S10" i="45"/>
  <c r="S11" i="45" s="1"/>
  <c r="S12" i="45" s="1"/>
  <c r="R10" i="45"/>
  <c r="R11" i="45" s="1"/>
  <c r="R12" i="45" s="1"/>
  <c r="L9" i="45"/>
  <c r="AX6" i="45"/>
  <c r="AW6" i="45"/>
  <c r="AV6" i="45"/>
  <c r="AV7" i="45" s="1"/>
  <c r="AU6" i="45"/>
  <c r="AU7" i="45" s="1"/>
  <c r="AT6" i="45"/>
  <c r="AS6" i="45"/>
  <c r="AR6" i="45"/>
  <c r="AR7" i="45" s="1"/>
  <c r="AQ6" i="45"/>
  <c r="AQ7" i="45" s="1"/>
  <c r="AP6" i="45"/>
  <c r="AO6" i="45"/>
  <c r="AN6" i="45"/>
  <c r="AM6" i="45"/>
  <c r="AM10" i="45" s="1"/>
  <c r="AM11" i="45" s="1"/>
  <c r="AM12" i="45" s="1"/>
  <c r="AL6" i="45"/>
  <c r="AL10" i="45" s="1"/>
  <c r="AL11" i="45" s="1"/>
  <c r="AL12" i="45" s="1"/>
  <c r="AK6" i="45"/>
  <c r="AK10" i="45" s="1"/>
  <c r="AK11" i="45" s="1"/>
  <c r="AK12" i="45" s="1"/>
  <c r="AJ6" i="45"/>
  <c r="AJ10" i="45" s="1"/>
  <c r="AJ11" i="45" s="1"/>
  <c r="AJ12" i="45" s="1"/>
  <c r="AI6" i="45"/>
  <c r="AI10" i="45" s="1"/>
  <c r="AI11" i="45" s="1"/>
  <c r="AI12" i="45" s="1"/>
  <c r="AH6" i="45"/>
  <c r="AH10" i="45" s="1"/>
  <c r="AH11" i="45" s="1"/>
  <c r="AH12" i="45" s="1"/>
  <c r="AG6" i="45"/>
  <c r="AG10" i="45" s="1"/>
  <c r="AG11" i="45" s="1"/>
  <c r="AG12" i="45" s="1"/>
  <c r="AF6" i="45"/>
  <c r="AF10" i="45" s="1"/>
  <c r="AF11" i="45" s="1"/>
  <c r="AF12" i="45" s="1"/>
  <c r="AD6" i="45"/>
  <c r="AC6" i="45"/>
  <c r="AC10" i="45" s="1"/>
  <c r="AC11" i="45" s="1"/>
  <c r="AC12" i="45" s="1"/>
  <c r="C12" i="50" l="1"/>
  <c r="C19" i="50" s="1"/>
  <c r="C4" i="50"/>
  <c r="I4" i="50"/>
  <c r="I12" i="50"/>
  <c r="I19" i="50" s="1"/>
  <c r="F4" i="50"/>
  <c r="F12" i="50"/>
  <c r="F19" i="50" s="1"/>
  <c r="AO13" i="46"/>
  <c r="AS13" i="46"/>
  <c r="AR13" i="46"/>
  <c r="AU15" i="46"/>
  <c r="AU16" i="46" s="1"/>
  <c r="AU17" i="46" s="1"/>
  <c r="AU18" i="46" s="1"/>
  <c r="AU19" i="46" s="1"/>
  <c r="AP15" i="46"/>
  <c r="AP16" i="46" s="1"/>
  <c r="AP17" i="46" s="1"/>
  <c r="AP18" i="46" s="1"/>
  <c r="AP19" i="46" s="1"/>
  <c r="N10" i="46"/>
  <c r="N12" i="46" s="1"/>
  <c r="N19" i="46" s="1"/>
  <c r="G10" i="46"/>
  <c r="C10" i="46"/>
  <c r="J3" i="46"/>
  <c r="H10" i="46"/>
  <c r="H12" i="46" s="1"/>
  <c r="H19" i="46" s="1"/>
  <c r="D10" i="46"/>
  <c r="D12" i="46" s="1"/>
  <c r="D19" i="46" s="1"/>
  <c r="O10" i="46"/>
  <c r="O12" i="46" s="1"/>
  <c r="O18" i="46" s="1"/>
  <c r="F10" i="46"/>
  <c r="M10" i="46"/>
  <c r="M12" i="46" s="1"/>
  <c r="M19" i="46" s="1"/>
  <c r="E10" i="46"/>
  <c r="I10" i="46"/>
  <c r="AQ15" i="46"/>
  <c r="AQ16" i="46" s="1"/>
  <c r="AQ17" i="46" s="1"/>
  <c r="AQ18" i="46" s="1"/>
  <c r="AQ19" i="46" s="1"/>
  <c r="AT13" i="46"/>
  <c r="AY17" i="45"/>
  <c r="AY18" i="45" s="1"/>
  <c r="AY19" i="45" s="1"/>
  <c r="AQ10" i="45"/>
  <c r="AQ11" i="45" s="1"/>
  <c r="AQ12" i="45" s="1"/>
  <c r="AQ13" i="45" s="1"/>
  <c r="AR10" i="45"/>
  <c r="AR11" i="45" s="1"/>
  <c r="AR12" i="45" s="1"/>
  <c r="AV10" i="45"/>
  <c r="AV11" i="45" s="1"/>
  <c r="AV12" i="45" s="1"/>
  <c r="AV13" i="45" s="1"/>
  <c r="AU10" i="45"/>
  <c r="AU11" i="45" s="1"/>
  <c r="AU12" i="45" s="1"/>
  <c r="AU13" i="45" s="1"/>
  <c r="AN7" i="45"/>
  <c r="AN10" i="45" s="1"/>
  <c r="AN11" i="45" s="1"/>
  <c r="AN12" i="45" s="1"/>
  <c r="AN17" i="45" s="1"/>
  <c r="AN18" i="45" s="1"/>
  <c r="AN19" i="45" s="1"/>
  <c r="AL13" i="45"/>
  <c r="AL16" i="45" s="1"/>
  <c r="AL17" i="45" s="1"/>
  <c r="AL18" i="45" s="1"/>
  <c r="AL19" i="45" s="1"/>
  <c r="AZ17" i="45"/>
  <c r="AZ18" i="45" s="1"/>
  <c r="AZ19" i="45" s="1"/>
  <c r="F2" i="45"/>
  <c r="U13" i="45"/>
  <c r="U17" i="45" s="1"/>
  <c r="U18" i="45" s="1"/>
  <c r="U19" i="45" s="1"/>
  <c r="Y13" i="45"/>
  <c r="Y17" i="45"/>
  <c r="Y18" i="45" s="1"/>
  <c r="Y19" i="45" s="1"/>
  <c r="AG13" i="45"/>
  <c r="AG17" i="45" s="1"/>
  <c r="AG18" i="45" s="1"/>
  <c r="AG19" i="45" s="1"/>
  <c r="AK13" i="45"/>
  <c r="AK16" i="45" s="1"/>
  <c r="AK17" i="45" s="1"/>
  <c r="AK18" i="45" s="1"/>
  <c r="AK19" i="45" s="1"/>
  <c r="AA13" i="45"/>
  <c r="AA17" i="45" s="1"/>
  <c r="AA18" i="45" s="1"/>
  <c r="AA19" i="45" s="1"/>
  <c r="AO7" i="45"/>
  <c r="AO10" i="45" s="1"/>
  <c r="AO11" i="45" s="1"/>
  <c r="AO12" i="45" s="1"/>
  <c r="AW7" i="45"/>
  <c r="AW10" i="45" s="1"/>
  <c r="AW11" i="45" s="1"/>
  <c r="AW12" i="45" s="1"/>
  <c r="AW17" i="45" s="1"/>
  <c r="AW18" i="45" s="1"/>
  <c r="AW19" i="45" s="1"/>
  <c r="R13" i="45"/>
  <c r="R17" i="45" s="1"/>
  <c r="R18" i="45" s="1"/>
  <c r="R19" i="45" s="1"/>
  <c r="AH13" i="45"/>
  <c r="AH17" i="45" s="1"/>
  <c r="AH18" i="45" s="1"/>
  <c r="AH19" i="45" s="1"/>
  <c r="T13" i="45"/>
  <c r="T17" i="45" s="1"/>
  <c r="T18" i="45" s="1"/>
  <c r="T19" i="45" s="1"/>
  <c r="AJ13" i="45"/>
  <c r="AJ17" i="45" s="1"/>
  <c r="AJ18" i="45" s="1"/>
  <c r="AJ19" i="45" s="1"/>
  <c r="AP7" i="45"/>
  <c r="AP10" i="45" s="1"/>
  <c r="AP11" i="45" s="1"/>
  <c r="AP12" i="45" s="1"/>
  <c r="AT7" i="45"/>
  <c r="AT10" i="45" s="1"/>
  <c r="AT11" i="45" s="1"/>
  <c r="AT12" i="45" s="1"/>
  <c r="AX7" i="45"/>
  <c r="AX10" i="45" s="1"/>
  <c r="AX11" i="45" s="1"/>
  <c r="AX12" i="45" s="1"/>
  <c r="AX17" i="45" s="1"/>
  <c r="AX18" i="45" s="1"/>
  <c r="AX19" i="45" s="1"/>
  <c r="AE13" i="45"/>
  <c r="AE17" i="45"/>
  <c r="AE18" i="45" s="1"/>
  <c r="AE19" i="45" s="1"/>
  <c r="V13" i="45"/>
  <c r="V17" i="45" s="1"/>
  <c r="V18" i="45" s="1"/>
  <c r="V19" i="45" s="1"/>
  <c r="X13" i="45"/>
  <c r="X17" i="45" s="1"/>
  <c r="X18" i="45" s="1"/>
  <c r="X19" i="45" s="1"/>
  <c r="I11" i="45"/>
  <c r="C11" i="45"/>
  <c r="O11" i="45"/>
  <c r="F11" i="45"/>
  <c r="M11" i="45"/>
  <c r="D11" i="45"/>
  <c r="AI13" i="45"/>
  <c r="AI17" i="45" s="1"/>
  <c r="AI18" i="45" s="1"/>
  <c r="AI19" i="45" s="1"/>
  <c r="Z13" i="45"/>
  <c r="Z17" i="45" s="1"/>
  <c r="Z18" i="45" s="1"/>
  <c r="Z19" i="45" s="1"/>
  <c r="AB13" i="45"/>
  <c r="AB17" i="45" s="1"/>
  <c r="AB18" i="45" s="1"/>
  <c r="AB19" i="45" s="1"/>
  <c r="AR13" i="45"/>
  <c r="S13" i="45"/>
  <c r="S17" i="45"/>
  <c r="S18" i="45" s="1"/>
  <c r="S19" i="45" s="1"/>
  <c r="W13" i="45"/>
  <c r="W17" i="45" s="1"/>
  <c r="W18" i="45" s="1"/>
  <c r="W19" i="45" s="1"/>
  <c r="AM13" i="45"/>
  <c r="AM16" i="45" s="1"/>
  <c r="AM17" i="45" s="1"/>
  <c r="AM18" i="45" s="1"/>
  <c r="AM19" i="45" s="1"/>
  <c r="AC13" i="45"/>
  <c r="AC17" i="45" s="1"/>
  <c r="AC18" i="45" s="1"/>
  <c r="AC19" i="45" s="1"/>
  <c r="AF13" i="45"/>
  <c r="AF17" i="45" s="1"/>
  <c r="AF18" i="45" s="1"/>
  <c r="AF19" i="45" s="1"/>
  <c r="AS7" i="45"/>
  <c r="AS10" i="45" s="1"/>
  <c r="AS11" i="45" s="1"/>
  <c r="AS12" i="45" s="1"/>
  <c r="AX15" i="44"/>
  <c r="AX16" i="44" s="1"/>
  <c r="AX6" i="44"/>
  <c r="AX7" i="44" s="1"/>
  <c r="AX10" i="44" s="1"/>
  <c r="AX11" i="44" s="1"/>
  <c r="AX12" i="44" s="1"/>
  <c r="AY6" i="44"/>
  <c r="AX17" i="44" l="1"/>
  <c r="AX18" i="44" s="1"/>
  <c r="AX19" i="44" s="1"/>
  <c r="AT15" i="46"/>
  <c r="AT16" i="46" s="1"/>
  <c r="AT17" i="46" s="1"/>
  <c r="AT18" i="46" s="1"/>
  <c r="AT19" i="46" s="1"/>
  <c r="E4" i="46"/>
  <c r="E12" i="46"/>
  <c r="E19" i="46" s="1"/>
  <c r="G12" i="46"/>
  <c r="G19" i="46" s="1"/>
  <c r="D4" i="46"/>
  <c r="AS15" i="46"/>
  <c r="AS16" i="46" s="1"/>
  <c r="AS17" i="46" s="1"/>
  <c r="AS18" i="46" s="1"/>
  <c r="AS19" i="46" s="1"/>
  <c r="F4" i="46"/>
  <c r="F12" i="46"/>
  <c r="F19" i="46" s="1"/>
  <c r="AR15" i="46"/>
  <c r="AR16" i="46" s="1"/>
  <c r="AR17" i="46" s="1"/>
  <c r="AR18" i="46" s="1"/>
  <c r="AR19" i="46" s="1"/>
  <c r="AO15" i="46"/>
  <c r="AO16" i="46"/>
  <c r="AO17" i="46" s="1"/>
  <c r="AO18" i="46" s="1"/>
  <c r="AO19" i="46" s="1"/>
  <c r="I4" i="46"/>
  <c r="I12" i="46"/>
  <c r="I19" i="46" s="1"/>
  <c r="C12" i="46"/>
  <c r="C19" i="46" s="1"/>
  <c r="C4" i="46"/>
  <c r="AT13" i="45"/>
  <c r="AP13" i="45"/>
  <c r="AQ15" i="45"/>
  <c r="AQ16" i="45" s="1"/>
  <c r="AQ17" i="45" s="1"/>
  <c r="AQ18" i="45" s="1"/>
  <c r="AQ19" i="45" s="1"/>
  <c r="AO13" i="45"/>
  <c r="N10" i="45"/>
  <c r="N12" i="45" s="1"/>
  <c r="N19" i="45" s="1"/>
  <c r="C10" i="45"/>
  <c r="I10" i="45"/>
  <c r="E10" i="45"/>
  <c r="O10" i="45"/>
  <c r="O12" i="45" s="1"/>
  <c r="O18" i="45" s="1"/>
  <c r="H10" i="45"/>
  <c r="H12" i="45" s="1"/>
  <c r="H19" i="45" s="1"/>
  <c r="D10" i="45"/>
  <c r="D12" i="45" s="1"/>
  <c r="D19" i="45" s="1"/>
  <c r="G10" i="45"/>
  <c r="F10" i="45"/>
  <c r="J3" i="45"/>
  <c r="M10" i="45"/>
  <c r="M12" i="45" s="1"/>
  <c r="M19" i="45" s="1"/>
  <c r="AR15" i="45"/>
  <c r="AR16" i="45" s="1"/>
  <c r="AR17" i="45" s="1"/>
  <c r="AR18" i="45" s="1"/>
  <c r="AR19" i="45" s="1"/>
  <c r="AS13" i="45"/>
  <c r="AU15" i="45"/>
  <c r="AU16" i="45" s="1"/>
  <c r="AU17" i="45" s="1"/>
  <c r="AU18" i="45" s="1"/>
  <c r="AU19" i="45" s="1"/>
  <c r="AV15" i="45"/>
  <c r="AV16" i="45" s="1"/>
  <c r="AV17" i="45" s="1"/>
  <c r="AV18" i="45" s="1"/>
  <c r="AV19" i="45" s="1"/>
  <c r="F25" i="44"/>
  <c r="S20" i="44"/>
  <c r="T20" i="44" s="1"/>
  <c r="U20" i="44" s="1"/>
  <c r="V20" i="44" s="1"/>
  <c r="W20" i="44" s="1"/>
  <c r="X20" i="44" s="1"/>
  <c r="Y20" i="44" s="1"/>
  <c r="Z20" i="44" s="1"/>
  <c r="AA20" i="44" s="1"/>
  <c r="AB20" i="44" s="1"/>
  <c r="AC20" i="44" s="1"/>
  <c r="AD20" i="44" s="1"/>
  <c r="AE20" i="44" s="1"/>
  <c r="AF20" i="44" s="1"/>
  <c r="AG20" i="44" s="1"/>
  <c r="R20" i="44"/>
  <c r="AY15" i="44"/>
  <c r="AY16" i="44" s="1"/>
  <c r="AW15" i="44"/>
  <c r="AW16" i="44" s="1"/>
  <c r="AN15" i="44"/>
  <c r="AN16" i="44" s="1"/>
  <c r="AK15" i="44"/>
  <c r="I15" i="44"/>
  <c r="H15" i="44"/>
  <c r="G15" i="44"/>
  <c r="F15" i="44"/>
  <c r="D15" i="44"/>
  <c r="C15" i="44"/>
  <c r="N13" i="44"/>
  <c r="N14" i="44" s="1"/>
  <c r="M13" i="44"/>
  <c r="M14" i="44" s="1"/>
  <c r="E13" i="44"/>
  <c r="E15" i="44" s="1"/>
  <c r="J12" i="44"/>
  <c r="AE10" i="44"/>
  <c r="AE11" i="44" s="1"/>
  <c r="AE12" i="44" s="1"/>
  <c r="AB10" i="44"/>
  <c r="AB11" i="44" s="1"/>
  <c r="AB12" i="44" s="1"/>
  <c r="AA10" i="44"/>
  <c r="AA11" i="44" s="1"/>
  <c r="AA12" i="44" s="1"/>
  <c r="Z10" i="44"/>
  <c r="Z11" i="44" s="1"/>
  <c r="Z12" i="44" s="1"/>
  <c r="Z13" i="44" s="1"/>
  <c r="Y10" i="44"/>
  <c r="Y11" i="44" s="1"/>
  <c r="Y12" i="44" s="1"/>
  <c r="X10" i="44"/>
  <c r="X11" i="44" s="1"/>
  <c r="X12" i="44" s="1"/>
  <c r="W10" i="44"/>
  <c r="W11" i="44" s="1"/>
  <c r="W12" i="44" s="1"/>
  <c r="V10" i="44"/>
  <c r="V11" i="44" s="1"/>
  <c r="V12" i="44" s="1"/>
  <c r="V13" i="44" s="1"/>
  <c r="U10" i="44"/>
  <c r="U11" i="44" s="1"/>
  <c r="U12" i="44" s="1"/>
  <c r="T10" i="44"/>
  <c r="T11" i="44" s="1"/>
  <c r="T12" i="44" s="1"/>
  <c r="S10" i="44"/>
  <c r="S11" i="44" s="1"/>
  <c r="S12" i="44" s="1"/>
  <c r="R10" i="44"/>
  <c r="R11" i="44" s="1"/>
  <c r="R12" i="44" s="1"/>
  <c r="R13" i="44" s="1"/>
  <c r="L9" i="44"/>
  <c r="AW6" i="44"/>
  <c r="AV6" i="44"/>
  <c r="AU6" i="44"/>
  <c r="AT6" i="44"/>
  <c r="AS6" i="44"/>
  <c r="AR6" i="44"/>
  <c r="AQ6" i="44"/>
  <c r="AQ7" i="44" s="1"/>
  <c r="AP6" i="44"/>
  <c r="AO6" i="44"/>
  <c r="AN6" i="44"/>
  <c r="AM6" i="44"/>
  <c r="AM10" i="44" s="1"/>
  <c r="AM11" i="44" s="1"/>
  <c r="AM12" i="44" s="1"/>
  <c r="AL6" i="44"/>
  <c r="AL10" i="44" s="1"/>
  <c r="AL11" i="44" s="1"/>
  <c r="AL12" i="44" s="1"/>
  <c r="AL13" i="44" s="1"/>
  <c r="AL16" i="44" s="1"/>
  <c r="AK6" i="44"/>
  <c r="AK10" i="44" s="1"/>
  <c r="AK11" i="44" s="1"/>
  <c r="AK12" i="44" s="1"/>
  <c r="AJ6" i="44"/>
  <c r="AJ10" i="44" s="1"/>
  <c r="AJ11" i="44" s="1"/>
  <c r="AJ12" i="44" s="1"/>
  <c r="AI6" i="44"/>
  <c r="AI10" i="44" s="1"/>
  <c r="AI11" i="44" s="1"/>
  <c r="AI12" i="44" s="1"/>
  <c r="AH6" i="44"/>
  <c r="AH10" i="44" s="1"/>
  <c r="AH11" i="44" s="1"/>
  <c r="AH12" i="44" s="1"/>
  <c r="AH13" i="44" s="1"/>
  <c r="AG6" i="44"/>
  <c r="AG10" i="44" s="1"/>
  <c r="AG11" i="44" s="1"/>
  <c r="AG12" i="44" s="1"/>
  <c r="AF6" i="44"/>
  <c r="AF10" i="44" s="1"/>
  <c r="AF11" i="44" s="1"/>
  <c r="AF12" i="44" s="1"/>
  <c r="AD6" i="44"/>
  <c r="AC6" i="44"/>
  <c r="AC10" i="44" s="1"/>
  <c r="AC11" i="44" s="1"/>
  <c r="AC12" i="44" s="1"/>
  <c r="F25" i="43"/>
  <c r="R20" i="43"/>
  <c r="S20" i="43" s="1"/>
  <c r="T20" i="43" s="1"/>
  <c r="U20" i="43" s="1"/>
  <c r="V20" i="43" s="1"/>
  <c r="W20" i="43" s="1"/>
  <c r="X20" i="43" s="1"/>
  <c r="Y20" i="43" s="1"/>
  <c r="Z20" i="43" s="1"/>
  <c r="AA20" i="43" s="1"/>
  <c r="AB20" i="43" s="1"/>
  <c r="AC20" i="43" s="1"/>
  <c r="AD20" i="43" s="1"/>
  <c r="AE20" i="43" s="1"/>
  <c r="AF20" i="43" s="1"/>
  <c r="AG20" i="43" s="1"/>
  <c r="AX15" i="43"/>
  <c r="AX16" i="43" s="1"/>
  <c r="F3" i="43" s="1"/>
  <c r="AW15" i="43"/>
  <c r="AW16" i="43" s="1"/>
  <c r="AN15" i="43"/>
  <c r="AN16" i="43" s="1"/>
  <c r="AK15" i="43"/>
  <c r="I15" i="43"/>
  <c r="H15" i="43"/>
  <c r="G15" i="43"/>
  <c r="F15" i="43"/>
  <c r="D15" i="43"/>
  <c r="C15" i="43"/>
  <c r="N13" i="43"/>
  <c r="N14" i="43" s="1"/>
  <c r="M13" i="43"/>
  <c r="M14" i="43" s="1"/>
  <c r="E13" i="43"/>
  <c r="E15" i="43" s="1"/>
  <c r="J12" i="43"/>
  <c r="AE10" i="43"/>
  <c r="AE11" i="43" s="1"/>
  <c r="AE12" i="43" s="1"/>
  <c r="AE13" i="43" s="1"/>
  <c r="AB10" i="43"/>
  <c r="AB11" i="43" s="1"/>
  <c r="AB12" i="43" s="1"/>
  <c r="AA10" i="43"/>
  <c r="AA11" i="43" s="1"/>
  <c r="AA12" i="43" s="1"/>
  <c r="AA13" i="43" s="1"/>
  <c r="Z10" i="43"/>
  <c r="Z11" i="43" s="1"/>
  <c r="Z12" i="43" s="1"/>
  <c r="Y10" i="43"/>
  <c r="Y11" i="43" s="1"/>
  <c r="Y12" i="43" s="1"/>
  <c r="X10" i="43"/>
  <c r="X11" i="43" s="1"/>
  <c r="X12" i="43" s="1"/>
  <c r="W10" i="43"/>
  <c r="W11" i="43" s="1"/>
  <c r="W12" i="43" s="1"/>
  <c r="W13" i="43" s="1"/>
  <c r="V10" i="43"/>
  <c r="V11" i="43" s="1"/>
  <c r="V12" i="43" s="1"/>
  <c r="U10" i="43"/>
  <c r="U11" i="43" s="1"/>
  <c r="U12" i="43" s="1"/>
  <c r="T10" i="43"/>
  <c r="T11" i="43" s="1"/>
  <c r="T12" i="43" s="1"/>
  <c r="S10" i="43"/>
  <c r="S11" i="43" s="1"/>
  <c r="S12" i="43" s="1"/>
  <c r="S13" i="43" s="1"/>
  <c r="R10" i="43"/>
  <c r="R11" i="43" s="1"/>
  <c r="R12" i="43" s="1"/>
  <c r="L9" i="43"/>
  <c r="AX6" i="43"/>
  <c r="AX7" i="43" s="1"/>
  <c r="AW6" i="43"/>
  <c r="AV6" i="43"/>
  <c r="AV7" i="43" s="1"/>
  <c r="AU6" i="43"/>
  <c r="AT6" i="43"/>
  <c r="AT7" i="43" s="1"/>
  <c r="AS6" i="43"/>
  <c r="AS7" i="43" s="1"/>
  <c r="AS10" i="43" s="1"/>
  <c r="AS11" i="43" s="1"/>
  <c r="AS12" i="43" s="1"/>
  <c r="AR6" i="43"/>
  <c r="AQ6" i="43"/>
  <c r="AP6" i="43"/>
  <c r="AO6" i="43"/>
  <c r="AO7" i="43" s="1"/>
  <c r="AN6" i="43"/>
  <c r="AN7" i="43" s="1"/>
  <c r="AN10" i="43" s="1"/>
  <c r="AN11" i="43" s="1"/>
  <c r="AN12" i="43" s="1"/>
  <c r="AM6" i="43"/>
  <c r="AM10" i="43" s="1"/>
  <c r="AM11" i="43" s="1"/>
  <c r="AM12" i="43" s="1"/>
  <c r="AM13" i="43" s="1"/>
  <c r="AM16" i="43" s="1"/>
  <c r="AL6" i="43"/>
  <c r="AL10" i="43" s="1"/>
  <c r="AL11" i="43" s="1"/>
  <c r="AL12" i="43" s="1"/>
  <c r="AK6" i="43"/>
  <c r="AK10" i="43" s="1"/>
  <c r="AK11" i="43" s="1"/>
  <c r="AK12" i="43" s="1"/>
  <c r="AJ6" i="43"/>
  <c r="AJ10" i="43" s="1"/>
  <c r="AJ11" i="43" s="1"/>
  <c r="AJ12" i="43" s="1"/>
  <c r="AI6" i="43"/>
  <c r="AI10" i="43" s="1"/>
  <c r="AI11" i="43" s="1"/>
  <c r="AI12" i="43" s="1"/>
  <c r="AI13" i="43" s="1"/>
  <c r="AH6" i="43"/>
  <c r="AH10" i="43" s="1"/>
  <c r="AH11" i="43" s="1"/>
  <c r="AH12" i="43" s="1"/>
  <c r="AG6" i="43"/>
  <c r="AG10" i="43" s="1"/>
  <c r="AG11" i="43" s="1"/>
  <c r="AG12" i="43" s="1"/>
  <c r="AF6" i="43"/>
  <c r="AF10" i="43" s="1"/>
  <c r="AF11" i="43" s="1"/>
  <c r="AF12" i="43" s="1"/>
  <c r="AD6" i="43"/>
  <c r="AC6" i="43"/>
  <c r="AC10" i="43" s="1"/>
  <c r="AC11" i="43" s="1"/>
  <c r="AC12" i="43" s="1"/>
  <c r="AN17" i="43" l="1"/>
  <c r="AN18" i="43" s="1"/>
  <c r="AN19" i="43" s="1"/>
  <c r="F3" i="44"/>
  <c r="I11" i="44" s="1"/>
  <c r="AR7" i="43"/>
  <c r="AR10" i="43" s="1"/>
  <c r="AR11" i="43" s="1"/>
  <c r="AR12" i="43" s="1"/>
  <c r="AR13" i="43" s="1"/>
  <c r="AE17" i="43"/>
  <c r="AE18" i="43" s="1"/>
  <c r="AE19" i="43" s="1"/>
  <c r="AW7" i="43"/>
  <c r="AW10" i="43" s="1"/>
  <c r="AW11" i="43" s="1"/>
  <c r="AW12" i="43" s="1"/>
  <c r="AW17" i="43" s="1"/>
  <c r="AW18" i="43" s="1"/>
  <c r="AW19" i="43" s="1"/>
  <c r="AV10" i="43"/>
  <c r="AV11" i="43" s="1"/>
  <c r="AV12" i="43" s="1"/>
  <c r="AV13" i="43" s="1"/>
  <c r="E4" i="45"/>
  <c r="E12" i="45"/>
  <c r="E19" i="45" s="1"/>
  <c r="AO15" i="45"/>
  <c r="AO16" i="45" s="1"/>
  <c r="AO17" i="45" s="1"/>
  <c r="AO18" i="45" s="1"/>
  <c r="AO19" i="45" s="1"/>
  <c r="AS15" i="45"/>
  <c r="AS16" i="45" s="1"/>
  <c r="AS17" i="45" s="1"/>
  <c r="AS18" i="45" s="1"/>
  <c r="AS19" i="45" s="1"/>
  <c r="I12" i="45"/>
  <c r="I19" i="45" s="1"/>
  <c r="I4" i="45"/>
  <c r="C12" i="45"/>
  <c r="C19" i="45" s="1"/>
  <c r="C4" i="45"/>
  <c r="AT15" i="45"/>
  <c r="AT16" i="45" s="1"/>
  <c r="AT17" i="45" s="1"/>
  <c r="AT18" i="45" s="1"/>
  <c r="AT19" i="45" s="1"/>
  <c r="G12" i="45"/>
  <c r="G19" i="45" s="1"/>
  <c r="D4" i="45"/>
  <c r="AP15" i="45"/>
  <c r="AP16" i="45" s="1"/>
  <c r="AP17" i="45" s="1"/>
  <c r="AP18" i="45" s="1"/>
  <c r="AP19" i="45" s="1"/>
  <c r="F12" i="45"/>
  <c r="F19" i="45" s="1"/>
  <c r="F4" i="45"/>
  <c r="V17" i="44"/>
  <c r="V18" i="44" s="1"/>
  <c r="V19" i="44" s="1"/>
  <c r="AL17" i="44"/>
  <c r="AL18" i="44" s="1"/>
  <c r="AL19" i="44" s="1"/>
  <c r="AM13" i="44"/>
  <c r="AM16" i="44" s="1"/>
  <c r="AM17" i="44" s="1"/>
  <c r="AM18" i="44" s="1"/>
  <c r="AM19" i="44" s="1"/>
  <c r="AE13" i="44"/>
  <c r="AE17" i="44" s="1"/>
  <c r="AE18" i="44" s="1"/>
  <c r="AE19" i="44" s="1"/>
  <c r="AI13" i="44"/>
  <c r="AI17" i="44" s="1"/>
  <c r="AI18" i="44" s="1"/>
  <c r="AI19" i="44" s="1"/>
  <c r="S13" i="44"/>
  <c r="S17" i="44" s="1"/>
  <c r="S18" i="44" s="1"/>
  <c r="S19" i="44" s="1"/>
  <c r="W13" i="44"/>
  <c r="W17" i="44" s="1"/>
  <c r="W18" i="44" s="1"/>
  <c r="W19" i="44" s="1"/>
  <c r="AA13" i="44"/>
  <c r="AA17" i="44" s="1"/>
  <c r="AA18" i="44" s="1"/>
  <c r="AA19" i="44" s="1"/>
  <c r="X13" i="44"/>
  <c r="X17" i="44" s="1"/>
  <c r="X18" i="44" s="1"/>
  <c r="X19" i="44" s="1"/>
  <c r="AQ10" i="44"/>
  <c r="AQ11" i="44" s="1"/>
  <c r="AQ12" i="44" s="1"/>
  <c r="AG13" i="44"/>
  <c r="AG17" i="44" s="1"/>
  <c r="AG18" i="44" s="1"/>
  <c r="AG19" i="44" s="1"/>
  <c r="AK13" i="44"/>
  <c r="AK16" i="44" s="1"/>
  <c r="AK17" i="44" s="1"/>
  <c r="AK18" i="44" s="1"/>
  <c r="AK19" i="44" s="1"/>
  <c r="AU7" i="44"/>
  <c r="AU10" i="44" s="1"/>
  <c r="AU11" i="44" s="1"/>
  <c r="AU12" i="44" s="1"/>
  <c r="C11" i="44"/>
  <c r="AB13" i="44"/>
  <c r="AB17" i="44"/>
  <c r="AB18" i="44" s="1"/>
  <c r="AB19" i="44" s="1"/>
  <c r="AC13" i="44"/>
  <c r="AC17" i="44" s="1"/>
  <c r="AC18" i="44" s="1"/>
  <c r="AC19" i="44" s="1"/>
  <c r="R17" i="44"/>
  <c r="R18" i="44" s="1"/>
  <c r="R19" i="44" s="1"/>
  <c r="AH17" i="44"/>
  <c r="AH18" i="44" s="1"/>
  <c r="AH19" i="44" s="1"/>
  <c r="T13" i="44"/>
  <c r="T17" i="44" s="1"/>
  <c r="T18" i="44" s="1"/>
  <c r="T19" i="44" s="1"/>
  <c r="M11" i="44"/>
  <c r="D11" i="44"/>
  <c r="H11" i="44"/>
  <c r="O11" i="44"/>
  <c r="F11" i="44"/>
  <c r="AF13" i="44"/>
  <c r="AF17" i="44" s="1"/>
  <c r="AF18" i="44" s="1"/>
  <c r="AF19" i="44" s="1"/>
  <c r="AJ13" i="44"/>
  <c r="AJ17" i="44" s="1"/>
  <c r="AJ18" i="44" s="1"/>
  <c r="AJ19" i="44" s="1"/>
  <c r="U13" i="44"/>
  <c r="U17" i="44" s="1"/>
  <c r="U18" i="44" s="1"/>
  <c r="U19" i="44" s="1"/>
  <c r="Y13" i="44"/>
  <c r="Y17" i="44" s="1"/>
  <c r="Y18" i="44" s="1"/>
  <c r="Y19" i="44" s="1"/>
  <c r="Z17" i="44"/>
  <c r="Z18" i="44" s="1"/>
  <c r="Z19" i="44" s="1"/>
  <c r="AO7" i="44"/>
  <c r="AO10" i="44" s="1"/>
  <c r="AO11" i="44" s="1"/>
  <c r="AO12" i="44" s="1"/>
  <c r="AS7" i="44"/>
  <c r="AS10" i="44" s="1"/>
  <c r="AS11" i="44" s="1"/>
  <c r="AS12" i="44" s="1"/>
  <c r="AW7" i="44"/>
  <c r="AW10" i="44" s="1"/>
  <c r="AW11" i="44" s="1"/>
  <c r="AW12" i="44" s="1"/>
  <c r="AW17" i="44" s="1"/>
  <c r="AW18" i="44" s="1"/>
  <c r="AW19" i="44" s="1"/>
  <c r="AP7" i="44"/>
  <c r="AP10" i="44" s="1"/>
  <c r="AP11" i="44" s="1"/>
  <c r="AP12" i="44" s="1"/>
  <c r="AT7" i="44"/>
  <c r="AT10" i="44" s="1"/>
  <c r="AT11" i="44" s="1"/>
  <c r="AT12" i="44" s="1"/>
  <c r="AY7" i="44"/>
  <c r="AY10" i="44" s="1"/>
  <c r="AY11" i="44" s="1"/>
  <c r="AY12" i="44" s="1"/>
  <c r="AN7" i="44"/>
  <c r="AN10" i="44" s="1"/>
  <c r="AN11" i="44" s="1"/>
  <c r="AN12" i="44" s="1"/>
  <c r="AN17" i="44" s="1"/>
  <c r="AN18" i="44" s="1"/>
  <c r="AN19" i="44" s="1"/>
  <c r="AR7" i="44"/>
  <c r="AR10" i="44" s="1"/>
  <c r="AR11" i="44" s="1"/>
  <c r="AR12" i="44" s="1"/>
  <c r="AV7" i="44"/>
  <c r="AV10" i="44" s="1"/>
  <c r="AV11" i="44" s="1"/>
  <c r="AV12" i="44" s="1"/>
  <c r="AC13" i="43"/>
  <c r="AC17" i="43" s="1"/>
  <c r="AC18" i="43" s="1"/>
  <c r="AC19" i="43" s="1"/>
  <c r="AH13" i="43"/>
  <c r="AH17" i="43" s="1"/>
  <c r="AH18" i="43" s="1"/>
  <c r="AH19" i="43" s="1"/>
  <c r="AL13" i="43"/>
  <c r="AL16" i="43" s="1"/>
  <c r="AL17" i="43" s="1"/>
  <c r="AL18" i="43" s="1"/>
  <c r="AL19" i="43" s="1"/>
  <c r="T13" i="43"/>
  <c r="T17" i="43" s="1"/>
  <c r="T18" i="43" s="1"/>
  <c r="T19" i="43" s="1"/>
  <c r="X13" i="43"/>
  <c r="X17" i="43" s="1"/>
  <c r="X18" i="43" s="1"/>
  <c r="X19" i="43" s="1"/>
  <c r="AB13" i="43"/>
  <c r="AB17" i="43" s="1"/>
  <c r="AB18" i="43" s="1"/>
  <c r="AB19" i="43" s="1"/>
  <c r="Y13" i="43"/>
  <c r="Y17" i="43" s="1"/>
  <c r="Y18" i="43" s="1"/>
  <c r="Y19" i="43" s="1"/>
  <c r="AF13" i="43"/>
  <c r="AF17" i="43" s="1"/>
  <c r="AF18" i="43" s="1"/>
  <c r="AF19" i="43" s="1"/>
  <c r="AJ13" i="43"/>
  <c r="AJ17" i="43" s="1"/>
  <c r="AJ18" i="43" s="1"/>
  <c r="AJ19" i="43" s="1"/>
  <c r="V13" i="43"/>
  <c r="V17" i="43" s="1"/>
  <c r="V18" i="43" s="1"/>
  <c r="V19" i="43" s="1"/>
  <c r="I11" i="43"/>
  <c r="C11" i="43"/>
  <c r="H11" i="43"/>
  <c r="F11" i="43"/>
  <c r="O11" i="43"/>
  <c r="D11" i="43"/>
  <c r="M11" i="43"/>
  <c r="R13" i="43"/>
  <c r="R17" i="43" s="1"/>
  <c r="R18" i="43" s="1"/>
  <c r="R19" i="43" s="1"/>
  <c r="Z13" i="43"/>
  <c r="Z17" i="43" s="1"/>
  <c r="Z18" i="43" s="1"/>
  <c r="Z19" i="43" s="1"/>
  <c r="AG13" i="43"/>
  <c r="AG17" i="43" s="1"/>
  <c r="AG18" i="43" s="1"/>
  <c r="AG19" i="43" s="1"/>
  <c r="AK13" i="43"/>
  <c r="AK16" i="43" s="1"/>
  <c r="AK17" i="43" s="1"/>
  <c r="AK18" i="43" s="1"/>
  <c r="AK19" i="43" s="1"/>
  <c r="AS13" i="43"/>
  <c r="U13" i="43"/>
  <c r="U17" i="43" s="1"/>
  <c r="U18" i="43" s="1"/>
  <c r="U19" i="43" s="1"/>
  <c r="AO10" i="43"/>
  <c r="AO11" i="43" s="1"/>
  <c r="AO12" i="43" s="1"/>
  <c r="AT10" i="43"/>
  <c r="AT11" i="43" s="1"/>
  <c r="AT12" i="43" s="1"/>
  <c r="AA17" i="43"/>
  <c r="AA18" i="43" s="1"/>
  <c r="AA19" i="43" s="1"/>
  <c r="AP7" i="43"/>
  <c r="AP10" i="43" s="1"/>
  <c r="AP11" i="43" s="1"/>
  <c r="AP12" i="43" s="1"/>
  <c r="AX10" i="43"/>
  <c r="AX11" i="43" s="1"/>
  <c r="AX12" i="43" s="1"/>
  <c r="W17" i="43"/>
  <c r="W18" i="43" s="1"/>
  <c r="W19" i="43" s="1"/>
  <c r="AM17" i="43"/>
  <c r="AM18" i="43" s="1"/>
  <c r="AM19" i="43" s="1"/>
  <c r="S17" i="43"/>
  <c r="S18" i="43" s="1"/>
  <c r="S19" i="43" s="1"/>
  <c r="AI17" i="43"/>
  <c r="AI18" i="43" s="1"/>
  <c r="AI19" i="43" s="1"/>
  <c r="AQ7" i="43"/>
  <c r="AQ10" i="43" s="1"/>
  <c r="AQ11" i="43" s="1"/>
  <c r="AQ12" i="43" s="1"/>
  <c r="AU7" i="43"/>
  <c r="AU10" i="43" s="1"/>
  <c r="AU11" i="43" s="1"/>
  <c r="AU12" i="43" s="1"/>
  <c r="AX9" i="40"/>
  <c r="AU13" i="44" l="1"/>
  <c r="AR13" i="44"/>
  <c r="AS13" i="44"/>
  <c r="AP13" i="44"/>
  <c r="F2" i="44"/>
  <c r="AY17" i="44"/>
  <c r="AY18" i="44" s="1"/>
  <c r="AY19" i="44" s="1"/>
  <c r="AV13" i="44"/>
  <c r="AO13" i="44"/>
  <c r="AT13" i="44"/>
  <c r="AQ13" i="44"/>
  <c r="AP13" i="43"/>
  <c r="AQ13" i="43"/>
  <c r="AU13" i="43"/>
  <c r="AX17" i="43"/>
  <c r="AX18" i="43" s="1"/>
  <c r="AX19" i="43" s="1"/>
  <c r="F2" i="43"/>
  <c r="AO13" i="43"/>
  <c r="AV15" i="43"/>
  <c r="AV16" i="43" s="1"/>
  <c r="AV17" i="43" s="1"/>
  <c r="AV18" i="43" s="1"/>
  <c r="AV19" i="43" s="1"/>
  <c r="AS15" i="43"/>
  <c r="AS16" i="43" s="1"/>
  <c r="AS17" i="43" s="1"/>
  <c r="AS18" i="43" s="1"/>
  <c r="AS19" i="43" s="1"/>
  <c r="AT13" i="43"/>
  <c r="AR15" i="43"/>
  <c r="AR16" i="43" s="1"/>
  <c r="AR17" i="43" s="1"/>
  <c r="AR18" i="43" s="1"/>
  <c r="AR19" i="43" s="1"/>
  <c r="AX6" i="41"/>
  <c r="AX7" i="41" s="1"/>
  <c r="AX10" i="41" s="1"/>
  <c r="AX11" i="41" s="1"/>
  <c r="AX12" i="41" s="1"/>
  <c r="AX15" i="41"/>
  <c r="AX16" i="41" s="1"/>
  <c r="F3" i="41" s="1"/>
  <c r="H11" i="41" s="1"/>
  <c r="F25" i="41"/>
  <c r="R20" i="41"/>
  <c r="S20" i="41" s="1"/>
  <c r="T20" i="41" s="1"/>
  <c r="U20" i="41" s="1"/>
  <c r="V20" i="41" s="1"/>
  <c r="W20" i="41" s="1"/>
  <c r="X20" i="41" s="1"/>
  <c r="Y20" i="41" s="1"/>
  <c r="Z20" i="41" s="1"/>
  <c r="AA20" i="41" s="1"/>
  <c r="AB20" i="41" s="1"/>
  <c r="AC20" i="41" s="1"/>
  <c r="AD20" i="41" s="1"/>
  <c r="AE20" i="41" s="1"/>
  <c r="AF20" i="41" s="1"/>
  <c r="AG20" i="41" s="1"/>
  <c r="AW15" i="41"/>
  <c r="AW16" i="41" s="1"/>
  <c r="AN15" i="41"/>
  <c r="AN16" i="41" s="1"/>
  <c r="AK15" i="41"/>
  <c r="I15" i="41"/>
  <c r="H15" i="41"/>
  <c r="G15" i="41"/>
  <c r="F15" i="41"/>
  <c r="D15" i="41"/>
  <c r="C15" i="41"/>
  <c r="N13" i="41"/>
  <c r="N14" i="41" s="1"/>
  <c r="M13" i="41"/>
  <c r="M14" i="41" s="1"/>
  <c r="E13" i="41"/>
  <c r="E15" i="41" s="1"/>
  <c r="J12" i="41"/>
  <c r="AA11" i="41"/>
  <c r="AA12" i="41" s="1"/>
  <c r="AA13" i="41" s="1"/>
  <c r="AE10" i="41"/>
  <c r="AE11" i="41" s="1"/>
  <c r="AE12" i="41" s="1"/>
  <c r="AB10" i="41"/>
  <c r="AB11" i="41" s="1"/>
  <c r="AB12" i="41" s="1"/>
  <c r="AA10" i="41"/>
  <c r="Z10" i="41"/>
  <c r="Z11" i="41" s="1"/>
  <c r="Z12" i="41" s="1"/>
  <c r="Y10" i="41"/>
  <c r="Y11" i="41" s="1"/>
  <c r="Y12" i="41" s="1"/>
  <c r="X10" i="41"/>
  <c r="X11" i="41" s="1"/>
  <c r="X12" i="41" s="1"/>
  <c r="W10" i="41"/>
  <c r="W11" i="41" s="1"/>
  <c r="W12" i="41" s="1"/>
  <c r="V10" i="41"/>
  <c r="V11" i="41" s="1"/>
  <c r="V12" i="41" s="1"/>
  <c r="U10" i="41"/>
  <c r="U11" i="41" s="1"/>
  <c r="U12" i="41" s="1"/>
  <c r="T10" i="41"/>
  <c r="T11" i="41" s="1"/>
  <c r="T12" i="41" s="1"/>
  <c r="S10" i="41"/>
  <c r="S11" i="41" s="1"/>
  <c r="S12" i="41" s="1"/>
  <c r="R10" i="41"/>
  <c r="R11" i="41" s="1"/>
  <c r="R12" i="41" s="1"/>
  <c r="L9" i="41"/>
  <c r="AW6" i="41"/>
  <c r="AV6" i="41"/>
  <c r="AV7" i="41" s="1"/>
  <c r="AV10" i="41" s="1"/>
  <c r="AV11" i="41" s="1"/>
  <c r="AV12" i="41" s="1"/>
  <c r="AU6" i="41"/>
  <c r="AU7" i="41" s="1"/>
  <c r="AT6" i="41"/>
  <c r="AT7" i="41" s="1"/>
  <c r="AS6" i="41"/>
  <c r="AR6" i="41"/>
  <c r="AQ6" i="41"/>
  <c r="AQ7" i="41" s="1"/>
  <c r="AP6" i="41"/>
  <c r="AP7" i="41" s="1"/>
  <c r="AO6" i="41"/>
  <c r="AN6" i="41"/>
  <c r="AN7" i="41" s="1"/>
  <c r="AN10" i="41" s="1"/>
  <c r="AN11" i="41" s="1"/>
  <c r="AN12" i="41" s="1"/>
  <c r="AM6" i="41"/>
  <c r="AM10" i="41" s="1"/>
  <c r="AM11" i="41" s="1"/>
  <c r="AM12" i="41" s="1"/>
  <c r="AL6" i="41"/>
  <c r="AL10" i="41" s="1"/>
  <c r="AL11" i="41" s="1"/>
  <c r="AL12" i="41" s="1"/>
  <c r="AK6" i="41"/>
  <c r="AK10" i="41" s="1"/>
  <c r="AK11" i="41" s="1"/>
  <c r="AK12" i="41" s="1"/>
  <c r="AJ6" i="41"/>
  <c r="AJ10" i="41" s="1"/>
  <c r="AJ11" i="41" s="1"/>
  <c r="AJ12" i="41" s="1"/>
  <c r="AI6" i="41"/>
  <c r="AI10" i="41" s="1"/>
  <c r="AI11" i="41" s="1"/>
  <c r="AI12" i="41" s="1"/>
  <c r="AH6" i="41"/>
  <c r="AH10" i="41" s="1"/>
  <c r="AH11" i="41" s="1"/>
  <c r="AH12" i="41" s="1"/>
  <c r="AG6" i="41"/>
  <c r="AG10" i="41" s="1"/>
  <c r="AG11" i="41" s="1"/>
  <c r="AG12" i="41" s="1"/>
  <c r="AF6" i="41"/>
  <c r="AF10" i="41" s="1"/>
  <c r="AF11" i="41" s="1"/>
  <c r="AF12" i="41" s="1"/>
  <c r="AD6" i="41"/>
  <c r="AC6" i="41"/>
  <c r="AC10" i="41" s="1"/>
  <c r="AC11" i="41" s="1"/>
  <c r="AC12" i="41" s="1"/>
  <c r="AV15" i="44" l="1"/>
  <c r="AV16" i="44" s="1"/>
  <c r="AV17" i="44" s="1"/>
  <c r="AV18" i="44" s="1"/>
  <c r="AV19" i="44" s="1"/>
  <c r="AR15" i="44"/>
  <c r="AR16" i="44" s="1"/>
  <c r="AR17" i="44" s="1"/>
  <c r="AR18" i="44" s="1"/>
  <c r="AR19" i="44" s="1"/>
  <c r="AT15" i="44"/>
  <c r="AT16" i="44" s="1"/>
  <c r="AT17" i="44" s="1"/>
  <c r="AT18" i="44" s="1"/>
  <c r="AT19" i="44" s="1"/>
  <c r="AP15" i="44"/>
  <c r="AP16" i="44" s="1"/>
  <c r="AP17" i="44" s="1"/>
  <c r="AP18" i="44" s="1"/>
  <c r="AP19" i="44" s="1"/>
  <c r="AQ15" i="44"/>
  <c r="AQ16" i="44" s="1"/>
  <c r="AQ17" i="44" s="1"/>
  <c r="AQ18" i="44" s="1"/>
  <c r="AQ19" i="44" s="1"/>
  <c r="AU15" i="44"/>
  <c r="AU16" i="44" s="1"/>
  <c r="AU17" i="44" s="1"/>
  <c r="AU18" i="44" s="1"/>
  <c r="AU19" i="44" s="1"/>
  <c r="AO15" i="44"/>
  <c r="AO16" i="44" s="1"/>
  <c r="AO17" i="44" s="1"/>
  <c r="AO18" i="44" s="1"/>
  <c r="AO19" i="44" s="1"/>
  <c r="N10" i="44"/>
  <c r="N12" i="44" s="1"/>
  <c r="N19" i="44" s="1"/>
  <c r="G10" i="44"/>
  <c r="C10" i="44"/>
  <c r="J3" i="44"/>
  <c r="I10" i="44"/>
  <c r="E10" i="44"/>
  <c r="O10" i="44"/>
  <c r="O12" i="44" s="1"/>
  <c r="O18" i="44" s="1"/>
  <c r="H10" i="44"/>
  <c r="H12" i="44" s="1"/>
  <c r="H19" i="44" s="1"/>
  <c r="D10" i="44"/>
  <c r="D12" i="44" s="1"/>
  <c r="D19" i="44" s="1"/>
  <c r="M10" i="44"/>
  <c r="M12" i="44" s="1"/>
  <c r="M19" i="44" s="1"/>
  <c r="F10" i="44"/>
  <c r="AS15" i="44"/>
  <c r="AS16" i="44" s="1"/>
  <c r="AS17" i="44" s="1"/>
  <c r="AS18" i="44" s="1"/>
  <c r="AS19" i="44" s="1"/>
  <c r="AT15" i="43"/>
  <c r="AT16" i="43" s="1"/>
  <c r="AT17" i="43" s="1"/>
  <c r="AT18" i="43" s="1"/>
  <c r="AT19" i="43" s="1"/>
  <c r="M10" i="43"/>
  <c r="M12" i="43" s="1"/>
  <c r="M19" i="43" s="1"/>
  <c r="F10" i="43"/>
  <c r="O10" i="43"/>
  <c r="O12" i="43" s="1"/>
  <c r="O18" i="43" s="1"/>
  <c r="G10" i="43"/>
  <c r="J3" i="43"/>
  <c r="N10" i="43"/>
  <c r="N12" i="43" s="1"/>
  <c r="N19" i="43" s="1"/>
  <c r="E10" i="43"/>
  <c r="H10" i="43"/>
  <c r="H12" i="43" s="1"/>
  <c r="H19" i="43" s="1"/>
  <c r="I10" i="43"/>
  <c r="D10" i="43"/>
  <c r="D12" i="43" s="1"/>
  <c r="D19" i="43" s="1"/>
  <c r="C10" i="43"/>
  <c r="AQ16" i="43"/>
  <c r="AQ17" i="43" s="1"/>
  <c r="AQ18" i="43" s="1"/>
  <c r="AQ19" i="43" s="1"/>
  <c r="AQ15" i="43"/>
  <c r="AP15" i="43"/>
  <c r="AP16" i="43" s="1"/>
  <c r="AP17" i="43" s="1"/>
  <c r="AP18" i="43" s="1"/>
  <c r="AP19" i="43" s="1"/>
  <c r="AO15" i="43"/>
  <c r="AO16" i="43" s="1"/>
  <c r="AO17" i="43" s="1"/>
  <c r="AO18" i="43" s="1"/>
  <c r="AO19" i="43" s="1"/>
  <c r="AU15" i="43"/>
  <c r="AU16" i="43" s="1"/>
  <c r="AU17" i="43" s="1"/>
  <c r="AU18" i="43" s="1"/>
  <c r="AU19" i="43" s="1"/>
  <c r="AX17" i="41"/>
  <c r="AX18" i="41" s="1"/>
  <c r="AX19" i="41" s="1"/>
  <c r="F2" i="41"/>
  <c r="AR7" i="41"/>
  <c r="AR10" i="41" s="1"/>
  <c r="AR11" i="41" s="1"/>
  <c r="AR12" i="41" s="1"/>
  <c r="AR13" i="41" s="1"/>
  <c r="AQ10" i="41"/>
  <c r="AQ11" i="41" s="1"/>
  <c r="AQ12" i="41" s="1"/>
  <c r="AQ13" i="41" s="1"/>
  <c r="AL13" i="41"/>
  <c r="AL16" i="41" s="1"/>
  <c r="AL17" i="41" s="1"/>
  <c r="AL18" i="41" s="1"/>
  <c r="AL19" i="41" s="1"/>
  <c r="AV13" i="41"/>
  <c r="W13" i="41"/>
  <c r="W17" i="41" s="1"/>
  <c r="W18" i="41" s="1"/>
  <c r="W19" i="41" s="1"/>
  <c r="AH13" i="41"/>
  <c r="AH17" i="41" s="1"/>
  <c r="AH18" i="41" s="1"/>
  <c r="AH19" i="41" s="1"/>
  <c r="T13" i="41"/>
  <c r="T17" i="41" s="1"/>
  <c r="T18" i="41" s="1"/>
  <c r="T19" i="41" s="1"/>
  <c r="AB13" i="41"/>
  <c r="AB17" i="41"/>
  <c r="AB18" i="41" s="1"/>
  <c r="AB19" i="41" s="1"/>
  <c r="AJ13" i="41"/>
  <c r="AJ17" i="41" s="1"/>
  <c r="AJ18" i="41" s="1"/>
  <c r="AJ19" i="41" s="1"/>
  <c r="Y13" i="41"/>
  <c r="Y17" i="41" s="1"/>
  <c r="Y18" i="41" s="1"/>
  <c r="Y19" i="41" s="1"/>
  <c r="AC13" i="41"/>
  <c r="AC17" i="41" s="1"/>
  <c r="AC18" i="41" s="1"/>
  <c r="AC19" i="41" s="1"/>
  <c r="AI13" i="41"/>
  <c r="AI17" i="41" s="1"/>
  <c r="AI18" i="41" s="1"/>
  <c r="AI19" i="41" s="1"/>
  <c r="AE13" i="41"/>
  <c r="AE17" i="41" s="1"/>
  <c r="AE18" i="41" s="1"/>
  <c r="AE19" i="41" s="1"/>
  <c r="AM13" i="41"/>
  <c r="AM16" i="41" s="1"/>
  <c r="AM17" i="41" s="1"/>
  <c r="AM18" i="41" s="1"/>
  <c r="AM19" i="41" s="1"/>
  <c r="S13" i="41"/>
  <c r="S17" i="41" s="1"/>
  <c r="S18" i="41" s="1"/>
  <c r="S19" i="41" s="1"/>
  <c r="U13" i="41"/>
  <c r="U17" i="41" s="1"/>
  <c r="U18" i="41" s="1"/>
  <c r="U19" i="41" s="1"/>
  <c r="AN17" i="41"/>
  <c r="AN18" i="41" s="1"/>
  <c r="AN19" i="41" s="1"/>
  <c r="X13" i="41"/>
  <c r="X17" i="41"/>
  <c r="X18" i="41" s="1"/>
  <c r="X19" i="41" s="1"/>
  <c r="AG13" i="41"/>
  <c r="AG17" i="41" s="1"/>
  <c r="AG18" i="41" s="1"/>
  <c r="AG19" i="41" s="1"/>
  <c r="AK13" i="41"/>
  <c r="AK16" i="41" s="1"/>
  <c r="AK17" i="41" s="1"/>
  <c r="AK18" i="41" s="1"/>
  <c r="AK19" i="41" s="1"/>
  <c r="R13" i="41"/>
  <c r="R17" i="41" s="1"/>
  <c r="R18" i="41" s="1"/>
  <c r="R19" i="41" s="1"/>
  <c r="V13" i="41"/>
  <c r="V17" i="41" s="1"/>
  <c r="V18" i="41" s="1"/>
  <c r="V19" i="41" s="1"/>
  <c r="AF13" i="41"/>
  <c r="AF17" i="41" s="1"/>
  <c r="AF18" i="41" s="1"/>
  <c r="AF19" i="41" s="1"/>
  <c r="AT10" i="41"/>
  <c r="AT11" i="41" s="1"/>
  <c r="AT12" i="41" s="1"/>
  <c r="D11" i="41"/>
  <c r="O11" i="41"/>
  <c r="AO7" i="41"/>
  <c r="AO10" i="41" s="1"/>
  <c r="AO11" i="41" s="1"/>
  <c r="AO12" i="41" s="1"/>
  <c r="AW7" i="41"/>
  <c r="AW10" i="41" s="1"/>
  <c r="AW11" i="41" s="1"/>
  <c r="AW12" i="41" s="1"/>
  <c r="C11" i="41"/>
  <c r="AA17" i="41"/>
  <c r="AA18" i="41" s="1"/>
  <c r="AA19" i="41" s="1"/>
  <c r="AP10" i="41"/>
  <c r="AP11" i="41" s="1"/>
  <c r="AP12" i="41" s="1"/>
  <c r="AU10" i="41"/>
  <c r="AU11" i="41" s="1"/>
  <c r="AU12" i="41" s="1"/>
  <c r="F11" i="41"/>
  <c r="AS7" i="41"/>
  <c r="AS10" i="41" s="1"/>
  <c r="AS11" i="41" s="1"/>
  <c r="AS12" i="41" s="1"/>
  <c r="M11" i="41"/>
  <c r="I11" i="41"/>
  <c r="Z13" i="41"/>
  <c r="Z17" i="41" s="1"/>
  <c r="Z18" i="41" s="1"/>
  <c r="Z19" i="41" s="1"/>
  <c r="AW6" i="40"/>
  <c r="AW7" i="40" s="1"/>
  <c r="F25" i="40"/>
  <c r="R20" i="40"/>
  <c r="S20" i="40" s="1"/>
  <c r="T20" i="40" s="1"/>
  <c r="U20" i="40" s="1"/>
  <c r="V20" i="40" s="1"/>
  <c r="W20" i="40" s="1"/>
  <c r="X20" i="40" s="1"/>
  <c r="Y20" i="40" s="1"/>
  <c r="Z20" i="40" s="1"/>
  <c r="AA20" i="40" s="1"/>
  <c r="AB20" i="40" s="1"/>
  <c r="AC20" i="40" s="1"/>
  <c r="AD20" i="40" s="1"/>
  <c r="AE20" i="40" s="1"/>
  <c r="AF20" i="40" s="1"/>
  <c r="AG20" i="40" s="1"/>
  <c r="AN15" i="40"/>
  <c r="AN16" i="40" s="1"/>
  <c r="AK15" i="40"/>
  <c r="I15" i="40"/>
  <c r="H15" i="40"/>
  <c r="G15" i="40"/>
  <c r="F15" i="40"/>
  <c r="D15" i="40"/>
  <c r="C15" i="40"/>
  <c r="N13" i="40"/>
  <c r="N14" i="40" s="1"/>
  <c r="M13" i="40"/>
  <c r="M14" i="40" s="1"/>
  <c r="E13" i="40"/>
  <c r="E15" i="40" s="1"/>
  <c r="J12" i="40"/>
  <c r="R11" i="40"/>
  <c r="R12" i="40" s="1"/>
  <c r="AE10" i="40"/>
  <c r="AE11" i="40" s="1"/>
  <c r="AE12" i="40" s="1"/>
  <c r="AB10" i="40"/>
  <c r="AB11" i="40" s="1"/>
  <c r="AB12" i="40" s="1"/>
  <c r="AA10" i="40"/>
  <c r="AA11" i="40" s="1"/>
  <c r="AA12" i="40" s="1"/>
  <c r="Z10" i="40"/>
  <c r="Z11" i="40" s="1"/>
  <c r="Z12" i="40" s="1"/>
  <c r="Y10" i="40"/>
  <c r="Y11" i="40" s="1"/>
  <c r="Y12" i="40" s="1"/>
  <c r="X10" i="40"/>
  <c r="X11" i="40" s="1"/>
  <c r="X12" i="40" s="1"/>
  <c r="W10" i="40"/>
  <c r="W11" i="40" s="1"/>
  <c r="W12" i="40" s="1"/>
  <c r="V10" i="40"/>
  <c r="V11" i="40" s="1"/>
  <c r="V12" i="40" s="1"/>
  <c r="U10" i="40"/>
  <c r="U11" i="40" s="1"/>
  <c r="U12" i="40" s="1"/>
  <c r="T10" i="40"/>
  <c r="T11" i="40" s="1"/>
  <c r="T12" i="40" s="1"/>
  <c r="S10" i="40"/>
  <c r="S11" i="40" s="1"/>
  <c r="S12" i="40" s="1"/>
  <c r="R10" i="40"/>
  <c r="L9" i="40"/>
  <c r="AV6" i="40"/>
  <c r="AV7" i="40" s="1"/>
  <c r="AV10" i="40" s="1"/>
  <c r="AV11" i="40" s="1"/>
  <c r="AV12" i="40" s="1"/>
  <c r="AU6" i="40"/>
  <c r="AT6" i="40"/>
  <c r="AS6" i="40"/>
  <c r="AS7" i="40" s="1"/>
  <c r="AR6" i="40"/>
  <c r="AR7" i="40" s="1"/>
  <c r="AR10" i="40" s="1"/>
  <c r="AR11" i="40" s="1"/>
  <c r="AR12" i="40" s="1"/>
  <c r="AQ6" i="40"/>
  <c r="AQ7" i="40" s="1"/>
  <c r="AP6" i="40"/>
  <c r="AO6" i="40"/>
  <c r="AO7" i="40" s="1"/>
  <c r="AN6" i="40"/>
  <c r="AN7" i="40" s="1"/>
  <c r="AN10" i="40" s="1"/>
  <c r="AN11" i="40" s="1"/>
  <c r="AN12" i="40" s="1"/>
  <c r="AN17" i="40" s="1"/>
  <c r="AN18" i="40" s="1"/>
  <c r="AN19" i="40" s="1"/>
  <c r="AM6" i="40"/>
  <c r="AM10" i="40" s="1"/>
  <c r="AM11" i="40" s="1"/>
  <c r="AM12" i="40" s="1"/>
  <c r="AL6" i="40"/>
  <c r="AL10" i="40" s="1"/>
  <c r="AL11" i="40" s="1"/>
  <c r="AL12" i="40" s="1"/>
  <c r="AK6" i="40"/>
  <c r="AK10" i="40" s="1"/>
  <c r="AK11" i="40" s="1"/>
  <c r="AK12" i="40" s="1"/>
  <c r="AJ6" i="40"/>
  <c r="AJ10" i="40" s="1"/>
  <c r="AJ11" i="40" s="1"/>
  <c r="AJ12" i="40" s="1"/>
  <c r="AI6" i="40"/>
  <c r="AI10" i="40" s="1"/>
  <c r="AI11" i="40" s="1"/>
  <c r="AI12" i="40" s="1"/>
  <c r="AH6" i="40"/>
  <c r="AH10" i="40" s="1"/>
  <c r="AH11" i="40" s="1"/>
  <c r="AH12" i="40" s="1"/>
  <c r="AG6" i="40"/>
  <c r="AG10" i="40" s="1"/>
  <c r="AG11" i="40" s="1"/>
  <c r="AG12" i="40" s="1"/>
  <c r="AF6" i="40"/>
  <c r="AF10" i="40" s="1"/>
  <c r="AF11" i="40" s="1"/>
  <c r="AF12" i="40" s="1"/>
  <c r="AD6" i="40"/>
  <c r="AC6" i="40"/>
  <c r="AC10" i="40" s="1"/>
  <c r="AC11" i="40" s="1"/>
  <c r="AC12" i="40" s="1"/>
  <c r="E12" i="44" l="1"/>
  <c r="E19" i="44" s="1"/>
  <c r="E4" i="44"/>
  <c r="D4" i="44"/>
  <c r="G12" i="44"/>
  <c r="G19" i="44" s="1"/>
  <c r="I12" i="44"/>
  <c r="I19" i="44" s="1"/>
  <c r="I4" i="44"/>
  <c r="F4" i="44"/>
  <c r="F12" i="44"/>
  <c r="F19" i="44" s="1"/>
  <c r="C4" i="44"/>
  <c r="C12" i="44"/>
  <c r="C19" i="44" s="1"/>
  <c r="F4" i="43"/>
  <c r="F12" i="43"/>
  <c r="F19" i="43" s="1"/>
  <c r="I12" i="43"/>
  <c r="I19" i="43" s="1"/>
  <c r="I4" i="43"/>
  <c r="G12" i="43"/>
  <c r="G19" i="43" s="1"/>
  <c r="D4" i="43"/>
  <c r="C12" i="43"/>
  <c r="C19" i="43" s="1"/>
  <c r="C4" i="43"/>
  <c r="E4" i="43"/>
  <c r="E12" i="43"/>
  <c r="E19" i="43" s="1"/>
  <c r="AS13" i="41"/>
  <c r="AU13" i="41"/>
  <c r="AQ15" i="41"/>
  <c r="AQ16" i="41" s="1"/>
  <c r="AQ17" i="41" s="1"/>
  <c r="AQ18" i="41" s="1"/>
  <c r="AQ19" i="41" s="1"/>
  <c r="AV15" i="41"/>
  <c r="AV16" i="41" s="1"/>
  <c r="AV17" i="41" s="1"/>
  <c r="AV18" i="41" s="1"/>
  <c r="AV19" i="41" s="1"/>
  <c r="AW17" i="41"/>
  <c r="AW18" i="41" s="1"/>
  <c r="AW19" i="41" s="1"/>
  <c r="AO13" i="41"/>
  <c r="AP13" i="41"/>
  <c r="AT13" i="41"/>
  <c r="AR15" i="41"/>
  <c r="AR16" i="41" s="1"/>
  <c r="AR17" i="41" s="1"/>
  <c r="AR18" i="41" s="1"/>
  <c r="AR19" i="41" s="1"/>
  <c r="AW10" i="40"/>
  <c r="AW11" i="40" s="1"/>
  <c r="AW12" i="40" s="1"/>
  <c r="F2" i="40" s="1"/>
  <c r="AQ10" i="40"/>
  <c r="AQ11" i="40" s="1"/>
  <c r="AQ12" i="40" s="1"/>
  <c r="AQ13" i="40" s="1"/>
  <c r="AU7" i="40"/>
  <c r="AU10" i="40" s="1"/>
  <c r="AU11" i="40" s="1"/>
  <c r="AU12" i="40" s="1"/>
  <c r="AU13" i="40" s="1"/>
  <c r="AG13" i="40"/>
  <c r="AG17" i="40" s="1"/>
  <c r="AG18" i="40" s="1"/>
  <c r="AG19" i="40" s="1"/>
  <c r="Y13" i="40"/>
  <c r="Y17" i="40" s="1"/>
  <c r="Y18" i="40" s="1"/>
  <c r="Y19" i="40" s="1"/>
  <c r="AE13" i="40"/>
  <c r="AE17" i="40"/>
  <c r="AE18" i="40" s="1"/>
  <c r="AE19" i="40" s="1"/>
  <c r="V13" i="40"/>
  <c r="V17" i="40" s="1"/>
  <c r="V18" i="40" s="1"/>
  <c r="V19" i="40" s="1"/>
  <c r="AC13" i="40"/>
  <c r="AC17" i="40" s="1"/>
  <c r="AC18" i="40" s="1"/>
  <c r="AC19" i="40" s="1"/>
  <c r="AH13" i="40"/>
  <c r="AH17" i="40" s="1"/>
  <c r="AH18" i="40" s="1"/>
  <c r="AH19" i="40" s="1"/>
  <c r="AL13" i="40"/>
  <c r="AL16" i="40" s="1"/>
  <c r="AL17" i="40" s="1"/>
  <c r="AL18" i="40" s="1"/>
  <c r="AL19" i="40" s="1"/>
  <c r="AF13" i="40"/>
  <c r="AF17" i="40" s="1"/>
  <c r="AF18" i="40" s="1"/>
  <c r="AF19" i="40" s="1"/>
  <c r="Z13" i="40"/>
  <c r="Z17" i="40" s="1"/>
  <c r="Z18" i="40" s="1"/>
  <c r="Z19" i="40" s="1"/>
  <c r="U13" i="40"/>
  <c r="U17" i="40" s="1"/>
  <c r="U18" i="40" s="1"/>
  <c r="U19" i="40" s="1"/>
  <c r="AI13" i="40"/>
  <c r="AI17" i="40" s="1"/>
  <c r="AI18" i="40" s="1"/>
  <c r="AI19" i="40" s="1"/>
  <c r="W13" i="40"/>
  <c r="W17" i="40" s="1"/>
  <c r="W18" i="40" s="1"/>
  <c r="W19" i="40" s="1"/>
  <c r="AA13" i="40"/>
  <c r="AA17" i="40"/>
  <c r="AA18" i="40" s="1"/>
  <c r="AA19" i="40" s="1"/>
  <c r="AJ13" i="40"/>
  <c r="AJ17" i="40" s="1"/>
  <c r="AJ18" i="40" s="1"/>
  <c r="AJ19" i="40" s="1"/>
  <c r="AK13" i="40"/>
  <c r="AK16" i="40" s="1"/>
  <c r="AK17" i="40" s="1"/>
  <c r="AK18" i="40" s="1"/>
  <c r="AK19" i="40" s="1"/>
  <c r="AM13" i="40"/>
  <c r="AM16" i="40" s="1"/>
  <c r="AM17" i="40" s="1"/>
  <c r="AM18" i="40" s="1"/>
  <c r="AM19" i="40" s="1"/>
  <c r="S13" i="40"/>
  <c r="S17" i="40" s="1"/>
  <c r="S18" i="40" s="1"/>
  <c r="S19" i="40" s="1"/>
  <c r="AR13" i="40"/>
  <c r="AV13" i="40"/>
  <c r="T13" i="40"/>
  <c r="T17" i="40" s="1"/>
  <c r="T18" i="40" s="1"/>
  <c r="T19" i="40" s="1"/>
  <c r="X13" i="40"/>
  <c r="X17" i="40" s="1"/>
  <c r="X18" i="40" s="1"/>
  <c r="X19" i="40" s="1"/>
  <c r="AB13" i="40"/>
  <c r="AB17" i="40" s="1"/>
  <c r="AB18" i="40" s="1"/>
  <c r="AB19" i="40" s="1"/>
  <c r="R13" i="40"/>
  <c r="R17" i="40" s="1"/>
  <c r="R18" i="40" s="1"/>
  <c r="R19" i="40" s="1"/>
  <c r="AP7" i="40"/>
  <c r="AP10" i="40" s="1"/>
  <c r="AP11" i="40" s="1"/>
  <c r="AP12" i="40" s="1"/>
  <c r="AT7" i="40"/>
  <c r="AT10" i="40" s="1"/>
  <c r="AT11" i="40" s="1"/>
  <c r="AT12" i="40" s="1"/>
  <c r="AO10" i="40"/>
  <c r="AO11" i="40" s="1"/>
  <c r="AO12" i="40" s="1"/>
  <c r="AS10" i="40"/>
  <c r="AS11" i="40" s="1"/>
  <c r="AS12" i="40" s="1"/>
  <c r="AV6" i="39"/>
  <c r="AV7" i="39" s="1"/>
  <c r="AV10" i="39" s="1"/>
  <c r="AV11" i="39" s="1"/>
  <c r="AV12" i="39" s="1"/>
  <c r="F25" i="39"/>
  <c r="R20" i="39"/>
  <c r="S20" i="39" s="1"/>
  <c r="T20" i="39" s="1"/>
  <c r="U20" i="39" s="1"/>
  <c r="V20" i="39" s="1"/>
  <c r="W20" i="39" s="1"/>
  <c r="X20" i="39" s="1"/>
  <c r="Y20" i="39" s="1"/>
  <c r="Z20" i="39" s="1"/>
  <c r="AA20" i="39" s="1"/>
  <c r="AB20" i="39" s="1"/>
  <c r="AC20" i="39" s="1"/>
  <c r="AD20" i="39" s="1"/>
  <c r="AE20" i="39" s="1"/>
  <c r="AF20" i="39" s="1"/>
  <c r="AG20" i="39" s="1"/>
  <c r="AN15" i="39"/>
  <c r="AN16" i="39" s="1"/>
  <c r="AK15" i="39"/>
  <c r="I15" i="39"/>
  <c r="H15" i="39"/>
  <c r="G15" i="39"/>
  <c r="F15" i="39"/>
  <c r="D15" i="39"/>
  <c r="C15" i="39"/>
  <c r="N13" i="39"/>
  <c r="N14" i="39" s="1"/>
  <c r="M13" i="39"/>
  <c r="M14" i="39" s="1"/>
  <c r="E13" i="39"/>
  <c r="E15" i="39" s="1"/>
  <c r="J12" i="39"/>
  <c r="AB11" i="39"/>
  <c r="AB12" i="39" s="1"/>
  <c r="AB13" i="39" s="1"/>
  <c r="AB17" i="39" s="1"/>
  <c r="AB18" i="39" s="1"/>
  <c r="AB19" i="39" s="1"/>
  <c r="V11" i="39"/>
  <c r="V12" i="39" s="1"/>
  <c r="AE10" i="39"/>
  <c r="AE11" i="39" s="1"/>
  <c r="AE12" i="39" s="1"/>
  <c r="AB10" i="39"/>
  <c r="AA10" i="39"/>
  <c r="AA11" i="39" s="1"/>
  <c r="AA12" i="39" s="1"/>
  <c r="Z10" i="39"/>
  <c r="Z11" i="39" s="1"/>
  <c r="Z12" i="39" s="1"/>
  <c r="Y10" i="39"/>
  <c r="Y11" i="39" s="1"/>
  <c r="Y12" i="39" s="1"/>
  <c r="X10" i="39"/>
  <c r="X11" i="39" s="1"/>
  <c r="X12" i="39" s="1"/>
  <c r="X13" i="39" s="1"/>
  <c r="X17" i="39" s="1"/>
  <c r="X18" i="39" s="1"/>
  <c r="X19" i="39" s="1"/>
  <c r="W10" i="39"/>
  <c r="W11" i="39" s="1"/>
  <c r="W12" i="39" s="1"/>
  <c r="V10" i="39"/>
  <c r="U10" i="39"/>
  <c r="U11" i="39" s="1"/>
  <c r="U12" i="39" s="1"/>
  <c r="T10" i="39"/>
  <c r="T11" i="39" s="1"/>
  <c r="T12" i="39" s="1"/>
  <c r="T13" i="39" s="1"/>
  <c r="T17" i="39" s="1"/>
  <c r="T18" i="39" s="1"/>
  <c r="T19" i="39" s="1"/>
  <c r="S10" i="39"/>
  <c r="S11" i="39" s="1"/>
  <c r="S12" i="39" s="1"/>
  <c r="R10" i="39"/>
  <c r="R11" i="39" s="1"/>
  <c r="R12" i="39" s="1"/>
  <c r="L9" i="39"/>
  <c r="AU6" i="39"/>
  <c r="AU7" i="39" s="1"/>
  <c r="AT6" i="39"/>
  <c r="AT7" i="39" s="1"/>
  <c r="AS6" i="39"/>
  <c r="AR6" i="39"/>
  <c r="AQ6" i="39"/>
  <c r="AQ7" i="39" s="1"/>
  <c r="AP6" i="39"/>
  <c r="AP7" i="39" s="1"/>
  <c r="AO6" i="39"/>
  <c r="AN6" i="39"/>
  <c r="AM6" i="39"/>
  <c r="AM10" i="39" s="1"/>
  <c r="AM11" i="39" s="1"/>
  <c r="AM12" i="39" s="1"/>
  <c r="AL6" i="39"/>
  <c r="AL10" i="39" s="1"/>
  <c r="AL11" i="39" s="1"/>
  <c r="AL12" i="39" s="1"/>
  <c r="AK6" i="39"/>
  <c r="AK10" i="39" s="1"/>
  <c r="AK11" i="39" s="1"/>
  <c r="AK12" i="39" s="1"/>
  <c r="AJ6" i="39"/>
  <c r="AJ10" i="39" s="1"/>
  <c r="AJ11" i="39" s="1"/>
  <c r="AJ12" i="39" s="1"/>
  <c r="AI6" i="39"/>
  <c r="AI10" i="39" s="1"/>
  <c r="AI11" i="39" s="1"/>
  <c r="AI12" i="39" s="1"/>
  <c r="AH6" i="39"/>
  <c r="AH10" i="39" s="1"/>
  <c r="AH11" i="39" s="1"/>
  <c r="AH12" i="39" s="1"/>
  <c r="AG6" i="39"/>
  <c r="AG10" i="39" s="1"/>
  <c r="AG11" i="39" s="1"/>
  <c r="AG12" i="39" s="1"/>
  <c r="AF6" i="39"/>
  <c r="AF10" i="39" s="1"/>
  <c r="AF11" i="39" s="1"/>
  <c r="AF12" i="39" s="1"/>
  <c r="AD6" i="39"/>
  <c r="AC6" i="39"/>
  <c r="AC10" i="39" s="1"/>
  <c r="AC11" i="39" s="1"/>
  <c r="AC12" i="39" s="1"/>
  <c r="AT15" i="41" l="1"/>
  <c r="AT16" i="41" s="1"/>
  <c r="AT17" i="41" s="1"/>
  <c r="AT18" i="41" s="1"/>
  <c r="AT19" i="41" s="1"/>
  <c r="AO15" i="41"/>
  <c r="AO16" i="41" s="1"/>
  <c r="AO17" i="41" s="1"/>
  <c r="AO18" i="41" s="1"/>
  <c r="AO19" i="41" s="1"/>
  <c r="AU15" i="41"/>
  <c r="AU16" i="41" s="1"/>
  <c r="AU17" i="41" s="1"/>
  <c r="AU18" i="41" s="1"/>
  <c r="AU19" i="41" s="1"/>
  <c r="AP15" i="41"/>
  <c r="AP16" i="41" s="1"/>
  <c r="AP17" i="41" s="1"/>
  <c r="AP18" i="41" s="1"/>
  <c r="AP19" i="41" s="1"/>
  <c r="O10" i="41"/>
  <c r="O12" i="41" s="1"/>
  <c r="O18" i="41" s="1"/>
  <c r="H10" i="41"/>
  <c r="H12" i="41" s="1"/>
  <c r="H19" i="41" s="1"/>
  <c r="D10" i="41"/>
  <c r="D12" i="41" s="1"/>
  <c r="D19" i="41" s="1"/>
  <c r="J3" i="41"/>
  <c r="I10" i="41"/>
  <c r="C10" i="41"/>
  <c r="E10" i="41"/>
  <c r="G10" i="41"/>
  <c r="M10" i="41"/>
  <c r="M12" i="41" s="1"/>
  <c r="M19" i="41" s="1"/>
  <c r="N10" i="41"/>
  <c r="N12" i="41" s="1"/>
  <c r="N19" i="41" s="1"/>
  <c r="F10" i="41"/>
  <c r="AS15" i="41"/>
  <c r="AS16" i="41" s="1"/>
  <c r="AS17" i="41" s="1"/>
  <c r="AS18" i="41" s="1"/>
  <c r="AS19" i="41" s="1"/>
  <c r="AP13" i="40"/>
  <c r="AR15" i="40"/>
  <c r="AR16" i="40" s="1"/>
  <c r="AR17" i="40" s="1"/>
  <c r="AR18" i="40" s="1"/>
  <c r="AR19" i="40" s="1"/>
  <c r="AS13" i="40"/>
  <c r="AV15" i="40"/>
  <c r="AV16" i="40" s="1"/>
  <c r="AQ15" i="40"/>
  <c r="AQ16" i="40" s="1"/>
  <c r="AQ17" i="40" s="1"/>
  <c r="AQ18" i="40" s="1"/>
  <c r="AQ19" i="40" s="1"/>
  <c r="AU15" i="40"/>
  <c r="AU16" i="40" s="1"/>
  <c r="AU17" i="40" s="1"/>
  <c r="AU18" i="40" s="1"/>
  <c r="AU19" i="40" s="1"/>
  <c r="AT13" i="40"/>
  <c r="AO13" i="40"/>
  <c r="I10" i="40"/>
  <c r="E10" i="40"/>
  <c r="G10" i="40"/>
  <c r="O10" i="40"/>
  <c r="H10" i="40"/>
  <c r="D10" i="40"/>
  <c r="N10" i="40"/>
  <c r="N12" i="40" s="1"/>
  <c r="N19" i="40" s="1"/>
  <c r="M10" i="40"/>
  <c r="F10" i="40"/>
  <c r="J3" i="40"/>
  <c r="C10" i="40"/>
  <c r="F2" i="39"/>
  <c r="AV13" i="39"/>
  <c r="S13" i="39"/>
  <c r="S17" i="39" s="1"/>
  <c r="S18" i="39" s="1"/>
  <c r="S19" i="39" s="1"/>
  <c r="W13" i="39"/>
  <c r="W17" i="39" s="1"/>
  <c r="W18" i="39" s="1"/>
  <c r="W19" i="39" s="1"/>
  <c r="AA13" i="39"/>
  <c r="AA17" i="39" s="1"/>
  <c r="AA18" i="39" s="1"/>
  <c r="AA19" i="39" s="1"/>
  <c r="AJ13" i="39"/>
  <c r="AJ17" i="39" s="1"/>
  <c r="AJ18" i="39" s="1"/>
  <c r="AJ19" i="39" s="1"/>
  <c r="AG13" i="39"/>
  <c r="AG17" i="39" s="1"/>
  <c r="AG18" i="39" s="1"/>
  <c r="AG19" i="39" s="1"/>
  <c r="AK13" i="39"/>
  <c r="AK16" i="39" s="1"/>
  <c r="AK17" i="39" s="1"/>
  <c r="AK18" i="39" s="1"/>
  <c r="AK19" i="39" s="1"/>
  <c r="Z13" i="39"/>
  <c r="Z17" i="39" s="1"/>
  <c r="Z18" i="39" s="1"/>
  <c r="Z19" i="39" s="1"/>
  <c r="AC13" i="39"/>
  <c r="AC17" i="39" s="1"/>
  <c r="AC18" i="39" s="1"/>
  <c r="AC19" i="39" s="1"/>
  <c r="AL13" i="39"/>
  <c r="AL16" i="39" s="1"/>
  <c r="AL17" i="39" s="1"/>
  <c r="AL18" i="39" s="1"/>
  <c r="AL19" i="39" s="1"/>
  <c r="AE13" i="39"/>
  <c r="AE17" i="39" s="1"/>
  <c r="AE18" i="39" s="1"/>
  <c r="AE19" i="39" s="1"/>
  <c r="V13" i="39"/>
  <c r="V17" i="39" s="1"/>
  <c r="V18" i="39" s="1"/>
  <c r="V19" i="39" s="1"/>
  <c r="AF13" i="39"/>
  <c r="AF17" i="39" s="1"/>
  <c r="AF18" i="39" s="1"/>
  <c r="AF19" i="39" s="1"/>
  <c r="AH13" i="39"/>
  <c r="AH17" i="39" s="1"/>
  <c r="AH18" i="39" s="1"/>
  <c r="AH19" i="39" s="1"/>
  <c r="AI13" i="39"/>
  <c r="AI17" i="39" s="1"/>
  <c r="AI18" i="39" s="1"/>
  <c r="AI19" i="39" s="1"/>
  <c r="AM13" i="39"/>
  <c r="AM16" i="39" s="1"/>
  <c r="AM17" i="39" s="1"/>
  <c r="AM18" i="39" s="1"/>
  <c r="AM19" i="39" s="1"/>
  <c r="R13" i="39"/>
  <c r="R17" i="39" s="1"/>
  <c r="R18" i="39" s="1"/>
  <c r="R19" i="39" s="1"/>
  <c r="AN7" i="39"/>
  <c r="AN10" i="39" s="1"/>
  <c r="AN11" i="39" s="1"/>
  <c r="AN12" i="39" s="1"/>
  <c r="AN17" i="39" s="1"/>
  <c r="AN18" i="39" s="1"/>
  <c r="AN19" i="39" s="1"/>
  <c r="AR7" i="39"/>
  <c r="AR10" i="39" s="1"/>
  <c r="AR11" i="39" s="1"/>
  <c r="AR12" i="39" s="1"/>
  <c r="AP10" i="39"/>
  <c r="AP11" i="39" s="1"/>
  <c r="AP12" i="39" s="1"/>
  <c r="AT10" i="39"/>
  <c r="AT11" i="39" s="1"/>
  <c r="AT12" i="39" s="1"/>
  <c r="AO7" i="39"/>
  <c r="AO10" i="39" s="1"/>
  <c r="AO11" i="39" s="1"/>
  <c r="AO12" i="39" s="1"/>
  <c r="AS7" i="39"/>
  <c r="AS10" i="39" s="1"/>
  <c r="AS11" i="39" s="1"/>
  <c r="AS12" i="39" s="1"/>
  <c r="AQ10" i="39"/>
  <c r="AQ11" i="39" s="1"/>
  <c r="AQ12" i="39" s="1"/>
  <c r="AU10" i="39"/>
  <c r="AU11" i="39" s="1"/>
  <c r="AU12" i="39" s="1"/>
  <c r="U13" i="39"/>
  <c r="U17" i="39" s="1"/>
  <c r="U18" i="39" s="1"/>
  <c r="U19" i="39" s="1"/>
  <c r="Y13" i="39"/>
  <c r="Y17" i="39" s="1"/>
  <c r="Y18" i="39" s="1"/>
  <c r="Y19" i="39" s="1"/>
  <c r="F4" i="41" l="1"/>
  <c r="F12" i="41"/>
  <c r="F19" i="41" s="1"/>
  <c r="E12" i="41"/>
  <c r="E19" i="41" s="1"/>
  <c r="E4" i="41"/>
  <c r="G12" i="41"/>
  <c r="G19" i="41" s="1"/>
  <c r="D4" i="41"/>
  <c r="C12" i="41"/>
  <c r="C19" i="41" s="1"/>
  <c r="C4" i="41"/>
  <c r="I4" i="41"/>
  <c r="I12" i="41"/>
  <c r="I19" i="41" s="1"/>
  <c r="AW15" i="40"/>
  <c r="AW16" i="40" s="1"/>
  <c r="AV17" i="40"/>
  <c r="AV18" i="40" s="1"/>
  <c r="AV19" i="40" s="1"/>
  <c r="AO15" i="40"/>
  <c r="AO16" i="40" s="1"/>
  <c r="AO17" i="40" s="1"/>
  <c r="AO18" i="40" s="1"/>
  <c r="AO19" i="40" s="1"/>
  <c r="D4" i="40"/>
  <c r="G12" i="40"/>
  <c r="G19" i="40" s="1"/>
  <c r="E12" i="40"/>
  <c r="E19" i="40" s="1"/>
  <c r="E4" i="40"/>
  <c r="AT15" i="40"/>
  <c r="AT16" i="40" s="1"/>
  <c r="AS15" i="40"/>
  <c r="AS16" i="40" s="1"/>
  <c r="AP15" i="40"/>
  <c r="AP16" i="40" s="1"/>
  <c r="AP17" i="40" s="1"/>
  <c r="AP18" i="40" s="1"/>
  <c r="AP19" i="40" s="1"/>
  <c r="AV15" i="39"/>
  <c r="AV16" i="39" s="1"/>
  <c r="AR13" i="39"/>
  <c r="AO13" i="39"/>
  <c r="AT13" i="39"/>
  <c r="AU13" i="39"/>
  <c r="AQ13" i="39"/>
  <c r="AS13" i="39"/>
  <c r="AP13" i="39"/>
  <c r="AW17" i="40" l="1"/>
  <c r="AW18" i="40" s="1"/>
  <c r="AW19" i="40" s="1"/>
  <c r="F3" i="40"/>
  <c r="D11" i="40" s="1"/>
  <c r="D12" i="40" s="1"/>
  <c r="D19" i="40" s="1"/>
  <c r="AS17" i="40"/>
  <c r="AS18" i="40" s="1"/>
  <c r="AS19" i="40" s="1"/>
  <c r="AT17" i="40"/>
  <c r="AT18" i="40" s="1"/>
  <c r="AT19" i="40" s="1"/>
  <c r="F3" i="39"/>
  <c r="AV17" i="39"/>
  <c r="AV18" i="39" s="1"/>
  <c r="AV19" i="39" s="1"/>
  <c r="AQ15" i="39"/>
  <c r="AQ16" i="39" s="1"/>
  <c r="AQ17" i="39" s="1"/>
  <c r="AQ18" i="39" s="1"/>
  <c r="AQ19" i="39" s="1"/>
  <c r="AT15" i="39"/>
  <c r="AT16" i="39" s="1"/>
  <c r="AR15" i="39"/>
  <c r="AR16" i="39" s="1"/>
  <c r="AR17" i="39" s="1"/>
  <c r="AR18" i="39" s="1"/>
  <c r="AR19" i="39" s="1"/>
  <c r="O10" i="39"/>
  <c r="H10" i="39"/>
  <c r="D10" i="39"/>
  <c r="N10" i="39"/>
  <c r="N12" i="39" s="1"/>
  <c r="N19" i="39" s="1"/>
  <c r="G10" i="39"/>
  <c r="C10" i="39"/>
  <c r="M10" i="39"/>
  <c r="F10" i="39"/>
  <c r="J3" i="39"/>
  <c r="I10" i="39"/>
  <c r="E10" i="39"/>
  <c r="AO15" i="39"/>
  <c r="AO16" i="39" s="1"/>
  <c r="AO17" i="39" s="1"/>
  <c r="AO18" i="39" s="1"/>
  <c r="AO19" i="39" s="1"/>
  <c r="AP15" i="39"/>
  <c r="AP16" i="39" s="1"/>
  <c r="AP17" i="39" s="1"/>
  <c r="AP18" i="39" s="1"/>
  <c r="AP19" i="39" s="1"/>
  <c r="AU15" i="39"/>
  <c r="AU16" i="39" s="1"/>
  <c r="AS15" i="39"/>
  <c r="AS16" i="39" s="1"/>
  <c r="N13" i="38"/>
  <c r="N14" i="38" s="1"/>
  <c r="H11" i="40" l="1"/>
  <c r="H12" i="40" s="1"/>
  <c r="H19" i="40" s="1"/>
  <c r="M11" i="40"/>
  <c r="M12" i="40" s="1"/>
  <c r="M19" i="40" s="1"/>
  <c r="C11" i="40"/>
  <c r="C12" i="40" s="1"/>
  <c r="C19" i="40" s="1"/>
  <c r="F11" i="40"/>
  <c r="F4" i="40" s="1"/>
  <c r="I11" i="40"/>
  <c r="I4" i="40" s="1"/>
  <c r="O11" i="40"/>
  <c r="O12" i="40" s="1"/>
  <c r="O18" i="40" s="1"/>
  <c r="AU17" i="39"/>
  <c r="AU18" i="39" s="1"/>
  <c r="AU19" i="39" s="1"/>
  <c r="AT17" i="39"/>
  <c r="AT18" i="39" s="1"/>
  <c r="AT19" i="39" s="1"/>
  <c r="AS17" i="39"/>
  <c r="AS18" i="39" s="1"/>
  <c r="AS19" i="39" s="1"/>
  <c r="G12" i="39"/>
  <c r="G19" i="39" s="1"/>
  <c r="D4" i="39"/>
  <c r="E12" i="39"/>
  <c r="E19" i="39" s="1"/>
  <c r="E4" i="39"/>
  <c r="AU6" i="38"/>
  <c r="F25" i="38"/>
  <c r="S20" i="38"/>
  <c r="T20" i="38" s="1"/>
  <c r="U20" i="38" s="1"/>
  <c r="V20" i="38" s="1"/>
  <c r="W20" i="38" s="1"/>
  <c r="X20" i="38" s="1"/>
  <c r="Y20" i="38" s="1"/>
  <c r="Z20" i="38" s="1"/>
  <c r="AA20" i="38" s="1"/>
  <c r="AB20" i="38" s="1"/>
  <c r="AC20" i="38" s="1"/>
  <c r="AD20" i="38" s="1"/>
  <c r="AE20" i="38" s="1"/>
  <c r="AF20" i="38" s="1"/>
  <c r="AG20" i="38" s="1"/>
  <c r="R20" i="38"/>
  <c r="AN15" i="38"/>
  <c r="AN16" i="38" s="1"/>
  <c r="AK15" i="38"/>
  <c r="H15" i="38"/>
  <c r="G15" i="38"/>
  <c r="F15" i="38"/>
  <c r="D15" i="38"/>
  <c r="I15" i="38"/>
  <c r="E13" i="38"/>
  <c r="E15" i="38" s="1"/>
  <c r="C15" i="38"/>
  <c r="J12" i="38"/>
  <c r="AA11" i="38"/>
  <c r="AA12" i="38" s="1"/>
  <c r="AE10" i="38"/>
  <c r="AE11" i="38" s="1"/>
  <c r="AE12" i="38" s="1"/>
  <c r="AB10" i="38"/>
  <c r="AB11" i="38" s="1"/>
  <c r="AB12" i="38" s="1"/>
  <c r="AA10" i="38"/>
  <c r="Z10" i="38"/>
  <c r="Z11" i="38" s="1"/>
  <c r="Z12" i="38" s="1"/>
  <c r="Y10" i="38"/>
  <c r="Y11" i="38" s="1"/>
  <c r="Y12" i="38" s="1"/>
  <c r="Y13" i="38" s="1"/>
  <c r="X10" i="38"/>
  <c r="X11" i="38" s="1"/>
  <c r="X12" i="38" s="1"/>
  <c r="W10" i="38"/>
  <c r="W11" i="38" s="1"/>
  <c r="W12" i="38" s="1"/>
  <c r="V10" i="38"/>
  <c r="V11" i="38" s="1"/>
  <c r="V12" i="38" s="1"/>
  <c r="U10" i="38"/>
  <c r="U11" i="38" s="1"/>
  <c r="U12" i="38" s="1"/>
  <c r="U13" i="38" s="1"/>
  <c r="T10" i="38"/>
  <c r="T11" i="38" s="1"/>
  <c r="T12" i="38" s="1"/>
  <c r="S10" i="38"/>
  <c r="S11" i="38" s="1"/>
  <c r="S12" i="38" s="1"/>
  <c r="R10" i="38"/>
  <c r="R11" i="38" s="1"/>
  <c r="R12" i="38" s="1"/>
  <c r="L9" i="38"/>
  <c r="AT6" i="38"/>
  <c r="AS6" i="38"/>
  <c r="AR6" i="38"/>
  <c r="AQ6" i="38"/>
  <c r="AP6" i="38"/>
  <c r="AO6" i="38"/>
  <c r="AN6" i="38"/>
  <c r="AN7" i="38" s="1"/>
  <c r="AN10" i="38" s="1"/>
  <c r="AN11" i="38" s="1"/>
  <c r="AN12" i="38" s="1"/>
  <c r="AN17" i="38" s="1"/>
  <c r="AN18" i="38" s="1"/>
  <c r="AN19" i="38" s="1"/>
  <c r="AM6" i="38"/>
  <c r="AM10" i="38" s="1"/>
  <c r="AM11" i="38" s="1"/>
  <c r="AM12" i="38" s="1"/>
  <c r="AL6" i="38"/>
  <c r="AL10" i="38" s="1"/>
  <c r="AL11" i="38" s="1"/>
  <c r="AL12" i="38" s="1"/>
  <c r="AK6" i="38"/>
  <c r="AK10" i="38" s="1"/>
  <c r="AK11" i="38" s="1"/>
  <c r="AK12" i="38" s="1"/>
  <c r="AJ6" i="38"/>
  <c r="AJ10" i="38" s="1"/>
  <c r="AJ11" i="38" s="1"/>
  <c r="AJ12" i="38" s="1"/>
  <c r="AI6" i="38"/>
  <c r="AI10" i="38" s="1"/>
  <c r="AI11" i="38" s="1"/>
  <c r="AI12" i="38" s="1"/>
  <c r="AH6" i="38"/>
  <c r="AH10" i="38" s="1"/>
  <c r="AH11" i="38" s="1"/>
  <c r="AH12" i="38" s="1"/>
  <c r="AG6" i="38"/>
  <c r="AG10" i="38" s="1"/>
  <c r="AG11" i="38" s="1"/>
  <c r="AG12" i="38" s="1"/>
  <c r="AF6" i="38"/>
  <c r="AF10" i="38" s="1"/>
  <c r="AF11" i="38" s="1"/>
  <c r="AF12" i="38" s="1"/>
  <c r="AD6" i="38"/>
  <c r="AC6" i="38"/>
  <c r="AC10" i="38" s="1"/>
  <c r="AC11" i="38" s="1"/>
  <c r="AC12" i="38" s="1"/>
  <c r="AC13" i="38" s="1"/>
  <c r="C4" i="40" l="1"/>
  <c r="I12" i="40"/>
  <c r="I19" i="40" s="1"/>
  <c r="F12" i="40"/>
  <c r="F19" i="40" s="1"/>
  <c r="M11" i="39"/>
  <c r="M12" i="39" s="1"/>
  <c r="M19" i="39" s="1"/>
  <c r="D11" i="39"/>
  <c r="D12" i="39" s="1"/>
  <c r="D19" i="39" s="1"/>
  <c r="I11" i="39"/>
  <c r="C11" i="39"/>
  <c r="H11" i="39"/>
  <c r="H12" i="39" s="1"/>
  <c r="H19" i="39" s="1"/>
  <c r="O11" i="39"/>
  <c r="O12" i="39" s="1"/>
  <c r="O18" i="39" s="1"/>
  <c r="F11" i="39"/>
  <c r="AU7" i="38"/>
  <c r="AF13" i="38"/>
  <c r="AF17" i="38" s="1"/>
  <c r="AF18" i="38" s="1"/>
  <c r="AF19" i="38" s="1"/>
  <c r="AB13" i="38"/>
  <c r="AB17" i="38"/>
  <c r="AB18" i="38" s="1"/>
  <c r="AB19" i="38" s="1"/>
  <c r="AE13" i="38"/>
  <c r="AE17" i="38" s="1"/>
  <c r="AE18" i="38" s="1"/>
  <c r="AE19" i="38" s="1"/>
  <c r="W13" i="38"/>
  <c r="W17" i="38" s="1"/>
  <c r="W18" i="38" s="1"/>
  <c r="W19" i="38" s="1"/>
  <c r="AJ13" i="38"/>
  <c r="AJ17" i="38" s="1"/>
  <c r="AJ18" i="38" s="1"/>
  <c r="AJ19" i="38" s="1"/>
  <c r="AI13" i="38"/>
  <c r="AI17" i="38" s="1"/>
  <c r="AI18" i="38" s="1"/>
  <c r="AI19" i="38" s="1"/>
  <c r="AM13" i="38"/>
  <c r="AM16" i="38" s="1"/>
  <c r="AM17" i="38" s="1"/>
  <c r="AM18" i="38" s="1"/>
  <c r="AM19" i="38" s="1"/>
  <c r="X13" i="38"/>
  <c r="X17" i="38" s="1"/>
  <c r="X18" i="38" s="1"/>
  <c r="X19" i="38" s="1"/>
  <c r="T13" i="38"/>
  <c r="T17" i="38" s="1"/>
  <c r="T18" i="38" s="1"/>
  <c r="T19" i="38" s="1"/>
  <c r="AQ7" i="38"/>
  <c r="AQ10" i="38" s="1"/>
  <c r="AQ11" i="38" s="1"/>
  <c r="AQ12" i="38" s="1"/>
  <c r="S13" i="38"/>
  <c r="S17" i="38" s="1"/>
  <c r="S18" i="38" s="1"/>
  <c r="S19" i="38" s="1"/>
  <c r="AA13" i="38"/>
  <c r="AA17" i="38" s="1"/>
  <c r="AA18" i="38" s="1"/>
  <c r="AA19" i="38" s="1"/>
  <c r="AC17" i="38"/>
  <c r="AC18" i="38" s="1"/>
  <c r="AC19" i="38" s="1"/>
  <c r="AH13" i="38"/>
  <c r="AH17" i="38" s="1"/>
  <c r="AH18" i="38" s="1"/>
  <c r="AH19" i="38" s="1"/>
  <c r="AL13" i="38"/>
  <c r="AL16" i="38" s="1"/>
  <c r="AL17" i="38" s="1"/>
  <c r="AL18" i="38" s="1"/>
  <c r="AL19" i="38" s="1"/>
  <c r="AP7" i="38"/>
  <c r="AP10" i="38" s="1"/>
  <c r="AP11" i="38" s="1"/>
  <c r="AP12" i="38" s="1"/>
  <c r="AR7" i="38"/>
  <c r="AR10" i="38" s="1"/>
  <c r="AR11" i="38" s="1"/>
  <c r="AR12" i="38" s="1"/>
  <c r="V13" i="38"/>
  <c r="V17" i="38" s="1"/>
  <c r="V18" i="38" s="1"/>
  <c r="V19" i="38" s="1"/>
  <c r="AG13" i="38"/>
  <c r="AG17" i="38" s="1"/>
  <c r="AG18" i="38" s="1"/>
  <c r="AG19" i="38" s="1"/>
  <c r="M13" i="38"/>
  <c r="AK13" i="38"/>
  <c r="AK16" i="38" s="1"/>
  <c r="AK17" i="38" s="1"/>
  <c r="AK18" i="38" s="1"/>
  <c r="AK19" i="38" s="1"/>
  <c r="U17" i="38"/>
  <c r="U18" i="38" s="1"/>
  <c r="U19" i="38" s="1"/>
  <c r="Y17" i="38"/>
  <c r="Y18" i="38" s="1"/>
  <c r="Y19" i="38" s="1"/>
  <c r="R13" i="38"/>
  <c r="R17" i="38" s="1"/>
  <c r="R18" i="38" s="1"/>
  <c r="R19" i="38" s="1"/>
  <c r="Z13" i="38"/>
  <c r="Z17" i="38" s="1"/>
  <c r="Z18" i="38" s="1"/>
  <c r="Z19" i="38" s="1"/>
  <c r="AO7" i="38"/>
  <c r="AO10" i="38" s="1"/>
  <c r="AO11" i="38" s="1"/>
  <c r="AO12" i="38" s="1"/>
  <c r="AS7" i="38"/>
  <c r="AS10" i="38" s="1"/>
  <c r="AS11" i="38" s="1"/>
  <c r="AS12" i="38" s="1"/>
  <c r="AT7" i="38"/>
  <c r="AT10" i="38" s="1"/>
  <c r="AT11" i="38" s="1"/>
  <c r="AT12" i="38" s="1"/>
  <c r="AU10" i="38" l="1"/>
  <c r="AU11" i="38" s="1"/>
  <c r="AU12" i="38" s="1"/>
  <c r="I12" i="39"/>
  <c r="I19" i="39" s="1"/>
  <c r="I4" i="39"/>
  <c r="C4" i="39"/>
  <c r="C12" i="39"/>
  <c r="C19" i="39" s="1"/>
  <c r="F4" i="39"/>
  <c r="F12" i="39"/>
  <c r="F19" i="39" s="1"/>
  <c r="AR13" i="38"/>
  <c r="AP13" i="38"/>
  <c r="AO13" i="38"/>
  <c r="AT13" i="38"/>
  <c r="AS13" i="38"/>
  <c r="AQ13" i="38"/>
  <c r="H15" i="37"/>
  <c r="G15" i="37"/>
  <c r="D15" i="37"/>
  <c r="N15" i="37"/>
  <c r="F2" i="38" l="1"/>
  <c r="C10" i="38" s="1"/>
  <c r="AU13" i="38"/>
  <c r="AU15" i="38" s="1"/>
  <c r="AU16" i="38" s="1"/>
  <c r="I10" i="38"/>
  <c r="E10" i="38"/>
  <c r="O10" i="38"/>
  <c r="H10" i="38"/>
  <c r="D10" i="38"/>
  <c r="N10" i="38"/>
  <c r="N12" i="38" s="1"/>
  <c r="N19" i="38" s="1"/>
  <c r="G10" i="38"/>
  <c r="J3" i="38"/>
  <c r="F10" i="38"/>
  <c r="AP15" i="38"/>
  <c r="AP16" i="38" s="1"/>
  <c r="AP17" i="38" s="1"/>
  <c r="AP18" i="38" s="1"/>
  <c r="AP19" i="38" s="1"/>
  <c r="AS15" i="38"/>
  <c r="AS16" i="38" s="1"/>
  <c r="AQ15" i="38"/>
  <c r="AQ16" i="38" s="1"/>
  <c r="AQ17" i="38" s="1"/>
  <c r="AQ18" i="38" s="1"/>
  <c r="AQ19" i="38" s="1"/>
  <c r="AT15" i="38"/>
  <c r="AT16" i="38" s="1"/>
  <c r="AO15" i="38"/>
  <c r="AO16" i="38" s="1"/>
  <c r="AO17" i="38" s="1"/>
  <c r="AO18" i="38" s="1"/>
  <c r="AO19" i="38" s="1"/>
  <c r="AR15" i="38"/>
  <c r="AR16" i="38" s="1"/>
  <c r="AR17" i="38" s="1"/>
  <c r="AR18" i="38" s="1"/>
  <c r="AR19" i="38" s="1"/>
  <c r="AT6" i="37"/>
  <c r="F25" i="37"/>
  <c r="R20" i="37"/>
  <c r="S20" i="37" s="1"/>
  <c r="T20" i="37" s="1"/>
  <c r="U20" i="37" s="1"/>
  <c r="V20" i="37" s="1"/>
  <c r="W20" i="37" s="1"/>
  <c r="X20" i="37" s="1"/>
  <c r="Y20" i="37" s="1"/>
  <c r="Z20" i="37" s="1"/>
  <c r="AA20" i="37" s="1"/>
  <c r="AB20" i="37" s="1"/>
  <c r="AC20" i="37" s="1"/>
  <c r="AD20" i="37" s="1"/>
  <c r="AE20" i="37" s="1"/>
  <c r="AF20" i="37" s="1"/>
  <c r="AG20" i="37" s="1"/>
  <c r="AN15" i="37"/>
  <c r="AN16" i="37" s="1"/>
  <c r="AK15" i="37"/>
  <c r="I13" i="37"/>
  <c r="I15" i="37" s="1"/>
  <c r="F13" i="37"/>
  <c r="F15" i="37" s="1"/>
  <c r="E13" i="37"/>
  <c r="E15" i="37" s="1"/>
  <c r="C13" i="37"/>
  <c r="J12" i="37"/>
  <c r="AE10" i="37"/>
  <c r="AE11" i="37" s="1"/>
  <c r="AE12" i="37" s="1"/>
  <c r="AB10" i="37"/>
  <c r="AB11" i="37" s="1"/>
  <c r="AB12" i="37" s="1"/>
  <c r="AA10" i="37"/>
  <c r="AA11" i="37" s="1"/>
  <c r="AA12" i="37" s="1"/>
  <c r="Z10" i="37"/>
  <c r="Z11" i="37" s="1"/>
  <c r="Z12" i="37" s="1"/>
  <c r="Y10" i="37"/>
  <c r="Y11" i="37" s="1"/>
  <c r="Y12" i="37" s="1"/>
  <c r="X10" i="37"/>
  <c r="X11" i="37" s="1"/>
  <c r="X12" i="37" s="1"/>
  <c r="W10" i="37"/>
  <c r="W11" i="37" s="1"/>
  <c r="W12" i="37" s="1"/>
  <c r="V10" i="37"/>
  <c r="V11" i="37" s="1"/>
  <c r="V12" i="37" s="1"/>
  <c r="U10" i="37"/>
  <c r="U11" i="37" s="1"/>
  <c r="U12" i="37" s="1"/>
  <c r="T10" i="37"/>
  <c r="T11" i="37" s="1"/>
  <c r="T12" i="37" s="1"/>
  <c r="S10" i="37"/>
  <c r="S11" i="37" s="1"/>
  <c r="S12" i="37" s="1"/>
  <c r="R10" i="37"/>
  <c r="R11" i="37" s="1"/>
  <c r="R12" i="37" s="1"/>
  <c r="L9" i="37"/>
  <c r="AS6" i="37"/>
  <c r="AS7" i="37" s="1"/>
  <c r="AR6" i="37"/>
  <c r="AR7" i="37" s="1"/>
  <c r="AQ6" i="37"/>
  <c r="AP6" i="37"/>
  <c r="AP7" i="37" s="1"/>
  <c r="AO6" i="37"/>
  <c r="AO7" i="37" s="1"/>
  <c r="AN6" i="37"/>
  <c r="AN7" i="37" s="1"/>
  <c r="AM6" i="37"/>
  <c r="AM10" i="37" s="1"/>
  <c r="AM11" i="37" s="1"/>
  <c r="AM12" i="37" s="1"/>
  <c r="AL6" i="37"/>
  <c r="AL10" i="37" s="1"/>
  <c r="AL11" i="37" s="1"/>
  <c r="AL12" i="37" s="1"/>
  <c r="AK6" i="37"/>
  <c r="AK10" i="37" s="1"/>
  <c r="AK11" i="37" s="1"/>
  <c r="AK12" i="37" s="1"/>
  <c r="AJ6" i="37"/>
  <c r="AJ10" i="37" s="1"/>
  <c r="AJ11" i="37" s="1"/>
  <c r="AJ12" i="37" s="1"/>
  <c r="AI6" i="37"/>
  <c r="AI10" i="37" s="1"/>
  <c r="AI11" i="37" s="1"/>
  <c r="AI12" i="37" s="1"/>
  <c r="AH6" i="37"/>
  <c r="AH10" i="37" s="1"/>
  <c r="AH11" i="37" s="1"/>
  <c r="AH12" i="37" s="1"/>
  <c r="AG6" i="37"/>
  <c r="AG10" i="37" s="1"/>
  <c r="AG11" i="37" s="1"/>
  <c r="AG12" i="37" s="1"/>
  <c r="AF6" i="37"/>
  <c r="AF10" i="37" s="1"/>
  <c r="AF11" i="37" s="1"/>
  <c r="AF12" i="37" s="1"/>
  <c r="AD6" i="37"/>
  <c r="AC6" i="37"/>
  <c r="AC10" i="37" s="1"/>
  <c r="AC11" i="37" s="1"/>
  <c r="AC12" i="37" s="1"/>
  <c r="M10" i="38" l="1"/>
  <c r="M13" i="37"/>
  <c r="M15" i="37" s="1"/>
  <c r="C15" i="37"/>
  <c r="AU17" i="38"/>
  <c r="AU18" i="38" s="1"/>
  <c r="AU19" i="38" s="1"/>
  <c r="F3" i="38"/>
  <c r="AT17" i="38"/>
  <c r="AT18" i="38" s="1"/>
  <c r="AT19" i="38" s="1"/>
  <c r="AS17" i="38"/>
  <c r="AS18" i="38" s="1"/>
  <c r="AS19" i="38" s="1"/>
  <c r="E12" i="38"/>
  <c r="E19" i="38" s="1"/>
  <c r="E4" i="38"/>
  <c r="G12" i="38"/>
  <c r="G19" i="38" s="1"/>
  <c r="D4" i="38"/>
  <c r="AT7" i="37"/>
  <c r="AT10" i="37" s="1"/>
  <c r="AT11" i="37" s="1"/>
  <c r="AT12" i="37" s="1"/>
  <c r="F2" i="37" s="1"/>
  <c r="AK13" i="37"/>
  <c r="AK16" i="37" s="1"/>
  <c r="AK17" i="37" s="1"/>
  <c r="AK18" i="37" s="1"/>
  <c r="AK19" i="37" s="1"/>
  <c r="W13" i="37"/>
  <c r="W17" i="37" s="1"/>
  <c r="W18" i="37" s="1"/>
  <c r="W19" i="37" s="1"/>
  <c r="AC13" i="37"/>
  <c r="AC17" i="37" s="1"/>
  <c r="AC18" i="37" s="1"/>
  <c r="AC19" i="37" s="1"/>
  <c r="AL13" i="37"/>
  <c r="AL16" i="37" s="1"/>
  <c r="AL17" i="37" s="1"/>
  <c r="AL18" i="37" s="1"/>
  <c r="AL19" i="37" s="1"/>
  <c r="T13" i="37"/>
  <c r="T17" i="37" s="1"/>
  <c r="T18" i="37" s="1"/>
  <c r="T19" i="37" s="1"/>
  <c r="AB13" i="37"/>
  <c r="AB17" i="37" s="1"/>
  <c r="AB18" i="37" s="1"/>
  <c r="AB19" i="37" s="1"/>
  <c r="AI13" i="37"/>
  <c r="AI17" i="37" s="1"/>
  <c r="AI18" i="37" s="1"/>
  <c r="AI19" i="37" s="1"/>
  <c r="AG13" i="37"/>
  <c r="AG17" i="37" s="1"/>
  <c r="AG18" i="37" s="1"/>
  <c r="AG19" i="37" s="1"/>
  <c r="S13" i="37"/>
  <c r="S17" i="37" s="1"/>
  <c r="S18" i="37" s="1"/>
  <c r="S19" i="37" s="1"/>
  <c r="AA13" i="37"/>
  <c r="AA17" i="37" s="1"/>
  <c r="AA18" i="37" s="1"/>
  <c r="AA19" i="37" s="1"/>
  <c r="Y13" i="37"/>
  <c r="Y17" i="37" s="1"/>
  <c r="Y18" i="37" s="1"/>
  <c r="Y19" i="37" s="1"/>
  <c r="AH13" i="37"/>
  <c r="AH17" i="37" s="1"/>
  <c r="AH18" i="37" s="1"/>
  <c r="AH19" i="37" s="1"/>
  <c r="X13" i="37"/>
  <c r="X17" i="37" s="1"/>
  <c r="X18" i="37" s="1"/>
  <c r="X19" i="37" s="1"/>
  <c r="AM13" i="37"/>
  <c r="AM16" i="37" s="1"/>
  <c r="AM17" i="37" s="1"/>
  <c r="AM18" i="37" s="1"/>
  <c r="AM19" i="37" s="1"/>
  <c r="AE13" i="37"/>
  <c r="AE17" i="37" s="1"/>
  <c r="AE18" i="37" s="1"/>
  <c r="AE19" i="37" s="1"/>
  <c r="AF13" i="37"/>
  <c r="AF17" i="37" s="1"/>
  <c r="AF18" i="37" s="1"/>
  <c r="AF19" i="37" s="1"/>
  <c r="AJ13" i="37"/>
  <c r="AJ17" i="37" s="1"/>
  <c r="AJ18" i="37" s="1"/>
  <c r="AJ19" i="37" s="1"/>
  <c r="R13" i="37"/>
  <c r="R17" i="37" s="1"/>
  <c r="R18" i="37" s="1"/>
  <c r="R19" i="37" s="1"/>
  <c r="V13" i="37"/>
  <c r="V17" i="37" s="1"/>
  <c r="V18" i="37" s="1"/>
  <c r="V19" i="37" s="1"/>
  <c r="Z13" i="37"/>
  <c r="Z17" i="37" s="1"/>
  <c r="Z18" i="37" s="1"/>
  <c r="Z19" i="37" s="1"/>
  <c r="U13" i="37"/>
  <c r="U17" i="37" s="1"/>
  <c r="U18" i="37" s="1"/>
  <c r="U19" i="37" s="1"/>
  <c r="AQ7" i="37"/>
  <c r="AQ10" i="37" s="1"/>
  <c r="AQ11" i="37" s="1"/>
  <c r="AQ12" i="37" s="1"/>
  <c r="AN10" i="37"/>
  <c r="AN11" i="37" s="1"/>
  <c r="AN12" i="37" s="1"/>
  <c r="AN17" i="37" s="1"/>
  <c r="AN18" i="37" s="1"/>
  <c r="AN19" i="37" s="1"/>
  <c r="AR10" i="37"/>
  <c r="AR11" i="37" s="1"/>
  <c r="AR12" i="37" s="1"/>
  <c r="AO10" i="37"/>
  <c r="AO11" i="37" s="1"/>
  <c r="AO12" i="37" s="1"/>
  <c r="AS10" i="37"/>
  <c r="AS11" i="37" s="1"/>
  <c r="AS12" i="37" s="1"/>
  <c r="AP10" i="37"/>
  <c r="AP11" i="37" s="1"/>
  <c r="AP12" i="37" s="1"/>
  <c r="AS6" i="36"/>
  <c r="F24" i="36"/>
  <c r="R20" i="36"/>
  <c r="S20" i="36" s="1"/>
  <c r="T20" i="36" s="1"/>
  <c r="U20" i="36" s="1"/>
  <c r="V20" i="36" s="1"/>
  <c r="W20" i="36" s="1"/>
  <c r="X20" i="36" s="1"/>
  <c r="Y20" i="36" s="1"/>
  <c r="Z20" i="36" s="1"/>
  <c r="AA20" i="36" s="1"/>
  <c r="AB20" i="36" s="1"/>
  <c r="AC20" i="36" s="1"/>
  <c r="AD20" i="36" s="1"/>
  <c r="AE20" i="36" s="1"/>
  <c r="AF20" i="36" s="1"/>
  <c r="AG20" i="36" s="1"/>
  <c r="AN15" i="36"/>
  <c r="AN16" i="36" s="1"/>
  <c r="AK15" i="36"/>
  <c r="I13" i="36"/>
  <c r="F13" i="36"/>
  <c r="E13" i="36"/>
  <c r="C13" i="36"/>
  <c r="M13" i="36" s="1"/>
  <c r="Z12" i="36"/>
  <c r="J12" i="36"/>
  <c r="AE10" i="36"/>
  <c r="AE11" i="36" s="1"/>
  <c r="AE12" i="36" s="1"/>
  <c r="AB10" i="36"/>
  <c r="AB11" i="36" s="1"/>
  <c r="AB12" i="36" s="1"/>
  <c r="AA10" i="36"/>
  <c r="AA11" i="36" s="1"/>
  <c r="AA12" i="36" s="1"/>
  <c r="AA13" i="36" s="1"/>
  <c r="Z10" i="36"/>
  <c r="Z11" i="36" s="1"/>
  <c r="Y10" i="36"/>
  <c r="Y11" i="36" s="1"/>
  <c r="Y12" i="36" s="1"/>
  <c r="X10" i="36"/>
  <c r="X11" i="36" s="1"/>
  <c r="X12" i="36" s="1"/>
  <c r="X13" i="36" s="1"/>
  <c r="W10" i="36"/>
  <c r="W11" i="36" s="1"/>
  <c r="W12" i="36" s="1"/>
  <c r="V10" i="36"/>
  <c r="V11" i="36" s="1"/>
  <c r="V12" i="36" s="1"/>
  <c r="V13" i="36" s="1"/>
  <c r="V17" i="36" s="1"/>
  <c r="V18" i="36" s="1"/>
  <c r="V19" i="36" s="1"/>
  <c r="U10" i="36"/>
  <c r="U11" i="36" s="1"/>
  <c r="U12" i="36" s="1"/>
  <c r="T10" i="36"/>
  <c r="T11" i="36" s="1"/>
  <c r="T12" i="36" s="1"/>
  <c r="S10" i="36"/>
  <c r="S11" i="36" s="1"/>
  <c r="S12" i="36" s="1"/>
  <c r="R10" i="36"/>
  <c r="R11" i="36" s="1"/>
  <c r="R12" i="36" s="1"/>
  <c r="L9" i="36"/>
  <c r="AR6" i="36"/>
  <c r="AQ6" i="36"/>
  <c r="AQ7" i="36" s="1"/>
  <c r="AQ10" i="36" s="1"/>
  <c r="AQ11" i="36" s="1"/>
  <c r="AQ12" i="36" s="1"/>
  <c r="AP6" i="36"/>
  <c r="AP7" i="36" s="1"/>
  <c r="AP10" i="36" s="1"/>
  <c r="AP11" i="36" s="1"/>
  <c r="AP12" i="36" s="1"/>
  <c r="AO6" i="36"/>
  <c r="AN6" i="36"/>
  <c r="AM6" i="36"/>
  <c r="AM10" i="36" s="1"/>
  <c r="AM11" i="36" s="1"/>
  <c r="AM12" i="36" s="1"/>
  <c r="AL6" i="36"/>
  <c r="AL10" i="36" s="1"/>
  <c r="AL11" i="36" s="1"/>
  <c r="AL12" i="36" s="1"/>
  <c r="AK6" i="36"/>
  <c r="AK10" i="36" s="1"/>
  <c r="AK11" i="36" s="1"/>
  <c r="AK12" i="36" s="1"/>
  <c r="AJ6" i="36"/>
  <c r="AJ10" i="36" s="1"/>
  <c r="AJ11" i="36" s="1"/>
  <c r="AJ12" i="36" s="1"/>
  <c r="AI6" i="36"/>
  <c r="AI10" i="36" s="1"/>
  <c r="AI11" i="36" s="1"/>
  <c r="AI12" i="36" s="1"/>
  <c r="AH6" i="36"/>
  <c r="AH10" i="36" s="1"/>
  <c r="AH11" i="36" s="1"/>
  <c r="AH12" i="36" s="1"/>
  <c r="AG6" i="36"/>
  <c r="AG10" i="36" s="1"/>
  <c r="AG11" i="36" s="1"/>
  <c r="AG12" i="36" s="1"/>
  <c r="AG13" i="36" s="1"/>
  <c r="AG17" i="36" s="1"/>
  <c r="AG18" i="36" s="1"/>
  <c r="AG19" i="36" s="1"/>
  <c r="AF6" i="36"/>
  <c r="AF10" i="36" s="1"/>
  <c r="AF11" i="36" s="1"/>
  <c r="AF12" i="36" s="1"/>
  <c r="AD6" i="36"/>
  <c r="AC6" i="36"/>
  <c r="AC10" i="36" s="1"/>
  <c r="AC11" i="36" s="1"/>
  <c r="AC12" i="36" s="1"/>
  <c r="AB13" i="36" l="1"/>
  <c r="AB17" i="36" s="1"/>
  <c r="AB18" i="36" s="1"/>
  <c r="AB19" i="36" s="1"/>
  <c r="H11" i="38"/>
  <c r="H12" i="38" s="1"/>
  <c r="H19" i="38" s="1"/>
  <c r="O11" i="38"/>
  <c r="O12" i="38" s="1"/>
  <c r="O18" i="38" s="1"/>
  <c r="F11" i="38"/>
  <c r="C11" i="38"/>
  <c r="M11" i="38"/>
  <c r="M12" i="38" s="1"/>
  <c r="I11" i="38"/>
  <c r="D11" i="38"/>
  <c r="D12" i="38" s="1"/>
  <c r="D19" i="38" s="1"/>
  <c r="AT13" i="37"/>
  <c r="AR13" i="37"/>
  <c r="AP13" i="37"/>
  <c r="AQ13" i="37"/>
  <c r="AS13" i="37"/>
  <c r="AO13" i="37"/>
  <c r="AH13" i="36"/>
  <c r="AH17" i="36" s="1"/>
  <c r="AH18" i="36" s="1"/>
  <c r="AH19" i="36" s="1"/>
  <c r="AN10" i="36"/>
  <c r="AN11" i="36" s="1"/>
  <c r="AN12" i="36" s="1"/>
  <c r="AN17" i="36" s="1"/>
  <c r="AN18" i="36" s="1"/>
  <c r="AN19" i="36" s="1"/>
  <c r="AN7" i="36"/>
  <c r="AL13" i="36"/>
  <c r="AL16" i="36" s="1"/>
  <c r="AL17" i="36" s="1"/>
  <c r="AL18" i="36" s="1"/>
  <c r="AL19" i="36" s="1"/>
  <c r="AS7" i="36"/>
  <c r="AS10" i="36" s="1"/>
  <c r="AS11" i="36" s="1"/>
  <c r="AS12" i="36" s="1"/>
  <c r="F2" i="36" s="1"/>
  <c r="AR7" i="36"/>
  <c r="AR10" i="36" s="1"/>
  <c r="AR11" i="36" s="1"/>
  <c r="AR12" i="36" s="1"/>
  <c r="AO7" i="36"/>
  <c r="AO10" i="36" s="1"/>
  <c r="AO11" i="36" s="1"/>
  <c r="AO12" i="36" s="1"/>
  <c r="AO13" i="36" s="1"/>
  <c r="S13" i="36"/>
  <c r="S17" i="36" s="1"/>
  <c r="S18" i="36" s="1"/>
  <c r="S19" i="36" s="1"/>
  <c r="AC13" i="36"/>
  <c r="AC17" i="36" s="1"/>
  <c r="AC18" i="36" s="1"/>
  <c r="AC19" i="36" s="1"/>
  <c r="AI13" i="36"/>
  <c r="AI17" i="36" s="1"/>
  <c r="AI18" i="36" s="1"/>
  <c r="AI19" i="36" s="1"/>
  <c r="AM13" i="36"/>
  <c r="AM16" i="36" s="1"/>
  <c r="AM17" i="36" s="1"/>
  <c r="AM18" i="36" s="1"/>
  <c r="AM19" i="36" s="1"/>
  <c r="AQ13" i="36"/>
  <c r="AJ13" i="36"/>
  <c r="AJ17" i="36" s="1"/>
  <c r="AJ18" i="36" s="1"/>
  <c r="AJ19" i="36" s="1"/>
  <c r="T13" i="36"/>
  <c r="T17" i="36"/>
  <c r="T18" i="36" s="1"/>
  <c r="T19" i="36" s="1"/>
  <c r="W13" i="36"/>
  <c r="W17" i="36" s="1"/>
  <c r="W18" i="36" s="1"/>
  <c r="W19" i="36" s="1"/>
  <c r="U13" i="36"/>
  <c r="U17" i="36" s="1"/>
  <c r="U18" i="36" s="1"/>
  <c r="U19" i="36" s="1"/>
  <c r="AK13" i="36"/>
  <c r="AK16" i="36" s="1"/>
  <c r="AK17" i="36" s="1"/>
  <c r="AK18" i="36" s="1"/>
  <c r="AK19" i="36" s="1"/>
  <c r="AE13" i="36"/>
  <c r="AE17" i="36" s="1"/>
  <c r="AE18" i="36" s="1"/>
  <c r="AE19" i="36" s="1"/>
  <c r="Y13" i="36"/>
  <c r="Y17" i="36" s="1"/>
  <c r="Y18" i="36" s="1"/>
  <c r="Y19" i="36" s="1"/>
  <c r="X17" i="36"/>
  <c r="X18" i="36" s="1"/>
  <c r="X19" i="36" s="1"/>
  <c r="R13" i="36"/>
  <c r="R17" i="36" s="1"/>
  <c r="R18" i="36" s="1"/>
  <c r="R19" i="36" s="1"/>
  <c r="AF13" i="36"/>
  <c r="AF17" i="36" s="1"/>
  <c r="AF18" i="36" s="1"/>
  <c r="AF19" i="36" s="1"/>
  <c r="AA17" i="36"/>
  <c r="AA18" i="36" s="1"/>
  <c r="AA19" i="36" s="1"/>
  <c r="AP13" i="36"/>
  <c r="Z13" i="36"/>
  <c r="Z17" i="36" s="1"/>
  <c r="Z18" i="36" s="1"/>
  <c r="Z19" i="36" s="1"/>
  <c r="C4" i="38" l="1"/>
  <c r="C12" i="38"/>
  <c r="C19" i="38" s="1"/>
  <c r="F4" i="38"/>
  <c r="F12" i="38"/>
  <c r="F19" i="38" s="1"/>
  <c r="I12" i="38"/>
  <c r="I19" i="38" s="1"/>
  <c r="I4" i="38"/>
  <c r="AT15" i="37"/>
  <c r="AT16" i="37" s="1"/>
  <c r="AU16" i="37" s="1"/>
  <c r="AP15" i="37"/>
  <c r="AP16" i="37" s="1"/>
  <c r="AP17" i="37" s="1"/>
  <c r="AP18" i="37" s="1"/>
  <c r="AP19" i="37" s="1"/>
  <c r="AS15" i="37"/>
  <c r="AS16" i="37" s="1"/>
  <c r="AO15" i="37"/>
  <c r="AO16" i="37" s="1"/>
  <c r="AO17" i="37" s="1"/>
  <c r="AO18" i="37" s="1"/>
  <c r="AO19" i="37" s="1"/>
  <c r="AR15" i="37"/>
  <c r="AR16" i="37" s="1"/>
  <c r="AR17" i="37" s="1"/>
  <c r="AR18" i="37" s="1"/>
  <c r="AR19" i="37" s="1"/>
  <c r="AQ15" i="37"/>
  <c r="AQ16" i="37" s="1"/>
  <c r="AQ17" i="37" s="1"/>
  <c r="AQ18" i="37" s="1"/>
  <c r="AQ19" i="37" s="1"/>
  <c r="M10" i="37"/>
  <c r="F10" i="37"/>
  <c r="I10" i="37"/>
  <c r="E10" i="37"/>
  <c r="O10" i="37"/>
  <c r="H10" i="37"/>
  <c r="D10" i="37"/>
  <c r="N10" i="37"/>
  <c r="N12" i="37" s="1"/>
  <c r="N19" i="37" s="1"/>
  <c r="G10" i="37"/>
  <c r="C10" i="37"/>
  <c r="J3" i="37"/>
  <c r="AR13" i="36"/>
  <c r="AR15" i="36" s="1"/>
  <c r="AS13" i="36"/>
  <c r="AP15" i="36"/>
  <c r="AP16" i="36" s="1"/>
  <c r="AP17" i="36" s="1"/>
  <c r="AP18" i="36" s="1"/>
  <c r="AP19" i="36" s="1"/>
  <c r="AQ15" i="36"/>
  <c r="AQ16" i="36" s="1"/>
  <c r="AO15" i="36"/>
  <c r="AO16" i="36" s="1"/>
  <c r="AO17" i="36" s="1"/>
  <c r="AO18" i="36" s="1"/>
  <c r="AO19" i="36" s="1"/>
  <c r="AT17" i="37" l="1"/>
  <c r="AT18" i="37" s="1"/>
  <c r="AT19" i="37" s="1"/>
  <c r="F3" i="37"/>
  <c r="AU15" i="37"/>
  <c r="AS17" i="37"/>
  <c r="AS18" i="37" s="1"/>
  <c r="AS19" i="37" s="1"/>
  <c r="G12" i="37"/>
  <c r="G19" i="37" s="1"/>
  <c r="D4" i="37"/>
  <c r="E12" i="37"/>
  <c r="E19" i="37" s="1"/>
  <c r="E4" i="37"/>
  <c r="AR16" i="36"/>
  <c r="AS15" i="36"/>
  <c r="AS16" i="36" s="1"/>
  <c r="M10" i="36"/>
  <c r="I10" i="36"/>
  <c r="J3" i="36"/>
  <c r="D10" i="36"/>
  <c r="N10" i="36"/>
  <c r="N12" i="36" s="1"/>
  <c r="N18" i="36" s="1"/>
  <c r="E10" i="36"/>
  <c r="G10" i="36"/>
  <c r="O10" i="36"/>
  <c r="H10" i="36"/>
  <c r="C10" i="36"/>
  <c r="F10" i="36"/>
  <c r="AR17" i="36"/>
  <c r="AR18" i="36" s="1"/>
  <c r="AR19" i="36" s="1"/>
  <c r="AQ17" i="36"/>
  <c r="AQ18" i="36" s="1"/>
  <c r="AQ19" i="36" s="1"/>
  <c r="AQ6" i="35"/>
  <c r="AR6" i="35"/>
  <c r="AR7" i="35" s="1"/>
  <c r="AR10" i="35" s="1"/>
  <c r="AR11" i="35" s="1"/>
  <c r="AR12" i="35" s="1"/>
  <c r="F24" i="35"/>
  <c r="R20" i="35"/>
  <c r="S20" i="35" s="1"/>
  <c r="T20" i="35" s="1"/>
  <c r="U20" i="35" s="1"/>
  <c r="V20" i="35" s="1"/>
  <c r="W20" i="35" s="1"/>
  <c r="X20" i="35" s="1"/>
  <c r="Y20" i="35" s="1"/>
  <c r="Z20" i="35" s="1"/>
  <c r="AA20" i="35" s="1"/>
  <c r="AB20" i="35" s="1"/>
  <c r="AC20" i="35" s="1"/>
  <c r="AD20" i="35" s="1"/>
  <c r="AE20" i="35" s="1"/>
  <c r="AF20" i="35" s="1"/>
  <c r="AG20" i="35" s="1"/>
  <c r="AN15" i="35"/>
  <c r="AN16" i="35" s="1"/>
  <c r="AK15" i="35"/>
  <c r="I13" i="35"/>
  <c r="F13" i="35"/>
  <c r="E13" i="35"/>
  <c r="C13" i="35"/>
  <c r="M13" i="35" s="1"/>
  <c r="J12" i="35"/>
  <c r="AE10" i="35"/>
  <c r="AE11" i="35" s="1"/>
  <c r="AE12" i="35" s="1"/>
  <c r="AB10" i="35"/>
  <c r="AB11" i="35" s="1"/>
  <c r="AB12" i="35" s="1"/>
  <c r="AB13" i="35" s="1"/>
  <c r="AA10" i="35"/>
  <c r="AA11" i="35" s="1"/>
  <c r="AA12" i="35" s="1"/>
  <c r="Z10" i="35"/>
  <c r="Z11" i="35" s="1"/>
  <c r="Z12" i="35" s="1"/>
  <c r="Y10" i="35"/>
  <c r="Y11" i="35" s="1"/>
  <c r="Y12" i="35" s="1"/>
  <c r="X10" i="35"/>
  <c r="X11" i="35" s="1"/>
  <c r="X12" i="35" s="1"/>
  <c r="W10" i="35"/>
  <c r="W11" i="35" s="1"/>
  <c r="W12" i="35" s="1"/>
  <c r="V10" i="35"/>
  <c r="V11" i="35" s="1"/>
  <c r="V12" i="35" s="1"/>
  <c r="U10" i="35"/>
  <c r="U11" i="35" s="1"/>
  <c r="U12" i="35" s="1"/>
  <c r="T10" i="35"/>
  <c r="T11" i="35" s="1"/>
  <c r="T12" i="35" s="1"/>
  <c r="S10" i="35"/>
  <c r="S11" i="35" s="1"/>
  <c r="S12" i="35" s="1"/>
  <c r="R10" i="35"/>
  <c r="R11" i="35" s="1"/>
  <c r="R12" i="35" s="1"/>
  <c r="L9" i="35"/>
  <c r="AP6" i="35"/>
  <c r="AP7" i="35" s="1"/>
  <c r="AO6" i="35"/>
  <c r="AN6" i="35"/>
  <c r="AN7" i="35" s="1"/>
  <c r="AM6" i="35"/>
  <c r="AM10" i="35" s="1"/>
  <c r="AM11" i="35" s="1"/>
  <c r="AM12" i="35" s="1"/>
  <c r="AL6" i="35"/>
  <c r="AL10" i="35" s="1"/>
  <c r="AL11" i="35" s="1"/>
  <c r="AL12" i="35" s="1"/>
  <c r="AK6" i="35"/>
  <c r="AK10" i="35" s="1"/>
  <c r="AK11" i="35" s="1"/>
  <c r="AK12" i="35" s="1"/>
  <c r="AJ6" i="35"/>
  <c r="AJ10" i="35" s="1"/>
  <c r="AJ11" i="35" s="1"/>
  <c r="AJ12" i="35" s="1"/>
  <c r="AI6" i="35"/>
  <c r="AI10" i="35" s="1"/>
  <c r="AI11" i="35" s="1"/>
  <c r="AI12" i="35" s="1"/>
  <c r="AH6" i="35"/>
  <c r="AH10" i="35" s="1"/>
  <c r="AH11" i="35" s="1"/>
  <c r="AH12" i="35" s="1"/>
  <c r="AG6" i="35"/>
  <c r="AG10" i="35" s="1"/>
  <c r="AG11" i="35" s="1"/>
  <c r="AG12" i="35" s="1"/>
  <c r="AF6" i="35"/>
  <c r="AF10" i="35" s="1"/>
  <c r="AF11" i="35" s="1"/>
  <c r="AF12" i="35" s="1"/>
  <c r="AD6" i="35"/>
  <c r="AC6" i="35"/>
  <c r="AC10" i="35" s="1"/>
  <c r="AC11" i="35" s="1"/>
  <c r="AC12" i="35" s="1"/>
  <c r="T13" i="35" l="1"/>
  <c r="T17" i="35" s="1"/>
  <c r="T18" i="35" s="1"/>
  <c r="T19" i="35" s="1"/>
  <c r="X13" i="35"/>
  <c r="X17" i="35" s="1"/>
  <c r="X18" i="35" s="1"/>
  <c r="X19" i="35" s="1"/>
  <c r="AS17" i="36"/>
  <c r="AS18" i="36" s="1"/>
  <c r="AS19" i="36" s="1"/>
  <c r="AT15" i="36"/>
  <c r="F3" i="36"/>
  <c r="I11" i="36" s="1"/>
  <c r="M11" i="37"/>
  <c r="M12" i="37" s="1"/>
  <c r="M19" i="37" s="1"/>
  <c r="D11" i="37"/>
  <c r="D12" i="37" s="1"/>
  <c r="D19" i="37" s="1"/>
  <c r="I11" i="37"/>
  <c r="C11" i="37"/>
  <c r="H11" i="37"/>
  <c r="H12" i="37" s="1"/>
  <c r="H19" i="37" s="1"/>
  <c r="O11" i="37"/>
  <c r="O12" i="37" s="1"/>
  <c r="O18" i="37" s="1"/>
  <c r="F11" i="37"/>
  <c r="G12" i="36"/>
  <c r="G18" i="36" s="1"/>
  <c r="D4" i="36"/>
  <c r="E4" i="36"/>
  <c r="E12" i="36"/>
  <c r="E18" i="36" s="1"/>
  <c r="AR13" i="35"/>
  <c r="AO7" i="35"/>
  <c r="AO10" i="35" s="1"/>
  <c r="AO11" i="35" s="1"/>
  <c r="AO12" i="35" s="1"/>
  <c r="AO13" i="35" s="1"/>
  <c r="F2" i="35"/>
  <c r="U13" i="35"/>
  <c r="U17" i="35" s="1"/>
  <c r="U18" i="35" s="1"/>
  <c r="U19" i="35" s="1"/>
  <c r="Y13" i="35"/>
  <c r="Y17" i="35" s="1"/>
  <c r="Y18" i="35" s="1"/>
  <c r="Y19" i="35" s="1"/>
  <c r="AL13" i="35"/>
  <c r="AL16" i="35" s="1"/>
  <c r="AL17" i="35" s="1"/>
  <c r="AL18" i="35" s="1"/>
  <c r="AL19" i="35" s="1"/>
  <c r="V13" i="35"/>
  <c r="V17" i="35" s="1"/>
  <c r="V18" i="35" s="1"/>
  <c r="V19" i="35" s="1"/>
  <c r="Z13" i="35"/>
  <c r="Z17" i="35" s="1"/>
  <c r="Z18" i="35" s="1"/>
  <c r="Z19" i="35" s="1"/>
  <c r="AM13" i="35"/>
  <c r="AM16" i="35" s="1"/>
  <c r="AM17" i="35" s="1"/>
  <c r="AM18" i="35" s="1"/>
  <c r="AM19" i="35" s="1"/>
  <c r="AI13" i="35"/>
  <c r="AI17" i="35" s="1"/>
  <c r="AI18" i="35" s="1"/>
  <c r="AI19" i="35" s="1"/>
  <c r="AG13" i="35"/>
  <c r="AG17" i="35" s="1"/>
  <c r="AG18" i="35" s="1"/>
  <c r="AG19" i="35" s="1"/>
  <c r="AC13" i="35"/>
  <c r="AC17" i="35" s="1"/>
  <c r="AC18" i="35" s="1"/>
  <c r="AC19" i="35" s="1"/>
  <c r="AH13" i="35"/>
  <c r="AH17" i="35" s="1"/>
  <c r="AH18" i="35" s="1"/>
  <c r="AH19" i="35" s="1"/>
  <c r="R13" i="35"/>
  <c r="R17" i="35" s="1"/>
  <c r="R18" i="35" s="1"/>
  <c r="R19" i="35" s="1"/>
  <c r="AE13" i="35"/>
  <c r="AE17" i="35" s="1"/>
  <c r="AE18" i="35" s="1"/>
  <c r="AE19" i="35" s="1"/>
  <c r="S13" i="35"/>
  <c r="S17" i="35" s="1"/>
  <c r="S18" i="35" s="1"/>
  <c r="S19" i="35" s="1"/>
  <c r="AA13" i="35"/>
  <c r="AA17" i="35" s="1"/>
  <c r="AA18" i="35" s="1"/>
  <c r="AA19" i="35" s="1"/>
  <c r="W13" i="35"/>
  <c r="W17" i="35"/>
  <c r="W18" i="35" s="1"/>
  <c r="W19" i="35" s="1"/>
  <c r="AF13" i="35"/>
  <c r="AF17" i="35" s="1"/>
  <c r="AF18" i="35" s="1"/>
  <c r="AF19" i="35" s="1"/>
  <c r="AJ13" i="35"/>
  <c r="AJ17" i="35" s="1"/>
  <c r="AJ18" i="35" s="1"/>
  <c r="AJ19" i="35" s="1"/>
  <c r="AK13" i="35"/>
  <c r="AK16" i="35" s="1"/>
  <c r="AK17" i="35" s="1"/>
  <c r="AK18" i="35" s="1"/>
  <c r="AK19" i="35" s="1"/>
  <c r="AP10" i="35"/>
  <c r="AP11" i="35" s="1"/>
  <c r="AP12" i="35" s="1"/>
  <c r="AN10" i="35"/>
  <c r="AN11" i="35" s="1"/>
  <c r="AN12" i="35" s="1"/>
  <c r="AN17" i="35" s="1"/>
  <c r="AN18" i="35" s="1"/>
  <c r="AN19" i="35" s="1"/>
  <c r="AQ7" i="35"/>
  <c r="AQ10" i="35" s="1"/>
  <c r="AQ11" i="35" s="1"/>
  <c r="AQ12" i="35" s="1"/>
  <c r="AB17" i="35"/>
  <c r="AB18" i="35" s="1"/>
  <c r="AB19" i="35" s="1"/>
  <c r="F23" i="34"/>
  <c r="F11" i="36" l="1"/>
  <c r="C11" i="36"/>
  <c r="C4" i="36" s="1"/>
  <c r="M11" i="36"/>
  <c r="M12" i="36" s="1"/>
  <c r="M18" i="36" s="1"/>
  <c r="H11" i="36"/>
  <c r="H12" i="36" s="1"/>
  <c r="H18" i="36" s="1"/>
  <c r="D11" i="36"/>
  <c r="D12" i="36" s="1"/>
  <c r="D18" i="36" s="1"/>
  <c r="O11" i="36"/>
  <c r="O12" i="36" s="1"/>
  <c r="O18" i="36" s="1"/>
  <c r="C12" i="37"/>
  <c r="C19" i="37" s="1"/>
  <c r="C4" i="37"/>
  <c r="F12" i="37"/>
  <c r="F19" i="37" s="1"/>
  <c r="F4" i="37"/>
  <c r="I4" i="37"/>
  <c r="I12" i="37"/>
  <c r="I19" i="37" s="1"/>
  <c r="F4" i="36"/>
  <c r="F12" i="36"/>
  <c r="F18" i="36" s="1"/>
  <c r="I4" i="36"/>
  <c r="I12" i="36"/>
  <c r="I18" i="36" s="1"/>
  <c r="AR15" i="35"/>
  <c r="AR16" i="35" s="1"/>
  <c r="AQ13" i="35"/>
  <c r="AP13" i="35"/>
  <c r="AO15" i="35"/>
  <c r="AO16" i="35" s="1"/>
  <c r="AO17" i="35" s="1"/>
  <c r="AO18" i="35" s="1"/>
  <c r="AO19" i="35" s="1"/>
  <c r="AQ6" i="34"/>
  <c r="AP6" i="34"/>
  <c r="AP7" i="34" s="1"/>
  <c r="AP10" i="34" s="1"/>
  <c r="AP11" i="34" s="1"/>
  <c r="AP12" i="34" s="1"/>
  <c r="R19" i="34"/>
  <c r="S19" i="34" s="1"/>
  <c r="T19" i="34" s="1"/>
  <c r="U19" i="34" s="1"/>
  <c r="V19" i="34" s="1"/>
  <c r="W19" i="34" s="1"/>
  <c r="X19" i="34" s="1"/>
  <c r="Y19" i="34" s="1"/>
  <c r="Z19" i="34" s="1"/>
  <c r="AA19" i="34" s="1"/>
  <c r="AB19" i="34" s="1"/>
  <c r="AC19" i="34" s="1"/>
  <c r="AD19" i="34" s="1"/>
  <c r="AE19" i="34" s="1"/>
  <c r="AF19" i="34" s="1"/>
  <c r="AG19" i="34" s="1"/>
  <c r="AN14" i="34"/>
  <c r="AN15" i="34" s="1"/>
  <c r="AK14" i="34"/>
  <c r="O13" i="34"/>
  <c r="N13" i="34"/>
  <c r="M13" i="34"/>
  <c r="I13" i="34"/>
  <c r="F13" i="34"/>
  <c r="E13" i="34"/>
  <c r="C13" i="34"/>
  <c r="J12" i="34"/>
  <c r="AE10" i="34"/>
  <c r="AE11" i="34" s="1"/>
  <c r="AE12" i="34" s="1"/>
  <c r="AB10" i="34"/>
  <c r="AB11" i="34" s="1"/>
  <c r="AB12" i="34" s="1"/>
  <c r="AA10" i="34"/>
  <c r="AA11" i="34" s="1"/>
  <c r="AA12" i="34" s="1"/>
  <c r="AA13" i="34" s="1"/>
  <c r="Z10" i="34"/>
  <c r="Z11" i="34" s="1"/>
  <c r="Z12" i="34" s="1"/>
  <c r="Y10" i="34"/>
  <c r="Y11" i="34" s="1"/>
  <c r="Y12" i="34" s="1"/>
  <c r="X10" i="34"/>
  <c r="X11" i="34" s="1"/>
  <c r="X12" i="34" s="1"/>
  <c r="W10" i="34"/>
  <c r="W11" i="34" s="1"/>
  <c r="W12" i="34" s="1"/>
  <c r="V10" i="34"/>
  <c r="V11" i="34" s="1"/>
  <c r="V12" i="34" s="1"/>
  <c r="U10" i="34"/>
  <c r="U11" i="34" s="1"/>
  <c r="U12" i="34" s="1"/>
  <c r="T10" i="34"/>
  <c r="T11" i="34" s="1"/>
  <c r="T12" i="34" s="1"/>
  <c r="S10" i="34"/>
  <c r="S11" i="34" s="1"/>
  <c r="S12" i="34" s="1"/>
  <c r="S13" i="34" s="1"/>
  <c r="R10" i="34"/>
  <c r="R11" i="34" s="1"/>
  <c r="R12" i="34" s="1"/>
  <c r="L9" i="34"/>
  <c r="AO6" i="34"/>
  <c r="AN6" i="34"/>
  <c r="AM6" i="34"/>
  <c r="AM10" i="34" s="1"/>
  <c r="AM11" i="34" s="1"/>
  <c r="AM12" i="34" s="1"/>
  <c r="AL6" i="34"/>
  <c r="AL10" i="34" s="1"/>
  <c r="AL11" i="34" s="1"/>
  <c r="AL12" i="34" s="1"/>
  <c r="AK6" i="34"/>
  <c r="AK10" i="34" s="1"/>
  <c r="AK11" i="34" s="1"/>
  <c r="AK12" i="34" s="1"/>
  <c r="AJ6" i="34"/>
  <c r="AJ10" i="34" s="1"/>
  <c r="AJ11" i="34" s="1"/>
  <c r="AJ12" i="34" s="1"/>
  <c r="AI6" i="34"/>
  <c r="AI10" i="34" s="1"/>
  <c r="AI11" i="34" s="1"/>
  <c r="AI12" i="34" s="1"/>
  <c r="AH6" i="34"/>
  <c r="AH10" i="34" s="1"/>
  <c r="AH11" i="34" s="1"/>
  <c r="AH12" i="34" s="1"/>
  <c r="AG6" i="34"/>
  <c r="AG10" i="34" s="1"/>
  <c r="AG11" i="34" s="1"/>
  <c r="AG12" i="34" s="1"/>
  <c r="AF6" i="34"/>
  <c r="AF10" i="34" s="1"/>
  <c r="AF11" i="34" s="1"/>
  <c r="AF12" i="34" s="1"/>
  <c r="AD6" i="34"/>
  <c r="AC6" i="34"/>
  <c r="AC10" i="34" s="1"/>
  <c r="AC11" i="34" s="1"/>
  <c r="AC12" i="34" s="1"/>
  <c r="C12" i="36" l="1"/>
  <c r="C18" i="36" s="1"/>
  <c r="AR17" i="35"/>
  <c r="AR18" i="35" s="1"/>
  <c r="AR19" i="35" s="1"/>
  <c r="F3" i="35"/>
  <c r="W13" i="34"/>
  <c r="W16" i="34" s="1"/>
  <c r="W17" i="34" s="1"/>
  <c r="W18" i="34" s="1"/>
  <c r="AP15" i="35"/>
  <c r="AP16" i="35" s="1"/>
  <c r="AP17" i="35" s="1"/>
  <c r="AP18" i="35" s="1"/>
  <c r="AP19" i="35" s="1"/>
  <c r="N10" i="35"/>
  <c r="N12" i="35" s="1"/>
  <c r="N18" i="35" s="1"/>
  <c r="G10" i="35"/>
  <c r="C10" i="35"/>
  <c r="J3" i="35"/>
  <c r="O10" i="35"/>
  <c r="F10" i="35"/>
  <c r="I10" i="35"/>
  <c r="M10" i="35"/>
  <c r="E10" i="35"/>
  <c r="D10" i="35"/>
  <c r="H10" i="35"/>
  <c r="AQ15" i="35"/>
  <c r="AQ16" i="35" s="1"/>
  <c r="AQ7" i="34"/>
  <c r="AQ10" i="34" s="1"/>
  <c r="AQ11" i="34" s="1"/>
  <c r="AQ12" i="34" s="1"/>
  <c r="AI13" i="34"/>
  <c r="AI16" i="34"/>
  <c r="AI17" i="34" s="1"/>
  <c r="AI18" i="34" s="1"/>
  <c r="AL13" i="34"/>
  <c r="AL15" i="34" s="1"/>
  <c r="AL16" i="34" s="1"/>
  <c r="AL17" i="34" s="1"/>
  <c r="AL18" i="34" s="1"/>
  <c r="AM13" i="34"/>
  <c r="AM15" i="34" s="1"/>
  <c r="AM16" i="34" s="1"/>
  <c r="AM17" i="34" s="1"/>
  <c r="AM18" i="34" s="1"/>
  <c r="AH13" i="34"/>
  <c r="AH16" i="34" s="1"/>
  <c r="AH17" i="34" s="1"/>
  <c r="AH18" i="34" s="1"/>
  <c r="AP13" i="34"/>
  <c r="R13" i="34"/>
  <c r="R16" i="34" s="1"/>
  <c r="R17" i="34" s="1"/>
  <c r="R18" i="34" s="1"/>
  <c r="Z13" i="34"/>
  <c r="Z16" i="34" s="1"/>
  <c r="Z17" i="34" s="1"/>
  <c r="Z18" i="34" s="1"/>
  <c r="AE13" i="34"/>
  <c r="AE16" i="34" s="1"/>
  <c r="AE17" i="34" s="1"/>
  <c r="AE18" i="34" s="1"/>
  <c r="AJ13" i="34"/>
  <c r="AJ16" i="34" s="1"/>
  <c r="AJ17" i="34" s="1"/>
  <c r="AJ18" i="34" s="1"/>
  <c r="T13" i="34"/>
  <c r="T16" i="34" s="1"/>
  <c r="T17" i="34" s="1"/>
  <c r="T18" i="34" s="1"/>
  <c r="X13" i="34"/>
  <c r="X16" i="34" s="1"/>
  <c r="X17" i="34" s="1"/>
  <c r="X18" i="34" s="1"/>
  <c r="AG13" i="34"/>
  <c r="AG16" i="34" s="1"/>
  <c r="AG17" i="34" s="1"/>
  <c r="AG18" i="34" s="1"/>
  <c r="AK13" i="34"/>
  <c r="AK15" i="34" s="1"/>
  <c r="AK16" i="34" s="1"/>
  <c r="AK17" i="34" s="1"/>
  <c r="AK18" i="34" s="1"/>
  <c r="U13" i="34"/>
  <c r="U16" i="34" s="1"/>
  <c r="U17" i="34" s="1"/>
  <c r="U18" i="34" s="1"/>
  <c r="V13" i="34"/>
  <c r="V16" i="34" s="1"/>
  <c r="V17" i="34" s="1"/>
  <c r="V18" i="34" s="1"/>
  <c r="AF13" i="34"/>
  <c r="AF16" i="34" s="1"/>
  <c r="AF17" i="34" s="1"/>
  <c r="AF18" i="34" s="1"/>
  <c r="AB13" i="34"/>
  <c r="AB16" i="34" s="1"/>
  <c r="AB17" i="34" s="1"/>
  <c r="AB18" i="34" s="1"/>
  <c r="Y13" i="34"/>
  <c r="Y16" i="34" s="1"/>
  <c r="Y17" i="34" s="1"/>
  <c r="Y18" i="34" s="1"/>
  <c r="AA16" i="34"/>
  <c r="AA17" i="34" s="1"/>
  <c r="AA18" i="34" s="1"/>
  <c r="AC13" i="34"/>
  <c r="AC16" i="34" s="1"/>
  <c r="AC17" i="34" s="1"/>
  <c r="AC18" i="34" s="1"/>
  <c r="S16" i="34"/>
  <c r="S17" i="34" s="1"/>
  <c r="S18" i="34" s="1"/>
  <c r="AN7" i="34"/>
  <c r="AN10" i="34" s="1"/>
  <c r="AN11" i="34" s="1"/>
  <c r="AN12" i="34" s="1"/>
  <c r="AN16" i="34" s="1"/>
  <c r="AN17" i="34" s="1"/>
  <c r="AN18" i="34" s="1"/>
  <c r="AO7" i="34"/>
  <c r="AO10" i="34" s="1"/>
  <c r="AO11" i="34" s="1"/>
  <c r="AO12" i="34" s="1"/>
  <c r="AS15" i="35" l="1"/>
  <c r="AQ17" i="35"/>
  <c r="AQ18" i="35" s="1"/>
  <c r="AQ19" i="35" s="1"/>
  <c r="D4" i="35"/>
  <c r="G12" i="35"/>
  <c r="G18" i="35" s="1"/>
  <c r="E4" i="35"/>
  <c r="E12" i="35"/>
  <c r="E18" i="35" s="1"/>
  <c r="F2" i="34"/>
  <c r="H10" i="34" s="1"/>
  <c r="AQ13" i="34"/>
  <c r="AP14" i="34"/>
  <c r="AP15" i="34" s="1"/>
  <c r="AO13" i="34"/>
  <c r="R18" i="33"/>
  <c r="S18" i="33" s="1"/>
  <c r="T18" i="33" s="1"/>
  <c r="U18" i="33" s="1"/>
  <c r="V18" i="33" s="1"/>
  <c r="W18" i="33" s="1"/>
  <c r="X18" i="33" s="1"/>
  <c r="Y18" i="33" s="1"/>
  <c r="Z18" i="33" s="1"/>
  <c r="AA18" i="33" s="1"/>
  <c r="AB18" i="33" s="1"/>
  <c r="AC18" i="33" s="1"/>
  <c r="AD18" i="33" s="1"/>
  <c r="AE18" i="33" s="1"/>
  <c r="AF18" i="33" s="1"/>
  <c r="AG18" i="33" s="1"/>
  <c r="AN13" i="33"/>
  <c r="AN14" i="33" s="1"/>
  <c r="AK13" i="33"/>
  <c r="O12" i="33"/>
  <c r="N12" i="33"/>
  <c r="M12" i="33"/>
  <c r="I12" i="33"/>
  <c r="F12" i="33"/>
  <c r="E12" i="33"/>
  <c r="C12" i="33"/>
  <c r="J11" i="33"/>
  <c r="AE9" i="33"/>
  <c r="AE10" i="33" s="1"/>
  <c r="AE11" i="33" s="1"/>
  <c r="AB9" i="33"/>
  <c r="AB10" i="33" s="1"/>
  <c r="AB11" i="33" s="1"/>
  <c r="AA9" i="33"/>
  <c r="AA10" i="33" s="1"/>
  <c r="AA11" i="33" s="1"/>
  <c r="Z9" i="33"/>
  <c r="Z10" i="33" s="1"/>
  <c r="Z11" i="33" s="1"/>
  <c r="Y9" i="33"/>
  <c r="Y10" i="33" s="1"/>
  <c r="Y11" i="33" s="1"/>
  <c r="X9" i="33"/>
  <c r="X10" i="33" s="1"/>
  <c r="X11" i="33" s="1"/>
  <c r="W9" i="33"/>
  <c r="W10" i="33" s="1"/>
  <c r="W11" i="33" s="1"/>
  <c r="V9" i="33"/>
  <c r="V10" i="33" s="1"/>
  <c r="V11" i="33" s="1"/>
  <c r="U9" i="33"/>
  <c r="U10" i="33" s="1"/>
  <c r="U11" i="33" s="1"/>
  <c r="T9" i="33"/>
  <c r="T10" i="33" s="1"/>
  <c r="T11" i="33" s="1"/>
  <c r="S9" i="33"/>
  <c r="S10" i="33" s="1"/>
  <c r="S11" i="33" s="1"/>
  <c r="R9" i="33"/>
  <c r="R10" i="33" s="1"/>
  <c r="R11" i="33" s="1"/>
  <c r="L8" i="33"/>
  <c r="AP6" i="33"/>
  <c r="AP7" i="33" s="1"/>
  <c r="AO6" i="33"/>
  <c r="AN6" i="33"/>
  <c r="AM6" i="33"/>
  <c r="AM9" i="33" s="1"/>
  <c r="AM10" i="33" s="1"/>
  <c r="AM11" i="33" s="1"/>
  <c r="AL6" i="33"/>
  <c r="AL9" i="33" s="1"/>
  <c r="AL10" i="33" s="1"/>
  <c r="AL11" i="33" s="1"/>
  <c r="AK6" i="33"/>
  <c r="AK9" i="33" s="1"/>
  <c r="AK10" i="33" s="1"/>
  <c r="AK11" i="33" s="1"/>
  <c r="AJ6" i="33"/>
  <c r="AJ9" i="33" s="1"/>
  <c r="AJ10" i="33" s="1"/>
  <c r="AJ11" i="33" s="1"/>
  <c r="AI6" i="33"/>
  <c r="AI9" i="33" s="1"/>
  <c r="AI10" i="33" s="1"/>
  <c r="AI11" i="33" s="1"/>
  <c r="AH6" i="33"/>
  <c r="AH9" i="33" s="1"/>
  <c r="AH10" i="33" s="1"/>
  <c r="AH11" i="33" s="1"/>
  <c r="AG6" i="33"/>
  <c r="AG9" i="33" s="1"/>
  <c r="AG10" i="33" s="1"/>
  <c r="AG11" i="33" s="1"/>
  <c r="AF6" i="33"/>
  <c r="AF9" i="33" s="1"/>
  <c r="AF10" i="33" s="1"/>
  <c r="AF11" i="33" s="1"/>
  <c r="AD6" i="33"/>
  <c r="AC6" i="33"/>
  <c r="AC9" i="33" s="1"/>
  <c r="AC10" i="33" s="1"/>
  <c r="AC11" i="33" s="1"/>
  <c r="W12" i="33" l="1"/>
  <c r="W15" i="33"/>
  <c r="W16" i="33" s="1"/>
  <c r="W17" i="33" s="1"/>
  <c r="G10" i="34"/>
  <c r="G12" i="34" s="1"/>
  <c r="G17" i="34" s="1"/>
  <c r="M10" i="34"/>
  <c r="F10" i="34"/>
  <c r="E10" i="34"/>
  <c r="E12" i="34" s="1"/>
  <c r="E17" i="34" s="1"/>
  <c r="J3" i="34"/>
  <c r="D10" i="34"/>
  <c r="O10" i="34"/>
  <c r="N10" i="34"/>
  <c r="N12" i="34" s="1"/>
  <c r="N17" i="34" s="1"/>
  <c r="I10" i="34"/>
  <c r="C10" i="34"/>
  <c r="H11" i="35"/>
  <c r="H12" i="35" s="1"/>
  <c r="H18" i="35" s="1"/>
  <c r="M11" i="35"/>
  <c r="M12" i="35" s="1"/>
  <c r="M18" i="35" s="1"/>
  <c r="C11" i="35"/>
  <c r="O11" i="35"/>
  <c r="O12" i="35" s="1"/>
  <c r="O18" i="35" s="1"/>
  <c r="D11" i="35"/>
  <c r="D12" i="35" s="1"/>
  <c r="D18" i="35" s="1"/>
  <c r="I11" i="35"/>
  <c r="F11" i="35"/>
  <c r="AQ14" i="34"/>
  <c r="AQ15" i="34" s="1"/>
  <c r="AR14" i="34" s="1"/>
  <c r="AP16" i="34"/>
  <c r="AP17" i="34" s="1"/>
  <c r="AP18" i="34" s="1"/>
  <c r="AO14" i="34"/>
  <c r="AO15" i="34" s="1"/>
  <c r="AO16" i="34" s="1"/>
  <c r="AO17" i="34" s="1"/>
  <c r="AO18" i="34" s="1"/>
  <c r="D4" i="34"/>
  <c r="AM12" i="33"/>
  <c r="AM14" i="33" s="1"/>
  <c r="AM15" i="33" s="1"/>
  <c r="AM16" i="33" s="1"/>
  <c r="AM17" i="33" s="1"/>
  <c r="R12" i="33"/>
  <c r="R15" i="33" s="1"/>
  <c r="R16" i="33" s="1"/>
  <c r="R17" i="33" s="1"/>
  <c r="Z12" i="33"/>
  <c r="Z15" i="33" s="1"/>
  <c r="Z16" i="33" s="1"/>
  <c r="Z17" i="33" s="1"/>
  <c r="AE12" i="33"/>
  <c r="AE15" i="33"/>
  <c r="AE16" i="33" s="1"/>
  <c r="AE17" i="33" s="1"/>
  <c r="AI12" i="33"/>
  <c r="AI15" i="33" s="1"/>
  <c r="AI16" i="33" s="1"/>
  <c r="AI17" i="33" s="1"/>
  <c r="V12" i="33"/>
  <c r="V15" i="33" s="1"/>
  <c r="V16" i="33" s="1"/>
  <c r="V17" i="33" s="1"/>
  <c r="AH12" i="33"/>
  <c r="AH15" i="33" s="1"/>
  <c r="AH16" i="33" s="1"/>
  <c r="AH17" i="33" s="1"/>
  <c r="S12" i="33"/>
  <c r="S15" i="33" s="1"/>
  <c r="S16" i="33" s="1"/>
  <c r="S17" i="33" s="1"/>
  <c r="AA12" i="33"/>
  <c r="AA15" i="33"/>
  <c r="AA16" i="33" s="1"/>
  <c r="AA17" i="33" s="1"/>
  <c r="AL12" i="33"/>
  <c r="AL14" i="33" s="1"/>
  <c r="AL15" i="33" s="1"/>
  <c r="AL16" i="33" s="1"/>
  <c r="AL17" i="33" s="1"/>
  <c r="Y12" i="33"/>
  <c r="Y15" i="33"/>
  <c r="Y16" i="33" s="1"/>
  <c r="Y17" i="33" s="1"/>
  <c r="AC12" i="33"/>
  <c r="AC15" i="33" s="1"/>
  <c r="AC16" i="33" s="1"/>
  <c r="AC17" i="33" s="1"/>
  <c r="AP9" i="33"/>
  <c r="AP10" i="33" s="1"/>
  <c r="AP11" i="33" s="1"/>
  <c r="AG12" i="33"/>
  <c r="AG15" i="33" s="1"/>
  <c r="AG16" i="33" s="1"/>
  <c r="AG17" i="33" s="1"/>
  <c r="AK12" i="33"/>
  <c r="AK14" i="33" s="1"/>
  <c r="AK15" i="33" s="1"/>
  <c r="AK16" i="33" s="1"/>
  <c r="AK17" i="33" s="1"/>
  <c r="U12" i="33"/>
  <c r="U15" i="33" s="1"/>
  <c r="U16" i="33" s="1"/>
  <c r="U17" i="33" s="1"/>
  <c r="AF12" i="33"/>
  <c r="AF15" i="33" s="1"/>
  <c r="AF16" i="33" s="1"/>
  <c r="AF17" i="33" s="1"/>
  <c r="AJ12" i="33"/>
  <c r="AJ15" i="33" s="1"/>
  <c r="AJ16" i="33" s="1"/>
  <c r="AJ17" i="33" s="1"/>
  <c r="T12" i="33"/>
  <c r="T15" i="33" s="1"/>
  <c r="T16" i="33" s="1"/>
  <c r="T17" i="33" s="1"/>
  <c r="X12" i="33"/>
  <c r="X15" i="33" s="1"/>
  <c r="X16" i="33" s="1"/>
  <c r="X17" i="33" s="1"/>
  <c r="AB12" i="33"/>
  <c r="AB15" i="33" s="1"/>
  <c r="AB16" i="33" s="1"/>
  <c r="AB17" i="33" s="1"/>
  <c r="AN7" i="33"/>
  <c r="AN9" i="33" s="1"/>
  <c r="AN10" i="33" s="1"/>
  <c r="AN11" i="33" s="1"/>
  <c r="AN15" i="33" s="1"/>
  <c r="AN16" i="33" s="1"/>
  <c r="AN17" i="33" s="1"/>
  <c r="AO7" i="33"/>
  <c r="AO9" i="33" s="1"/>
  <c r="AO10" i="33" s="1"/>
  <c r="AO11" i="33" s="1"/>
  <c r="AP6" i="32"/>
  <c r="AP7" i="32" s="1"/>
  <c r="R18" i="32"/>
  <c r="S18" i="32" s="1"/>
  <c r="T18" i="32" s="1"/>
  <c r="U18" i="32" s="1"/>
  <c r="V18" i="32" s="1"/>
  <c r="W18" i="32" s="1"/>
  <c r="X18" i="32" s="1"/>
  <c r="Y18" i="32" s="1"/>
  <c r="Z18" i="32" s="1"/>
  <c r="AA18" i="32" s="1"/>
  <c r="AB18" i="32" s="1"/>
  <c r="AC18" i="32" s="1"/>
  <c r="AD18" i="32" s="1"/>
  <c r="AE18" i="32" s="1"/>
  <c r="AF18" i="32" s="1"/>
  <c r="AG18" i="32" s="1"/>
  <c r="AN13" i="32"/>
  <c r="AN14" i="32" s="1"/>
  <c r="AK13" i="32"/>
  <c r="O12" i="32"/>
  <c r="N12" i="32"/>
  <c r="M12" i="32"/>
  <c r="I12" i="32"/>
  <c r="F12" i="32"/>
  <c r="E12" i="32"/>
  <c r="C12" i="32"/>
  <c r="J11" i="32"/>
  <c r="AE9" i="32"/>
  <c r="AE10" i="32" s="1"/>
  <c r="AE11" i="32" s="1"/>
  <c r="AB9" i="32"/>
  <c r="AB10" i="32" s="1"/>
  <c r="AB11" i="32" s="1"/>
  <c r="AA9" i="32"/>
  <c r="AA10" i="32" s="1"/>
  <c r="AA11" i="32" s="1"/>
  <c r="Z9" i="32"/>
  <c r="Z10" i="32" s="1"/>
  <c r="Z11" i="32" s="1"/>
  <c r="Y9" i="32"/>
  <c r="Y10" i="32" s="1"/>
  <c r="Y11" i="32" s="1"/>
  <c r="X9" i="32"/>
  <c r="X10" i="32" s="1"/>
  <c r="X11" i="32" s="1"/>
  <c r="W9" i="32"/>
  <c r="W10" i="32" s="1"/>
  <c r="W11" i="32" s="1"/>
  <c r="V9" i="32"/>
  <c r="V10" i="32" s="1"/>
  <c r="V11" i="32" s="1"/>
  <c r="U9" i="32"/>
  <c r="U10" i="32" s="1"/>
  <c r="U11" i="32" s="1"/>
  <c r="T9" i="32"/>
  <c r="T10" i="32" s="1"/>
  <c r="T11" i="32" s="1"/>
  <c r="S9" i="32"/>
  <c r="S10" i="32" s="1"/>
  <c r="S11" i="32" s="1"/>
  <c r="R9" i="32"/>
  <c r="R10" i="32" s="1"/>
  <c r="R11" i="32" s="1"/>
  <c r="L8" i="32"/>
  <c r="AO6" i="32"/>
  <c r="AN6" i="32"/>
  <c r="AM6" i="32"/>
  <c r="AM9" i="32" s="1"/>
  <c r="AM10" i="32" s="1"/>
  <c r="AM11" i="32" s="1"/>
  <c r="AL6" i="32"/>
  <c r="AL9" i="32" s="1"/>
  <c r="AL10" i="32" s="1"/>
  <c r="AL11" i="32" s="1"/>
  <c r="AK6" i="32"/>
  <c r="AK9" i="32" s="1"/>
  <c r="AK10" i="32" s="1"/>
  <c r="AK11" i="32" s="1"/>
  <c r="AJ6" i="32"/>
  <c r="AJ9" i="32" s="1"/>
  <c r="AJ10" i="32" s="1"/>
  <c r="AJ11" i="32" s="1"/>
  <c r="AI6" i="32"/>
  <c r="AI9" i="32" s="1"/>
  <c r="AI10" i="32" s="1"/>
  <c r="AI11" i="32" s="1"/>
  <c r="AH6" i="32"/>
  <c r="AH9" i="32" s="1"/>
  <c r="AH10" i="32" s="1"/>
  <c r="AH11" i="32" s="1"/>
  <c r="AG6" i="32"/>
  <c r="AG9" i="32" s="1"/>
  <c r="AG10" i="32" s="1"/>
  <c r="AG11" i="32" s="1"/>
  <c r="AF6" i="32"/>
  <c r="AF9" i="32" s="1"/>
  <c r="AF10" i="32" s="1"/>
  <c r="AF11" i="32" s="1"/>
  <c r="AD6" i="32"/>
  <c r="AC6" i="32"/>
  <c r="AC9" i="32" s="1"/>
  <c r="AC10" i="32" s="1"/>
  <c r="AC11" i="32" s="1"/>
  <c r="E4" i="34" l="1"/>
  <c r="I12" i="35"/>
  <c r="I18" i="35" s="1"/>
  <c r="I4" i="35"/>
  <c r="F12" i="35"/>
  <c r="F18" i="35" s="1"/>
  <c r="F4" i="35"/>
  <c r="C4" i="35"/>
  <c r="C12" i="35"/>
  <c r="C18" i="35" s="1"/>
  <c r="AQ16" i="34"/>
  <c r="AQ17" i="34" s="1"/>
  <c r="AQ18" i="34" s="1"/>
  <c r="F3" i="34"/>
  <c r="M11" i="34" s="1"/>
  <c r="M12" i="34" s="1"/>
  <c r="M17" i="34" s="1"/>
  <c r="AP12" i="33"/>
  <c r="F2" i="33"/>
  <c r="AO12" i="33"/>
  <c r="W12" i="32"/>
  <c r="W15" i="32" s="1"/>
  <c r="W16" i="32" s="1"/>
  <c r="W17" i="32" s="1"/>
  <c r="AI12" i="32"/>
  <c r="AI15" i="32" s="1"/>
  <c r="AI16" i="32" s="1"/>
  <c r="AI17" i="32" s="1"/>
  <c r="AM12" i="32"/>
  <c r="AM14" i="32" s="1"/>
  <c r="V12" i="32"/>
  <c r="V15" i="32" s="1"/>
  <c r="V16" i="32" s="1"/>
  <c r="V17" i="32" s="1"/>
  <c r="R12" i="32"/>
  <c r="R15" i="32" s="1"/>
  <c r="R16" i="32" s="1"/>
  <c r="R17" i="32" s="1"/>
  <c r="Z12" i="32"/>
  <c r="Z15" i="32" s="1"/>
  <c r="Z16" i="32" s="1"/>
  <c r="Z17" i="32" s="1"/>
  <c r="AE12" i="32"/>
  <c r="AE15" i="32" s="1"/>
  <c r="AE16" i="32" s="1"/>
  <c r="AE17" i="32" s="1"/>
  <c r="AH12" i="32"/>
  <c r="AH15" i="32" s="1"/>
  <c r="AH16" i="32" s="1"/>
  <c r="AH17" i="32" s="1"/>
  <c r="S12" i="32"/>
  <c r="S15" i="32" s="1"/>
  <c r="S16" i="32" s="1"/>
  <c r="S17" i="32" s="1"/>
  <c r="AA12" i="32"/>
  <c r="AA15" i="32" s="1"/>
  <c r="AA16" i="32" s="1"/>
  <c r="AA17" i="32" s="1"/>
  <c r="AL12" i="32"/>
  <c r="AL14" i="32" s="1"/>
  <c r="AL15" i="32" s="1"/>
  <c r="AL16" i="32" s="1"/>
  <c r="AL17" i="32" s="1"/>
  <c r="Y12" i="32"/>
  <c r="Y15" i="32" s="1"/>
  <c r="Y16" i="32" s="1"/>
  <c r="Y17" i="32" s="1"/>
  <c r="AC12" i="32"/>
  <c r="AC15" i="32" s="1"/>
  <c r="AC16" i="32" s="1"/>
  <c r="AC17" i="32" s="1"/>
  <c r="AP9" i="32"/>
  <c r="AP10" i="32" s="1"/>
  <c r="AP11" i="32" s="1"/>
  <c r="F2" i="32" s="1"/>
  <c r="O9" i="32" s="1"/>
  <c r="AG12" i="32"/>
  <c r="AG15" i="32" s="1"/>
  <c r="AG16" i="32" s="1"/>
  <c r="AG17" i="32" s="1"/>
  <c r="AK12" i="32"/>
  <c r="AK14" i="32" s="1"/>
  <c r="AK15" i="32" s="1"/>
  <c r="AK16" i="32" s="1"/>
  <c r="AK17" i="32" s="1"/>
  <c r="U12" i="32"/>
  <c r="U15" i="32" s="1"/>
  <c r="U16" i="32" s="1"/>
  <c r="U17" i="32" s="1"/>
  <c r="AF12" i="32"/>
  <c r="AF15" i="32" s="1"/>
  <c r="AF16" i="32" s="1"/>
  <c r="AF17" i="32" s="1"/>
  <c r="AJ12" i="32"/>
  <c r="AJ15" i="32" s="1"/>
  <c r="AJ16" i="32" s="1"/>
  <c r="AJ17" i="32" s="1"/>
  <c r="T12" i="32"/>
  <c r="T15" i="32" s="1"/>
  <c r="T16" i="32" s="1"/>
  <c r="T17" i="32" s="1"/>
  <c r="X12" i="32"/>
  <c r="X15" i="32" s="1"/>
  <c r="X16" i="32" s="1"/>
  <c r="X17" i="32" s="1"/>
  <c r="AB12" i="32"/>
  <c r="AB15" i="32" s="1"/>
  <c r="AB16" i="32" s="1"/>
  <c r="AB17" i="32" s="1"/>
  <c r="AN7" i="32"/>
  <c r="AN9" i="32" s="1"/>
  <c r="AN10" i="32" s="1"/>
  <c r="AN11" i="32" s="1"/>
  <c r="AN15" i="32" s="1"/>
  <c r="AN16" i="32" s="1"/>
  <c r="AN17" i="32" s="1"/>
  <c r="AO7" i="32"/>
  <c r="AO9" i="32" s="1"/>
  <c r="AO10" i="32" s="1"/>
  <c r="AO11" i="32" s="1"/>
  <c r="O11" i="34" l="1"/>
  <c r="O12" i="34" s="1"/>
  <c r="O17" i="34" s="1"/>
  <c r="I11" i="34"/>
  <c r="I12" i="34" s="1"/>
  <c r="I17" i="34" s="1"/>
  <c r="F11" i="34"/>
  <c r="F4" i="34" s="1"/>
  <c r="C11" i="34"/>
  <c r="C4" i="34" s="1"/>
  <c r="D11" i="34"/>
  <c r="D12" i="34" s="1"/>
  <c r="D17" i="34" s="1"/>
  <c r="H11" i="34"/>
  <c r="H12" i="34" s="1"/>
  <c r="H17" i="34" s="1"/>
  <c r="O9" i="33"/>
  <c r="H9" i="33"/>
  <c r="D9" i="33"/>
  <c r="N9" i="33"/>
  <c r="N11" i="33" s="1"/>
  <c r="N16" i="33" s="1"/>
  <c r="G9" i="33"/>
  <c r="C9" i="33"/>
  <c r="J3" i="33"/>
  <c r="I9" i="33"/>
  <c r="E9" i="33"/>
  <c r="F9" i="33"/>
  <c r="M9" i="33"/>
  <c r="AP13" i="33"/>
  <c r="AP14" i="33" s="1"/>
  <c r="AO13" i="33"/>
  <c r="AO14" i="33" s="1"/>
  <c r="AO15" i="33" s="1"/>
  <c r="AO16" i="33" s="1"/>
  <c r="AO17" i="33" s="1"/>
  <c r="AM15" i="32"/>
  <c r="AM16" i="32" s="1"/>
  <c r="AM17" i="32" s="1"/>
  <c r="AO12" i="32"/>
  <c r="AP12" i="32"/>
  <c r="D4" i="31"/>
  <c r="D6" i="31" s="1"/>
  <c r="D7" i="31" s="1"/>
  <c r="D8" i="31" s="1"/>
  <c r="D9" i="31" s="1"/>
  <c r="D10" i="31" s="1"/>
  <c r="D11" i="31" s="1"/>
  <c r="D13" i="31" s="1"/>
  <c r="I4" i="34" l="1"/>
  <c r="F12" i="34"/>
  <c r="F17" i="34" s="1"/>
  <c r="C12" i="34"/>
  <c r="C17" i="34" s="1"/>
  <c r="F3" i="33"/>
  <c r="AQ13" i="33"/>
  <c r="AP15" i="33"/>
  <c r="AP16" i="33" s="1"/>
  <c r="AP17" i="33" s="1"/>
  <c r="E11" i="33"/>
  <c r="E16" i="33" s="1"/>
  <c r="E4" i="33"/>
  <c r="D4" i="33"/>
  <c r="G11" i="33"/>
  <c r="G16" i="33" s="1"/>
  <c r="H9" i="32"/>
  <c r="D9" i="32"/>
  <c r="N9" i="32"/>
  <c r="N11" i="32" s="1"/>
  <c r="N16" i="32" s="1"/>
  <c r="G9" i="32"/>
  <c r="C9" i="32"/>
  <c r="J3" i="32"/>
  <c r="I9" i="32"/>
  <c r="E9" i="32"/>
  <c r="F9" i="32"/>
  <c r="M9" i="32"/>
  <c r="AO13" i="32"/>
  <c r="AO14" i="32" s="1"/>
  <c r="AP13" i="32"/>
  <c r="AP14" i="32" s="1"/>
  <c r="AN13" i="30"/>
  <c r="AP15" i="32" l="1"/>
  <c r="AP16" i="32" s="1"/>
  <c r="AP17" i="32" s="1"/>
  <c r="AQ13" i="32"/>
  <c r="F3" i="32"/>
  <c r="O10" i="33"/>
  <c r="O11" i="33" s="1"/>
  <c r="O16" i="33" s="1"/>
  <c r="F10" i="33"/>
  <c r="M10" i="33"/>
  <c r="M11" i="33" s="1"/>
  <c r="M16" i="33" s="1"/>
  <c r="D10" i="33"/>
  <c r="D11" i="33" s="1"/>
  <c r="D16" i="33" s="1"/>
  <c r="C10" i="33"/>
  <c r="H10" i="33"/>
  <c r="H11" i="33" s="1"/>
  <c r="H16" i="33" s="1"/>
  <c r="I10" i="33"/>
  <c r="AO15" i="32"/>
  <c r="AO16" i="32" s="1"/>
  <c r="AO17" i="32" s="1"/>
  <c r="E11" i="32"/>
  <c r="E16" i="32" s="1"/>
  <c r="E4" i="32"/>
  <c r="D4" i="32"/>
  <c r="G11" i="32"/>
  <c r="G16" i="32" s="1"/>
  <c r="AO6" i="30"/>
  <c r="I4" i="33" l="1"/>
  <c r="I11" i="33"/>
  <c r="I16" i="33" s="1"/>
  <c r="F11" i="33"/>
  <c r="F16" i="33" s="1"/>
  <c r="F4" i="33"/>
  <c r="C4" i="33"/>
  <c r="C11" i="33"/>
  <c r="C16" i="33" s="1"/>
  <c r="O10" i="32"/>
  <c r="O11" i="32" s="1"/>
  <c r="O16" i="32" s="1"/>
  <c r="F10" i="32"/>
  <c r="M10" i="32"/>
  <c r="M11" i="32" s="1"/>
  <c r="M16" i="32" s="1"/>
  <c r="D10" i="32"/>
  <c r="D11" i="32" s="1"/>
  <c r="D16" i="32" s="1"/>
  <c r="C10" i="32"/>
  <c r="I10" i="32"/>
  <c r="H10" i="32"/>
  <c r="H11" i="32" s="1"/>
  <c r="H16" i="32" s="1"/>
  <c r="AO7" i="30"/>
  <c r="AO9" i="30" s="1"/>
  <c r="AO10" i="30" s="1"/>
  <c r="AO11" i="30" s="1"/>
  <c r="R18" i="30"/>
  <c r="S18" i="30" s="1"/>
  <c r="T18" i="30" s="1"/>
  <c r="U18" i="30" s="1"/>
  <c r="V18" i="30" s="1"/>
  <c r="W18" i="30" s="1"/>
  <c r="X18" i="30" s="1"/>
  <c r="Y18" i="30" s="1"/>
  <c r="Z18" i="30" s="1"/>
  <c r="AA18" i="30" s="1"/>
  <c r="AB18" i="30" s="1"/>
  <c r="AC18" i="30" s="1"/>
  <c r="AD18" i="30" s="1"/>
  <c r="AE18" i="30" s="1"/>
  <c r="AF18" i="30" s="1"/>
  <c r="AG18" i="30" s="1"/>
  <c r="O12" i="30"/>
  <c r="N12" i="30"/>
  <c r="M12" i="30"/>
  <c r="I12" i="30"/>
  <c r="F12" i="30"/>
  <c r="E12" i="30"/>
  <c r="C12" i="30"/>
  <c r="J11" i="30"/>
  <c r="AE9" i="30"/>
  <c r="AE10" i="30" s="1"/>
  <c r="AE11" i="30" s="1"/>
  <c r="AB9" i="30"/>
  <c r="AB10" i="30" s="1"/>
  <c r="AB11" i="30" s="1"/>
  <c r="AA9" i="30"/>
  <c r="AA10" i="30" s="1"/>
  <c r="AA11" i="30" s="1"/>
  <c r="Z9" i="30"/>
  <c r="Z10" i="30" s="1"/>
  <c r="Z11" i="30" s="1"/>
  <c r="Y9" i="30"/>
  <c r="Y10" i="30" s="1"/>
  <c r="Y11" i="30" s="1"/>
  <c r="X9" i="30"/>
  <c r="X10" i="30" s="1"/>
  <c r="X11" i="30" s="1"/>
  <c r="W9" i="30"/>
  <c r="W10" i="30" s="1"/>
  <c r="W11" i="30" s="1"/>
  <c r="V9" i="30"/>
  <c r="V10" i="30" s="1"/>
  <c r="V11" i="30" s="1"/>
  <c r="U9" i="30"/>
  <c r="U10" i="30" s="1"/>
  <c r="U11" i="30" s="1"/>
  <c r="T9" i="30"/>
  <c r="T10" i="30" s="1"/>
  <c r="T11" i="30" s="1"/>
  <c r="S9" i="30"/>
  <c r="S10" i="30" s="1"/>
  <c r="S11" i="30" s="1"/>
  <c r="R9" i="30"/>
  <c r="R10" i="30" s="1"/>
  <c r="R11" i="30" s="1"/>
  <c r="L8" i="30"/>
  <c r="AN6" i="30"/>
  <c r="AN7" i="30" s="1"/>
  <c r="AM6" i="30"/>
  <c r="AM9" i="30" s="1"/>
  <c r="AM10" i="30" s="1"/>
  <c r="AM11" i="30" s="1"/>
  <c r="AL6" i="30"/>
  <c r="AL9" i="30" s="1"/>
  <c r="AL10" i="30" s="1"/>
  <c r="AL11" i="30" s="1"/>
  <c r="AK6" i="30"/>
  <c r="AK9" i="30" s="1"/>
  <c r="AK10" i="30" s="1"/>
  <c r="AK11" i="30" s="1"/>
  <c r="AJ6" i="30"/>
  <c r="AJ9" i="30" s="1"/>
  <c r="AJ10" i="30" s="1"/>
  <c r="AJ11" i="30" s="1"/>
  <c r="AI6" i="30"/>
  <c r="AI9" i="30" s="1"/>
  <c r="AI10" i="30" s="1"/>
  <c r="AI11" i="30" s="1"/>
  <c r="AH6" i="30"/>
  <c r="AH9" i="30" s="1"/>
  <c r="AH10" i="30" s="1"/>
  <c r="AH11" i="30" s="1"/>
  <c r="AG6" i="30"/>
  <c r="AG9" i="30" s="1"/>
  <c r="AG10" i="30" s="1"/>
  <c r="AG11" i="30" s="1"/>
  <c r="AF6" i="30"/>
  <c r="AF9" i="30" s="1"/>
  <c r="AF10" i="30" s="1"/>
  <c r="AF11" i="30" s="1"/>
  <c r="AD6" i="30"/>
  <c r="AC6" i="30"/>
  <c r="AC9" i="30" s="1"/>
  <c r="AC10" i="30" s="1"/>
  <c r="AC11" i="30" s="1"/>
  <c r="I4" i="32" l="1"/>
  <c r="I11" i="32"/>
  <c r="I16" i="32" s="1"/>
  <c r="F11" i="32"/>
  <c r="F16" i="32" s="1"/>
  <c r="F4" i="32"/>
  <c r="C4" i="32"/>
  <c r="C11" i="32"/>
  <c r="C16" i="32" s="1"/>
  <c r="AO12" i="30"/>
  <c r="AO13" i="30" s="1"/>
  <c r="AO14" i="30" s="1"/>
  <c r="F3" i="30" s="1"/>
  <c r="F2" i="30"/>
  <c r="V12" i="30"/>
  <c r="V15" i="30" s="1"/>
  <c r="V16" i="30" s="1"/>
  <c r="V17" i="30" s="1"/>
  <c r="Z12" i="30"/>
  <c r="Z15" i="30" s="1"/>
  <c r="Z16" i="30" s="1"/>
  <c r="Z17" i="30" s="1"/>
  <c r="AK13" i="30"/>
  <c r="AN14" i="30"/>
  <c r="AF12" i="30"/>
  <c r="AF15" i="30" s="1"/>
  <c r="AF16" i="30" s="1"/>
  <c r="AF17" i="30" s="1"/>
  <c r="AJ12" i="30"/>
  <c r="AJ15" i="30" s="1"/>
  <c r="AJ16" i="30" s="1"/>
  <c r="AJ17" i="30" s="1"/>
  <c r="S12" i="30"/>
  <c r="S15" i="30" s="1"/>
  <c r="S16" i="30" s="1"/>
  <c r="S17" i="30" s="1"/>
  <c r="W12" i="30"/>
  <c r="W15" i="30" s="1"/>
  <c r="W16" i="30" s="1"/>
  <c r="W17" i="30" s="1"/>
  <c r="AA12" i="30"/>
  <c r="AA15" i="30" s="1"/>
  <c r="AA16" i="30" s="1"/>
  <c r="AA17" i="30" s="1"/>
  <c r="AM12" i="30"/>
  <c r="AM14" i="30" s="1"/>
  <c r="AP13" i="30" s="1"/>
  <c r="AG12" i="30"/>
  <c r="AG15" i="30" s="1"/>
  <c r="AG16" i="30" s="1"/>
  <c r="AG17" i="30" s="1"/>
  <c r="AK12" i="30"/>
  <c r="AK14" i="30" s="1"/>
  <c r="AK15" i="30" s="1"/>
  <c r="AK16" i="30" s="1"/>
  <c r="AK17" i="30" s="1"/>
  <c r="T12" i="30"/>
  <c r="T15" i="30" s="1"/>
  <c r="T16" i="30" s="1"/>
  <c r="T17" i="30" s="1"/>
  <c r="X12" i="30"/>
  <c r="X15" i="30" s="1"/>
  <c r="X16" i="30" s="1"/>
  <c r="X17" i="30" s="1"/>
  <c r="AB12" i="30"/>
  <c r="AB15" i="30" s="1"/>
  <c r="AB16" i="30" s="1"/>
  <c r="AB17" i="30" s="1"/>
  <c r="U12" i="30"/>
  <c r="U15" i="30" s="1"/>
  <c r="U16" i="30" s="1"/>
  <c r="U17" i="30" s="1"/>
  <c r="AC12" i="30"/>
  <c r="AC15" i="30" s="1"/>
  <c r="AC16" i="30" s="1"/>
  <c r="AC17" i="30" s="1"/>
  <c r="AH12" i="30"/>
  <c r="AH15" i="30" s="1"/>
  <c r="AH16" i="30" s="1"/>
  <c r="AH17" i="30" s="1"/>
  <c r="AL12" i="30"/>
  <c r="AL14" i="30" s="1"/>
  <c r="AL15" i="30" s="1"/>
  <c r="AL16" i="30" s="1"/>
  <c r="AL17" i="30" s="1"/>
  <c r="AE12" i="30"/>
  <c r="AE15" i="30" s="1"/>
  <c r="AE16" i="30" s="1"/>
  <c r="AE17" i="30" s="1"/>
  <c r="Y12" i="30"/>
  <c r="Y15" i="30" s="1"/>
  <c r="Y16" i="30" s="1"/>
  <c r="Y17" i="30" s="1"/>
  <c r="AI12" i="30"/>
  <c r="AI15" i="30" s="1"/>
  <c r="AI16" i="30" s="1"/>
  <c r="AI17" i="30" s="1"/>
  <c r="R12" i="30"/>
  <c r="R15" i="30" s="1"/>
  <c r="R16" i="30" s="1"/>
  <c r="R17" i="30" s="1"/>
  <c r="AN9" i="30"/>
  <c r="AN10" i="30" s="1"/>
  <c r="AN11" i="30" s="1"/>
  <c r="AN6" i="29"/>
  <c r="AO15" i="30" l="1"/>
  <c r="AO16" i="30" s="1"/>
  <c r="AO17" i="30" s="1"/>
  <c r="AM15" i="30"/>
  <c r="AM16" i="30" s="1"/>
  <c r="AM17" i="30" s="1"/>
  <c r="AN15" i="30"/>
  <c r="AN16" i="30" s="1"/>
  <c r="AN17" i="30" s="1"/>
  <c r="M10" i="30"/>
  <c r="D10" i="30"/>
  <c r="I10" i="30"/>
  <c r="C10" i="30"/>
  <c r="O10" i="30"/>
  <c r="F10" i="30"/>
  <c r="H10" i="30"/>
  <c r="AO7" i="29"/>
  <c r="R18" i="29"/>
  <c r="S18" i="29" s="1"/>
  <c r="T18" i="29" s="1"/>
  <c r="U18" i="29" s="1"/>
  <c r="V18" i="29" s="1"/>
  <c r="W18" i="29" s="1"/>
  <c r="X18" i="29" s="1"/>
  <c r="Y18" i="29" s="1"/>
  <c r="Z18" i="29" s="1"/>
  <c r="AA18" i="29" s="1"/>
  <c r="AB18" i="29" s="1"/>
  <c r="AC18" i="29" s="1"/>
  <c r="AD18" i="29" s="1"/>
  <c r="AE18" i="29" s="1"/>
  <c r="AF18" i="29" s="1"/>
  <c r="AG18" i="29" s="1"/>
  <c r="O12" i="29"/>
  <c r="N12" i="29"/>
  <c r="M12" i="29"/>
  <c r="I12" i="29"/>
  <c r="F12" i="29"/>
  <c r="E12" i="29"/>
  <c r="C12" i="29"/>
  <c r="J11" i="29"/>
  <c r="AE9" i="29"/>
  <c r="AE10" i="29" s="1"/>
  <c r="AE11" i="29" s="1"/>
  <c r="AE12" i="29" s="1"/>
  <c r="AB9" i="29"/>
  <c r="AB10" i="29" s="1"/>
  <c r="AB11" i="29" s="1"/>
  <c r="AA9" i="29"/>
  <c r="AA10" i="29" s="1"/>
  <c r="AA11" i="29" s="1"/>
  <c r="Z9" i="29"/>
  <c r="Z10" i="29" s="1"/>
  <c r="Z11" i="29" s="1"/>
  <c r="Y9" i="29"/>
  <c r="Y10" i="29" s="1"/>
  <c r="Y11" i="29" s="1"/>
  <c r="Y12" i="29" s="1"/>
  <c r="X9" i="29"/>
  <c r="X10" i="29" s="1"/>
  <c r="X11" i="29" s="1"/>
  <c r="W9" i="29"/>
  <c r="W10" i="29" s="1"/>
  <c r="W11" i="29" s="1"/>
  <c r="V9" i="29"/>
  <c r="V10" i="29" s="1"/>
  <c r="V11" i="29" s="1"/>
  <c r="U9" i="29"/>
  <c r="U10" i="29" s="1"/>
  <c r="U11" i="29" s="1"/>
  <c r="T9" i="29"/>
  <c r="T10" i="29" s="1"/>
  <c r="T11" i="29" s="1"/>
  <c r="T12" i="29" s="1"/>
  <c r="S9" i="29"/>
  <c r="S10" i="29" s="1"/>
  <c r="S11" i="29" s="1"/>
  <c r="R9" i="29"/>
  <c r="R10" i="29" s="1"/>
  <c r="R11" i="29" s="1"/>
  <c r="L8" i="29"/>
  <c r="AM6" i="29"/>
  <c r="AL6" i="29"/>
  <c r="AL9" i="29" s="1"/>
  <c r="AL10" i="29" s="1"/>
  <c r="AL11" i="29" s="1"/>
  <c r="AL12" i="29" s="1"/>
  <c r="AL14" i="29" s="1"/>
  <c r="AK6" i="29"/>
  <c r="AK9" i="29" s="1"/>
  <c r="AK10" i="29" s="1"/>
  <c r="AK11" i="29" s="1"/>
  <c r="AJ6" i="29"/>
  <c r="AJ9" i="29" s="1"/>
  <c r="AJ10" i="29" s="1"/>
  <c r="AJ11" i="29" s="1"/>
  <c r="AI6" i="29"/>
  <c r="AI9" i="29" s="1"/>
  <c r="AI10" i="29" s="1"/>
  <c r="AI11" i="29" s="1"/>
  <c r="AH6" i="29"/>
  <c r="AH9" i="29" s="1"/>
  <c r="AH10" i="29" s="1"/>
  <c r="AH11" i="29" s="1"/>
  <c r="AH12" i="29" s="1"/>
  <c r="AG6" i="29"/>
  <c r="AG9" i="29" s="1"/>
  <c r="AG10" i="29" s="1"/>
  <c r="AG11" i="29" s="1"/>
  <c r="AF6" i="29"/>
  <c r="AF9" i="29" s="1"/>
  <c r="AF10" i="29" s="1"/>
  <c r="AF11" i="29" s="1"/>
  <c r="AD6" i="29"/>
  <c r="AC6" i="29"/>
  <c r="AC9" i="29" s="1"/>
  <c r="AC10" i="29" s="1"/>
  <c r="AC11" i="29" s="1"/>
  <c r="I9" i="30" l="1"/>
  <c r="E9" i="30"/>
  <c r="O9" i="30"/>
  <c r="O11" i="30" s="1"/>
  <c r="O16" i="30" s="1"/>
  <c r="H9" i="30"/>
  <c r="H11" i="30" s="1"/>
  <c r="H16" i="30" s="1"/>
  <c r="D9" i="30"/>
  <c r="D11" i="30" s="1"/>
  <c r="D16" i="30" s="1"/>
  <c r="J3" i="30"/>
  <c r="F9" i="30"/>
  <c r="N9" i="30"/>
  <c r="N11" i="30" s="1"/>
  <c r="N16" i="30" s="1"/>
  <c r="G9" i="30"/>
  <c r="C9" i="30"/>
  <c r="M9" i="30"/>
  <c r="M11" i="30" s="1"/>
  <c r="M16" i="30" s="1"/>
  <c r="AP7" i="29"/>
  <c r="AQ7" i="29" s="1"/>
  <c r="AN7" i="29" s="1"/>
  <c r="AN9" i="29" s="1"/>
  <c r="AN10" i="29" s="1"/>
  <c r="AN11" i="29" s="1"/>
  <c r="F2" i="29" s="1"/>
  <c r="AK12" i="29"/>
  <c r="AI12" i="29"/>
  <c r="AI15" i="29" s="1"/>
  <c r="AI16" i="29" s="1"/>
  <c r="AI17" i="29" s="1"/>
  <c r="AF12" i="29"/>
  <c r="AF15" i="29" s="1"/>
  <c r="AF16" i="29" s="1"/>
  <c r="AF17" i="29" s="1"/>
  <c r="AJ12" i="29"/>
  <c r="AJ15" i="29" s="1"/>
  <c r="AJ16" i="29" s="1"/>
  <c r="AJ17" i="29" s="1"/>
  <c r="S12" i="29"/>
  <c r="S15" i="29" s="1"/>
  <c r="S16" i="29" s="1"/>
  <c r="S17" i="29" s="1"/>
  <c r="W12" i="29"/>
  <c r="W15" i="29" s="1"/>
  <c r="W16" i="29" s="1"/>
  <c r="W17" i="29" s="1"/>
  <c r="AA12" i="29"/>
  <c r="AA15" i="29" s="1"/>
  <c r="AA16" i="29" s="1"/>
  <c r="AA17" i="29" s="1"/>
  <c r="X12" i="29"/>
  <c r="X15" i="29" s="1"/>
  <c r="X16" i="29" s="1"/>
  <c r="X17" i="29" s="1"/>
  <c r="AG12" i="29"/>
  <c r="AG15" i="29" s="1"/>
  <c r="AG16" i="29" s="1"/>
  <c r="AG17" i="29" s="1"/>
  <c r="U12" i="29"/>
  <c r="U15" i="29" s="1"/>
  <c r="U16" i="29" s="1"/>
  <c r="U17" i="29" s="1"/>
  <c r="AB12" i="29"/>
  <c r="AB15" i="29" s="1"/>
  <c r="AB16" i="29" s="1"/>
  <c r="AB17" i="29" s="1"/>
  <c r="R12" i="29"/>
  <c r="R15" i="29" s="1"/>
  <c r="R16" i="29" s="1"/>
  <c r="R17" i="29" s="1"/>
  <c r="V12" i="29"/>
  <c r="V15" i="29" s="1"/>
  <c r="V16" i="29" s="1"/>
  <c r="V17" i="29" s="1"/>
  <c r="Z12" i="29"/>
  <c r="Z15" i="29" s="1"/>
  <c r="Z16" i="29" s="1"/>
  <c r="Z17" i="29" s="1"/>
  <c r="AC12" i="29"/>
  <c r="AC15" i="29" s="1"/>
  <c r="AC16" i="29" s="1"/>
  <c r="AC17" i="29" s="1"/>
  <c r="AH15" i="29"/>
  <c r="AH16" i="29" s="1"/>
  <c r="AH17" i="29" s="1"/>
  <c r="AM9" i="29"/>
  <c r="AM10" i="29" s="1"/>
  <c r="AM11" i="29" s="1"/>
  <c r="Y15" i="29"/>
  <c r="Y16" i="29" s="1"/>
  <c r="Y17" i="29" s="1"/>
  <c r="AL15" i="29"/>
  <c r="AL16" i="29" s="1"/>
  <c r="AL17" i="29" s="1"/>
  <c r="AE15" i="29"/>
  <c r="AE16" i="29" s="1"/>
  <c r="AE17" i="29" s="1"/>
  <c r="T15" i="29"/>
  <c r="T16" i="29" s="1"/>
  <c r="T17" i="29" s="1"/>
  <c r="F11" i="30" l="1"/>
  <c r="F16" i="30" s="1"/>
  <c r="F4" i="30"/>
  <c r="C4" i="30"/>
  <c r="C11" i="30"/>
  <c r="C16" i="30" s="1"/>
  <c r="E11" i="30"/>
  <c r="E16" i="30" s="1"/>
  <c r="E4" i="30"/>
  <c r="D4" i="30"/>
  <c r="G11" i="30"/>
  <c r="G16" i="30" s="1"/>
  <c r="I4" i="30"/>
  <c r="I11" i="30"/>
  <c r="I16" i="30" s="1"/>
  <c r="AO13" i="29"/>
  <c r="AM12" i="29"/>
  <c r="AM6" i="28"/>
  <c r="AN7" i="28" s="1"/>
  <c r="AO7" i="28" s="1"/>
  <c r="AP7" i="28" s="1"/>
  <c r="AM7" i="28" s="1"/>
  <c r="AM9" i="28" s="1"/>
  <c r="AM10" i="28" s="1"/>
  <c r="AM11" i="28" s="1"/>
  <c r="E2" i="28" s="1"/>
  <c r="R18" i="28"/>
  <c r="S18" i="28" s="1"/>
  <c r="T18" i="28" s="1"/>
  <c r="U18" i="28" s="1"/>
  <c r="V18" i="28" s="1"/>
  <c r="W18" i="28" s="1"/>
  <c r="X18" i="28" s="1"/>
  <c r="Y18" i="28" s="1"/>
  <c r="Z18" i="28" s="1"/>
  <c r="AA18" i="28" s="1"/>
  <c r="AB18" i="28" s="1"/>
  <c r="AC18" i="28" s="1"/>
  <c r="AD18" i="28" s="1"/>
  <c r="AE18" i="28" s="1"/>
  <c r="AF18" i="28" s="1"/>
  <c r="AG18" i="28" s="1"/>
  <c r="O12" i="28"/>
  <c r="N12" i="28"/>
  <c r="M12" i="28"/>
  <c r="I12" i="28"/>
  <c r="F12" i="28"/>
  <c r="E12" i="28"/>
  <c r="C12" i="28"/>
  <c r="J11" i="28"/>
  <c r="AE9" i="28"/>
  <c r="AE10" i="28" s="1"/>
  <c r="AE11" i="28" s="1"/>
  <c r="AB9" i="28"/>
  <c r="AB10" i="28" s="1"/>
  <c r="AB11" i="28" s="1"/>
  <c r="AA9" i="28"/>
  <c r="AA10" i="28" s="1"/>
  <c r="AA11" i="28" s="1"/>
  <c r="Z9" i="28"/>
  <c r="Z10" i="28" s="1"/>
  <c r="Z11" i="28" s="1"/>
  <c r="Y9" i="28"/>
  <c r="Y10" i="28" s="1"/>
  <c r="Y11" i="28" s="1"/>
  <c r="X9" i="28"/>
  <c r="X10" i="28" s="1"/>
  <c r="X11" i="28" s="1"/>
  <c r="W9" i="28"/>
  <c r="W10" i="28" s="1"/>
  <c r="W11" i="28" s="1"/>
  <c r="V9" i="28"/>
  <c r="V10" i="28" s="1"/>
  <c r="V11" i="28" s="1"/>
  <c r="U9" i="28"/>
  <c r="U10" i="28" s="1"/>
  <c r="U11" i="28" s="1"/>
  <c r="T9" i="28"/>
  <c r="T10" i="28" s="1"/>
  <c r="T11" i="28" s="1"/>
  <c r="S9" i="28"/>
  <c r="S10" i="28" s="1"/>
  <c r="S11" i="28" s="1"/>
  <c r="R9" i="28"/>
  <c r="R10" i="28" s="1"/>
  <c r="R11" i="28" s="1"/>
  <c r="L8" i="28"/>
  <c r="AL6" i="28"/>
  <c r="AK6" i="28"/>
  <c r="AK9" i="28" s="1"/>
  <c r="AK10" i="28" s="1"/>
  <c r="AK11" i="28" s="1"/>
  <c r="AJ6" i="28"/>
  <c r="AJ9" i="28" s="1"/>
  <c r="AJ10" i="28" s="1"/>
  <c r="AJ11" i="28" s="1"/>
  <c r="AI6" i="28"/>
  <c r="AI9" i="28" s="1"/>
  <c r="AI10" i="28" s="1"/>
  <c r="AI11" i="28" s="1"/>
  <c r="AH6" i="28"/>
  <c r="AH9" i="28" s="1"/>
  <c r="AH10" i="28" s="1"/>
  <c r="AH11" i="28" s="1"/>
  <c r="AG6" i="28"/>
  <c r="AG9" i="28" s="1"/>
  <c r="AG10" i="28" s="1"/>
  <c r="AG11" i="28" s="1"/>
  <c r="AF6" i="28"/>
  <c r="AF9" i="28" s="1"/>
  <c r="AF10" i="28" s="1"/>
  <c r="AF11" i="28" s="1"/>
  <c r="AD6" i="28"/>
  <c r="AC6" i="28"/>
  <c r="AC9" i="28" s="1"/>
  <c r="AC10" i="28" s="1"/>
  <c r="AC11" i="28" s="1"/>
  <c r="AP13" i="29" l="1"/>
  <c r="AQ13" i="29" s="1"/>
  <c r="AN13" i="29" s="1"/>
  <c r="AN14" i="29" s="1"/>
  <c r="N9" i="29"/>
  <c r="N11" i="29" s="1"/>
  <c r="N16" i="29" s="1"/>
  <c r="G9" i="29"/>
  <c r="C9" i="29"/>
  <c r="O9" i="29"/>
  <c r="F9" i="29"/>
  <c r="M9" i="29"/>
  <c r="E9" i="29"/>
  <c r="I9" i="29"/>
  <c r="D9" i="29"/>
  <c r="J3" i="29"/>
  <c r="H9" i="29"/>
  <c r="AM12" i="28"/>
  <c r="AN13" i="28" s="1"/>
  <c r="AL9" i="28"/>
  <c r="AL10" i="28" s="1"/>
  <c r="AL11" i="28" s="1"/>
  <c r="AL12" i="28" s="1"/>
  <c r="AF12" i="28"/>
  <c r="AF15" i="28" s="1"/>
  <c r="AF16" i="28" s="1"/>
  <c r="AF17" i="28" s="1"/>
  <c r="AJ12" i="28"/>
  <c r="AJ15" i="28" s="1"/>
  <c r="AJ16" i="28" s="1"/>
  <c r="AJ17" i="28" s="1"/>
  <c r="AB12" i="28"/>
  <c r="AB15" i="28" s="1"/>
  <c r="AB16" i="28" s="1"/>
  <c r="AB17" i="28" s="1"/>
  <c r="T12" i="28"/>
  <c r="T15" i="28" s="1"/>
  <c r="T16" i="28" s="1"/>
  <c r="T17" i="28" s="1"/>
  <c r="X12" i="28"/>
  <c r="X15" i="28" s="1"/>
  <c r="X16" i="28" s="1"/>
  <c r="X17" i="28" s="1"/>
  <c r="AG12" i="28"/>
  <c r="AG15" i="28" s="1"/>
  <c r="AG16" i="28" s="1"/>
  <c r="AG17" i="28" s="1"/>
  <c r="AC12" i="28"/>
  <c r="AC15" i="28" s="1"/>
  <c r="AC16" i="28" s="1"/>
  <c r="AC17" i="28" s="1"/>
  <c r="S12" i="28"/>
  <c r="S15" i="28" s="1"/>
  <c r="S16" i="28" s="1"/>
  <c r="S17" i="28" s="1"/>
  <c r="AA12" i="28"/>
  <c r="AA15" i="28" s="1"/>
  <c r="AA16" i="28" s="1"/>
  <c r="AA17" i="28" s="1"/>
  <c r="AI12" i="28"/>
  <c r="AI15" i="28" s="1"/>
  <c r="AI16" i="28" s="1"/>
  <c r="AI17" i="28" s="1"/>
  <c r="U12" i="28"/>
  <c r="U15" i="28" s="1"/>
  <c r="U16" i="28" s="1"/>
  <c r="U17" i="28" s="1"/>
  <c r="Y12" i="28"/>
  <c r="Y15" i="28" s="1"/>
  <c r="Y16" i="28" s="1"/>
  <c r="Y17" i="28" s="1"/>
  <c r="AE12" i="28"/>
  <c r="AE15" i="28" s="1"/>
  <c r="AE16" i="28" s="1"/>
  <c r="AE17" i="28" s="1"/>
  <c r="AK12" i="28"/>
  <c r="R12" i="28"/>
  <c r="R15" i="28" s="1"/>
  <c r="R16" i="28" s="1"/>
  <c r="R17" i="28" s="1"/>
  <c r="V12" i="28"/>
  <c r="V15" i="28" s="1"/>
  <c r="V16" i="28" s="1"/>
  <c r="V17" i="28" s="1"/>
  <c r="Z12" i="28"/>
  <c r="Z15" i="28" s="1"/>
  <c r="Z16" i="28" s="1"/>
  <c r="Z17" i="28" s="1"/>
  <c r="AH12" i="28"/>
  <c r="AH15" i="28" s="1"/>
  <c r="AH16" i="28" s="1"/>
  <c r="AH17" i="28" s="1"/>
  <c r="W15" i="28"/>
  <c r="W16" i="28" s="1"/>
  <c r="W17" i="28" s="1"/>
  <c r="W12" i="28"/>
  <c r="AL6" i="27"/>
  <c r="AM7" i="27" s="1"/>
  <c r="R18" i="27"/>
  <c r="S18" i="27" s="1"/>
  <c r="T18" i="27" s="1"/>
  <c r="U18" i="27" s="1"/>
  <c r="V18" i="27" s="1"/>
  <c r="W18" i="27" s="1"/>
  <c r="X18" i="27" s="1"/>
  <c r="Y18" i="27" s="1"/>
  <c r="Z18" i="27" s="1"/>
  <c r="AA18" i="27" s="1"/>
  <c r="AB18" i="27" s="1"/>
  <c r="AC18" i="27" s="1"/>
  <c r="AD18" i="27" s="1"/>
  <c r="AE18" i="27" s="1"/>
  <c r="AF18" i="27" s="1"/>
  <c r="AG18" i="27" s="1"/>
  <c r="O12" i="27"/>
  <c r="N12" i="27"/>
  <c r="M12" i="27"/>
  <c r="I12" i="27"/>
  <c r="F12" i="27"/>
  <c r="E12" i="27"/>
  <c r="C12" i="27"/>
  <c r="J11" i="27"/>
  <c r="AE9" i="27"/>
  <c r="AE10" i="27" s="1"/>
  <c r="AE11" i="27" s="1"/>
  <c r="AB9" i="27"/>
  <c r="AB10" i="27" s="1"/>
  <c r="AB11" i="27" s="1"/>
  <c r="AA9" i="27"/>
  <c r="AA10" i="27" s="1"/>
  <c r="AA11" i="27" s="1"/>
  <c r="Z9" i="27"/>
  <c r="Z10" i="27" s="1"/>
  <c r="Z11" i="27" s="1"/>
  <c r="Y9" i="27"/>
  <c r="Y10" i="27" s="1"/>
  <c r="Y11" i="27" s="1"/>
  <c r="X9" i="27"/>
  <c r="X10" i="27" s="1"/>
  <c r="X11" i="27" s="1"/>
  <c r="W9" i="27"/>
  <c r="W10" i="27" s="1"/>
  <c r="W11" i="27" s="1"/>
  <c r="W12" i="27" s="1"/>
  <c r="V9" i="27"/>
  <c r="V10" i="27" s="1"/>
  <c r="V11" i="27" s="1"/>
  <c r="U9" i="27"/>
  <c r="U10" i="27" s="1"/>
  <c r="U11" i="27" s="1"/>
  <c r="T9" i="27"/>
  <c r="T10" i="27" s="1"/>
  <c r="T11" i="27" s="1"/>
  <c r="S9" i="27"/>
  <c r="S10" i="27" s="1"/>
  <c r="S11" i="27" s="1"/>
  <c r="S12" i="27" s="1"/>
  <c r="R9" i="27"/>
  <c r="R10" i="27" s="1"/>
  <c r="R11" i="27" s="1"/>
  <c r="L8" i="27"/>
  <c r="AK6" i="27"/>
  <c r="AJ6" i="27"/>
  <c r="AJ9" i="27" s="1"/>
  <c r="AJ10" i="27" s="1"/>
  <c r="AJ11" i="27" s="1"/>
  <c r="AI6" i="27"/>
  <c r="AI9" i="27" s="1"/>
  <c r="AI10" i="27" s="1"/>
  <c r="AI11" i="27" s="1"/>
  <c r="AH6" i="27"/>
  <c r="AH9" i="27" s="1"/>
  <c r="AH10" i="27" s="1"/>
  <c r="AH11" i="27" s="1"/>
  <c r="AG6" i="27"/>
  <c r="AG9" i="27" s="1"/>
  <c r="AG10" i="27" s="1"/>
  <c r="AG11" i="27" s="1"/>
  <c r="AF6" i="27"/>
  <c r="AF9" i="27" s="1"/>
  <c r="AF10" i="27" s="1"/>
  <c r="AF11" i="27" s="1"/>
  <c r="AD6" i="27"/>
  <c r="AC6" i="27"/>
  <c r="AC9" i="27" s="1"/>
  <c r="AC10" i="27" s="1"/>
  <c r="AC11" i="27" s="1"/>
  <c r="AN15" i="29" l="1"/>
  <c r="AN16" i="29" s="1"/>
  <c r="AN17" i="29" s="1"/>
  <c r="F3" i="29"/>
  <c r="E11" i="29"/>
  <c r="E16" i="29" s="1"/>
  <c r="E4" i="29"/>
  <c r="AM14" i="29"/>
  <c r="AR13" i="29" s="1"/>
  <c r="AK13" i="29"/>
  <c r="AK14" i="29" s="1"/>
  <c r="AK15" i="29" s="1"/>
  <c r="AK16" i="29" s="1"/>
  <c r="AK17" i="29" s="1"/>
  <c r="D4" i="29"/>
  <c r="G11" i="29"/>
  <c r="G16" i="29" s="1"/>
  <c r="AO13" i="28"/>
  <c r="AP13" i="28" s="1"/>
  <c r="AM13" i="28" s="1"/>
  <c r="AM14" i="28" s="1"/>
  <c r="O9" i="28"/>
  <c r="H9" i="28"/>
  <c r="D9" i="28"/>
  <c r="M9" i="28"/>
  <c r="F9" i="28"/>
  <c r="J3" i="28"/>
  <c r="I9" i="28"/>
  <c r="E9" i="28"/>
  <c r="C9" i="28"/>
  <c r="N9" i="28"/>
  <c r="N11" i="28" s="1"/>
  <c r="N16" i="28" s="1"/>
  <c r="G9" i="28"/>
  <c r="AN7" i="27"/>
  <c r="AO7" i="27" s="1"/>
  <c r="AJ12" i="27"/>
  <c r="AJ15" i="27" s="1"/>
  <c r="AJ16" i="27" s="1"/>
  <c r="AJ17" i="27" s="1"/>
  <c r="AG12" i="27"/>
  <c r="AG15" i="27" s="1"/>
  <c r="AG16" i="27" s="1"/>
  <c r="AG17" i="27" s="1"/>
  <c r="AF12" i="27"/>
  <c r="AF15" i="27" s="1"/>
  <c r="AF16" i="27" s="1"/>
  <c r="AF17" i="27" s="1"/>
  <c r="AH12" i="27"/>
  <c r="AH15" i="27" s="1"/>
  <c r="AH16" i="27" s="1"/>
  <c r="AH17" i="27" s="1"/>
  <c r="Y12" i="27"/>
  <c r="Y15" i="27" s="1"/>
  <c r="Y16" i="27" s="1"/>
  <c r="Y17" i="27" s="1"/>
  <c r="V12" i="27"/>
  <c r="V15" i="27" s="1"/>
  <c r="V16" i="27" s="1"/>
  <c r="V17" i="27" s="1"/>
  <c r="W15" i="27"/>
  <c r="W16" i="27" s="1"/>
  <c r="W17" i="27" s="1"/>
  <c r="T12" i="27"/>
  <c r="T15" i="27" s="1"/>
  <c r="T16" i="27" s="1"/>
  <c r="T17" i="27" s="1"/>
  <c r="AB12" i="27"/>
  <c r="AB15" i="27" s="1"/>
  <c r="AB16" i="27" s="1"/>
  <c r="AB17" i="27" s="1"/>
  <c r="AI12" i="27"/>
  <c r="AI15" i="27" s="1"/>
  <c r="AI16" i="27" s="1"/>
  <c r="AI17" i="27" s="1"/>
  <c r="R12" i="27"/>
  <c r="R15" i="27" s="1"/>
  <c r="R16" i="27" s="1"/>
  <c r="R17" i="27" s="1"/>
  <c r="AE12" i="27"/>
  <c r="AE15" i="27" s="1"/>
  <c r="AE16" i="27" s="1"/>
  <c r="AE17" i="27" s="1"/>
  <c r="S15" i="27"/>
  <c r="S16" i="27" s="1"/>
  <c r="S17" i="27" s="1"/>
  <c r="AA12" i="27"/>
  <c r="AA15" i="27" s="1"/>
  <c r="AA16" i="27" s="1"/>
  <c r="AA17" i="27" s="1"/>
  <c r="Z12" i="27"/>
  <c r="Z15" i="27" s="1"/>
  <c r="Z16" i="27" s="1"/>
  <c r="Z17" i="27" s="1"/>
  <c r="X12" i="27"/>
  <c r="X15" i="27" s="1"/>
  <c r="X16" i="27" s="1"/>
  <c r="X17" i="27" s="1"/>
  <c r="U12" i="27"/>
  <c r="U15" i="27" s="1"/>
  <c r="U16" i="27" s="1"/>
  <c r="U17" i="27" s="1"/>
  <c r="AC12" i="27"/>
  <c r="AC15" i="27" s="1"/>
  <c r="AC16" i="27" s="1"/>
  <c r="AC17" i="27" s="1"/>
  <c r="C12" i="26"/>
  <c r="AK6" i="26"/>
  <c r="AL7" i="26" s="1"/>
  <c r="R18" i="26"/>
  <c r="S18" i="26" s="1"/>
  <c r="T18" i="26" s="1"/>
  <c r="U18" i="26" s="1"/>
  <c r="V18" i="26" s="1"/>
  <c r="W18" i="26" s="1"/>
  <c r="X18" i="26" s="1"/>
  <c r="Y18" i="26" s="1"/>
  <c r="Z18" i="26" s="1"/>
  <c r="AA18" i="26" s="1"/>
  <c r="AB18" i="26" s="1"/>
  <c r="AC18" i="26" s="1"/>
  <c r="AD18" i="26" s="1"/>
  <c r="AE18" i="26" s="1"/>
  <c r="AF18" i="26" s="1"/>
  <c r="AG18" i="26" s="1"/>
  <c r="O12" i="26"/>
  <c r="N12" i="26"/>
  <c r="M12" i="26"/>
  <c r="I12" i="26"/>
  <c r="F12" i="26"/>
  <c r="E12" i="26"/>
  <c r="J11" i="26"/>
  <c r="AE9" i="26"/>
  <c r="AE10" i="26" s="1"/>
  <c r="AE11" i="26" s="1"/>
  <c r="AB9" i="26"/>
  <c r="AB10" i="26" s="1"/>
  <c r="AB11" i="26" s="1"/>
  <c r="AA9" i="26"/>
  <c r="AA10" i="26" s="1"/>
  <c r="AA11" i="26" s="1"/>
  <c r="Z9" i="26"/>
  <c r="Z10" i="26" s="1"/>
  <c r="Z11" i="26" s="1"/>
  <c r="Y9" i="26"/>
  <c r="Y10" i="26" s="1"/>
  <c r="Y11" i="26" s="1"/>
  <c r="X9" i="26"/>
  <c r="X10" i="26" s="1"/>
  <c r="X11" i="26" s="1"/>
  <c r="W9" i="26"/>
  <c r="W10" i="26" s="1"/>
  <c r="W11" i="26" s="1"/>
  <c r="V9" i="26"/>
  <c r="V10" i="26" s="1"/>
  <c r="V11" i="26" s="1"/>
  <c r="U9" i="26"/>
  <c r="U10" i="26" s="1"/>
  <c r="U11" i="26" s="1"/>
  <c r="T9" i="26"/>
  <c r="T10" i="26" s="1"/>
  <c r="T11" i="26" s="1"/>
  <c r="S9" i="26"/>
  <c r="S10" i="26" s="1"/>
  <c r="S11" i="26" s="1"/>
  <c r="R9" i="26"/>
  <c r="R10" i="26" s="1"/>
  <c r="R11" i="26" s="1"/>
  <c r="L8" i="26"/>
  <c r="AJ6" i="26"/>
  <c r="AI6" i="26"/>
  <c r="AI9" i="26" s="1"/>
  <c r="AI10" i="26" s="1"/>
  <c r="AI11" i="26" s="1"/>
  <c r="AH6" i="26"/>
  <c r="AH9" i="26" s="1"/>
  <c r="AH10" i="26" s="1"/>
  <c r="AH11" i="26" s="1"/>
  <c r="AG6" i="26"/>
  <c r="AG9" i="26" s="1"/>
  <c r="AG10" i="26" s="1"/>
  <c r="AG11" i="26" s="1"/>
  <c r="AF6" i="26"/>
  <c r="AF9" i="26" s="1"/>
  <c r="AF10" i="26" s="1"/>
  <c r="AF11" i="26" s="1"/>
  <c r="AD6" i="26"/>
  <c r="AC6" i="26"/>
  <c r="AC9" i="26" s="1"/>
  <c r="AC10" i="26" s="1"/>
  <c r="AC11" i="26" s="1"/>
  <c r="AM15" i="28" l="1"/>
  <c r="AM16" i="28" s="1"/>
  <c r="AM17" i="28" s="1"/>
  <c r="AQ15" i="28"/>
  <c r="E3" i="28"/>
  <c r="AM15" i="29"/>
  <c r="AM16" i="29" s="1"/>
  <c r="AM17" i="29" s="1"/>
  <c r="E11" i="28"/>
  <c r="E16" i="28" s="1"/>
  <c r="E4" i="28"/>
  <c r="G11" i="28"/>
  <c r="G16" i="28" s="1"/>
  <c r="D4" i="28"/>
  <c r="AK13" i="28"/>
  <c r="AK14" i="28" s="1"/>
  <c r="AK15" i="28" s="1"/>
  <c r="AK16" i="28" s="1"/>
  <c r="AK17" i="28" s="1"/>
  <c r="AL14" i="28"/>
  <c r="AK9" i="27"/>
  <c r="AK10" i="27" s="1"/>
  <c r="AK11" i="27" s="1"/>
  <c r="AK12" i="27" s="1"/>
  <c r="AL7" i="27"/>
  <c r="AL9" i="27" s="1"/>
  <c r="AL10" i="27" s="1"/>
  <c r="AL11" i="27" s="1"/>
  <c r="AL12" i="27" s="1"/>
  <c r="U12" i="26"/>
  <c r="U15" i="26" s="1"/>
  <c r="U16" i="26" s="1"/>
  <c r="U17" i="26" s="1"/>
  <c r="Y12" i="26"/>
  <c r="Y15" i="26" s="1"/>
  <c r="Y16" i="26" s="1"/>
  <c r="Y17" i="26" s="1"/>
  <c r="AC12" i="26"/>
  <c r="AC15" i="26" s="1"/>
  <c r="AC16" i="26" s="1"/>
  <c r="AC17" i="26" s="1"/>
  <c r="W12" i="26"/>
  <c r="W15" i="26" s="1"/>
  <c r="W16" i="26" s="1"/>
  <c r="W17" i="26" s="1"/>
  <c r="AI12" i="26"/>
  <c r="AI15" i="26" s="1"/>
  <c r="AI16" i="26" s="1"/>
  <c r="AI17" i="26" s="1"/>
  <c r="R12" i="26"/>
  <c r="R15" i="26" s="1"/>
  <c r="R16" i="26" s="1"/>
  <c r="R17" i="26" s="1"/>
  <c r="V12" i="26"/>
  <c r="V15" i="26"/>
  <c r="V16" i="26" s="1"/>
  <c r="V17" i="26" s="1"/>
  <c r="Z12" i="26"/>
  <c r="Z15" i="26" s="1"/>
  <c r="Z16" i="26" s="1"/>
  <c r="Z17" i="26" s="1"/>
  <c r="AA12" i="26"/>
  <c r="AA15" i="26" s="1"/>
  <c r="AA16" i="26" s="1"/>
  <c r="AA17" i="26" s="1"/>
  <c r="AH12" i="26"/>
  <c r="AH15" i="26" s="1"/>
  <c r="AH16" i="26" s="1"/>
  <c r="AH17" i="26" s="1"/>
  <c r="AF12" i="26"/>
  <c r="AF15" i="26" s="1"/>
  <c r="AF16" i="26" s="1"/>
  <c r="AF17" i="26" s="1"/>
  <c r="AG12" i="26"/>
  <c r="AG15" i="26" s="1"/>
  <c r="AG16" i="26" s="1"/>
  <c r="AG17" i="26" s="1"/>
  <c r="AE12" i="26"/>
  <c r="AE15" i="26" s="1"/>
  <c r="AE16" i="26" s="1"/>
  <c r="AE17" i="26" s="1"/>
  <c r="T12" i="26"/>
  <c r="T15" i="26" s="1"/>
  <c r="T16" i="26" s="1"/>
  <c r="T17" i="26" s="1"/>
  <c r="X12" i="26"/>
  <c r="X15" i="26" s="1"/>
  <c r="X16" i="26" s="1"/>
  <c r="X17" i="26" s="1"/>
  <c r="AB12" i="26"/>
  <c r="AB15" i="26" s="1"/>
  <c r="AB16" i="26" s="1"/>
  <c r="AB17" i="26" s="1"/>
  <c r="S12" i="26"/>
  <c r="S15" i="26" s="1"/>
  <c r="S16" i="26" s="1"/>
  <c r="S17" i="26" s="1"/>
  <c r="AM7" i="26"/>
  <c r="AN7" i="26" s="1"/>
  <c r="AK7" i="26" s="1"/>
  <c r="E12" i="25"/>
  <c r="I10" i="29" l="1"/>
  <c r="C10" i="29"/>
  <c r="O10" i="29"/>
  <c r="O11" i="29" s="1"/>
  <c r="O16" i="29" s="1"/>
  <c r="M10" i="29"/>
  <c r="M11" i="29" s="1"/>
  <c r="M16" i="29" s="1"/>
  <c r="H10" i="29"/>
  <c r="H11" i="29" s="1"/>
  <c r="H16" i="29" s="1"/>
  <c r="F10" i="29"/>
  <c r="D10" i="29"/>
  <c r="D11" i="29" s="1"/>
  <c r="D16" i="29" s="1"/>
  <c r="AL15" i="28"/>
  <c r="AL16" i="28" s="1"/>
  <c r="AL17" i="28" s="1"/>
  <c r="AM13" i="27"/>
  <c r="AN13" i="27" s="1"/>
  <c r="AO13" i="27" s="1"/>
  <c r="E2" i="27"/>
  <c r="AJ9" i="26"/>
  <c r="AJ10" i="26" s="1"/>
  <c r="AJ11" i="26" s="1"/>
  <c r="AJ12" i="26" s="1"/>
  <c r="AK9" i="26"/>
  <c r="AK10" i="26" s="1"/>
  <c r="AK11" i="26" s="1"/>
  <c r="AJ6" i="25"/>
  <c r="AK7" i="25" s="1"/>
  <c r="O12" i="25"/>
  <c r="N12" i="25"/>
  <c r="M12" i="25"/>
  <c r="I12" i="25"/>
  <c r="F12" i="25"/>
  <c r="C12" i="25"/>
  <c r="J11" i="25"/>
  <c r="AE9" i="25"/>
  <c r="AE10" i="25" s="1"/>
  <c r="AE11" i="25" s="1"/>
  <c r="AB9" i="25"/>
  <c r="AB10" i="25" s="1"/>
  <c r="AB11" i="25" s="1"/>
  <c r="AA9" i="25"/>
  <c r="AA10" i="25" s="1"/>
  <c r="AA11" i="25" s="1"/>
  <c r="AA12" i="25" s="1"/>
  <c r="Z9" i="25"/>
  <c r="Z10" i="25" s="1"/>
  <c r="Z11" i="25" s="1"/>
  <c r="Z12" i="25" s="1"/>
  <c r="Y9" i="25"/>
  <c r="Y10" i="25" s="1"/>
  <c r="Y11" i="25" s="1"/>
  <c r="Y12" i="25" s="1"/>
  <c r="X9" i="25"/>
  <c r="X10" i="25" s="1"/>
  <c r="X11" i="25" s="1"/>
  <c r="W9" i="25"/>
  <c r="W10" i="25" s="1"/>
  <c r="W11" i="25" s="1"/>
  <c r="V9" i="25"/>
  <c r="V10" i="25" s="1"/>
  <c r="V11" i="25" s="1"/>
  <c r="V12" i="25" s="1"/>
  <c r="U9" i="25"/>
  <c r="U10" i="25" s="1"/>
  <c r="U11" i="25" s="1"/>
  <c r="U12" i="25" s="1"/>
  <c r="T9" i="25"/>
  <c r="T10" i="25" s="1"/>
  <c r="T11" i="25" s="1"/>
  <c r="S9" i="25"/>
  <c r="S10" i="25" s="1"/>
  <c r="S11" i="25" s="1"/>
  <c r="S12" i="25" s="1"/>
  <c r="R9" i="25"/>
  <c r="R10" i="25" s="1"/>
  <c r="R11" i="25" s="1"/>
  <c r="R12" i="25" s="1"/>
  <c r="L8" i="25"/>
  <c r="AI6" i="25"/>
  <c r="AH6" i="25"/>
  <c r="AH9" i="25" s="1"/>
  <c r="AH10" i="25" s="1"/>
  <c r="AH11" i="25" s="1"/>
  <c r="AH12" i="25" s="1"/>
  <c r="AG6" i="25"/>
  <c r="AG9" i="25" s="1"/>
  <c r="AG10" i="25" s="1"/>
  <c r="AG11" i="25" s="1"/>
  <c r="AF6" i="25"/>
  <c r="AF9" i="25" s="1"/>
  <c r="AF10" i="25" s="1"/>
  <c r="AF11" i="25" s="1"/>
  <c r="AD6" i="25"/>
  <c r="AC6" i="25"/>
  <c r="AC9" i="25" s="1"/>
  <c r="AC10" i="25" s="1"/>
  <c r="AC11" i="25" s="1"/>
  <c r="Z13" i="25" l="1"/>
  <c r="Z14" i="25" s="1"/>
  <c r="Z15" i="25" s="1"/>
  <c r="I11" i="29"/>
  <c r="I16" i="29" s="1"/>
  <c r="I4" i="29"/>
  <c r="F11" i="29"/>
  <c r="F16" i="29" s="1"/>
  <c r="F4" i="29"/>
  <c r="C4" i="29"/>
  <c r="C11" i="29"/>
  <c r="C16" i="29" s="1"/>
  <c r="O10" i="28"/>
  <c r="O11" i="28" s="1"/>
  <c r="O16" i="28" s="1"/>
  <c r="F10" i="28"/>
  <c r="I10" i="28"/>
  <c r="C10" i="28"/>
  <c r="H10" i="28"/>
  <c r="H11" i="28" s="1"/>
  <c r="H16" i="28" s="1"/>
  <c r="M10" i="28"/>
  <c r="M11" i="28" s="1"/>
  <c r="M16" i="28" s="1"/>
  <c r="D10" i="28"/>
  <c r="D11" i="28" s="1"/>
  <c r="D16" i="28" s="1"/>
  <c r="AL13" i="27"/>
  <c r="AL14" i="27" s="1"/>
  <c r="AK13" i="27"/>
  <c r="AK14" i="27" s="1"/>
  <c r="AK15" i="27" s="1"/>
  <c r="AK16" i="27" s="1"/>
  <c r="AK17" i="27" s="1"/>
  <c r="O9" i="27"/>
  <c r="D9" i="27"/>
  <c r="J3" i="27"/>
  <c r="M9" i="27"/>
  <c r="N9" i="27"/>
  <c r="N11" i="27" s="1"/>
  <c r="N16" i="27" s="1"/>
  <c r="I9" i="27"/>
  <c r="F9" i="27"/>
  <c r="G9" i="27"/>
  <c r="E9" i="27"/>
  <c r="H9" i="27"/>
  <c r="C9" i="27"/>
  <c r="AK12" i="26"/>
  <c r="AL13" i="26" s="1"/>
  <c r="AM13" i="26" s="1"/>
  <c r="AN13" i="26" s="1"/>
  <c r="E2" i="26"/>
  <c r="C9" i="26" s="1"/>
  <c r="AJ15" i="26"/>
  <c r="AL7" i="25"/>
  <c r="AM7" i="25" s="1"/>
  <c r="AJ7" i="25" s="1"/>
  <c r="AJ9" i="25" s="1"/>
  <c r="AJ10" i="25" s="1"/>
  <c r="AJ11" i="25" s="1"/>
  <c r="AG12" i="25"/>
  <c r="AG13" i="25" s="1"/>
  <c r="AG14" i="25" s="1"/>
  <c r="AG15" i="25" s="1"/>
  <c r="R13" i="25"/>
  <c r="R14" i="25" s="1"/>
  <c r="R15" i="25" s="1"/>
  <c r="Y13" i="25"/>
  <c r="Y14" i="25" s="1"/>
  <c r="Y15" i="25" s="1"/>
  <c r="AC12" i="25"/>
  <c r="AC13" i="25" s="1"/>
  <c r="AC14" i="25" s="1"/>
  <c r="AC15" i="25" s="1"/>
  <c r="W12" i="25"/>
  <c r="W13" i="25" s="1"/>
  <c r="W14" i="25" s="1"/>
  <c r="W15" i="25" s="1"/>
  <c r="AF12" i="25"/>
  <c r="AF13" i="25" s="1"/>
  <c r="AF14" i="25" s="1"/>
  <c r="AF15" i="25" s="1"/>
  <c r="AE12" i="25"/>
  <c r="AE13" i="25" s="1"/>
  <c r="AE14" i="25" s="1"/>
  <c r="AE15" i="25" s="1"/>
  <c r="T12" i="25"/>
  <c r="T13" i="25" s="1"/>
  <c r="T14" i="25" s="1"/>
  <c r="T15" i="25" s="1"/>
  <c r="X12" i="25"/>
  <c r="X13" i="25" s="1"/>
  <c r="X14" i="25" s="1"/>
  <c r="X15" i="25" s="1"/>
  <c r="AB12" i="25"/>
  <c r="AB13" i="25" s="1"/>
  <c r="AB14" i="25" s="1"/>
  <c r="AB15" i="25" s="1"/>
  <c r="AI9" i="25"/>
  <c r="AI10" i="25" s="1"/>
  <c r="AI11" i="25" s="1"/>
  <c r="S13" i="25"/>
  <c r="S14" i="25" s="1"/>
  <c r="S15" i="25" s="1"/>
  <c r="AA13" i="25"/>
  <c r="AA14" i="25" s="1"/>
  <c r="AA15" i="25" s="1"/>
  <c r="AH13" i="25"/>
  <c r="AH14" i="25" s="1"/>
  <c r="AH15" i="25" s="1"/>
  <c r="U13" i="25"/>
  <c r="U14" i="25" s="1"/>
  <c r="U15" i="25" s="1"/>
  <c r="V13" i="25"/>
  <c r="V14" i="25" s="1"/>
  <c r="V15" i="25" s="1"/>
  <c r="C11" i="28" l="1"/>
  <c r="C16" i="28" s="1"/>
  <c r="C4" i="28"/>
  <c r="I11" i="28"/>
  <c r="I16" i="28" s="1"/>
  <c r="I4" i="28"/>
  <c r="F4" i="28"/>
  <c r="F11" i="28"/>
  <c r="F16" i="28" s="1"/>
  <c r="D4" i="27"/>
  <c r="G11" i="27"/>
  <c r="G16" i="27" s="1"/>
  <c r="E11" i="27"/>
  <c r="E16" i="27" s="1"/>
  <c r="E4" i="27"/>
  <c r="AL15" i="27"/>
  <c r="AL16" i="27" s="1"/>
  <c r="AL17" i="27" s="1"/>
  <c r="E3" i="27"/>
  <c r="I10" i="27" s="1"/>
  <c r="M10" i="27"/>
  <c r="M11" i="27" s="1"/>
  <c r="M16" i="27" s="1"/>
  <c r="F9" i="26"/>
  <c r="AK13" i="26"/>
  <c r="AK14" i="26" s="1"/>
  <c r="E3" i="26" s="1"/>
  <c r="AN16" i="26"/>
  <c r="M9" i="26"/>
  <c r="O9" i="26"/>
  <c r="D9" i="26"/>
  <c r="J3" i="26"/>
  <c r="E9" i="26"/>
  <c r="E4" i="26" s="1"/>
  <c r="H9" i="26"/>
  <c r="N9" i="26"/>
  <c r="N11" i="26" s="1"/>
  <c r="N16" i="26" s="1"/>
  <c r="I9" i="26"/>
  <c r="G9" i="26"/>
  <c r="G11" i="26" s="1"/>
  <c r="G16" i="26" s="1"/>
  <c r="AJ16" i="26"/>
  <c r="AJ17" i="26" s="1"/>
  <c r="AJ12" i="25"/>
  <c r="E2" i="25"/>
  <c r="E9" i="25" s="1"/>
  <c r="AI12" i="25"/>
  <c r="O10" i="27" l="1"/>
  <c r="O11" i="27" s="1"/>
  <c r="O16" i="27" s="1"/>
  <c r="H10" i="27"/>
  <c r="H11" i="27" s="1"/>
  <c r="H16" i="27" s="1"/>
  <c r="F10" i="27"/>
  <c r="F4" i="27" s="1"/>
  <c r="C10" i="27"/>
  <c r="C11" i="27" s="1"/>
  <c r="C16" i="27" s="1"/>
  <c r="D10" i="27"/>
  <c r="D11" i="27" s="1"/>
  <c r="D16" i="27" s="1"/>
  <c r="F11" i="27"/>
  <c r="F16" i="27" s="1"/>
  <c r="I4" i="27"/>
  <c r="I11" i="27"/>
  <c r="I16" i="27" s="1"/>
  <c r="E11" i="26"/>
  <c r="E16" i="26" s="1"/>
  <c r="D4" i="26"/>
  <c r="AK15" i="26"/>
  <c r="AK16" i="26" s="1"/>
  <c r="AK17" i="26" s="1"/>
  <c r="E4" i="25"/>
  <c r="E11" i="25"/>
  <c r="E16" i="25" s="1"/>
  <c r="AJ13" i="25"/>
  <c r="E3" i="25"/>
  <c r="H10" i="25" s="1"/>
  <c r="M9" i="25"/>
  <c r="F9" i="25"/>
  <c r="I9" i="25"/>
  <c r="D9" i="25"/>
  <c r="G9" i="25"/>
  <c r="J3" i="25"/>
  <c r="O9" i="25"/>
  <c r="C9" i="25"/>
  <c r="N9" i="25"/>
  <c r="N11" i="25" s="1"/>
  <c r="N16" i="25" s="1"/>
  <c r="H9" i="25"/>
  <c r="AI13" i="25"/>
  <c r="AI14" i="25" s="1"/>
  <c r="AI15" i="25" s="1"/>
  <c r="M12" i="23"/>
  <c r="C4" i="27" l="1"/>
  <c r="C10" i="26"/>
  <c r="I10" i="26"/>
  <c r="M10" i="26"/>
  <c r="M11" i="26" s="1"/>
  <c r="M16" i="26" s="1"/>
  <c r="O10" i="26"/>
  <c r="O11" i="26" s="1"/>
  <c r="O16" i="26" s="1"/>
  <c r="D10" i="26"/>
  <c r="D11" i="26" s="1"/>
  <c r="D16" i="26" s="1"/>
  <c r="F10" i="26"/>
  <c r="H10" i="26"/>
  <c r="H11" i="26" s="1"/>
  <c r="H16" i="26" s="1"/>
  <c r="D10" i="25"/>
  <c r="R16" i="25" s="1"/>
  <c r="S16" i="25" s="1"/>
  <c r="T16" i="25" s="1"/>
  <c r="U16" i="25" s="1"/>
  <c r="V16" i="25" s="1"/>
  <c r="W16" i="25" s="1"/>
  <c r="X16" i="25" s="1"/>
  <c r="Y16" i="25" s="1"/>
  <c r="Z16" i="25" s="1"/>
  <c r="AA16" i="25" s="1"/>
  <c r="AB16" i="25" s="1"/>
  <c r="AC16" i="25" s="1"/>
  <c r="AD16" i="25" s="1"/>
  <c r="AE16" i="25" s="1"/>
  <c r="AF16" i="25" s="1"/>
  <c r="AG16" i="25" s="1"/>
  <c r="AJ14" i="25"/>
  <c r="AJ15" i="25" s="1"/>
  <c r="AL13" i="25"/>
  <c r="M10" i="25"/>
  <c r="M11" i="25" s="1"/>
  <c r="M16" i="25" s="1"/>
  <c r="O10" i="25"/>
  <c r="O11" i="25" s="1"/>
  <c r="O16" i="25" s="1"/>
  <c r="I10" i="25"/>
  <c r="I4" i="25" s="1"/>
  <c r="F10" i="25"/>
  <c r="F11" i="25" s="1"/>
  <c r="F16" i="25" s="1"/>
  <c r="C10" i="25"/>
  <c r="C4" i="25" s="1"/>
  <c r="D4" i="25"/>
  <c r="G11" i="25"/>
  <c r="G16" i="25" s="1"/>
  <c r="H11" i="25"/>
  <c r="H16" i="25" s="1"/>
  <c r="K8" i="23"/>
  <c r="D11" i="25" l="1"/>
  <c r="D16" i="25" s="1"/>
  <c r="C11" i="25"/>
  <c r="C16" i="25" s="1"/>
  <c r="C11" i="26"/>
  <c r="C16" i="26" s="1"/>
  <c r="C4" i="26"/>
  <c r="F4" i="26"/>
  <c r="F11" i="26"/>
  <c r="F16" i="26" s="1"/>
  <c r="I11" i="26"/>
  <c r="I16" i="26" s="1"/>
  <c r="I4" i="26"/>
  <c r="F4" i="25"/>
  <c r="I11" i="25"/>
  <c r="I16" i="25" s="1"/>
  <c r="AH6" i="23"/>
  <c r="N12" i="23" l="1"/>
  <c r="L12" i="23"/>
  <c r="H12" i="23"/>
  <c r="E12" i="23"/>
  <c r="C12" i="23"/>
  <c r="I11" i="23" l="1"/>
  <c r="AI7" i="23" l="1"/>
  <c r="AD9" i="23"/>
  <c r="AD10" i="23" s="1"/>
  <c r="AD11" i="23" s="1"/>
  <c r="AA9" i="23"/>
  <c r="AA10" i="23" s="1"/>
  <c r="AA11" i="23" s="1"/>
  <c r="Z9" i="23"/>
  <c r="Z10" i="23" s="1"/>
  <c r="Z11" i="23" s="1"/>
  <c r="Y9" i="23"/>
  <c r="Y10" i="23" s="1"/>
  <c r="Y11" i="23" s="1"/>
  <c r="X9" i="23"/>
  <c r="X10" i="23" s="1"/>
  <c r="X11" i="23" s="1"/>
  <c r="W9" i="23"/>
  <c r="W10" i="23" s="1"/>
  <c r="W11" i="23" s="1"/>
  <c r="V9" i="23"/>
  <c r="V10" i="23" s="1"/>
  <c r="V11" i="23" s="1"/>
  <c r="U9" i="23"/>
  <c r="U10" i="23" s="1"/>
  <c r="U11" i="23" s="1"/>
  <c r="T9" i="23"/>
  <c r="T10" i="23" s="1"/>
  <c r="T11" i="23" s="1"/>
  <c r="S9" i="23"/>
  <c r="S10" i="23" s="1"/>
  <c r="S11" i="23" s="1"/>
  <c r="R9" i="23"/>
  <c r="R10" i="23" s="1"/>
  <c r="R11" i="23" s="1"/>
  <c r="Q9" i="23"/>
  <c r="Q10" i="23" s="1"/>
  <c r="Q11" i="23" s="1"/>
  <c r="AG6" i="23"/>
  <c r="AF6" i="23"/>
  <c r="AF9" i="23" s="1"/>
  <c r="AF10" i="23" s="1"/>
  <c r="AF11" i="23" s="1"/>
  <c r="AE6" i="23"/>
  <c r="AE9" i="23" s="1"/>
  <c r="AE10" i="23" s="1"/>
  <c r="AE11" i="23" s="1"/>
  <c r="AC6" i="23"/>
  <c r="AB6" i="23"/>
  <c r="AB9" i="23" s="1"/>
  <c r="AB10" i="23" s="1"/>
  <c r="AB11" i="23" s="1"/>
  <c r="S12" i="23" l="1"/>
  <c r="S13" i="23" s="1"/>
  <c r="S14" i="23" s="1"/>
  <c r="S15" i="23" s="1"/>
  <c r="T12" i="23"/>
  <c r="T13" i="23" s="1"/>
  <c r="T14" i="23" s="1"/>
  <c r="T15" i="23" s="1"/>
  <c r="W12" i="23"/>
  <c r="W13" i="23" s="1"/>
  <c r="W14" i="23" s="1"/>
  <c r="W15" i="23" s="1"/>
  <c r="AF12" i="23"/>
  <c r="AF13" i="23" s="1"/>
  <c r="AF14" i="23" s="1"/>
  <c r="AF15" i="23" s="1"/>
  <c r="R12" i="23"/>
  <c r="R13" i="23" s="1"/>
  <c r="R14" i="23" s="1"/>
  <c r="R15" i="23" s="1"/>
  <c r="V12" i="23"/>
  <c r="V13" i="23" s="1"/>
  <c r="V14" i="23" s="1"/>
  <c r="V15" i="23" s="1"/>
  <c r="Z12" i="23"/>
  <c r="Z13" i="23" s="1"/>
  <c r="Z14" i="23" s="1"/>
  <c r="Z15" i="23" s="1"/>
  <c r="AB12" i="23"/>
  <c r="AB13" i="23" s="1"/>
  <c r="AB14" i="23" s="1"/>
  <c r="AB15" i="23" s="1"/>
  <c r="X12" i="23"/>
  <c r="X13" i="23" s="1"/>
  <c r="X14" i="23" s="1"/>
  <c r="X15" i="23" s="1"/>
  <c r="AE12" i="23"/>
  <c r="AE13" i="23" s="1"/>
  <c r="AE14" i="23" s="1"/>
  <c r="AE15" i="23" s="1"/>
  <c r="Q12" i="23"/>
  <c r="Q13" i="23" s="1"/>
  <c r="Q14" i="23" s="1"/>
  <c r="Q15" i="23" s="1"/>
  <c r="U12" i="23"/>
  <c r="U13" i="23" s="1"/>
  <c r="U14" i="23" s="1"/>
  <c r="U15" i="23" s="1"/>
  <c r="Y12" i="23"/>
  <c r="Y13" i="23" s="1"/>
  <c r="Y14" i="23" s="1"/>
  <c r="Y15" i="23" s="1"/>
  <c r="AD12" i="23"/>
  <c r="AD13" i="23" s="1"/>
  <c r="AD14" i="23" s="1"/>
  <c r="AD15" i="23" s="1"/>
  <c r="AA12" i="23"/>
  <c r="AA13" i="23" s="1"/>
  <c r="AA14" i="23" s="1"/>
  <c r="AA15" i="23" s="1"/>
  <c r="AJ7" i="23"/>
  <c r="AK7" i="23" s="1"/>
  <c r="AH7" i="23" s="1"/>
  <c r="AG9" i="23" l="1"/>
  <c r="AG10" i="23" s="1"/>
  <c r="AG11" i="23" s="1"/>
  <c r="AG12" i="23" s="1"/>
  <c r="AH9" i="23"/>
  <c r="AH10" i="23" s="1"/>
  <c r="AH11" i="23" s="1"/>
  <c r="AH12" i="23" l="1"/>
  <c r="AH13" i="23" s="1"/>
  <c r="E2" i="23"/>
  <c r="AG13" i="23"/>
  <c r="AG14" i="23" s="1"/>
  <c r="AG15" i="23" s="1"/>
  <c r="AH7" i="22"/>
  <c r="AI8" i="22" s="1"/>
  <c r="T11" i="22"/>
  <c r="T12" i="22" s="1"/>
  <c r="O11" i="22"/>
  <c r="AE10" i="22"/>
  <c r="AE11" i="22" s="1"/>
  <c r="AE12" i="22" s="1"/>
  <c r="AB10" i="22"/>
  <c r="AB11" i="22" s="1"/>
  <c r="AB12" i="22" s="1"/>
  <c r="AA10" i="22"/>
  <c r="AA11" i="22" s="1"/>
  <c r="AA12" i="22" s="1"/>
  <c r="Z10" i="22"/>
  <c r="Z11" i="22" s="1"/>
  <c r="Z12" i="22" s="1"/>
  <c r="Y10" i="22"/>
  <c r="Y11" i="22" s="1"/>
  <c r="Y12" i="22" s="1"/>
  <c r="X10" i="22"/>
  <c r="X11" i="22" s="1"/>
  <c r="X12" i="22" s="1"/>
  <c r="W10" i="22"/>
  <c r="W11" i="22" s="1"/>
  <c r="W12" i="22" s="1"/>
  <c r="V10" i="22"/>
  <c r="V11" i="22" s="1"/>
  <c r="V12" i="22" s="1"/>
  <c r="U10" i="22"/>
  <c r="U11" i="22" s="1"/>
  <c r="U12" i="22" s="1"/>
  <c r="T10" i="22"/>
  <c r="S10" i="22"/>
  <c r="S11" i="22" s="1"/>
  <c r="S12" i="22" s="1"/>
  <c r="R10" i="22"/>
  <c r="R11" i="22" s="1"/>
  <c r="R12" i="22" s="1"/>
  <c r="AG7" i="22"/>
  <c r="AF7" i="22"/>
  <c r="AF10" i="22" s="1"/>
  <c r="AF11" i="22" s="1"/>
  <c r="AF12" i="22" s="1"/>
  <c r="AD7" i="22"/>
  <c r="AC7" i="22"/>
  <c r="AC10" i="22" s="1"/>
  <c r="AC11" i="22" s="1"/>
  <c r="AC12" i="22" s="1"/>
  <c r="C9" i="23" l="1"/>
  <c r="M9" i="23"/>
  <c r="M11" i="23" s="1"/>
  <c r="M16" i="23" s="1"/>
  <c r="F9" i="23"/>
  <c r="F11" i="23" s="1"/>
  <c r="F16" i="23" s="1"/>
  <c r="I3" i="23"/>
  <c r="E9" i="23"/>
  <c r="N9" i="23"/>
  <c r="H9" i="23"/>
  <c r="L9" i="23"/>
  <c r="G9" i="23"/>
  <c r="D9" i="23"/>
  <c r="AH14" i="23"/>
  <c r="AH15" i="23" s="1"/>
  <c r="E3" i="23"/>
  <c r="C10" i="23" s="1"/>
  <c r="AJ8" i="22"/>
  <c r="AK8" i="22" s="1"/>
  <c r="AF13" i="22"/>
  <c r="AF14" i="22" s="1"/>
  <c r="AF15" i="22" s="1"/>
  <c r="AF16" i="22" s="1"/>
  <c r="U13" i="22"/>
  <c r="U14" i="22" s="1"/>
  <c r="U15" i="22" s="1"/>
  <c r="U16" i="22" s="1"/>
  <c r="X13" i="22"/>
  <c r="X14" i="22" s="1"/>
  <c r="X15" i="22" s="1"/>
  <c r="X16" i="22" s="1"/>
  <c r="AB13" i="22"/>
  <c r="AB14" i="22" s="1"/>
  <c r="AB15" i="22" s="1"/>
  <c r="AB16" i="22" s="1"/>
  <c r="Y13" i="22"/>
  <c r="Y14" i="22" s="1"/>
  <c r="Y15" i="22" s="1"/>
  <c r="Y16" i="22" s="1"/>
  <c r="T13" i="22"/>
  <c r="T14" i="22" s="1"/>
  <c r="T15" i="22" s="1"/>
  <c r="T16" i="22" s="1"/>
  <c r="AC13" i="22"/>
  <c r="AC14" i="22" s="1"/>
  <c r="AC15" i="22" s="1"/>
  <c r="AC16" i="22" s="1"/>
  <c r="AA13" i="22"/>
  <c r="AA14" i="22" s="1"/>
  <c r="AA15" i="22" s="1"/>
  <c r="AA16" i="22" s="1"/>
  <c r="S13" i="22"/>
  <c r="S14" i="22" s="1"/>
  <c r="S15" i="22" s="1"/>
  <c r="S16" i="22" s="1"/>
  <c r="W13" i="22"/>
  <c r="W14" i="22" s="1"/>
  <c r="W15" i="22" s="1"/>
  <c r="W16" i="22" s="1"/>
  <c r="AE13" i="22"/>
  <c r="AE14" i="22" s="1"/>
  <c r="AE15" i="22" s="1"/>
  <c r="AE16" i="22" s="1"/>
  <c r="R13" i="22"/>
  <c r="R14" i="22" s="1"/>
  <c r="R15" i="22" s="1"/>
  <c r="R16" i="22" s="1"/>
  <c r="V13" i="22"/>
  <c r="V14" i="22" s="1"/>
  <c r="V15" i="22" s="1"/>
  <c r="V16" i="22" s="1"/>
  <c r="Z13" i="22"/>
  <c r="Z14" i="22" s="1"/>
  <c r="Z15" i="22" s="1"/>
  <c r="Z16" i="22" s="1"/>
  <c r="AG7" i="21"/>
  <c r="AH8" i="21" s="1"/>
  <c r="AI8" i="21" s="1"/>
  <c r="AJ8" i="21" s="1"/>
  <c r="AG8" i="21" s="1"/>
  <c r="O11" i="21"/>
  <c r="AE10" i="21"/>
  <c r="AE11" i="21" s="1"/>
  <c r="AE12" i="21" s="1"/>
  <c r="AC10" i="21"/>
  <c r="AC11" i="21" s="1"/>
  <c r="AC12" i="21" s="1"/>
  <c r="AB10" i="21"/>
  <c r="AB11" i="21" s="1"/>
  <c r="AB12" i="21" s="1"/>
  <c r="AA10" i="21"/>
  <c r="AA11" i="21" s="1"/>
  <c r="AA12" i="21" s="1"/>
  <c r="Z10" i="21"/>
  <c r="Z11" i="21" s="1"/>
  <c r="Z12" i="21" s="1"/>
  <c r="Y10" i="21"/>
  <c r="Y11" i="21" s="1"/>
  <c r="Y12" i="21" s="1"/>
  <c r="X10" i="21"/>
  <c r="X11" i="21" s="1"/>
  <c r="X12" i="21" s="1"/>
  <c r="W10" i="21"/>
  <c r="W11" i="21" s="1"/>
  <c r="W12" i="21" s="1"/>
  <c r="V10" i="21"/>
  <c r="V11" i="21" s="1"/>
  <c r="V12" i="21" s="1"/>
  <c r="U10" i="21"/>
  <c r="U11" i="21" s="1"/>
  <c r="U12" i="21" s="1"/>
  <c r="T10" i="21"/>
  <c r="T11" i="21" s="1"/>
  <c r="T12" i="21" s="1"/>
  <c r="S10" i="21"/>
  <c r="S11" i="21" s="1"/>
  <c r="S12" i="21" s="1"/>
  <c r="R10" i="21"/>
  <c r="R11" i="21" s="1"/>
  <c r="R12" i="21" s="1"/>
  <c r="AF7" i="21"/>
  <c r="AF10" i="21" s="1"/>
  <c r="AF11" i="21" s="1"/>
  <c r="AF12" i="21" s="1"/>
  <c r="AD7" i="21"/>
  <c r="AC7" i="21"/>
  <c r="AG8" i="20"/>
  <c r="AG10" i="21" l="1"/>
  <c r="AG11" i="21" s="1"/>
  <c r="AG12" i="21" s="1"/>
  <c r="E3" i="21" s="1"/>
  <c r="AG10" i="22"/>
  <c r="AG11" i="22" s="1"/>
  <c r="AG12" i="22" s="1"/>
  <c r="AH8" i="22"/>
  <c r="AH10" i="22" s="1"/>
  <c r="AH11" i="22" s="1"/>
  <c r="AH12" i="22" s="1"/>
  <c r="C11" i="23"/>
  <c r="C16" i="23" s="1"/>
  <c r="F4" i="23"/>
  <c r="L10" i="23"/>
  <c r="L11" i="23" s="1"/>
  <c r="L16" i="23" s="1"/>
  <c r="H10" i="23"/>
  <c r="H11" i="23" s="1"/>
  <c r="H16" i="23" s="1"/>
  <c r="D10" i="23"/>
  <c r="D11" i="23" s="1"/>
  <c r="D16" i="23" s="1"/>
  <c r="N10" i="23"/>
  <c r="N11" i="23" s="1"/>
  <c r="N16" i="23" s="1"/>
  <c r="E10" i="23"/>
  <c r="E11" i="23" s="1"/>
  <c r="E16" i="23" s="1"/>
  <c r="G10" i="23"/>
  <c r="G11" i="23" s="1"/>
  <c r="G16" i="23" s="1"/>
  <c r="X13" i="21"/>
  <c r="X14" i="21" s="1"/>
  <c r="X15" i="21" s="1"/>
  <c r="X16" i="21" s="1"/>
  <c r="AB13" i="21"/>
  <c r="AB14" i="21" s="1"/>
  <c r="AB15" i="21" s="1"/>
  <c r="AB16" i="21" s="1"/>
  <c r="AF13" i="21"/>
  <c r="AF14" i="21" s="1"/>
  <c r="AF15" i="21" s="1"/>
  <c r="AF16" i="21" s="1"/>
  <c r="Y13" i="21"/>
  <c r="Y14" i="21" s="1"/>
  <c r="Y15" i="21" s="1"/>
  <c r="Y16" i="21" s="1"/>
  <c r="T13" i="21"/>
  <c r="T14" i="21" s="1"/>
  <c r="T15" i="21" s="1"/>
  <c r="T16" i="21" s="1"/>
  <c r="AC13" i="21"/>
  <c r="AC14" i="21" s="1"/>
  <c r="AC15" i="21" s="1"/>
  <c r="AC16" i="21" s="1"/>
  <c r="AG13" i="21"/>
  <c r="U13" i="21"/>
  <c r="U14" i="21" s="1"/>
  <c r="U15" i="21" s="1"/>
  <c r="U16" i="21" s="1"/>
  <c r="R13" i="21"/>
  <c r="R14" i="21" s="1"/>
  <c r="R15" i="21" s="1"/>
  <c r="R16" i="21" s="1"/>
  <c r="V13" i="21"/>
  <c r="V14" i="21" s="1"/>
  <c r="V15" i="21" s="1"/>
  <c r="V16" i="21" s="1"/>
  <c r="Z13" i="21"/>
  <c r="Z14" i="21" s="1"/>
  <c r="Z15" i="21" s="1"/>
  <c r="Z16" i="21" s="1"/>
  <c r="S13" i="21"/>
  <c r="S14" i="21" s="1"/>
  <c r="S15" i="21" s="1"/>
  <c r="S16" i="21" s="1"/>
  <c r="W13" i="21"/>
  <c r="W14" i="21" s="1"/>
  <c r="W15" i="21" s="1"/>
  <c r="W16" i="21" s="1"/>
  <c r="AA13" i="21"/>
  <c r="AA14" i="21" s="1"/>
  <c r="AA15" i="21" s="1"/>
  <c r="AA16" i="21" s="1"/>
  <c r="AE13" i="21"/>
  <c r="AE14" i="21" s="1"/>
  <c r="AE15" i="21" s="1"/>
  <c r="AE16" i="21" s="1"/>
  <c r="AF7" i="20"/>
  <c r="AG13" i="22" l="1"/>
  <c r="AG14" i="22" s="1"/>
  <c r="AG15" i="22" s="1"/>
  <c r="AG16" i="22" s="1"/>
  <c r="E3" i="22"/>
  <c r="AH13" i="22"/>
  <c r="E4" i="22" s="1"/>
  <c r="E4" i="23"/>
  <c r="H4" i="23"/>
  <c r="C4" i="23"/>
  <c r="G4" i="23"/>
  <c r="D4" i="23"/>
  <c r="Q16" i="23" s="1"/>
  <c r="R16" i="23" s="1"/>
  <c r="S16" i="23" s="1"/>
  <c r="T16" i="23" s="1"/>
  <c r="U16" i="23" s="1"/>
  <c r="V16" i="23" s="1"/>
  <c r="W16" i="23" s="1"/>
  <c r="X16" i="23" s="1"/>
  <c r="Y16" i="23" s="1"/>
  <c r="Z16" i="23" s="1"/>
  <c r="AA16" i="23" s="1"/>
  <c r="AB16" i="23" s="1"/>
  <c r="AC16" i="23" s="1"/>
  <c r="AD16" i="23" s="1"/>
  <c r="AE16" i="23" s="1"/>
  <c r="AF16" i="23" s="1"/>
  <c r="AG14" i="21"/>
  <c r="AG15" i="21" s="1"/>
  <c r="AG16" i="21" s="1"/>
  <c r="E4" i="21"/>
  <c r="N10" i="21" s="1"/>
  <c r="N9" i="21"/>
  <c r="G9" i="21"/>
  <c r="C9" i="21"/>
  <c r="I4" i="21"/>
  <c r="M9" i="21"/>
  <c r="F9" i="21"/>
  <c r="O9" i="21"/>
  <c r="D9" i="21"/>
  <c r="L9" i="21"/>
  <c r="L15" i="21" s="1"/>
  <c r="H9" i="21"/>
  <c r="E9" i="21"/>
  <c r="O11" i="20"/>
  <c r="AB10" i="20"/>
  <c r="AB11" i="20" s="1"/>
  <c r="AB12" i="20" s="1"/>
  <c r="AA10" i="20"/>
  <c r="AA11" i="20" s="1"/>
  <c r="AA12" i="20" s="1"/>
  <c r="Z10" i="20"/>
  <c r="Z11" i="20" s="1"/>
  <c r="Z12" i="20" s="1"/>
  <c r="Y10" i="20"/>
  <c r="Y11" i="20" s="1"/>
  <c r="Y12" i="20" s="1"/>
  <c r="X10" i="20"/>
  <c r="X11" i="20" s="1"/>
  <c r="X12" i="20" s="1"/>
  <c r="W10" i="20"/>
  <c r="W11" i="20" s="1"/>
  <c r="W12" i="20" s="1"/>
  <c r="V10" i="20"/>
  <c r="V11" i="20" s="1"/>
  <c r="V12" i="20" s="1"/>
  <c r="U10" i="20"/>
  <c r="U11" i="20" s="1"/>
  <c r="U12" i="20" s="1"/>
  <c r="T10" i="20"/>
  <c r="T11" i="20" s="1"/>
  <c r="T12" i="20" s="1"/>
  <c r="S10" i="20"/>
  <c r="S11" i="20" s="1"/>
  <c r="S12" i="20" s="1"/>
  <c r="R10" i="20"/>
  <c r="R11" i="20" s="1"/>
  <c r="R12" i="20" s="1"/>
  <c r="AH8" i="20"/>
  <c r="AI8" i="20" s="1"/>
  <c r="AD7" i="20"/>
  <c r="AC7" i="20"/>
  <c r="AC10" i="20" s="1"/>
  <c r="AC11" i="20" s="1"/>
  <c r="AC12" i="20" s="1"/>
  <c r="C10" i="21" l="1"/>
  <c r="H10" i="21"/>
  <c r="H15" i="21" s="1"/>
  <c r="M10" i="21"/>
  <c r="E10" i="21"/>
  <c r="E15" i="21" s="1"/>
  <c r="G10" i="21"/>
  <c r="G5" i="21" s="1"/>
  <c r="D10" i="21"/>
  <c r="D5" i="21" s="1"/>
  <c r="R17" i="21" s="1"/>
  <c r="S17" i="21" s="1"/>
  <c r="T17" i="21" s="1"/>
  <c r="U17" i="21" s="1"/>
  <c r="V17" i="21" s="1"/>
  <c r="W17" i="21" s="1"/>
  <c r="X17" i="21" s="1"/>
  <c r="Y17" i="21" s="1"/>
  <c r="Z17" i="21" s="1"/>
  <c r="AA17" i="21" s="1"/>
  <c r="AB17" i="21" s="1"/>
  <c r="AC17" i="21" s="1"/>
  <c r="AD17" i="21" s="1"/>
  <c r="AE17" i="21" s="1"/>
  <c r="AF17" i="21" s="1"/>
  <c r="AG17" i="21" s="1"/>
  <c r="H10" i="22"/>
  <c r="E10" i="22"/>
  <c r="O10" i="22"/>
  <c r="D10" i="22"/>
  <c r="C10" i="22"/>
  <c r="M10" i="22"/>
  <c r="N10" i="22"/>
  <c r="G10" i="22"/>
  <c r="AH14" i="22"/>
  <c r="AH15" i="22" s="1"/>
  <c r="AH16" i="22" s="1"/>
  <c r="H9" i="22"/>
  <c r="E9" i="22"/>
  <c r="G9" i="22"/>
  <c r="I4" i="22"/>
  <c r="O9" i="22"/>
  <c r="M9" i="22"/>
  <c r="F9" i="22"/>
  <c r="C9" i="22"/>
  <c r="N9" i="22"/>
  <c r="D9" i="22"/>
  <c r="L9" i="22"/>
  <c r="L15" i="22" s="1"/>
  <c r="M15" i="21"/>
  <c r="N15" i="21"/>
  <c r="O10" i="21"/>
  <c r="O15" i="21" s="1"/>
  <c r="D15" i="21"/>
  <c r="E5" i="21"/>
  <c r="C15" i="21"/>
  <c r="C5" i="21"/>
  <c r="F5" i="21"/>
  <c r="F15" i="21"/>
  <c r="AE10" i="20"/>
  <c r="AE11" i="20" s="1"/>
  <c r="AE12" i="20" s="1"/>
  <c r="AE13" i="20" s="1"/>
  <c r="AF10" i="20"/>
  <c r="AF11" i="20" s="1"/>
  <c r="AF12" i="20" s="1"/>
  <c r="S13" i="20"/>
  <c r="S14" i="20" s="1"/>
  <c r="S15" i="20" s="1"/>
  <c r="S16" i="20" s="1"/>
  <c r="W13" i="20"/>
  <c r="W14" i="20" s="1"/>
  <c r="W15" i="20" s="1"/>
  <c r="W16" i="20" s="1"/>
  <c r="AA13" i="20"/>
  <c r="AA14" i="20"/>
  <c r="AA15" i="20" s="1"/>
  <c r="AA16" i="20" s="1"/>
  <c r="U13" i="20"/>
  <c r="U14" i="20" s="1"/>
  <c r="U15" i="20" s="1"/>
  <c r="U16" i="20" s="1"/>
  <c r="AC13" i="20"/>
  <c r="AC14" i="20" s="1"/>
  <c r="AC15" i="20" s="1"/>
  <c r="AC16" i="20" s="1"/>
  <c r="X13" i="20"/>
  <c r="X14" i="20" s="1"/>
  <c r="X15" i="20" s="1"/>
  <c r="X16" i="20" s="1"/>
  <c r="Y13" i="20"/>
  <c r="Y14" i="20" s="1"/>
  <c r="Y15" i="20" s="1"/>
  <c r="Y16" i="20" s="1"/>
  <c r="R13" i="20"/>
  <c r="R14" i="20" s="1"/>
  <c r="R15" i="20" s="1"/>
  <c r="R16" i="20" s="1"/>
  <c r="V13" i="20"/>
  <c r="V14" i="20" s="1"/>
  <c r="V15" i="20" s="1"/>
  <c r="V16" i="20" s="1"/>
  <c r="Z13" i="20"/>
  <c r="Z14" i="20" s="1"/>
  <c r="Z15" i="20" s="1"/>
  <c r="Z16" i="20" s="1"/>
  <c r="T13" i="20"/>
  <c r="T14" i="20" s="1"/>
  <c r="T15" i="20" s="1"/>
  <c r="T16" i="20" s="1"/>
  <c r="AB13" i="20"/>
  <c r="AB14" i="20" s="1"/>
  <c r="AB15" i="20" s="1"/>
  <c r="AB16" i="20" s="1"/>
  <c r="G15" i="21" l="1"/>
  <c r="H5" i="21"/>
  <c r="N15" i="22"/>
  <c r="O15" i="22"/>
  <c r="H15" i="22"/>
  <c r="H5" i="22"/>
  <c r="C5" i="22"/>
  <c r="C15" i="22"/>
  <c r="F5" i="22"/>
  <c r="F15" i="22"/>
  <c r="G5" i="22"/>
  <c r="G15" i="22"/>
  <c r="D5" i="22"/>
  <c r="R17" i="22" s="1"/>
  <c r="S17" i="22" s="1"/>
  <c r="T17" i="22" s="1"/>
  <c r="U17" i="22" s="1"/>
  <c r="V17" i="22" s="1"/>
  <c r="W17" i="22" s="1"/>
  <c r="X17" i="22" s="1"/>
  <c r="Y17" i="22" s="1"/>
  <c r="Z17" i="22" s="1"/>
  <c r="AA17" i="22" s="1"/>
  <c r="AB17" i="22" s="1"/>
  <c r="AC17" i="22" s="1"/>
  <c r="AD17" i="22" s="1"/>
  <c r="AE17" i="22" s="1"/>
  <c r="AF17" i="22" s="1"/>
  <c r="AG17" i="22" s="1"/>
  <c r="D15" i="22"/>
  <c r="M15" i="22"/>
  <c r="E5" i="22"/>
  <c r="E15" i="22"/>
  <c r="E3" i="20"/>
  <c r="L9" i="20" s="1"/>
  <c r="L15" i="20" s="1"/>
  <c r="AF13" i="20"/>
  <c r="AE14" i="20"/>
  <c r="AE15" i="20" s="1"/>
  <c r="AE16" i="20" s="1"/>
  <c r="AF8" i="19"/>
  <c r="O11" i="19"/>
  <c r="AB10" i="19"/>
  <c r="AB11" i="19" s="1"/>
  <c r="AB12" i="19" s="1"/>
  <c r="AA10" i="19"/>
  <c r="AA11" i="19" s="1"/>
  <c r="AA12" i="19" s="1"/>
  <c r="Z10" i="19"/>
  <c r="Z11" i="19" s="1"/>
  <c r="Z12" i="19" s="1"/>
  <c r="Y10" i="19"/>
  <c r="Y11" i="19" s="1"/>
  <c r="Y12" i="19" s="1"/>
  <c r="X10" i="19"/>
  <c r="X11" i="19" s="1"/>
  <c r="X12" i="19" s="1"/>
  <c r="W10" i="19"/>
  <c r="W11" i="19" s="1"/>
  <c r="W12" i="19" s="1"/>
  <c r="V10" i="19"/>
  <c r="V11" i="19" s="1"/>
  <c r="V12" i="19" s="1"/>
  <c r="U10" i="19"/>
  <c r="U11" i="19" s="1"/>
  <c r="U12" i="19" s="1"/>
  <c r="T10" i="19"/>
  <c r="T11" i="19" s="1"/>
  <c r="T12" i="19" s="1"/>
  <c r="S10" i="19"/>
  <c r="S11" i="19" s="1"/>
  <c r="S12" i="19" s="1"/>
  <c r="R10" i="19"/>
  <c r="R11" i="19" s="1"/>
  <c r="R12" i="19" s="1"/>
  <c r="AD7" i="19"/>
  <c r="AC7" i="19"/>
  <c r="AD7" i="18"/>
  <c r="AE8" i="18" s="1"/>
  <c r="AF8" i="18" s="1"/>
  <c r="AG8" i="18" s="1"/>
  <c r="AB11" i="18"/>
  <c r="AB12" i="18" s="1"/>
  <c r="O11" i="18"/>
  <c r="AB10" i="18"/>
  <c r="AA10" i="18"/>
  <c r="AA11" i="18" s="1"/>
  <c r="AA12" i="18" s="1"/>
  <c r="Z10" i="18"/>
  <c r="Z11" i="18" s="1"/>
  <c r="Z12" i="18" s="1"/>
  <c r="Y10" i="18"/>
  <c r="Y11" i="18" s="1"/>
  <c r="Y12" i="18" s="1"/>
  <c r="X10" i="18"/>
  <c r="X11" i="18" s="1"/>
  <c r="X12" i="18" s="1"/>
  <c r="W10" i="18"/>
  <c r="W11" i="18" s="1"/>
  <c r="W12" i="18" s="1"/>
  <c r="V10" i="18"/>
  <c r="V11" i="18" s="1"/>
  <c r="V12" i="18" s="1"/>
  <c r="U10" i="18"/>
  <c r="U11" i="18" s="1"/>
  <c r="U12" i="18" s="1"/>
  <c r="T10" i="18"/>
  <c r="T11" i="18" s="1"/>
  <c r="T12" i="18" s="1"/>
  <c r="S10" i="18"/>
  <c r="S11" i="18" s="1"/>
  <c r="S12" i="18" s="1"/>
  <c r="R10" i="18"/>
  <c r="R11" i="18" s="1"/>
  <c r="R12" i="18" s="1"/>
  <c r="AC7" i="18"/>
  <c r="AB13" i="18" l="1"/>
  <c r="AB14" i="18" s="1"/>
  <c r="AB15" i="18" s="1"/>
  <c r="AB16" i="18" s="1"/>
  <c r="X13" i="18"/>
  <c r="X14" i="18" s="1"/>
  <c r="X15" i="18" s="1"/>
  <c r="X16" i="18" s="1"/>
  <c r="H9" i="20"/>
  <c r="O9" i="20"/>
  <c r="N9" i="20"/>
  <c r="M9" i="20"/>
  <c r="I4" i="20"/>
  <c r="G9" i="20"/>
  <c r="F9" i="20"/>
  <c r="F5" i="20" s="1"/>
  <c r="E9" i="20"/>
  <c r="D9" i="20"/>
  <c r="C9" i="20"/>
  <c r="AF14" i="20"/>
  <c r="AF15" i="20" s="1"/>
  <c r="AF16" i="20" s="1"/>
  <c r="E4" i="20"/>
  <c r="AG8" i="19"/>
  <c r="AH8" i="19" s="1"/>
  <c r="AE8" i="19" s="1"/>
  <c r="AE10" i="19" s="1"/>
  <c r="AE11" i="19" s="1"/>
  <c r="AE12" i="19" s="1"/>
  <c r="E3" i="19" s="1"/>
  <c r="AC10" i="18"/>
  <c r="AC11" i="18" s="1"/>
  <c r="AC12" i="18" s="1"/>
  <c r="AD8" i="18"/>
  <c r="AC10" i="19"/>
  <c r="AC11" i="19" s="1"/>
  <c r="AC12" i="19" s="1"/>
  <c r="Y13" i="19"/>
  <c r="Y14" i="19" s="1"/>
  <c r="Y15" i="19" s="1"/>
  <c r="Y16" i="19" s="1"/>
  <c r="R13" i="19"/>
  <c r="R14" i="19" s="1"/>
  <c r="R15" i="19" s="1"/>
  <c r="R16" i="19" s="1"/>
  <c r="V13" i="19"/>
  <c r="V14" i="19" s="1"/>
  <c r="V15" i="19" s="1"/>
  <c r="V16" i="19" s="1"/>
  <c r="Z13" i="19"/>
  <c r="Z14" i="19"/>
  <c r="Z15" i="19" s="1"/>
  <c r="Z16" i="19" s="1"/>
  <c r="S13" i="19"/>
  <c r="S14" i="19" s="1"/>
  <c r="S15" i="19" s="1"/>
  <c r="S16" i="19" s="1"/>
  <c r="AA13" i="19"/>
  <c r="AA14" i="19" s="1"/>
  <c r="AA15" i="19" s="1"/>
  <c r="AA16" i="19" s="1"/>
  <c r="W13" i="19"/>
  <c r="W14" i="19" s="1"/>
  <c r="W15" i="19" s="1"/>
  <c r="W16" i="19" s="1"/>
  <c r="U13" i="19"/>
  <c r="U14" i="19" s="1"/>
  <c r="U15" i="19" s="1"/>
  <c r="U16" i="19" s="1"/>
  <c r="X13" i="19"/>
  <c r="X14" i="19" s="1"/>
  <c r="X15" i="19" s="1"/>
  <c r="X16" i="19" s="1"/>
  <c r="T13" i="19"/>
  <c r="T14" i="19" s="1"/>
  <c r="T15" i="19" s="1"/>
  <c r="T16" i="19" s="1"/>
  <c r="AB13" i="19"/>
  <c r="AB14" i="19" s="1"/>
  <c r="AB15" i="19" s="1"/>
  <c r="AB16" i="19" s="1"/>
  <c r="T13" i="18"/>
  <c r="T14" i="18" s="1"/>
  <c r="T15" i="18" s="1"/>
  <c r="T16" i="18" s="1"/>
  <c r="S13" i="18"/>
  <c r="S14" i="18" s="1"/>
  <c r="S15" i="18" s="1"/>
  <c r="S16" i="18" s="1"/>
  <c r="W13" i="18"/>
  <c r="W14" i="18" s="1"/>
  <c r="W15" i="18" s="1"/>
  <c r="W16" i="18" s="1"/>
  <c r="AA13" i="18"/>
  <c r="AA14" i="18" s="1"/>
  <c r="AA15" i="18" s="1"/>
  <c r="AA16" i="18" s="1"/>
  <c r="U14" i="18"/>
  <c r="U15" i="18" s="1"/>
  <c r="U16" i="18" s="1"/>
  <c r="U13" i="18"/>
  <c r="Y13" i="18"/>
  <c r="Y14" i="18" s="1"/>
  <c r="Y15" i="18" s="1"/>
  <c r="Y16" i="18" s="1"/>
  <c r="R13" i="18"/>
  <c r="R14" i="18" s="1"/>
  <c r="R15" i="18" s="1"/>
  <c r="R16" i="18" s="1"/>
  <c r="V13" i="18"/>
  <c r="V14" i="18" s="1"/>
  <c r="V15" i="18" s="1"/>
  <c r="V16" i="18" s="1"/>
  <c r="Z13" i="18"/>
  <c r="Z14" i="18" s="1"/>
  <c r="Z15" i="18" s="1"/>
  <c r="Z16" i="18" s="1"/>
  <c r="AC7" i="15"/>
  <c r="AD7" i="50" l="1"/>
  <c r="AD10" i="50" s="1"/>
  <c r="AD11" i="50" s="1"/>
  <c r="AD12" i="50" s="1"/>
  <c r="AD13" i="50" s="1"/>
  <c r="AD17" i="50" s="1"/>
  <c r="AD18" i="50" s="1"/>
  <c r="AD19" i="50" s="1"/>
  <c r="AD7" i="46"/>
  <c r="AD10" i="46" s="1"/>
  <c r="AD11" i="46" s="1"/>
  <c r="AD12" i="46" s="1"/>
  <c r="AD13" i="46" s="1"/>
  <c r="AD17" i="46" s="1"/>
  <c r="AD18" i="46" s="1"/>
  <c r="AD19" i="46" s="1"/>
  <c r="AD7" i="45"/>
  <c r="AD10" i="45" s="1"/>
  <c r="AD11" i="45" s="1"/>
  <c r="AD12" i="45" s="1"/>
  <c r="AD13" i="45" s="1"/>
  <c r="AD17" i="45" s="1"/>
  <c r="AD18" i="45" s="1"/>
  <c r="AD19" i="45" s="1"/>
  <c r="AD7" i="44"/>
  <c r="AD10" i="44" s="1"/>
  <c r="AD11" i="44" s="1"/>
  <c r="AD12" i="44" s="1"/>
  <c r="AD7" i="43"/>
  <c r="AD10" i="43" s="1"/>
  <c r="AD11" i="43" s="1"/>
  <c r="AD12" i="43" s="1"/>
  <c r="AD7" i="41"/>
  <c r="AD10" i="41" s="1"/>
  <c r="AD11" i="41" s="1"/>
  <c r="AD12" i="41" s="1"/>
  <c r="AD13" i="41" s="1"/>
  <c r="AD17" i="41" s="1"/>
  <c r="AD18" i="41" s="1"/>
  <c r="AD19" i="41" s="1"/>
  <c r="AD7" i="40"/>
  <c r="AD10" i="40" s="1"/>
  <c r="AD11" i="40" s="1"/>
  <c r="AD12" i="40" s="1"/>
  <c r="AD13" i="40" s="1"/>
  <c r="AD17" i="40" s="1"/>
  <c r="AD18" i="40" s="1"/>
  <c r="AD19" i="40" s="1"/>
  <c r="AD7" i="39"/>
  <c r="AD10" i="39" s="1"/>
  <c r="AD11" i="39" s="1"/>
  <c r="AD12" i="39" s="1"/>
  <c r="AD13" i="39" s="1"/>
  <c r="AD17" i="39" s="1"/>
  <c r="AD18" i="39" s="1"/>
  <c r="AD19" i="39" s="1"/>
  <c r="AD7" i="38"/>
  <c r="AD10" i="38" s="1"/>
  <c r="AD11" i="38" s="1"/>
  <c r="AD12" i="38" s="1"/>
  <c r="AD13" i="38" s="1"/>
  <c r="AD17" i="38" s="1"/>
  <c r="AD18" i="38" s="1"/>
  <c r="AD19" i="38" s="1"/>
  <c r="AD7" i="37"/>
  <c r="AD10" i="37" s="1"/>
  <c r="AD11" i="37" s="1"/>
  <c r="AD12" i="37" s="1"/>
  <c r="AD13" i="37" s="1"/>
  <c r="AD17" i="37" s="1"/>
  <c r="AD18" i="37" s="1"/>
  <c r="AD19" i="37" s="1"/>
  <c r="AD7" i="36"/>
  <c r="AD10" i="36" s="1"/>
  <c r="AD11" i="36" s="1"/>
  <c r="AD12" i="36" s="1"/>
  <c r="AD13" i="36" s="1"/>
  <c r="AD17" i="36" s="1"/>
  <c r="AD18" i="36" s="1"/>
  <c r="AD19" i="36" s="1"/>
  <c r="AD7" i="35"/>
  <c r="AD10" i="35" s="1"/>
  <c r="AD11" i="35" s="1"/>
  <c r="AD12" i="35" s="1"/>
  <c r="AD7" i="34"/>
  <c r="AD10" i="34" s="1"/>
  <c r="AD11" i="34" s="1"/>
  <c r="AD12" i="34" s="1"/>
  <c r="AD13" i="34" s="1"/>
  <c r="AD16" i="34" s="1"/>
  <c r="AD17" i="34" s="1"/>
  <c r="AD18" i="34" s="1"/>
  <c r="AD7" i="33"/>
  <c r="AD9" i="33" s="1"/>
  <c r="AD10" i="33" s="1"/>
  <c r="AD11" i="33" s="1"/>
  <c r="AD12" i="33" s="1"/>
  <c r="AD15" i="33" s="1"/>
  <c r="AD16" i="33" s="1"/>
  <c r="AD17" i="33" s="1"/>
  <c r="AD7" i="32"/>
  <c r="AD9" i="32" s="1"/>
  <c r="AD10" i="32" s="1"/>
  <c r="AD11" i="32" s="1"/>
  <c r="AD12" i="32" s="1"/>
  <c r="AD15" i="32" s="1"/>
  <c r="AD16" i="32" s="1"/>
  <c r="AD17" i="32" s="1"/>
  <c r="AD7" i="30"/>
  <c r="AD9" i="30" s="1"/>
  <c r="AD10" i="30" s="1"/>
  <c r="AD11" i="30" s="1"/>
  <c r="AD12" i="30" s="1"/>
  <c r="AD15" i="30" s="1"/>
  <c r="AD16" i="30" s="1"/>
  <c r="AD17" i="30" s="1"/>
  <c r="AD7" i="29"/>
  <c r="AD9" i="29" s="1"/>
  <c r="AD10" i="29" s="1"/>
  <c r="AD11" i="29" s="1"/>
  <c r="AD12" i="29" s="1"/>
  <c r="AD15" i="29" s="1"/>
  <c r="AD16" i="29" s="1"/>
  <c r="AD17" i="29" s="1"/>
  <c r="AD7" i="28"/>
  <c r="AD9" i="28" s="1"/>
  <c r="AD10" i="28" s="1"/>
  <c r="AD11" i="28" s="1"/>
  <c r="AD12" i="28" s="1"/>
  <c r="AD15" i="28" s="1"/>
  <c r="AD16" i="28" s="1"/>
  <c r="AD17" i="28" s="1"/>
  <c r="AD7" i="27"/>
  <c r="AD9" i="27" s="1"/>
  <c r="AD10" i="27" s="1"/>
  <c r="AD11" i="27" s="1"/>
  <c r="AD7" i="26"/>
  <c r="AD9" i="26" s="1"/>
  <c r="AD10" i="26" s="1"/>
  <c r="AD11" i="26" s="1"/>
  <c r="AD12" i="26" s="1"/>
  <c r="AD15" i="26" s="1"/>
  <c r="AD16" i="26" s="1"/>
  <c r="AD17" i="26" s="1"/>
  <c r="AD7" i="25"/>
  <c r="AD9" i="25" s="1"/>
  <c r="AD10" i="25" s="1"/>
  <c r="AD11" i="25" s="1"/>
  <c r="AC7" i="23"/>
  <c r="AC9" i="23" s="1"/>
  <c r="AC10" i="23" s="1"/>
  <c r="AC11" i="23" s="1"/>
  <c r="AC12" i="23" s="1"/>
  <c r="AC13" i="23" s="1"/>
  <c r="AC14" i="23" s="1"/>
  <c r="AC15" i="23" s="1"/>
  <c r="AD8" i="22"/>
  <c r="AD10" i="22" s="1"/>
  <c r="AD11" i="22" s="1"/>
  <c r="AD12" i="22" s="1"/>
  <c r="AD13" i="22" s="1"/>
  <c r="AD14" i="22" s="1"/>
  <c r="AD15" i="22" s="1"/>
  <c r="AD16" i="22" s="1"/>
  <c r="AD8" i="21"/>
  <c r="AD10" i="21" s="1"/>
  <c r="AD11" i="21" s="1"/>
  <c r="AD12" i="21" s="1"/>
  <c r="AD13" i="21" s="1"/>
  <c r="AD14" i="21" s="1"/>
  <c r="AD15" i="21" s="1"/>
  <c r="AD16" i="21" s="1"/>
  <c r="AD8" i="20"/>
  <c r="AD10" i="20" s="1"/>
  <c r="AD11" i="20" s="1"/>
  <c r="AD12" i="20" s="1"/>
  <c r="AD8" i="19"/>
  <c r="F15" i="20"/>
  <c r="N10" i="20"/>
  <c r="N15" i="20" s="1"/>
  <c r="E10" i="20"/>
  <c r="D10" i="20"/>
  <c r="M10" i="20"/>
  <c r="M15" i="20" s="1"/>
  <c r="H10" i="20"/>
  <c r="O10" i="20"/>
  <c r="O15" i="20" s="1"/>
  <c r="C10" i="20"/>
  <c r="G10" i="20"/>
  <c r="AE13" i="19"/>
  <c r="AE14" i="19" s="1"/>
  <c r="AE15" i="19" s="1"/>
  <c r="AE16" i="19" s="1"/>
  <c r="AD10" i="18"/>
  <c r="AD11" i="18" s="1"/>
  <c r="AD12" i="18" s="1"/>
  <c r="AD10" i="19"/>
  <c r="AD11" i="19" s="1"/>
  <c r="AD12" i="19" s="1"/>
  <c r="AD13" i="19" s="1"/>
  <c r="AD14" i="19" s="1"/>
  <c r="AD15" i="19" s="1"/>
  <c r="AD16" i="19" s="1"/>
  <c r="E4" i="19"/>
  <c r="AC13" i="18"/>
  <c r="AC14" i="18" s="1"/>
  <c r="AC15" i="18" s="1"/>
  <c r="AC16" i="18" s="1"/>
  <c r="AC13" i="19"/>
  <c r="AD8" i="15"/>
  <c r="AD13" i="20" l="1"/>
  <c r="AD14" i="20" s="1"/>
  <c r="AD15" i="20" s="1"/>
  <c r="AD16" i="20" s="1"/>
  <c r="AD13" i="35"/>
  <c r="AD17" i="35" s="1"/>
  <c r="AD18" i="35" s="1"/>
  <c r="AD19" i="35" s="1"/>
  <c r="AD13" i="44"/>
  <c r="AD17" i="44"/>
  <c r="AD18" i="44" s="1"/>
  <c r="AD19" i="44" s="1"/>
  <c r="AD12" i="25"/>
  <c r="AD13" i="25" s="1"/>
  <c r="AD14" i="25" s="1"/>
  <c r="AD15" i="25" s="1"/>
  <c r="AD13" i="43"/>
  <c r="AD17" i="43" s="1"/>
  <c r="AD18" i="43" s="1"/>
  <c r="AD19" i="43" s="1"/>
  <c r="AD12" i="27"/>
  <c r="AD15" i="27" s="1"/>
  <c r="AD16" i="27" s="1"/>
  <c r="AD17" i="27" s="1"/>
  <c r="G15" i="20"/>
  <c r="G5" i="20"/>
  <c r="C5" i="20"/>
  <c r="C15" i="20"/>
  <c r="D15" i="20"/>
  <c r="D5" i="20"/>
  <c r="R17" i="20" s="1"/>
  <c r="S17" i="20" s="1"/>
  <c r="T17" i="20" s="1"/>
  <c r="U17" i="20" s="1"/>
  <c r="V17" i="20" s="1"/>
  <c r="W17" i="20" s="1"/>
  <c r="X17" i="20" s="1"/>
  <c r="Y17" i="20" s="1"/>
  <c r="Z17" i="20" s="1"/>
  <c r="AA17" i="20" s="1"/>
  <c r="AB17" i="20" s="1"/>
  <c r="AC17" i="20" s="1"/>
  <c r="AD17" i="20" s="1"/>
  <c r="AE17" i="20" s="1"/>
  <c r="AF17" i="20" s="1"/>
  <c r="E5" i="20"/>
  <c r="E15" i="20"/>
  <c r="H5" i="20"/>
  <c r="H15" i="20"/>
  <c r="E3" i="18"/>
  <c r="AD13" i="18"/>
  <c r="N10" i="19"/>
  <c r="E10" i="19"/>
  <c r="H10" i="19"/>
  <c r="G10" i="19"/>
  <c r="M10" i="19"/>
  <c r="D10" i="19"/>
  <c r="C10" i="19"/>
  <c r="O10" i="19"/>
  <c r="AC14" i="19"/>
  <c r="AC15" i="19" s="1"/>
  <c r="AC16" i="19" s="1"/>
  <c r="N9" i="19"/>
  <c r="G9" i="19"/>
  <c r="C9" i="19"/>
  <c r="L9" i="19"/>
  <c r="L15" i="19" s="1"/>
  <c r="I4" i="19"/>
  <c r="H9" i="19"/>
  <c r="M9" i="19"/>
  <c r="F9" i="19"/>
  <c r="E9" i="19"/>
  <c r="O9" i="19"/>
  <c r="D9" i="19"/>
  <c r="AE8" i="15"/>
  <c r="AF8" i="15" s="1"/>
  <c r="AC8" i="15" s="1"/>
  <c r="O11" i="15"/>
  <c r="AB10" i="15"/>
  <c r="AB11" i="15" s="1"/>
  <c r="AB12" i="15" s="1"/>
  <c r="AA10" i="15"/>
  <c r="AA11" i="15" s="1"/>
  <c r="AA12" i="15" s="1"/>
  <c r="Z10" i="15"/>
  <c r="Z11" i="15" s="1"/>
  <c r="Z12" i="15" s="1"/>
  <c r="Y10" i="15"/>
  <c r="Y11" i="15" s="1"/>
  <c r="Y12" i="15" s="1"/>
  <c r="X10" i="15"/>
  <c r="X11" i="15" s="1"/>
  <c r="X12" i="15" s="1"/>
  <c r="W10" i="15"/>
  <c r="W11" i="15" s="1"/>
  <c r="W12" i="15" s="1"/>
  <c r="V10" i="15"/>
  <c r="V11" i="15" s="1"/>
  <c r="V12" i="15" s="1"/>
  <c r="U10" i="15"/>
  <c r="U11" i="15" s="1"/>
  <c r="U12" i="15" s="1"/>
  <c r="T10" i="15"/>
  <c r="T11" i="15" s="1"/>
  <c r="T12" i="15" s="1"/>
  <c r="S10" i="15"/>
  <c r="S11" i="15" s="1"/>
  <c r="S12" i="15" s="1"/>
  <c r="R10" i="15"/>
  <c r="R11" i="15" s="1"/>
  <c r="R12" i="15" s="1"/>
  <c r="AD14" i="18" l="1"/>
  <c r="AD15" i="18" s="1"/>
  <c r="AD16" i="18" s="1"/>
  <c r="E4" i="18"/>
  <c r="G9" i="18"/>
  <c r="F9" i="18"/>
  <c r="L9" i="18"/>
  <c r="L15" i="18" s="1"/>
  <c r="C9" i="18"/>
  <c r="E9" i="18"/>
  <c r="H9" i="18"/>
  <c r="I4" i="18"/>
  <c r="O9" i="18"/>
  <c r="N9" i="18"/>
  <c r="M9" i="18"/>
  <c r="D9" i="18"/>
  <c r="N15" i="19"/>
  <c r="M15" i="19"/>
  <c r="C15" i="19"/>
  <c r="C5" i="19"/>
  <c r="H5" i="19"/>
  <c r="H15" i="19"/>
  <c r="E5" i="19"/>
  <c r="E15" i="19"/>
  <c r="D5" i="19"/>
  <c r="R17" i="19" s="1"/>
  <c r="S17" i="19" s="1"/>
  <c r="T17" i="19" s="1"/>
  <c r="U17" i="19" s="1"/>
  <c r="V17" i="19" s="1"/>
  <c r="W17" i="19" s="1"/>
  <c r="X17" i="19" s="1"/>
  <c r="Y17" i="19" s="1"/>
  <c r="Z17" i="19" s="1"/>
  <c r="AA17" i="19" s="1"/>
  <c r="AB17" i="19" s="1"/>
  <c r="AC17" i="19" s="1"/>
  <c r="AD17" i="19" s="1"/>
  <c r="AE17" i="19" s="1"/>
  <c r="D15" i="19"/>
  <c r="O15" i="19"/>
  <c r="G15" i="19"/>
  <c r="G5" i="19"/>
  <c r="F5" i="19"/>
  <c r="F15" i="19"/>
  <c r="U13" i="15"/>
  <c r="U14" i="15" s="1"/>
  <c r="U15" i="15" s="1"/>
  <c r="U16" i="15" s="1"/>
  <c r="R13" i="15"/>
  <c r="R14" i="15" s="1"/>
  <c r="R15" i="15" s="1"/>
  <c r="R16" i="15" s="1"/>
  <c r="Z13" i="15"/>
  <c r="Z14" i="15" s="1"/>
  <c r="Z15" i="15" s="1"/>
  <c r="Z16" i="15" s="1"/>
  <c r="S13" i="15"/>
  <c r="S14" i="15" s="1"/>
  <c r="S15" i="15" s="1"/>
  <c r="S16" i="15" s="1"/>
  <c r="W13" i="15"/>
  <c r="W14" i="15" s="1"/>
  <c r="W15" i="15" s="1"/>
  <c r="W16" i="15" s="1"/>
  <c r="AA13" i="15"/>
  <c r="AA14" i="15" s="1"/>
  <c r="AA15" i="15" s="1"/>
  <c r="AA16" i="15" s="1"/>
  <c r="Y13" i="15"/>
  <c r="Y14" i="15" s="1"/>
  <c r="Y15" i="15" s="1"/>
  <c r="Y16" i="15" s="1"/>
  <c r="V13" i="15"/>
  <c r="V14" i="15" s="1"/>
  <c r="V15" i="15" s="1"/>
  <c r="V16" i="15" s="1"/>
  <c r="T13" i="15"/>
  <c r="T14" i="15" s="1"/>
  <c r="T15" i="15" s="1"/>
  <c r="T16" i="15" s="1"/>
  <c r="X13" i="15"/>
  <c r="X14" i="15" s="1"/>
  <c r="X15" i="15" s="1"/>
  <c r="X16" i="15" s="1"/>
  <c r="AB13" i="15"/>
  <c r="AB14" i="15" s="1"/>
  <c r="AB15" i="15" s="1"/>
  <c r="AB16" i="15" s="1"/>
  <c r="AC10" i="14"/>
  <c r="AC11" i="14" s="1"/>
  <c r="AC12" i="14" s="1"/>
  <c r="E3" i="14" s="1"/>
  <c r="O11" i="14"/>
  <c r="AB10" i="14"/>
  <c r="AB11" i="14" s="1"/>
  <c r="AB12" i="14" s="1"/>
  <c r="AA10" i="14"/>
  <c r="AA11" i="14" s="1"/>
  <c r="AA12" i="14" s="1"/>
  <c r="Z10" i="14"/>
  <c r="Z11" i="14" s="1"/>
  <c r="Z12" i="14" s="1"/>
  <c r="Y10" i="14"/>
  <c r="Y11" i="14" s="1"/>
  <c r="Y12" i="14" s="1"/>
  <c r="X10" i="14"/>
  <c r="X11" i="14" s="1"/>
  <c r="X12" i="14" s="1"/>
  <c r="W10" i="14"/>
  <c r="W11" i="14" s="1"/>
  <c r="W12" i="14" s="1"/>
  <c r="V10" i="14"/>
  <c r="V11" i="14" s="1"/>
  <c r="V12" i="14" s="1"/>
  <c r="U10" i="14"/>
  <c r="U11" i="14" s="1"/>
  <c r="U12" i="14" s="1"/>
  <c r="T10" i="14"/>
  <c r="T11" i="14" s="1"/>
  <c r="T12" i="14" s="1"/>
  <c r="S10" i="14"/>
  <c r="S11" i="14" s="1"/>
  <c r="S12" i="14" s="1"/>
  <c r="F5" i="18" l="1"/>
  <c r="F15" i="18"/>
  <c r="M10" i="18"/>
  <c r="M15" i="18" s="1"/>
  <c r="H10" i="18"/>
  <c r="H5" i="18" s="1"/>
  <c r="D10" i="18"/>
  <c r="D15" i="18" s="1"/>
  <c r="G10" i="18"/>
  <c r="G15" i="18" s="1"/>
  <c r="N10" i="18"/>
  <c r="N15" i="18" s="1"/>
  <c r="C10" i="18"/>
  <c r="C15" i="18" s="1"/>
  <c r="E10" i="18"/>
  <c r="E5" i="18" s="1"/>
  <c r="O10" i="18"/>
  <c r="O15" i="18" s="1"/>
  <c r="AC13" i="14"/>
  <c r="U13" i="14"/>
  <c r="U14" i="14" s="1"/>
  <c r="U15" i="14" s="1"/>
  <c r="U16" i="14" s="1"/>
  <c r="Y13" i="14"/>
  <c r="Y14" i="14" s="1"/>
  <c r="Y15" i="14" s="1"/>
  <c r="Y16" i="14" s="1"/>
  <c r="Z13" i="14"/>
  <c r="Z14" i="14" s="1"/>
  <c r="Z15" i="14" s="1"/>
  <c r="Z16" i="14" s="1"/>
  <c r="S13" i="14"/>
  <c r="S14" i="14" s="1"/>
  <c r="S15" i="14" s="1"/>
  <c r="S16" i="14" s="1"/>
  <c r="AA13" i="14"/>
  <c r="AA14" i="14" s="1"/>
  <c r="AA15" i="14" s="1"/>
  <c r="AA16" i="14" s="1"/>
  <c r="V13" i="14"/>
  <c r="V14" i="14" s="1"/>
  <c r="V15" i="14" s="1"/>
  <c r="V16" i="14" s="1"/>
  <c r="T13" i="14"/>
  <c r="T14" i="14"/>
  <c r="T15" i="14" s="1"/>
  <c r="T16" i="14" s="1"/>
  <c r="X13" i="14"/>
  <c r="X14" i="14" s="1"/>
  <c r="X15" i="14" s="1"/>
  <c r="X16" i="14" s="1"/>
  <c r="AB13" i="14"/>
  <c r="W13" i="14"/>
  <c r="W14" i="14" s="1"/>
  <c r="W15" i="14" s="1"/>
  <c r="W16" i="14" s="1"/>
  <c r="E3" i="13"/>
  <c r="AC10" i="13"/>
  <c r="AC11" i="13" s="1"/>
  <c r="AC12" i="13" s="1"/>
  <c r="P11" i="13"/>
  <c r="AB10" i="13"/>
  <c r="AB11" i="13" s="1"/>
  <c r="AB12" i="13" s="1"/>
  <c r="AA10" i="13"/>
  <c r="AA11" i="13" s="1"/>
  <c r="AA12" i="13" s="1"/>
  <c r="Z10" i="13"/>
  <c r="Z11" i="13" s="1"/>
  <c r="Z12" i="13" s="1"/>
  <c r="Y10" i="13"/>
  <c r="Y11" i="13" s="1"/>
  <c r="Y12" i="13" s="1"/>
  <c r="X10" i="13"/>
  <c r="X11" i="13" s="1"/>
  <c r="X12" i="13" s="1"/>
  <c r="W10" i="13"/>
  <c r="W11" i="13" s="1"/>
  <c r="W12" i="13" s="1"/>
  <c r="V10" i="13"/>
  <c r="V11" i="13" s="1"/>
  <c r="V12" i="13" s="1"/>
  <c r="U10" i="13"/>
  <c r="U11" i="13" s="1"/>
  <c r="U12" i="13" s="1"/>
  <c r="T10" i="13"/>
  <c r="T11" i="13" s="1"/>
  <c r="T12" i="13" s="1"/>
  <c r="G5" i="18" l="1"/>
  <c r="C5" i="18"/>
  <c r="D5" i="18"/>
  <c r="R17" i="18" s="1"/>
  <c r="S17" i="18" s="1"/>
  <c r="T17" i="18" s="1"/>
  <c r="U17" i="18" s="1"/>
  <c r="V17" i="18" s="1"/>
  <c r="W17" i="18" s="1"/>
  <c r="X17" i="18" s="1"/>
  <c r="Y17" i="18" s="1"/>
  <c r="Z17" i="18" s="1"/>
  <c r="AA17" i="18" s="1"/>
  <c r="AB17" i="18" s="1"/>
  <c r="AC17" i="18" s="1"/>
  <c r="AD17" i="18" s="1"/>
  <c r="E15" i="18"/>
  <c r="H15" i="18"/>
  <c r="AC14" i="14"/>
  <c r="AC15" i="14" s="1"/>
  <c r="AC16" i="14" s="1"/>
  <c r="E4" i="14"/>
  <c r="H10" i="14" s="1"/>
  <c r="L4" i="14"/>
  <c r="AB14" i="14"/>
  <c r="AB15" i="14" s="1"/>
  <c r="AB16" i="14" s="1"/>
  <c r="G9" i="14"/>
  <c r="C9" i="14"/>
  <c r="L3" i="14"/>
  <c r="I4" i="14"/>
  <c r="F9" i="14"/>
  <c r="E9" i="14"/>
  <c r="H9" i="14"/>
  <c r="D9" i="14"/>
  <c r="AC13" i="13"/>
  <c r="V13" i="13"/>
  <c r="V14" i="13" s="1"/>
  <c r="V15" i="13" s="1"/>
  <c r="V16" i="13" s="1"/>
  <c r="Z13" i="13"/>
  <c r="Z14" i="13" s="1"/>
  <c r="Z15" i="13" s="1"/>
  <c r="Z16" i="13" s="1"/>
  <c r="T13" i="13"/>
  <c r="T14" i="13" s="1"/>
  <c r="T15" i="13" s="1"/>
  <c r="T16" i="13" s="1"/>
  <c r="AB13" i="13"/>
  <c r="W13" i="13"/>
  <c r="W14" i="13" s="1"/>
  <c r="W15" i="13" s="1"/>
  <c r="W16" i="13" s="1"/>
  <c r="X13" i="13"/>
  <c r="X14" i="13" s="1"/>
  <c r="X15" i="13" s="1"/>
  <c r="X16" i="13" s="1"/>
  <c r="U13" i="13"/>
  <c r="U14" i="13" s="1"/>
  <c r="U15" i="13" s="1"/>
  <c r="U16" i="13" s="1"/>
  <c r="Y13" i="13"/>
  <c r="Y14" i="13" s="1"/>
  <c r="Y15" i="13" s="1"/>
  <c r="Y16" i="13" s="1"/>
  <c r="AA13" i="13"/>
  <c r="AA14" i="13" s="1"/>
  <c r="AA15" i="13" s="1"/>
  <c r="AA16" i="13" s="1"/>
  <c r="P11" i="12"/>
  <c r="E4" i="13" l="1"/>
  <c r="E10" i="14"/>
  <c r="E16" i="14" s="1"/>
  <c r="C10" i="14"/>
  <c r="C5" i="14" s="1"/>
  <c r="G10" i="14"/>
  <c r="D10" i="14"/>
  <c r="D16" i="14" s="1"/>
  <c r="AC14" i="13"/>
  <c r="AC15" i="13" s="1"/>
  <c r="AC16" i="13" s="1"/>
  <c r="H16" i="14"/>
  <c r="H5" i="14"/>
  <c r="M9" i="14"/>
  <c r="L9" i="14"/>
  <c r="O9" i="14"/>
  <c r="N9" i="14"/>
  <c r="E5" i="14"/>
  <c r="M10" i="14"/>
  <c r="O10" i="14"/>
  <c r="N10" i="14"/>
  <c r="F16" i="14"/>
  <c r="F5" i="14"/>
  <c r="G16" i="14"/>
  <c r="G5" i="14"/>
  <c r="E9" i="13"/>
  <c r="I4" i="13"/>
  <c r="D9" i="13"/>
  <c r="M3" i="13"/>
  <c r="F9" i="13"/>
  <c r="H9" i="13"/>
  <c r="G9" i="13"/>
  <c r="C9" i="13"/>
  <c r="G10" i="13"/>
  <c r="H10" i="13"/>
  <c r="C10" i="13"/>
  <c r="M4" i="13"/>
  <c r="E10" i="13"/>
  <c r="D10" i="13"/>
  <c r="AB14" i="13"/>
  <c r="AB15" i="13" s="1"/>
  <c r="AB16" i="13" s="1"/>
  <c r="AB10" i="12"/>
  <c r="AB11" i="12" s="1"/>
  <c r="AB12" i="12" s="1"/>
  <c r="E3" i="12" s="1"/>
  <c r="AA10" i="12"/>
  <c r="AA11" i="12" s="1"/>
  <c r="AA12" i="12" s="1"/>
  <c r="Z10" i="12"/>
  <c r="Z11" i="12" s="1"/>
  <c r="Z12" i="12" s="1"/>
  <c r="Z13" i="12" s="1"/>
  <c r="Y10" i="12"/>
  <c r="Y11" i="12" s="1"/>
  <c r="Y12" i="12" s="1"/>
  <c r="X10" i="12"/>
  <c r="X11" i="12" s="1"/>
  <c r="X12" i="12" s="1"/>
  <c r="W10" i="12"/>
  <c r="W11" i="12" s="1"/>
  <c r="W12" i="12" s="1"/>
  <c r="V10" i="12"/>
  <c r="V11" i="12" s="1"/>
  <c r="V12" i="12" s="1"/>
  <c r="V13" i="12" s="1"/>
  <c r="U10" i="12"/>
  <c r="U11" i="12" s="1"/>
  <c r="U12" i="12" s="1"/>
  <c r="T10" i="12"/>
  <c r="T11" i="12" s="1"/>
  <c r="T12" i="12" s="1"/>
  <c r="V14" i="12" l="1"/>
  <c r="V15" i="12" s="1"/>
  <c r="V16" i="12" s="1"/>
  <c r="Z14" i="12"/>
  <c r="Z15" i="12" s="1"/>
  <c r="Z16" i="12" s="1"/>
  <c r="C16" i="14"/>
  <c r="D5" i="14"/>
  <c r="S17" i="14" s="1"/>
  <c r="T17" i="14" s="1"/>
  <c r="U17" i="14" s="1"/>
  <c r="V17" i="14" s="1"/>
  <c r="W17" i="14" s="1"/>
  <c r="X17" i="14" s="1"/>
  <c r="Y17" i="14" s="1"/>
  <c r="Z17" i="14" s="1"/>
  <c r="AA17" i="14" s="1"/>
  <c r="AB17" i="14" s="1"/>
  <c r="AC17" i="14" s="1"/>
  <c r="O16" i="14"/>
  <c r="L16" i="14"/>
  <c r="L5" i="14"/>
  <c r="N16" i="14"/>
  <c r="M16" i="14"/>
  <c r="D5" i="13"/>
  <c r="T17" i="13" s="1"/>
  <c r="U17" i="13" s="1"/>
  <c r="V17" i="13" s="1"/>
  <c r="W17" i="13" s="1"/>
  <c r="X17" i="13" s="1"/>
  <c r="Y17" i="13" s="1"/>
  <c r="Z17" i="13" s="1"/>
  <c r="AA17" i="13" s="1"/>
  <c r="AB17" i="13" s="1"/>
  <c r="AC17" i="13" s="1"/>
  <c r="D16" i="13"/>
  <c r="P10" i="13"/>
  <c r="O10" i="13"/>
  <c r="N10" i="13"/>
  <c r="C16" i="13"/>
  <c r="C5" i="13"/>
  <c r="P9" i="13"/>
  <c r="L9" i="13"/>
  <c r="O9" i="13"/>
  <c r="N9" i="13"/>
  <c r="M9" i="13"/>
  <c r="G16" i="13"/>
  <c r="G5" i="13"/>
  <c r="H16" i="13"/>
  <c r="H5" i="13"/>
  <c r="F16" i="13"/>
  <c r="F5" i="13"/>
  <c r="E5" i="13"/>
  <c r="E16" i="13"/>
  <c r="X13" i="12"/>
  <c r="X14" i="12" s="1"/>
  <c r="X15" i="12" s="1"/>
  <c r="X16" i="12" s="1"/>
  <c r="AB13" i="12"/>
  <c r="T13" i="12"/>
  <c r="T14" i="12" s="1"/>
  <c r="T15" i="12" s="1"/>
  <c r="T16" i="12" s="1"/>
  <c r="AA13" i="12"/>
  <c r="AA14" i="12" s="1"/>
  <c r="AA15" i="12" s="1"/>
  <c r="AA16" i="12" s="1"/>
  <c r="U13" i="12"/>
  <c r="U14" i="12" s="1"/>
  <c r="U15" i="12" s="1"/>
  <c r="U16" i="12" s="1"/>
  <c r="Y13" i="12"/>
  <c r="Y14" i="12" s="1"/>
  <c r="Y15" i="12" s="1"/>
  <c r="Y16" i="12" s="1"/>
  <c r="W13" i="12"/>
  <c r="W14" i="12" s="1"/>
  <c r="W15" i="12" s="1"/>
  <c r="W16" i="12" s="1"/>
  <c r="AA10" i="11"/>
  <c r="AA11" i="11" s="1"/>
  <c r="AA12" i="11" s="1"/>
  <c r="Z10" i="11"/>
  <c r="Z11" i="11" s="1"/>
  <c r="Z12" i="11" s="1"/>
  <c r="E3" i="11" s="1"/>
  <c r="Y10" i="11"/>
  <c r="Y11" i="11" s="1"/>
  <c r="Y12" i="11" s="1"/>
  <c r="X10" i="11"/>
  <c r="X11" i="11" s="1"/>
  <c r="X12" i="11" s="1"/>
  <c r="W10" i="11"/>
  <c r="W11" i="11" s="1"/>
  <c r="W12" i="11" s="1"/>
  <c r="V10" i="11"/>
  <c r="V11" i="11" s="1"/>
  <c r="V12" i="11" s="1"/>
  <c r="U10" i="11"/>
  <c r="U11" i="11" s="1"/>
  <c r="U12" i="11" s="1"/>
  <c r="T10" i="11"/>
  <c r="T11" i="11" s="1"/>
  <c r="T12" i="11" s="1"/>
  <c r="S10" i="11"/>
  <c r="S11" i="11" s="1"/>
  <c r="S12" i="11" s="1"/>
  <c r="O16" i="13" l="1"/>
  <c r="N16" i="13"/>
  <c r="M5" i="13"/>
  <c r="M16" i="13"/>
  <c r="P16" i="13"/>
  <c r="L5" i="13"/>
  <c r="L16" i="13"/>
  <c r="AB14" i="12"/>
  <c r="AB15" i="12" s="1"/>
  <c r="AB16" i="12" s="1"/>
  <c r="E4" i="12"/>
  <c r="G10" i="12" s="1"/>
  <c r="E9" i="12"/>
  <c r="I4" i="12"/>
  <c r="H9" i="12"/>
  <c r="D9" i="12"/>
  <c r="G9" i="12"/>
  <c r="C9" i="12"/>
  <c r="M3" i="12"/>
  <c r="P9" i="12" s="1"/>
  <c r="P16" i="12" s="1"/>
  <c r="F9" i="12"/>
  <c r="H10" i="12"/>
  <c r="C10" i="12"/>
  <c r="E10" i="12"/>
  <c r="D10" i="12"/>
  <c r="M4" i="12"/>
  <c r="P10" i="12" s="1"/>
  <c r="AA13" i="11"/>
  <c r="AA14" i="11"/>
  <c r="AA15" i="11" s="1"/>
  <c r="AA16" i="11" s="1"/>
  <c r="U13" i="11"/>
  <c r="U14" i="11" s="1"/>
  <c r="U15" i="11" s="1"/>
  <c r="U16" i="11" s="1"/>
  <c r="T13" i="11"/>
  <c r="T14" i="11" s="1"/>
  <c r="T15" i="11" s="1"/>
  <c r="T16" i="11" s="1"/>
  <c r="X13" i="11"/>
  <c r="X14" i="11" s="1"/>
  <c r="X15" i="11" s="1"/>
  <c r="X16" i="11" s="1"/>
  <c r="Y14" i="11"/>
  <c r="Y15" i="11" s="1"/>
  <c r="Y16" i="11" s="1"/>
  <c r="Y13" i="11"/>
  <c r="V13" i="11"/>
  <c r="V14" i="11" s="1"/>
  <c r="V15" i="11" s="1"/>
  <c r="V16" i="11" s="1"/>
  <c r="Z13" i="11"/>
  <c r="S13" i="11"/>
  <c r="S14" i="11" s="1"/>
  <c r="S15" i="11" s="1"/>
  <c r="S16" i="11" s="1"/>
  <c r="W13" i="11"/>
  <c r="W14" i="11" s="1"/>
  <c r="W15" i="11" s="1"/>
  <c r="W16" i="11" s="1"/>
  <c r="Z10" i="10"/>
  <c r="Z11" i="10" s="1"/>
  <c r="Z12" i="10" s="1"/>
  <c r="Z14" i="11" l="1"/>
  <c r="Z15" i="11" s="1"/>
  <c r="Z16" i="11" s="1"/>
  <c r="E4" i="11"/>
  <c r="F16" i="12"/>
  <c r="F5" i="12"/>
  <c r="D5" i="12"/>
  <c r="T17" i="12" s="1"/>
  <c r="U17" i="12" s="1"/>
  <c r="V17" i="12" s="1"/>
  <c r="W17" i="12" s="1"/>
  <c r="X17" i="12" s="1"/>
  <c r="Y17" i="12" s="1"/>
  <c r="Z17" i="12" s="1"/>
  <c r="AA17" i="12" s="1"/>
  <c r="AB17" i="12" s="1"/>
  <c r="D16" i="12"/>
  <c r="L9" i="12"/>
  <c r="O9" i="12"/>
  <c r="N9" i="12"/>
  <c r="M9" i="12"/>
  <c r="H5" i="12"/>
  <c r="H16" i="12"/>
  <c r="O10" i="12"/>
  <c r="N10" i="12"/>
  <c r="C5" i="12"/>
  <c r="C16" i="12"/>
  <c r="G5" i="12"/>
  <c r="G16" i="12"/>
  <c r="E5" i="12"/>
  <c r="E16" i="12"/>
  <c r="E9" i="11"/>
  <c r="H9" i="11"/>
  <c r="D9" i="11"/>
  <c r="I4" i="11"/>
  <c r="G9" i="11"/>
  <c r="C9" i="11"/>
  <c r="F9" i="11"/>
  <c r="M3" i="11"/>
  <c r="H10" i="11"/>
  <c r="C10" i="11"/>
  <c r="M4" i="11"/>
  <c r="G10" i="11"/>
  <c r="E10" i="11"/>
  <c r="D10" i="11"/>
  <c r="Z13" i="10"/>
  <c r="Z14" i="10" s="1"/>
  <c r="Z15" i="10" s="1"/>
  <c r="Z16" i="10" s="1"/>
  <c r="V11" i="10"/>
  <c r="V12" i="10" s="1"/>
  <c r="U11" i="10"/>
  <c r="U12" i="10" s="1"/>
  <c r="U13" i="10" s="1"/>
  <c r="T11" i="10"/>
  <c r="T12" i="10" s="1"/>
  <c r="Y10" i="10"/>
  <c r="Y11" i="10" s="1"/>
  <c r="Y12" i="10" s="1"/>
  <c r="Y13" i="10" s="1"/>
  <c r="E4" i="10" s="1"/>
  <c r="X10" i="10"/>
  <c r="X11" i="10" s="1"/>
  <c r="X12" i="10" s="1"/>
  <c r="W10" i="10"/>
  <c r="W11" i="10" s="1"/>
  <c r="W12" i="10" s="1"/>
  <c r="V10" i="10"/>
  <c r="U10" i="10"/>
  <c r="T10" i="10"/>
  <c r="S10" i="10"/>
  <c r="S11" i="10" s="1"/>
  <c r="S12" i="10" s="1"/>
  <c r="E3" i="10" l="1"/>
  <c r="V13" i="10"/>
  <c r="V14" i="10" s="1"/>
  <c r="V15" i="10" s="1"/>
  <c r="V16" i="10" s="1"/>
  <c r="M16" i="12"/>
  <c r="M5" i="12"/>
  <c r="N16" i="12"/>
  <c r="O16" i="12"/>
  <c r="L5" i="12"/>
  <c r="L16" i="12"/>
  <c r="G5" i="11"/>
  <c r="E5" i="11"/>
  <c r="H16" i="11"/>
  <c r="H5" i="11"/>
  <c r="L9" i="11"/>
  <c r="O9" i="11"/>
  <c r="N9" i="11"/>
  <c r="N16" i="11" s="1"/>
  <c r="M9" i="11"/>
  <c r="O10" i="11"/>
  <c r="N10" i="11"/>
  <c r="F5" i="11"/>
  <c r="F16" i="11"/>
  <c r="D16" i="11"/>
  <c r="D5" i="11"/>
  <c r="S17" i="11" s="1"/>
  <c r="T17" i="11" s="1"/>
  <c r="U17" i="11" s="1"/>
  <c r="V17" i="11" s="1"/>
  <c r="W17" i="11" s="1"/>
  <c r="X17" i="11" s="1"/>
  <c r="Y17" i="11" s="1"/>
  <c r="Z17" i="11" s="1"/>
  <c r="AA17" i="11" s="1"/>
  <c r="C16" i="11"/>
  <c r="C5" i="11"/>
  <c r="G16" i="11"/>
  <c r="E16" i="11"/>
  <c r="T13" i="10"/>
  <c r="T14" i="10" s="1"/>
  <c r="T15" i="10" s="1"/>
  <c r="T16" i="10" s="1"/>
  <c r="W13" i="10"/>
  <c r="W14" i="10"/>
  <c r="W15" i="10" s="1"/>
  <c r="W16" i="10" s="1"/>
  <c r="S13" i="10"/>
  <c r="S14" i="10" s="1"/>
  <c r="S15" i="10" s="1"/>
  <c r="S16" i="10" s="1"/>
  <c r="X13" i="10"/>
  <c r="U14" i="10"/>
  <c r="U15" i="10" s="1"/>
  <c r="U16" i="10" s="1"/>
  <c r="Y14" i="10"/>
  <c r="Y15" i="10" s="1"/>
  <c r="Y16" i="10" s="1"/>
  <c r="Y10" i="9"/>
  <c r="Y11" i="9" s="1"/>
  <c r="Y12" i="9" s="1"/>
  <c r="X10" i="9"/>
  <c r="X11" i="9" s="1"/>
  <c r="X12" i="9" s="1"/>
  <c r="W10" i="9"/>
  <c r="W11" i="9" s="1"/>
  <c r="W12" i="9" s="1"/>
  <c r="V10" i="9"/>
  <c r="V11" i="9" s="1"/>
  <c r="V12" i="9" s="1"/>
  <c r="U10" i="9"/>
  <c r="U11" i="9" s="1"/>
  <c r="U12" i="9" s="1"/>
  <c r="T10" i="9"/>
  <c r="T11" i="9" s="1"/>
  <c r="T12" i="9" s="1"/>
  <c r="T13" i="9" s="1"/>
  <c r="S10" i="9"/>
  <c r="S11" i="9" s="1"/>
  <c r="S12" i="9" s="1"/>
  <c r="O16" i="11" l="1"/>
  <c r="M16" i="11"/>
  <c r="M5" i="11"/>
  <c r="L5" i="11"/>
  <c r="L16" i="11"/>
  <c r="E10" i="10"/>
  <c r="H10" i="10"/>
  <c r="M4" i="10"/>
  <c r="G10" i="10"/>
  <c r="D10" i="10"/>
  <c r="C10" i="10"/>
  <c r="G9" i="10"/>
  <c r="C9" i="10"/>
  <c r="H9" i="10"/>
  <c r="F9" i="10"/>
  <c r="M3" i="10"/>
  <c r="E9" i="10"/>
  <c r="D9" i="10"/>
  <c r="I4" i="10"/>
  <c r="X14" i="10"/>
  <c r="X15" i="10" s="1"/>
  <c r="X16" i="10" s="1"/>
  <c r="Y13" i="9"/>
  <c r="Y14" i="9" s="1"/>
  <c r="Y15" i="9" s="1"/>
  <c r="Y16" i="9" s="1"/>
  <c r="U13" i="9"/>
  <c r="U14" i="9" s="1"/>
  <c r="U15" i="9" s="1"/>
  <c r="U16" i="9" s="1"/>
  <c r="X13" i="9"/>
  <c r="E4" i="9" s="1"/>
  <c r="M4" i="9" s="1"/>
  <c r="E3" i="9"/>
  <c r="W13" i="9"/>
  <c r="W14" i="9" s="1"/>
  <c r="W15" i="9" s="1"/>
  <c r="W16" i="9" s="1"/>
  <c r="V13" i="9"/>
  <c r="V14" i="9" s="1"/>
  <c r="V15" i="9" s="1"/>
  <c r="V16" i="9" s="1"/>
  <c r="S13" i="9"/>
  <c r="S14" i="9" s="1"/>
  <c r="S15" i="9" s="1"/>
  <c r="S16" i="9" s="1"/>
  <c r="T14" i="9"/>
  <c r="T15" i="9" s="1"/>
  <c r="T16" i="9" s="1"/>
  <c r="H16" i="10" l="1"/>
  <c r="D16" i="10"/>
  <c r="D5" i="10"/>
  <c r="S17" i="10" s="1"/>
  <c r="T17" i="10" s="1"/>
  <c r="U17" i="10" s="1"/>
  <c r="V17" i="10" s="1"/>
  <c r="W17" i="10" s="1"/>
  <c r="X17" i="10" s="1"/>
  <c r="Y17" i="10" s="1"/>
  <c r="Z17" i="10" s="1"/>
  <c r="E16" i="10"/>
  <c r="N9" i="10"/>
  <c r="M9" i="10"/>
  <c r="L9" i="10"/>
  <c r="O9" i="10"/>
  <c r="G16" i="10"/>
  <c r="O10" i="10"/>
  <c r="N10" i="10"/>
  <c r="C16" i="10"/>
  <c r="C5" i="10"/>
  <c r="F5" i="10"/>
  <c r="F16" i="10"/>
  <c r="X14" i="9"/>
  <c r="X15" i="9" s="1"/>
  <c r="X16" i="9" s="1"/>
  <c r="O10" i="9"/>
  <c r="N10" i="9"/>
  <c r="G10" i="9"/>
  <c r="E10" i="9"/>
  <c r="D10" i="9"/>
  <c r="H10" i="9"/>
  <c r="C10" i="9"/>
  <c r="F9" i="9"/>
  <c r="E9" i="9"/>
  <c r="I4" i="9"/>
  <c r="H9" i="9"/>
  <c r="D9" i="9"/>
  <c r="G9" i="9"/>
  <c r="C9" i="9"/>
  <c r="M3" i="9"/>
  <c r="M5" i="10" l="1"/>
  <c r="M16" i="10"/>
  <c r="N16" i="10"/>
  <c r="L16" i="10"/>
  <c r="L5" i="10"/>
  <c r="O16" i="10"/>
  <c r="O9" i="9"/>
  <c r="O16" i="9" s="1"/>
  <c r="N9" i="9"/>
  <c r="N16" i="9" s="1"/>
  <c r="H16" i="9"/>
  <c r="D16" i="9"/>
  <c r="D5" i="9"/>
  <c r="S17" i="9" s="1"/>
  <c r="T17" i="9" s="1"/>
  <c r="U17" i="9" s="1"/>
  <c r="V17" i="9" s="1"/>
  <c r="W17" i="9" s="1"/>
  <c r="X17" i="9" s="1"/>
  <c r="Y17" i="9" s="1"/>
  <c r="F16" i="9"/>
  <c r="F5" i="9"/>
  <c r="M9" i="9"/>
  <c r="L9" i="9"/>
  <c r="C16" i="9"/>
  <c r="C5" i="9"/>
  <c r="G16" i="9"/>
  <c r="E16" i="9"/>
  <c r="L5" i="9" l="1"/>
  <c r="L16" i="9"/>
  <c r="M5" i="9"/>
  <c r="M16" i="9"/>
  <c r="W10" i="8" l="1"/>
  <c r="W11" i="8" s="1"/>
  <c r="W12" i="8" s="1"/>
  <c r="V10" i="8"/>
  <c r="V11" i="8" s="1"/>
  <c r="V12" i="8" s="1"/>
  <c r="U10" i="8"/>
  <c r="U11" i="8" s="1"/>
  <c r="U12" i="8" s="1"/>
  <c r="T10" i="8"/>
  <c r="T11" i="8" s="1"/>
  <c r="T12" i="8" s="1"/>
  <c r="S10" i="8"/>
  <c r="S11" i="8" s="1"/>
  <c r="S12" i="8" s="1"/>
  <c r="R10" i="8"/>
  <c r="R11" i="8" s="1"/>
  <c r="R12" i="8" s="1"/>
  <c r="Q10" i="8"/>
  <c r="Q11" i="8" s="1"/>
  <c r="Q12" i="8" s="1"/>
  <c r="T11" i="7"/>
  <c r="T12" i="7" s="1"/>
  <c r="V10" i="7"/>
  <c r="V11" i="7" s="1"/>
  <c r="V12" i="7" s="1"/>
  <c r="U10" i="7"/>
  <c r="U11" i="7" s="1"/>
  <c r="U12" i="7" s="1"/>
  <c r="U13" i="7" s="1"/>
  <c r="T10" i="7"/>
  <c r="V13" i="7" l="1"/>
  <c r="V14" i="7" s="1"/>
  <c r="V15" i="7" s="1"/>
  <c r="V16" i="7" s="1"/>
  <c r="Q13" i="8"/>
  <c r="Q14" i="8" s="1"/>
  <c r="Q15" i="8" s="1"/>
  <c r="Q16" i="8" s="1"/>
  <c r="E3" i="8"/>
  <c r="D9" i="8" s="1"/>
  <c r="U13" i="8"/>
  <c r="E4" i="8" s="1"/>
  <c r="V13" i="8"/>
  <c r="V14" i="8" s="1"/>
  <c r="V15" i="8" s="1"/>
  <c r="V16" i="8" s="1"/>
  <c r="W13" i="8"/>
  <c r="W14" i="8" s="1"/>
  <c r="W15" i="8" s="1"/>
  <c r="W16" i="8" s="1"/>
  <c r="S13" i="8"/>
  <c r="S14" i="8" s="1"/>
  <c r="S15" i="8" s="1"/>
  <c r="S16" i="8" s="1"/>
  <c r="R13" i="8"/>
  <c r="R14" i="8" s="1"/>
  <c r="R15" i="8" s="1"/>
  <c r="R16" i="8" s="1"/>
  <c r="T13" i="8"/>
  <c r="T14" i="8" s="1"/>
  <c r="T15" i="8" s="1"/>
  <c r="T16" i="8" s="1"/>
  <c r="T13" i="7"/>
  <c r="T14" i="7" s="1"/>
  <c r="T15" i="7" s="1"/>
  <c r="T16" i="7" s="1"/>
  <c r="U14" i="7"/>
  <c r="U15" i="7" s="1"/>
  <c r="U16" i="7" s="1"/>
  <c r="K9" i="5"/>
  <c r="J9" i="4"/>
  <c r="C10" i="4"/>
  <c r="H9" i="8" l="1"/>
  <c r="M3" i="8"/>
  <c r="M9" i="8" s="1"/>
  <c r="C9" i="8"/>
  <c r="E9" i="8"/>
  <c r="G9" i="8"/>
  <c r="F9" i="8"/>
  <c r="F5" i="8" s="1"/>
  <c r="U14" i="8"/>
  <c r="U15" i="8" s="1"/>
  <c r="U16" i="8" s="1"/>
  <c r="I4" i="8"/>
  <c r="L9" i="8"/>
  <c r="G10" i="8"/>
  <c r="E10" i="8"/>
  <c r="E16" i="8" s="1"/>
  <c r="D10" i="8"/>
  <c r="D16" i="8" s="1"/>
  <c r="H10" i="8"/>
  <c r="H16" i="8" s="1"/>
  <c r="C10" i="8"/>
  <c r="C5" i="8" s="1"/>
  <c r="F16" i="8"/>
  <c r="D5" i="8" l="1"/>
  <c r="Q17" i="8" s="1"/>
  <c r="G16" i="8"/>
  <c r="C16" i="8"/>
  <c r="M5" i="8"/>
  <c r="M16" i="8"/>
  <c r="R17" i="8"/>
  <c r="L5" i="8"/>
  <c r="L16" i="8"/>
  <c r="S10" i="7"/>
  <c r="S11" i="7" s="1"/>
  <c r="S12" i="7" s="1"/>
  <c r="E3" i="7" s="1"/>
  <c r="L3" i="7" s="1"/>
  <c r="K9" i="7" s="1"/>
  <c r="R10" i="7"/>
  <c r="R11" i="7" s="1"/>
  <c r="R12" i="7" s="1"/>
  <c r="Q10" i="7"/>
  <c r="Q11" i="7" s="1"/>
  <c r="Q12" i="7" s="1"/>
  <c r="P10" i="7"/>
  <c r="P11" i="7" s="1"/>
  <c r="P12" i="7" s="1"/>
  <c r="F9" i="7" l="1"/>
  <c r="F5" i="7" s="1"/>
  <c r="L9" i="7"/>
  <c r="K16" i="7"/>
  <c r="K5" i="7"/>
  <c r="C9" i="7"/>
  <c r="G9" i="7"/>
  <c r="F16" i="7"/>
  <c r="D9" i="7"/>
  <c r="H9" i="7"/>
  <c r="E9" i="7"/>
  <c r="S17" i="8"/>
  <c r="P13" i="7"/>
  <c r="P14" i="7" s="1"/>
  <c r="P15" i="7" s="1"/>
  <c r="P16" i="7" s="1"/>
  <c r="Q13" i="7"/>
  <c r="Q14" i="7" s="1"/>
  <c r="Q15" i="7" s="1"/>
  <c r="Q16" i="7" s="1"/>
  <c r="R13" i="7"/>
  <c r="R14" i="7" s="1"/>
  <c r="R15" i="7" s="1"/>
  <c r="R16" i="7" s="1"/>
  <c r="S13" i="7"/>
  <c r="L16" i="7" l="1"/>
  <c r="L5" i="7"/>
  <c r="T17" i="8"/>
  <c r="S14" i="7"/>
  <c r="S15" i="7" s="1"/>
  <c r="S16" i="7" s="1"/>
  <c r="E4" i="7"/>
  <c r="U17" i="8" l="1"/>
  <c r="V17" i="8" s="1"/>
  <c r="W17" i="8" s="1"/>
  <c r="D10" i="7"/>
  <c r="H10" i="7"/>
  <c r="H16" i="7" s="1"/>
  <c r="C10" i="7"/>
  <c r="G10" i="7"/>
  <c r="E10" i="7"/>
  <c r="E16" i="7" s="1"/>
  <c r="G16" i="7" l="1"/>
  <c r="C5" i="7"/>
  <c r="C16" i="7"/>
  <c r="D16" i="7"/>
  <c r="D5" i="7"/>
  <c r="P17" i="7" s="1"/>
  <c r="Q17" i="7" l="1"/>
  <c r="J9" i="3"/>
  <c r="R17" i="7" l="1"/>
  <c r="J33" i="6"/>
  <c r="J34" i="6" s="1"/>
  <c r="J35" i="6" s="1"/>
  <c r="J10" i="6" s="1"/>
  <c r="I33" i="6"/>
  <c r="I34" i="6" s="1"/>
  <c r="I35" i="6" s="1"/>
  <c r="I10" i="6" s="1"/>
  <c r="E33" i="6"/>
  <c r="E34" i="6" s="1"/>
  <c r="E35" i="6" s="1"/>
  <c r="E10" i="6" s="1"/>
  <c r="D33" i="6"/>
  <c r="D34" i="6" s="1"/>
  <c r="D35" i="6" s="1"/>
  <c r="D10" i="6" s="1"/>
  <c r="C33" i="6"/>
  <c r="C34" i="6" s="1"/>
  <c r="C35" i="6" s="1"/>
  <c r="C10" i="6" s="1"/>
  <c r="D21" i="6"/>
  <c r="B21" i="6"/>
  <c r="C20" i="6"/>
  <c r="C19" i="6"/>
  <c r="C21" i="6" s="1"/>
  <c r="S10" i="5"/>
  <c r="S11" i="5" s="1"/>
  <c r="S12" i="5" s="1"/>
  <c r="R10" i="5"/>
  <c r="R11" i="5" s="1"/>
  <c r="R12" i="5" s="1"/>
  <c r="Q10" i="5"/>
  <c r="Q11" i="5" s="1"/>
  <c r="Q12" i="5" s="1"/>
  <c r="P10" i="5"/>
  <c r="P11" i="5" s="1"/>
  <c r="P12" i="5" s="1"/>
  <c r="H10" i="5"/>
  <c r="G10" i="5"/>
  <c r="E10" i="5"/>
  <c r="D10" i="5"/>
  <c r="C10" i="5"/>
  <c r="L9" i="5"/>
  <c r="H9" i="5"/>
  <c r="G9" i="5"/>
  <c r="F9" i="5"/>
  <c r="F5" i="5" s="1"/>
  <c r="E9" i="5"/>
  <c r="D9" i="5"/>
  <c r="C9" i="5"/>
  <c r="R10" i="4"/>
  <c r="R11" i="4" s="1"/>
  <c r="R12" i="4" s="1"/>
  <c r="Q10" i="4"/>
  <c r="Q11" i="4" s="1"/>
  <c r="Q12" i="4" s="1"/>
  <c r="P10" i="4"/>
  <c r="P11" i="4" s="1"/>
  <c r="P12" i="4" s="1"/>
  <c r="O10" i="4"/>
  <c r="O11" i="4" s="1"/>
  <c r="O12" i="4" s="1"/>
  <c r="G10" i="4"/>
  <c r="E10" i="4"/>
  <c r="D10" i="4"/>
  <c r="K9" i="4"/>
  <c r="K16" i="4" s="1"/>
  <c r="J16" i="4"/>
  <c r="G9" i="4"/>
  <c r="F9" i="4"/>
  <c r="F16" i="4" s="1"/>
  <c r="E9" i="4"/>
  <c r="D9" i="4"/>
  <c r="C9" i="4"/>
  <c r="C5" i="4" s="1"/>
  <c r="J16" i="3"/>
  <c r="R10" i="3"/>
  <c r="R11" i="3" s="1"/>
  <c r="R12" i="3" s="1"/>
  <c r="Q10" i="3"/>
  <c r="Q11" i="3" s="1"/>
  <c r="Q12" i="3" s="1"/>
  <c r="P10" i="3"/>
  <c r="P11" i="3" s="1"/>
  <c r="P12" i="3" s="1"/>
  <c r="O10" i="3"/>
  <c r="O11" i="3" s="1"/>
  <c r="O12" i="3" s="1"/>
  <c r="G10" i="3"/>
  <c r="E10" i="3"/>
  <c r="D10" i="3"/>
  <c r="C10" i="3"/>
  <c r="K9" i="3"/>
  <c r="K5" i="3" s="1"/>
  <c r="J5" i="3"/>
  <c r="G9" i="3"/>
  <c r="F9" i="3"/>
  <c r="F5" i="3" s="1"/>
  <c r="E9" i="3"/>
  <c r="D9" i="3"/>
  <c r="C9" i="3"/>
  <c r="D24" i="6" l="1"/>
  <c r="D26" i="6" s="1"/>
  <c r="F5" i="4"/>
  <c r="E16" i="5"/>
  <c r="C16" i="4"/>
  <c r="G16" i="4"/>
  <c r="D5" i="3"/>
  <c r="O17" i="3" s="1"/>
  <c r="P17" i="3" s="1"/>
  <c r="Q17" i="3" s="1"/>
  <c r="R17" i="3" s="1"/>
  <c r="C5" i="3"/>
  <c r="E16" i="3"/>
  <c r="F16" i="3"/>
  <c r="C16" i="3"/>
  <c r="G16" i="3"/>
  <c r="D16" i="3"/>
  <c r="K16" i="3"/>
  <c r="K5" i="4"/>
  <c r="D16" i="4"/>
  <c r="E16" i="4"/>
  <c r="L5" i="5"/>
  <c r="S17" i="7"/>
  <c r="T17" i="7" s="1"/>
  <c r="U17" i="7" s="1"/>
  <c r="V17" i="7" s="1"/>
  <c r="F16" i="5"/>
  <c r="L16" i="5"/>
  <c r="K16" i="5"/>
  <c r="K5" i="5"/>
  <c r="H16" i="5"/>
  <c r="D16" i="5"/>
  <c r="D5" i="5"/>
  <c r="P17" i="5" s="1"/>
  <c r="Q17" i="5" s="1"/>
  <c r="R17" i="5" s="1"/>
  <c r="S17" i="5" s="1"/>
  <c r="C5" i="5"/>
  <c r="G16" i="5"/>
  <c r="J2" i="6"/>
  <c r="E2" i="6"/>
  <c r="D8" i="6" s="1"/>
  <c r="S13" i="5"/>
  <c r="S14" i="5" s="1"/>
  <c r="S15" i="5" s="1"/>
  <c r="S16" i="5" s="1"/>
  <c r="P13" i="5"/>
  <c r="P14" i="5" s="1"/>
  <c r="P15" i="5" s="1"/>
  <c r="P16" i="5" s="1"/>
  <c r="Q13" i="5"/>
  <c r="Q14" i="5" s="1"/>
  <c r="Q15" i="5" s="1"/>
  <c r="Q16" i="5" s="1"/>
  <c r="R13" i="5"/>
  <c r="R14" i="5" s="1"/>
  <c r="R15" i="5" s="1"/>
  <c r="R16" i="5" s="1"/>
  <c r="C16" i="5"/>
  <c r="P13" i="4"/>
  <c r="P14" i="4" s="1"/>
  <c r="P15" i="4" s="1"/>
  <c r="P16" i="4" s="1"/>
  <c r="Q13" i="4"/>
  <c r="Q14" i="4" s="1"/>
  <c r="Q15" i="4" s="1"/>
  <c r="Q16" i="4" s="1"/>
  <c r="O13" i="4"/>
  <c r="O14" i="4" s="1"/>
  <c r="O15" i="4" s="1"/>
  <c r="O16" i="4" s="1"/>
  <c r="R13" i="4"/>
  <c r="R14" i="4" s="1"/>
  <c r="R15" i="4" s="1"/>
  <c r="R16" i="4" s="1"/>
  <c r="J5" i="4"/>
  <c r="D5" i="4"/>
  <c r="O17" i="4" s="1"/>
  <c r="P17" i="4" s="1"/>
  <c r="Q17" i="4" s="1"/>
  <c r="R17" i="4" s="1"/>
  <c r="P13" i="3"/>
  <c r="P14" i="3" s="1"/>
  <c r="P15" i="3" s="1"/>
  <c r="P16" i="3" s="1"/>
  <c r="Q13" i="3"/>
  <c r="Q14" i="3" s="1"/>
  <c r="Q15" i="3" s="1"/>
  <c r="Q16" i="3" s="1"/>
  <c r="O13" i="3"/>
  <c r="O14" i="3" s="1"/>
  <c r="O15" i="3" s="1"/>
  <c r="O16" i="3" s="1"/>
  <c r="R13" i="3"/>
  <c r="R14" i="3" s="1"/>
  <c r="R15" i="3" s="1"/>
  <c r="R16" i="3" s="1"/>
  <c r="I8" i="6" l="1"/>
  <c r="J8" i="6"/>
  <c r="E8" i="6"/>
  <c r="E15" i="6" s="1"/>
  <c r="C8" i="6"/>
  <c r="F3" i="6"/>
  <c r="E3" i="6" s="1"/>
  <c r="D9" i="6" s="1"/>
  <c r="J15" i="6"/>
  <c r="I15" i="6"/>
  <c r="D15" i="6" l="1"/>
  <c r="C9" i="6"/>
  <c r="C15" i="6"/>
  <c r="Q11" i="2" l="1"/>
  <c r="Q12" i="2" s="1"/>
  <c r="Q13" i="2" s="1"/>
  <c r="Q14" i="2" s="1"/>
  <c r="Q15" i="2" s="1"/>
  <c r="Q16" i="2" s="1"/>
  <c r="Q17" i="2" s="1"/>
  <c r="P11" i="2" l="1"/>
  <c r="P12" i="2" s="1"/>
  <c r="P13" i="2" s="1"/>
  <c r="P14" i="2" s="1"/>
  <c r="C37" i="2"/>
  <c r="C38" i="2" s="1"/>
  <c r="C39" i="2" s="1"/>
  <c r="D37" i="2"/>
  <c r="D38" i="2" s="1"/>
  <c r="D39" i="2" s="1"/>
  <c r="E37" i="2"/>
  <c r="E38" i="2" s="1"/>
  <c r="E39" i="2" s="1"/>
  <c r="I37" i="2"/>
  <c r="I38" i="2" s="1"/>
  <c r="I39" i="2" s="1"/>
  <c r="J37" i="2"/>
  <c r="J38" i="2" s="1"/>
  <c r="J39" i="2" s="1"/>
  <c r="N11" i="2"/>
  <c r="N12" i="2" s="1"/>
  <c r="N13" i="2" s="1"/>
  <c r="O11" i="2"/>
  <c r="O12" i="2" s="1"/>
  <c r="O13" i="2" s="1"/>
  <c r="O14" i="2" s="1"/>
  <c r="T37" i="2"/>
  <c r="T38" i="2" s="1"/>
  <c r="T39" i="2" s="1"/>
  <c r="S37" i="2"/>
  <c r="S38" i="2" s="1"/>
  <c r="S39" i="2" s="1"/>
  <c r="O15" i="2" l="1"/>
  <c r="O16" i="2" s="1"/>
  <c r="O17" i="2" s="1"/>
  <c r="P15" i="2"/>
  <c r="P16" i="2" s="1"/>
  <c r="P17" i="2" s="1"/>
  <c r="N14" i="2"/>
  <c r="N15" i="2" s="1"/>
  <c r="N16" i="2" s="1"/>
  <c r="N17" i="2" s="1"/>
  <c r="J12" i="2" l="1"/>
  <c r="C12" i="2"/>
  <c r="I12" i="2"/>
  <c r="E12" i="2"/>
  <c r="D12" i="2"/>
  <c r="D25" i="2"/>
  <c r="D28" i="2" s="1"/>
  <c r="D30" i="2" s="1"/>
  <c r="F29" i="2" s="1"/>
  <c r="B25" i="2"/>
  <c r="C24" i="2"/>
  <c r="C23" i="2"/>
  <c r="C22" i="2"/>
  <c r="C21" i="2"/>
  <c r="C25" i="2" l="1"/>
  <c r="E4" i="2"/>
  <c r="J4" i="2"/>
  <c r="E10" i="2" l="1"/>
  <c r="C10" i="2"/>
  <c r="D10" i="2"/>
  <c r="F5" i="2"/>
  <c r="E5" i="2" s="1"/>
  <c r="I10" i="2"/>
  <c r="J10" i="2"/>
  <c r="J17" i="2" l="1"/>
  <c r="J6" i="2"/>
  <c r="I17" i="2"/>
  <c r="I6" i="2"/>
  <c r="E17" i="2"/>
  <c r="E6" i="2"/>
  <c r="D11" i="2"/>
  <c r="D17" i="2" s="1"/>
  <c r="C11" i="2"/>
  <c r="C17" i="2" s="1"/>
  <c r="D6" i="2" l="1"/>
  <c r="N18" i="2" s="1"/>
  <c r="C6" i="2"/>
  <c r="O18" i="2" l="1"/>
  <c r="N20" i="2"/>
  <c r="AC10" i="15"/>
  <c r="AC11" i="15" s="1"/>
  <c r="AC12" i="15" s="1"/>
  <c r="E3" i="15" s="1"/>
  <c r="P18" i="2" l="1"/>
  <c r="O20" i="2"/>
  <c r="N9" i="15"/>
  <c r="M9" i="15"/>
  <c r="L9" i="15"/>
  <c r="O9" i="15"/>
  <c r="G9" i="15"/>
  <c r="F9" i="15"/>
  <c r="C9" i="15"/>
  <c r="I4" i="15"/>
  <c r="E9" i="15"/>
  <c r="H9" i="15"/>
  <c r="D9" i="15"/>
  <c r="AC13" i="15"/>
  <c r="E4" i="15" s="1"/>
  <c r="Q18" i="2" l="1"/>
  <c r="Q20" i="2" s="1"/>
  <c r="P20" i="2"/>
  <c r="N10" i="15"/>
  <c r="O10" i="15"/>
  <c r="M10" i="15"/>
  <c r="AC14" i="15"/>
  <c r="AC15" i="15" s="1"/>
  <c r="AC16" i="15" s="1"/>
  <c r="E10" i="15"/>
  <c r="E5" i="15" s="1"/>
  <c r="C10" i="15"/>
  <c r="C15" i="15" s="1"/>
  <c r="G10" i="15"/>
  <c r="G15" i="15" s="1"/>
  <c r="H10" i="15"/>
  <c r="H5" i="15" s="1"/>
  <c r="D10" i="15"/>
  <c r="D5" i="15" s="1"/>
  <c r="R17" i="15" s="1"/>
  <c r="S17" i="15" s="1"/>
  <c r="T17" i="15" s="1"/>
  <c r="U17" i="15" s="1"/>
  <c r="V17" i="15" s="1"/>
  <c r="W17" i="15" s="1"/>
  <c r="X17" i="15" s="1"/>
  <c r="Y17" i="15" s="1"/>
  <c r="Z17" i="15" s="1"/>
  <c r="AA17" i="15" s="1"/>
  <c r="AB17" i="15" s="1"/>
  <c r="AC17" i="15" s="1"/>
  <c r="F15" i="15"/>
  <c r="F5" i="15"/>
  <c r="E15" i="15" l="1"/>
  <c r="H15" i="15"/>
  <c r="G5" i="15"/>
  <c r="C5" i="15"/>
  <c r="D15" i="15"/>
  <c r="L15" i="15"/>
  <c r="N15" i="15"/>
  <c r="O15" i="15"/>
  <c r="M15" i="15"/>
  <c r="M19" i="38"/>
  <c r="M14" i="38"/>
  <c r="D19" i="5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Andres Mejia</author>
  </authors>
  <commentList>
    <comment ref="D10" authorId="0" shapeId="0" xr:uid="{00000000-0006-0000-0000-000001000000}">
      <text>
        <r>
          <rPr>
            <b/>
            <sz val="9"/>
            <color indexed="81"/>
            <rFont val="Tahoma"/>
            <family val="2"/>
          </rPr>
          <t>Andres Mejia:</t>
        </r>
        <r>
          <rPr>
            <sz val="9"/>
            <color indexed="81"/>
            <rFont val="Tahoma"/>
            <family val="2"/>
          </rPr>
          <t xml:space="preserve">
1.01 es el srap</t>
        </r>
      </text>
    </comment>
  </commentList>
</comments>
</file>

<file path=xl/sharedStrings.xml><?xml version="1.0" encoding="utf-8"?>
<sst xmlns="http://schemas.openxmlformats.org/spreadsheetml/2006/main" count="4965" uniqueCount="647">
  <si>
    <t>precios actuales ep a Octubre</t>
  </si>
  <si>
    <t>Costo de Resina Virgen Actual</t>
  </si>
  <si>
    <t>Costo de Resina PCR Actual (Enkador)</t>
  </si>
  <si>
    <t>Costo de Resina PCR Actual</t>
  </si>
  <si>
    <t>Nueva metodología / nuevas condiciones</t>
  </si>
  <si>
    <t>Preformas</t>
  </si>
  <si>
    <t>Manantial</t>
  </si>
  <si>
    <t>500ml SG</t>
  </si>
  <si>
    <t>500ml CG</t>
  </si>
  <si>
    <t>IHS Julio para precio septiembre</t>
  </si>
  <si>
    <t>IHS Agosto  para precio Octubre</t>
  </si>
  <si>
    <t>IHS Septiembre  para precio Noviembre</t>
  </si>
  <si>
    <t>IHS Octubre  para precio Diciembre</t>
  </si>
  <si>
    <t>Gramaje</t>
  </si>
  <si>
    <t>IHS Asia Non Coke approved</t>
  </si>
  <si>
    <t>Revisar el actualizado</t>
  </si>
  <si>
    <t>Finish</t>
  </si>
  <si>
    <t>Short</t>
  </si>
  <si>
    <t>Finance</t>
  </si>
  <si>
    <t>Resina Virgen</t>
  </si>
  <si>
    <t>Freight China-Gye</t>
  </si>
  <si>
    <t>costo x TN</t>
  </si>
  <si>
    <t>Análisis</t>
  </si>
  <si>
    <t>Resina PCR</t>
  </si>
  <si>
    <t>FOB</t>
  </si>
  <si>
    <t>Nueva Conversion</t>
  </si>
  <si>
    <t>Conversión</t>
  </si>
  <si>
    <t>Landed factor 4%</t>
  </si>
  <si>
    <t>Recargo por Penalidad y energ</t>
  </si>
  <si>
    <t>Recargo por Penalidad e incr</t>
  </si>
  <si>
    <t>Total resin price</t>
  </si>
  <si>
    <t>Pigmento</t>
  </si>
  <si>
    <t>Resin PCR %</t>
  </si>
  <si>
    <t>Validar si nos está costando el 5% por debajo</t>
  </si>
  <si>
    <t>Empaque</t>
  </si>
  <si>
    <t>Precio ponderado bajo formuala</t>
  </si>
  <si>
    <t>Flete</t>
  </si>
  <si>
    <t>Scrap 1%</t>
  </si>
  <si>
    <t xml:space="preserve"> </t>
  </si>
  <si>
    <t>Total</t>
  </si>
  <si>
    <t>Precio pnderado con scrap</t>
  </si>
  <si>
    <t>Precio facturado Sep-Oct-Nov</t>
  </si>
  <si>
    <t>Toneladas</t>
  </si>
  <si>
    <t>Precio</t>
  </si>
  <si>
    <t>Promedio Ponderado</t>
  </si>
  <si>
    <t>Gastos + Transporte + Almacenaje</t>
  </si>
  <si>
    <t>Fijo</t>
  </si>
  <si>
    <t>Conversion Base</t>
  </si>
  <si>
    <t>% de Energia en MOR</t>
  </si>
  <si>
    <t>% Incremento Energia</t>
  </si>
  <si>
    <t>Incremento de energia</t>
  </si>
  <si>
    <t>Fórmula</t>
  </si>
  <si>
    <t xml:space="preserve">Factor mundial del precio de la resina </t>
  </si>
  <si>
    <t>IHS Julio para precio Septiembre</t>
  </si>
  <si>
    <t>IHS julio para precio septiembre</t>
  </si>
  <si>
    <t>IHS agosto  para precio octubre</t>
  </si>
  <si>
    <t>IHS septiembre  para precio noviembre</t>
  </si>
  <si>
    <t xml:space="preserve">IHS Noviembre  para precio Enero </t>
  </si>
  <si>
    <t>IHS Diciembre  para precio Febrero</t>
  </si>
  <si>
    <t>IHS Enero  para precio Marzo</t>
  </si>
  <si>
    <t>IHS Febrero  para precio Abril</t>
  </si>
  <si>
    <t xml:space="preserve">Actualización </t>
  </si>
  <si>
    <t>IHS Marzo  para precio Mayo</t>
  </si>
  <si>
    <t>1000ml SG</t>
  </si>
  <si>
    <t>IHS Abril  para precio Junio</t>
  </si>
  <si>
    <t>IHS Mayo  para precio Julio</t>
  </si>
  <si>
    <t>Costo Resina Virgen</t>
  </si>
  <si>
    <t>Costo Resina PCR Enkador</t>
  </si>
  <si>
    <t>200cc Pony</t>
  </si>
  <si>
    <t>330cc Pony</t>
  </si>
  <si>
    <t>1 Litro Pony</t>
  </si>
  <si>
    <t>Envases</t>
  </si>
  <si>
    <t>Rubros</t>
  </si>
  <si>
    <t>IHS Junio para precio Agosto</t>
  </si>
  <si>
    <t>Precio ponderado con scrap</t>
  </si>
  <si>
    <t>Extracto composición del precio base en el contrato</t>
  </si>
  <si>
    <t>Finance 4.5%</t>
  </si>
  <si>
    <t>IHS Agosto para precio Octubre</t>
  </si>
  <si>
    <t>IHS Septiembre para precio Nov</t>
  </si>
  <si>
    <t>IHS Octubre para precio Dic</t>
  </si>
  <si>
    <t>Frequency: Monthly</t>
  </si>
  <si>
    <t>Fecha:</t>
  </si>
  <si>
    <t>I H S Polyethylene Terephthalate (PET), Bottle Resin, (not Coke approved), Spot, FOB NE Asia, US$ per Metric Ton</t>
  </si>
  <si>
    <t>993.75</t>
  </si>
  <si>
    <t>1015.5</t>
  </si>
  <si>
    <t>1103.75</t>
  </si>
  <si>
    <t>1148.75</t>
  </si>
  <si>
    <t>1221.25</t>
  </si>
  <si>
    <t>Archivo DP</t>
  </si>
  <si>
    <t>Revisar</t>
  </si>
  <si>
    <t>IHS Noviembre para precio Enero</t>
  </si>
  <si>
    <t>IHS Diciembre para precio Febrero</t>
  </si>
  <si>
    <t>% Resina (Virgen/PCR)</t>
  </si>
  <si>
    <t>50% - 50%</t>
  </si>
  <si>
    <t>75% - 25%</t>
  </si>
  <si>
    <t>Resina TM</t>
  </si>
  <si>
    <t>Precio ponderado bajo formula</t>
  </si>
  <si>
    <t>IHS Enero para precio Marzo</t>
  </si>
  <si>
    <t>IHS Febrero para precio Abril</t>
  </si>
  <si>
    <t>Finance Virgen</t>
  </si>
  <si>
    <t>Finance PCR</t>
  </si>
  <si>
    <t>Precio Resin PCR</t>
  </si>
  <si>
    <t>IHS Marzo para precio Mayo</t>
  </si>
  <si>
    <t>IHS Abril para precio Junio</t>
  </si>
  <si>
    <t>IHS Mayo para precio Julio</t>
  </si>
  <si>
    <t>Costo resina PCR Enkador</t>
  </si>
  <si>
    <t xml:space="preserve">Diferencia vs el precio anterior </t>
  </si>
  <si>
    <t>IHS Junio precio Agosto</t>
  </si>
  <si>
    <t>IHS Julio precio Septiembre</t>
  </si>
  <si>
    <t>Costo Resina Finance + Freight</t>
  </si>
  <si>
    <t>Precio Resina Virgen</t>
  </si>
  <si>
    <t>Precio Resina Enkador (según contrato)</t>
  </si>
  <si>
    <t>Costo Real Resina PCR ENKADOR</t>
  </si>
  <si>
    <t>Diferencia precio vs costo TM</t>
  </si>
  <si>
    <t>IHS Agosto precio Octubre</t>
  </si>
  <si>
    <t>Codigo producto</t>
  </si>
  <si>
    <t>50025364</t>
  </si>
  <si>
    <t>50028383</t>
  </si>
  <si>
    <t>50028046</t>
  </si>
  <si>
    <t>50023224</t>
  </si>
  <si>
    <t>50023395</t>
  </si>
  <si>
    <t>IHS Septiembre precio Noviembre</t>
  </si>
  <si>
    <t>IHS Octubre precio Diciembre</t>
  </si>
  <si>
    <t>IHS Nov19 precio Enero2020</t>
  </si>
  <si>
    <t>IHS Dic19 precio Feb 2020</t>
  </si>
  <si>
    <t>IHS Ene20 precio Mar 2020</t>
  </si>
  <si>
    <t>IHS Feb20 precio Abril 2020</t>
  </si>
  <si>
    <t>IHS Mar20 precio Mayo 2020</t>
  </si>
  <si>
    <t>International Freight</t>
  </si>
  <si>
    <t>Conversión Inyección</t>
  </si>
  <si>
    <t>Costo resina PCR Enkador (Abril 2020)</t>
  </si>
  <si>
    <t>Conversión Soplado</t>
  </si>
  <si>
    <t>Total Conversión</t>
  </si>
  <si>
    <t>Conversión PF</t>
  </si>
  <si>
    <t>Conversión SOP</t>
  </si>
  <si>
    <t>Costo resina PCR Enkador (Dic19)</t>
  </si>
  <si>
    <t xml:space="preserve">Pérdida en PCR </t>
  </si>
  <si>
    <t>IHS Nov19 precio Enero20</t>
  </si>
  <si>
    <t>Costo resina PCR Enkador (Ene20)</t>
  </si>
  <si>
    <t xml:space="preserve">Pérdida por TM en PCR Dic19 </t>
  </si>
  <si>
    <t>Pérdida por TM en PCR Ene20</t>
  </si>
  <si>
    <t>Diferencia reconocida a través de una NC Mar 2020</t>
  </si>
  <si>
    <t>IHS Marzo20 precio Mayo 2020</t>
  </si>
  <si>
    <t>IHS Abril20 precio Junio 2020</t>
  </si>
  <si>
    <t>IHS Mayo20 precio Julio 2020</t>
  </si>
  <si>
    <t>IHS Junio20 precio Agosto 2020</t>
  </si>
  <si>
    <t>IHS Julio20 precio Sep 2020</t>
  </si>
  <si>
    <t>Mezcla (PCR - Virgen)</t>
  </si>
  <si>
    <t>25% - 75%</t>
  </si>
  <si>
    <t>Energy</t>
  </si>
  <si>
    <t>Others</t>
  </si>
  <si>
    <t>Precios Meet Comp Ajustado PAF 2024</t>
  </si>
  <si>
    <t>Pf</t>
  </si>
  <si>
    <t>Detalle</t>
  </si>
  <si>
    <t>USD/K</t>
  </si>
  <si>
    <t>%</t>
  </si>
  <si>
    <t>Labor</t>
  </si>
  <si>
    <t>Mtto</t>
  </si>
  <si>
    <t>CTP</t>
  </si>
  <si>
    <t>Conversion 2024</t>
  </si>
  <si>
    <t>Aumento Energia 2025</t>
  </si>
  <si>
    <t xml:space="preserve">Caja Plastica </t>
  </si>
  <si>
    <t xml:space="preserve">Caja de Carton  </t>
  </si>
  <si>
    <t>Caja Plastica. 
(25% PCR - 75% Virgen)</t>
  </si>
  <si>
    <t>ECUADOR</t>
  </si>
  <si>
    <t>Índice de Precios al Consumidor | (ecuadorencifras.gob.ec)</t>
  </si>
  <si>
    <t>IPC</t>
  </si>
  <si>
    <t>El Salario Básico Unificado del trabajador en general para el año 2025 será de USD 470,00 - Ministerio del Trabajo</t>
  </si>
  <si>
    <t>SMLV</t>
  </si>
  <si>
    <t>PO</t>
  </si>
  <si>
    <t>Preform Reference</t>
  </si>
  <si>
    <t>Quantity</t>
  </si>
  <si>
    <t>Customer ETA</t>
  </si>
  <si>
    <t>Product availability</t>
  </si>
  <si>
    <t>Origin</t>
  </si>
  <si>
    <t>Destiny</t>
  </si>
  <si>
    <t>Transit Time</t>
  </si>
  <si>
    <t>Status</t>
  </si>
  <si>
    <t>Invoice Date</t>
  </si>
  <si>
    <t>Invoice No.</t>
  </si>
  <si>
    <t>BOL No.</t>
  </si>
  <si>
    <t>BOOKING #</t>
  </si>
  <si>
    <t>Shipping Company</t>
  </si>
  <si>
    <t>Container &amp; Seal #</t>
  </si>
  <si>
    <t>ETD</t>
  </si>
  <si>
    <t>NEW ETD</t>
  </si>
  <si>
    <t>ETA</t>
  </si>
  <si>
    <t>New ETA</t>
  </si>
  <si>
    <t>Last ETA</t>
  </si>
  <si>
    <t>P319847</t>
  </si>
  <si>
    <t>75g Clear</t>
  </si>
  <si>
    <t>Trinidad</t>
  </si>
  <si>
    <t>Jamaica</t>
  </si>
  <si>
    <t>6 Days</t>
  </si>
  <si>
    <t>In Transit. Depart origin Port</t>
  </si>
  <si>
    <t>PSP0189842</t>
  </si>
  <si>
    <t>CMA CGM</t>
  </si>
  <si>
    <t>CMAU4495176-C7955226</t>
  </si>
  <si>
    <t>12/16/2024</t>
  </si>
  <si>
    <t>12/24/2024</t>
  </si>
  <si>
    <t>12/20/2024</t>
  </si>
  <si>
    <t>In process</t>
  </si>
  <si>
    <t>PSP0190265</t>
  </si>
  <si>
    <t>12/29/2024</t>
  </si>
  <si>
    <t>19.5g Clear</t>
  </si>
  <si>
    <t>N°</t>
  </si>
  <si>
    <t>No. Guide</t>
  </si>
  <si>
    <t>SAMPLES</t>
  </si>
  <si>
    <t>12.8 gr Clear</t>
  </si>
  <si>
    <t>10/25/2024</t>
  </si>
  <si>
    <t>9/25/2024</t>
  </si>
  <si>
    <t>DHL</t>
  </si>
  <si>
    <t>12/13/2024</t>
  </si>
  <si>
    <t>12/18/2024</t>
  </si>
  <si>
    <t>17.5gr Clear</t>
  </si>
  <si>
    <t>Chemical Price &amp; Economics</t>
  </si>
  <si>
    <t>Created on Tue 5 May 2020, 3:24 PM EST (20:24 GMT)</t>
  </si>
  <si>
    <t/>
  </si>
  <si>
    <t>Product</t>
  </si>
  <si>
    <t>Grade</t>
  </si>
  <si>
    <t>Geography</t>
  </si>
  <si>
    <t>Concept</t>
  </si>
  <si>
    <t>Terms</t>
  </si>
  <si>
    <t>Unit</t>
  </si>
  <si>
    <t>PET, Recycled</t>
  </si>
  <si>
    <t>LNO Flake No IV rebuild Curbside</t>
  </si>
  <si>
    <t>North America</t>
  </si>
  <si>
    <t>Contract-Benchmark</t>
  </si>
  <si>
    <t>FOB US East Coast</t>
  </si>
  <si>
    <t>Cents per Pound</t>
  </si>
  <si>
    <t>LNO Pellet, High IV, CSD-Grade Deposit</t>
  </si>
  <si>
    <t>US$ per Metric Ton (converted)</t>
  </si>
  <si>
    <t>LNO Pellet No IV rebuild Deposit</t>
  </si>
  <si>
    <t>LNO Pellet, High IV Deposit</t>
  </si>
  <si>
    <t>LNO Pellet No IV rebuild Curbside</t>
  </si>
  <si>
    <t>Baled Bottles Curbside</t>
  </si>
  <si>
    <t>LNO Pellet, High IV Curbside</t>
  </si>
  <si>
    <t>FOB United States</t>
  </si>
  <si>
    <t>LNO Flake No IV rebuild Deposit</t>
  </si>
  <si>
    <t>Baled Bottles Deposit</t>
  </si>
  <si>
    <t>Legend</t>
  </si>
  <si>
    <t>© 2020 IHS Markit</t>
  </si>
  <si>
    <t>ICIS Dashboard Price History</t>
  </si>
  <si>
    <t>Generated</t>
  </si>
  <si>
    <t>07 May 2020 12:11:12</t>
  </si>
  <si>
    <t>Data</t>
  </si>
  <si>
    <t>Price History</t>
  </si>
  <si>
    <t>Date Range</t>
  </si>
  <si>
    <t>From 01 May 2019 to 07 May 2020</t>
  </si>
  <si>
    <t>Original Currency</t>
  </si>
  <si>
    <t>US CTS</t>
  </si>
  <si>
    <t>Original Unit</t>
  </si>
  <si>
    <t>lb</t>
  </si>
  <si>
    <t>Original Frequency</t>
  </si>
  <si>
    <t>Weekly</t>
  </si>
  <si>
    <t>Selected Currency</t>
  </si>
  <si>
    <t>USD</t>
  </si>
  <si>
    <t>Selected Unit</t>
  </si>
  <si>
    <t>tonne</t>
  </si>
  <si>
    <t>Selected Frequency</t>
  </si>
  <si>
    <t>Monthly</t>
  </si>
  <si>
    <t>RPET Pellets, Food Grade FOB USWC Assessment Spot Current Month Full Market Range Weekly (Low) : USD/tonne</t>
  </si>
  <si>
    <t>RPET Pellets, Food Grade FOB USWC Assessment Spot Current Month Full Market Range Weekly (High) : USD/tonne</t>
  </si>
  <si>
    <t>RPET Pellets, Food Grade FOB USWC Assessment Spot Current Month Full Market Range Weekly (Mid) : USD/tonne</t>
  </si>
  <si>
    <t>May-2019</t>
  </si>
  <si>
    <t>Jun-2019</t>
  </si>
  <si>
    <t>Jul-2019</t>
  </si>
  <si>
    <t>Aug-2019</t>
  </si>
  <si>
    <t>Sep-2019</t>
  </si>
  <si>
    <t>Oct-2019</t>
  </si>
  <si>
    <t>Nov-2019</t>
  </si>
  <si>
    <t>Dec-2019</t>
  </si>
  <si>
    <t>Jan-2020</t>
  </si>
  <si>
    <t>Feb-2020</t>
  </si>
  <si>
    <t>Mar-2020</t>
  </si>
  <si>
    <t>Apr-2020</t>
  </si>
  <si>
    <t>May-2020</t>
  </si>
  <si>
    <t>Jun-2020</t>
  </si>
  <si>
    <t>Jul-2020</t>
  </si>
  <si>
    <t>Ago-2020</t>
  </si>
  <si>
    <t>Sep-2020</t>
  </si>
  <si>
    <t>Oct-2020</t>
  </si>
  <si>
    <t>Nov-2020</t>
  </si>
  <si>
    <t>Dic-2020</t>
  </si>
  <si>
    <t>Jan-2021</t>
  </si>
  <si>
    <t>Feb-2021</t>
  </si>
  <si>
    <t>Mar-2021</t>
  </si>
  <si>
    <t>Copyright © 2020 Reed Business Information Limited.</t>
  </si>
  <si>
    <t>ICIS is a member of the RELX group.</t>
  </si>
  <si>
    <t>ICIS accepts no liability for commercial decisions based on the content of this report.</t>
  </si>
  <si>
    <t>UNAUTHORISED REPRODUCTION / TRANSMISSION PROHIBITED.</t>
  </si>
  <si>
    <t>Exchange rates supplied by Bloomberg and XE.com (http://www.XE.com).</t>
  </si>
  <si>
    <t>Prices that have been converted from the originally quoted unit or currency are shown to two decimal places.</t>
  </si>
  <si>
    <t>When exporting multiple quote series, empty cells may appear in the quote table as publishing dates may not align or may vary over holiday periods.</t>
  </si>
  <si>
    <t>For prices downloaded in any frequency other than the original frequency, ICIS has made some assumptions in averaging (see methodology for frequency).</t>
  </si>
  <si>
    <t>To view prices as assessed by ICIS, please download series in their original published frequency.</t>
  </si>
  <si>
    <t>Nuevo</t>
  </si>
  <si>
    <t>Componente</t>
  </si>
  <si>
    <t>Indicador  1</t>
  </si>
  <si>
    <t xml:space="preserve">IHS EC No IV Curbside Avg Q anterior </t>
  </si>
  <si>
    <t>ICIS  WC FDA Promedio Q anterior</t>
  </si>
  <si>
    <t>Finance Fee</t>
  </si>
  <si>
    <r>
      <t xml:space="preserve">Finance fee PCR </t>
    </r>
    <r>
      <rPr>
        <sz val="11"/>
        <color rgb="FFC00000"/>
        <rFont val="Calibri"/>
        <family val="2"/>
        <scheme val="minor"/>
      </rPr>
      <t>(SOFR +3,8%@175)</t>
    </r>
  </si>
  <si>
    <t>Flete Fijo Quito a Guayaquil (USD650/22)</t>
  </si>
  <si>
    <t xml:space="preserve">Hanlidng fee Ware house. </t>
  </si>
  <si>
    <t>Landed Price</t>
  </si>
  <si>
    <t>n-2</t>
  </si>
  <si>
    <t xml:space="preserve">Mayo </t>
  </si>
  <si>
    <t>Junio</t>
  </si>
  <si>
    <t>Julio</t>
  </si>
  <si>
    <t>Agosto</t>
  </si>
  <si>
    <t>Septiembre</t>
  </si>
  <si>
    <t>Octubre</t>
  </si>
  <si>
    <t>Noviembre</t>
  </si>
  <si>
    <t>Diciembre</t>
  </si>
  <si>
    <t>Enero</t>
  </si>
  <si>
    <t>Febrero</t>
  </si>
  <si>
    <t>Abril</t>
  </si>
  <si>
    <t>Mayo</t>
  </si>
  <si>
    <t>Juni</t>
  </si>
  <si>
    <t>Marzo</t>
  </si>
  <si>
    <t xml:space="preserve">Julio </t>
  </si>
  <si>
    <t xml:space="preserve">Febrero </t>
  </si>
  <si>
    <t>Indicador</t>
  </si>
  <si>
    <t>ICIS CHINA Mid  (n-2)</t>
  </si>
  <si>
    <t>Spot</t>
  </si>
  <si>
    <t>CIF</t>
  </si>
  <si>
    <t>Seguro</t>
  </si>
  <si>
    <t>0.10% del valor CIF</t>
  </si>
  <si>
    <t>ISD</t>
  </si>
  <si>
    <t>Impuesto Salida Divisas 4% del valor CIF</t>
  </si>
  <si>
    <t>FODINFA</t>
  </si>
  <si>
    <t>0,5% del valor CIF</t>
  </si>
  <si>
    <t>Alm Puerto</t>
  </si>
  <si>
    <t>Almacenaje Puerto - USD250/Contenedor</t>
  </si>
  <si>
    <t>Flete Terrestre</t>
  </si>
  <si>
    <t>Gastos Puerto</t>
  </si>
  <si>
    <t>Gto naviera&amp;Devol Cont - UIO USD430/Cont</t>
  </si>
  <si>
    <t>Gtos Age Adua</t>
  </si>
  <si>
    <t>Flete correcto</t>
  </si>
  <si>
    <t xml:space="preserve">Diferencia por ton </t>
  </si>
  <si>
    <t xml:space="preserve">Toneladas Facturadas. </t>
  </si>
  <si>
    <t xml:space="preserve">Valor NC. </t>
  </si>
  <si>
    <t>SOPORTE.</t>
  </si>
  <si>
    <t>MES</t>
  </si>
  <si>
    <t>INDICE</t>
  </si>
  <si>
    <t>MÍN</t>
  </si>
  <si>
    <t>MÁX</t>
  </si>
  <si>
    <t>PROMEDIO</t>
  </si>
  <si>
    <t>FOB USWC</t>
  </si>
  <si>
    <t xml:space="preserve">Marzo </t>
  </si>
  <si>
    <t xml:space="preserve">Abril </t>
  </si>
  <si>
    <t>ECUADOR 2023</t>
  </si>
  <si>
    <t>WEIGHT</t>
  </si>
  <si>
    <t>ENERGY</t>
  </si>
  <si>
    <t>LABOR</t>
  </si>
  <si>
    <t>MAINT</t>
  </si>
  <si>
    <t>OTHER</t>
  </si>
  <si>
    <t xml:space="preserve">TOTAL </t>
  </si>
  <si>
    <t xml:space="preserve">MOR Actual </t>
  </si>
  <si>
    <t>IPC 2022</t>
  </si>
  <si>
    <t>Salario Min</t>
  </si>
  <si>
    <t>https://www.radiopichincha.com/ministerio-de-trabajo-dispone-el-incremento-del-5-8-del-salario-base-para-trabajadores-sectoriales/#:~:text=A%20partir%20del%201%20de,8%25%20con%20relaci%C3%B3n%20al%202022.</t>
  </si>
  <si>
    <t>https://www.ecuadorencifras.gob.ec/indice-de-precios-al-consumidor/</t>
  </si>
  <si>
    <t>MEETCOMP</t>
  </si>
  <si>
    <t>SOFR</t>
  </si>
  <si>
    <t>Created on Fri 7 Jul 2023, 8:37 AM EST (13:37 GMT)</t>
  </si>
  <si>
    <t>2024-08</t>
  </si>
  <si>
    <t>2024-09</t>
  </si>
  <si>
    <t>2024-10</t>
  </si>
  <si>
    <t>2024-11</t>
  </si>
  <si>
    <t>2024-12</t>
  </si>
  <si>
    <t>2025-01</t>
  </si>
  <si>
    <t>2025-02</t>
  </si>
  <si>
    <t>2025-03</t>
  </si>
  <si>
    <t>2025-04</t>
  </si>
  <si>
    <t>2025-05</t>
  </si>
  <si>
    <t>Cent per Pound</t>
  </si>
  <si>
    <t>Tons</t>
  </si>
  <si>
    <t>AV Q n-1</t>
  </si>
  <si>
    <t>© 2023 Oil Price Information Service, LLC. All rights reserved.</t>
  </si>
  <si>
    <t>The information contained in this report is confidential and proprietary. Any unauthorized use, disclosure, reproduction, or dissemination, in full or in part, in any media or by any means, without the prior written permission of OPIS or any of its affiliates ("OPIS") is strictly prohibited. OPIS or its affiliates own all logos and trade names contained in this  report and any use of such logos or trademarks by any third party without permission is strictly prohibited. Any opinions, statements, estimates, and projections in this report are solely those of the individual author(s) at the time of writing. Neither OPIS nor the author(s) has any obligation to update this report in the event that any content, opinion, statement, estimate, or projection (collectively, "information") changes or subsequently becomes inaccurate. OPIS makes no warranty, expressed or implied, as to the accuracy, completeness, or timeliness of any information in this report, and shall not in any way be liable to any recipient for any inaccuracies or omissions. Without limiting the foregoing, OPIS shall have no liability whatsoever to any recipient, whether in contract, in tort (including negligence), under warranty, under statute or otherwise, in respect of any loss or damage suffered by any recipient as a result of or in connection with any information provided, or any course of action determined, by it or any third party, whether or not based on any information provided. The inclusion of a link to an external website by OPIS should not be understood to be an endorsement of that website or the site's owners (or their products/services). OPIS is not responsible for either the content or output of external websites. © 2023 Oil Price Information Service, LLC. All rights reserved and all intellectual property rights are retained by OPIS and its affiliates.</t>
  </si>
  <si>
    <t>PET Bottle Grade FOB China Assessment Spot 4-12 Weeks Full Market Range Weekly (Mid) : USD/tonne</t>
  </si>
  <si>
    <t xml:space="preserve">VIRGEN </t>
  </si>
  <si>
    <t>DICIEMBRE</t>
  </si>
  <si>
    <t>ENERO</t>
  </si>
  <si>
    <t>FEBRERO</t>
  </si>
  <si>
    <t>MARZO</t>
  </si>
  <si>
    <t>ABRIL</t>
  </si>
  <si>
    <t>MAYO</t>
  </si>
  <si>
    <t>Cantidad (Tn)</t>
  </si>
  <si>
    <t>Precio (COP/Tn)</t>
  </si>
  <si>
    <t>Inventario inicial</t>
  </si>
  <si>
    <t>Total Ingresos</t>
  </si>
  <si>
    <t>Consumo (Facturación)</t>
  </si>
  <si>
    <t>Inventario Final (PF+Resin)</t>
  </si>
  <si>
    <t>Trimestre 1 - 2024</t>
  </si>
  <si>
    <t>HYDROABANICO</t>
  </si>
  <si>
    <t>KW/H</t>
  </si>
  <si>
    <t>VALOR</t>
  </si>
  <si>
    <t>TARIFA</t>
  </si>
  <si>
    <t>Trimestre</t>
  </si>
  <si>
    <t>Cantidad</t>
  </si>
  <si>
    <t>Valor</t>
  </si>
  <si>
    <t>Tarifa ponderada</t>
  </si>
  <si>
    <t>% var Trim/Trim</t>
  </si>
  <si>
    <t>% Incremento Trim/Trim</t>
  </si>
  <si>
    <t>T1-24</t>
  </si>
  <si>
    <t>T2-24</t>
  </si>
  <si>
    <t>T2-2024/T1-2024</t>
  </si>
  <si>
    <t>Trimestre 2 - 2024</t>
  </si>
  <si>
    <t>T3-24</t>
  </si>
  <si>
    <t>T3-2024/T2-2024</t>
  </si>
  <si>
    <t>T4-24</t>
  </si>
  <si>
    <t>T4-2024/T3-2024</t>
  </si>
  <si>
    <t>T1-25</t>
  </si>
  <si>
    <t>T1-2025/T4-2024</t>
  </si>
  <si>
    <t>Trimestre 3- 2024</t>
  </si>
  <si>
    <t xml:space="preserve">EMPRESA ELECTRICA </t>
  </si>
  <si>
    <t>Trimestre 4- 2024</t>
  </si>
  <si>
    <t>Trimestre 1- 2025</t>
  </si>
  <si>
    <t>No se ha ajustado desde el inicio de contrato</t>
  </si>
  <si>
    <t>JUNIO</t>
  </si>
  <si>
    <t>JULIO</t>
  </si>
  <si>
    <t>2025-06</t>
  </si>
  <si>
    <t>2025-07</t>
  </si>
  <si>
    <t>AGOSTO</t>
  </si>
  <si>
    <t>2025-08</t>
  </si>
  <si>
    <t xml:space="preserve">Pigmento </t>
  </si>
  <si>
    <t>2025-09</t>
  </si>
  <si>
    <t>SEPTIEMBRE</t>
  </si>
  <si>
    <t>282USD/Cont.Customs</t>
  </si>
  <si>
    <t>Customs Clearance Fixed: 36.02/ton</t>
  </si>
  <si>
    <t>Rpet 75%</t>
  </si>
  <si>
    <t>Rpet 25%</t>
  </si>
  <si>
    <t>OCTUBRE</t>
  </si>
  <si>
    <t>Oct-2024</t>
  </si>
  <si>
    <t>Nov-2024</t>
  </si>
  <si>
    <t>Dec-2024</t>
  </si>
  <si>
    <t>Jan-2025</t>
  </si>
  <si>
    <t>Feb-2025</t>
  </si>
  <si>
    <t>Mar-2025</t>
  </si>
  <si>
    <t>Apr-2025</t>
  </si>
  <si>
    <t>May-2025</t>
  </si>
  <si>
    <t>Jun-2025</t>
  </si>
  <si>
    <t>Jul-2025</t>
  </si>
  <si>
    <t>Aug-2025</t>
  </si>
  <si>
    <t>2025-10</t>
  </si>
  <si>
    <t>Caja Plastica.</t>
  </si>
  <si>
    <t>Sep-2025</t>
  </si>
  <si>
    <t>Valor Fijo por BL &amp; +30 si tien insp fisica</t>
  </si>
  <si>
    <t xml:space="preserve">Aumento Gubernamental Diesel. </t>
  </si>
  <si>
    <t xml:space="preserve">Precio Cont </t>
  </si>
  <si>
    <t>Precio Actual</t>
  </si>
  <si>
    <t xml:space="preserve">Aumento </t>
  </si>
  <si>
    <t>Sep</t>
  </si>
  <si>
    <t>Oct</t>
  </si>
  <si>
    <t>SKU</t>
  </si>
  <si>
    <t>Difference in price</t>
  </si>
  <si>
    <t xml:space="preserve">Total </t>
  </si>
  <si>
    <t>Jul</t>
  </si>
  <si>
    <t>Item</t>
  </si>
  <si>
    <t>Agos</t>
  </si>
  <si>
    <t>Vol.</t>
  </si>
  <si>
    <t>Finance fee V (SOFR +3,8%@175)</t>
  </si>
  <si>
    <r>
      <t xml:space="preserve">Flete GYE - UIO </t>
    </r>
    <r>
      <rPr>
        <sz val="11"/>
        <color rgb="FFFF0000"/>
        <rFont val="Calibri"/>
        <family val="2"/>
        <scheme val="minor"/>
      </rPr>
      <t>USD671/Contendor</t>
    </r>
  </si>
  <si>
    <t>2025-11</t>
  </si>
  <si>
    <t>Oct-2025</t>
  </si>
  <si>
    <t>2025-12</t>
  </si>
  <si>
    <t>Dic-2025</t>
  </si>
  <si>
    <t>2026-01</t>
  </si>
  <si>
    <t>Jan-2026</t>
  </si>
  <si>
    <t>2026-02</t>
  </si>
  <si>
    <t>0% - 100%</t>
  </si>
  <si>
    <t>2026-03</t>
  </si>
  <si>
    <t>330cc Pony Peru</t>
  </si>
  <si>
    <t>Caja Carton.</t>
  </si>
  <si>
    <t>3 Precios AB Inbev_Abril 26 ECUADOR</t>
  </si>
  <si>
    <t>Freightt</t>
  </si>
  <si>
    <t>1 Bavaria - Precio Marzo</t>
  </si>
  <si>
    <t xml:space="preserve">Formuale Sheet </t>
  </si>
  <si>
    <t xml:space="preserve">Supplier Sheet </t>
  </si>
  <si>
    <t xml:space="preserve">Formulae </t>
  </si>
  <si>
    <t xml:space="preserve">Insurance </t>
  </si>
  <si>
    <t xml:space="preserve">0.10% of CIF </t>
  </si>
  <si>
    <t>Customs Clearance cost</t>
  </si>
  <si>
    <t xml:space="preserve">Index </t>
  </si>
  <si>
    <t>ICIS Index  - Quaret</t>
  </si>
  <si>
    <t xml:space="preserve">Outflow Tax </t>
  </si>
  <si>
    <t xml:space="preserve">4% of CIF </t>
  </si>
  <si>
    <t xml:space="preserve">Int. Freight </t>
  </si>
  <si>
    <t>0.5% of CIF</t>
  </si>
  <si>
    <t xml:space="preserve">Local Freight </t>
  </si>
  <si>
    <t xml:space="preserve">Port Storage </t>
  </si>
  <si>
    <t xml:space="preserve">Scrap </t>
  </si>
  <si>
    <t>vPET Resin pricing</t>
  </si>
  <si>
    <t xml:space="preserve">Inland Freight </t>
  </si>
  <si>
    <t xml:space="preserve">Port Expenses </t>
  </si>
  <si>
    <t xml:space="preserve">Is Sub total (con flete reg ) the Total Landing cost </t>
  </si>
  <si>
    <t xml:space="preserve">Custome Agent Fees </t>
  </si>
  <si>
    <t xml:space="preserve">Govt Diesel Increase </t>
  </si>
  <si>
    <t>ICIS China Mid (n-2)</t>
  </si>
  <si>
    <t>Finance Fee V (SOFR +3.8%@175)</t>
  </si>
  <si>
    <t>0.10% of CIF Value</t>
  </si>
  <si>
    <t>Foreign Currency Exit Tax 4% of CIF Value</t>
  </si>
  <si>
    <t>0.5% of CIF Value</t>
  </si>
  <si>
    <t>282 USD/Container Customs</t>
  </si>
  <si>
    <t>Port Storage - USD250/Container</t>
  </si>
  <si>
    <t>Freight GYE - UIO USD671/Container</t>
  </si>
  <si>
    <t>Shipping Exp. &amp; Container Return - UIO USD430/Container</t>
  </si>
  <si>
    <t>Fixed Value per BL &amp; +30 if Physical Inspection</t>
  </si>
  <si>
    <t>Government Diesel Surcharge</t>
  </si>
  <si>
    <t xml:space="preserve">Freight </t>
  </si>
  <si>
    <t>English Conversion</t>
  </si>
  <si>
    <t xml:space="preserve">3. 4950 - Reference ? Drewery ? Source Destination </t>
  </si>
  <si>
    <t>4. All the rows from row #8 to row 17 - corresponds to Customs Clearance cost ?</t>
  </si>
  <si>
    <t>a. Precios facturados</t>
  </si>
  <si>
    <t>b. Ejercicio costo PCR</t>
  </si>
  <si>
    <t>c. Resina</t>
  </si>
  <si>
    <t>d. Propuesta Ecuador 2023</t>
  </si>
  <si>
    <t>e. Formula PCR</t>
  </si>
  <si>
    <t xml:space="preserve">9. How is this sheet related to Abril 2026 </t>
  </si>
  <si>
    <t xml:space="preserve">10. Historical pricing sheets as well in a different format </t>
  </si>
  <si>
    <t>Cost</t>
  </si>
  <si>
    <t>ICIS Dashboard Price Forecast</t>
  </si>
  <si>
    <t>17 Apr 2026 22:17:20</t>
  </si>
  <si>
    <t>Date Range 1</t>
  </si>
  <si>
    <t>From 17 Apr 2025 To 01 Oct 2027</t>
  </si>
  <si>
    <t>Price Forecast Range</t>
  </si>
  <si>
    <t>18 Months</t>
  </si>
  <si>
    <t>Price History Range</t>
  </si>
  <si>
    <t>1 Year</t>
  </si>
  <si>
    <t>PET Bottle Grade FOB China Spot Forecast Apr-2026 Latest</t>
  </si>
  <si>
    <t>PET Bottle Grade FOB China Spot 4-12 Weeks Full Market Range</t>
  </si>
  <si>
    <t>18-Apr-2025</t>
  </si>
  <si>
    <t>730.00</t>
  </si>
  <si>
    <t>25-Apr-2025</t>
  </si>
  <si>
    <t>735.00</t>
  </si>
  <si>
    <t>02-May-2025</t>
  </si>
  <si>
    <t>752.50</t>
  </si>
  <si>
    <t>09-May-2025</t>
  </si>
  <si>
    <t>755.00</t>
  </si>
  <si>
    <t>16-May-2025</t>
  </si>
  <si>
    <t>792.50</t>
  </si>
  <si>
    <t>23-May-2025</t>
  </si>
  <si>
    <t>790.00</t>
  </si>
  <si>
    <t>30-May-2025</t>
  </si>
  <si>
    <t>785.00</t>
  </si>
  <si>
    <t>06-Jun-2025</t>
  </si>
  <si>
    <t>780.00</t>
  </si>
  <si>
    <t>13-Jun-2025</t>
  </si>
  <si>
    <t>782.50</t>
  </si>
  <si>
    <t>20-Jun-2025</t>
  </si>
  <si>
    <t>812.50</t>
  </si>
  <si>
    <t>27-Jun-2025</t>
  </si>
  <si>
    <t>797.50</t>
  </si>
  <si>
    <t>04-Jul-2025</t>
  </si>
  <si>
    <t>11-Jul-2025</t>
  </si>
  <si>
    <t>18-Jul-2025</t>
  </si>
  <si>
    <t>777.50</t>
  </si>
  <si>
    <t>25-Jul-2025</t>
  </si>
  <si>
    <t>01-Aug-2025</t>
  </si>
  <si>
    <t>08-Aug-2025</t>
  </si>
  <si>
    <t>770.00</t>
  </si>
  <si>
    <t>15-Aug-2025</t>
  </si>
  <si>
    <t>767.50</t>
  </si>
  <si>
    <t>22-Aug-2025</t>
  </si>
  <si>
    <t>775.00</t>
  </si>
  <si>
    <t>29-Aug-2025</t>
  </si>
  <si>
    <t>05-Sep-2025</t>
  </si>
  <si>
    <t>12-Sep-2025</t>
  </si>
  <si>
    <t>765.00</t>
  </si>
  <si>
    <t>19-Sep-2025</t>
  </si>
  <si>
    <t>26-Sep-2025</t>
  </si>
  <si>
    <t>760.00</t>
  </si>
  <si>
    <t>03-Oct-2025</t>
  </si>
  <si>
    <t>10-Oct-2025</t>
  </si>
  <si>
    <t>17-Oct-2025</t>
  </si>
  <si>
    <t>745.00</t>
  </si>
  <si>
    <t>24-Oct-2025</t>
  </si>
  <si>
    <t>31-Oct-2025</t>
  </si>
  <si>
    <t>07-Nov-2025</t>
  </si>
  <si>
    <t>750.00</t>
  </si>
  <si>
    <t>14-Nov-2025</t>
  </si>
  <si>
    <t>21-Nov-2025</t>
  </si>
  <si>
    <t>28-Nov-2025</t>
  </si>
  <si>
    <t>05-Dec-2025</t>
  </si>
  <si>
    <t>757.50</t>
  </si>
  <si>
    <t>12-Dec-2025</t>
  </si>
  <si>
    <t>747.50</t>
  </si>
  <si>
    <t>19-Dec-2025</t>
  </si>
  <si>
    <t>26-Dec-2025</t>
  </si>
  <si>
    <t>09-Jan-2026</t>
  </si>
  <si>
    <t>16-Jan-2026</t>
  </si>
  <si>
    <t>23-Jan-2026</t>
  </si>
  <si>
    <t>30-Jan-2026</t>
  </si>
  <si>
    <t>06-Feb-2026</t>
  </si>
  <si>
    <t>13-Feb-2026</t>
  </si>
  <si>
    <t>27-Feb-2026</t>
  </si>
  <si>
    <t>06-Mar-2026</t>
  </si>
  <si>
    <t>13-Mar-2026</t>
  </si>
  <si>
    <t>20-Mar-2026</t>
  </si>
  <si>
    <t>27-Mar-2026</t>
  </si>
  <si>
    <t>01-Apr-2026</t>
  </si>
  <si>
    <t>1147.00</t>
  </si>
  <si>
    <t>03-Apr-2026</t>
  </si>
  <si>
    <t>10-Apr-2026</t>
  </si>
  <si>
    <t>17-Apr-2026</t>
  </si>
  <si>
    <t>01-May-2026</t>
  </si>
  <si>
    <t>01-Jun-2026</t>
  </si>
  <si>
    <t>01-Jul-2026</t>
  </si>
  <si>
    <t>01-Aug-2026</t>
  </si>
  <si>
    <t>01-Sep-2026</t>
  </si>
  <si>
    <t>01-Oct-2026</t>
  </si>
  <si>
    <t>01-Nov-2026</t>
  </si>
  <si>
    <t>01-Dec-2026</t>
  </si>
  <si>
    <t>01-Jan-2027</t>
  </si>
  <si>
    <t>01-Feb-2027</t>
  </si>
  <si>
    <t>01-Mar-2027</t>
  </si>
  <si>
    <t>01-Apr-2027</t>
  </si>
  <si>
    <t>01-May-2027</t>
  </si>
  <si>
    <t>01-Jun-2027</t>
  </si>
  <si>
    <t>01-Jul-2027</t>
  </si>
  <si>
    <t>01-Aug-2027</t>
  </si>
  <si>
    <t>01-Sep-2027</t>
  </si>
  <si>
    <t>Copyright © 2026 LexisNexis Risk Solutions.</t>
  </si>
  <si>
    <t>ICIS is a member of the RELX.</t>
  </si>
  <si>
    <t>Exchange rates supplied by LSEG and XE.com (http://www.XE.com).</t>
  </si>
  <si>
    <t>May</t>
  </si>
  <si>
    <t>Mar</t>
  </si>
  <si>
    <t>Reference</t>
  </si>
  <si>
    <t xml:space="preserve">Used ICIS Prce Forecast sheet </t>
  </si>
  <si>
    <t xml:space="preserve">Need Drewery Reference </t>
  </si>
  <si>
    <t xml:space="preserve">Insurance 0.1% , Can we assume the same ? </t>
  </si>
  <si>
    <t xml:space="preserve">Import Fund Tax 0.5 % - Assumed the same </t>
  </si>
  <si>
    <t xml:space="preserve">Currency outflow Tax  4% of CIF Value - </t>
  </si>
  <si>
    <t xml:space="preserve">Inland Freight - Need Drewery Reference </t>
  </si>
  <si>
    <t xml:space="preserve">Port Handling </t>
  </si>
  <si>
    <t xml:space="preserve">Custom Agent fees </t>
  </si>
  <si>
    <t xml:space="preserve">Custom Clearance Fixed Fee </t>
  </si>
  <si>
    <t xml:space="preserve">Assumed China (Shangai) to Ecudor </t>
  </si>
  <si>
    <t xml:space="preserve">1. Formulae varies from what from formulae overview sheet ?  Scrap , 1% + customs clearance cost is not used ? </t>
  </si>
  <si>
    <t xml:space="preserve">5. Few of the Sheet references - </t>
  </si>
  <si>
    <t xml:space="preserve">Why is it zero ? While for the other sourcing , we have a different sourcing option </t>
  </si>
  <si>
    <t>7. SORF - Money borrowing rate ? Why zero ??</t>
  </si>
  <si>
    <t xml:space="preserve">8. Monthly sheets like Abril 2026 , format is different from Formula Virgen  - Manufacturing Cost Model ? </t>
  </si>
  <si>
    <t xml:space="preserve">Use the same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</si>
</sst>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0">
    <numFmt numFmtId="43" formatCode="_(* #,##0.00_);_(* \(#,##0.00\);_(* &quot;-&quot;??_);_(@_)"/>
    <numFmt numFmtId="164" formatCode="_-&quot;$&quot;\ * #,##0_-;\-&quot;$&quot;\ * #,##0_-;_-&quot;$&quot;\ * &quot;-&quot;_-;_-@_-"/>
    <numFmt numFmtId="165" formatCode="_-* #,##0_-;\-* #,##0_-;_-* &quot;-&quot;_-;_-@_-"/>
    <numFmt numFmtId="166" formatCode="_-&quot;$&quot;\ * #,##0.00_-;\-&quot;$&quot;\ * #,##0.00_-;_-&quot;$&quot;\ * &quot;-&quot;??_-;_-@_-"/>
    <numFmt numFmtId="167" formatCode="_-* #,##0.00_-;\-* #,##0.00_-;_-* &quot;-&quot;??_-;_-@_-"/>
    <numFmt numFmtId="168" formatCode="_(&quot;$&quot;\ * #,##0.00_);_(&quot;$&quot;\ * \(#,##0.00\);_(&quot;$&quot;\ * &quot;-&quot;??_);_(@_)"/>
    <numFmt numFmtId="169" formatCode="_(* #,##0_);_(* \(#,##0\);_(* &quot;-&quot;??_);_(@_)"/>
    <numFmt numFmtId="170" formatCode="&quot;$&quot;\ #,##0"/>
    <numFmt numFmtId="171" formatCode="&quot;$&quot;\ #,##0.00"/>
    <numFmt numFmtId="172" formatCode="0.0%"/>
    <numFmt numFmtId="173" formatCode="_(&quot;$&quot;\ * #,##0_);_(&quot;$&quot;\ * \(#,##0\);_(&quot;$&quot;\ * &quot;-&quot;??_);_(@_)"/>
    <numFmt numFmtId="174" formatCode="&quot;$&quot;\ #,##0.000"/>
    <numFmt numFmtId="175" formatCode="&quot;$&quot;#,##0.00"/>
    <numFmt numFmtId="176" formatCode="_(&quot;$&quot;\ * #,##0.0_);_(&quot;$&quot;\ * \(#,##0.0\);_(&quot;$&quot;\ * &quot;-&quot;??_);_(@_)"/>
    <numFmt numFmtId="177" formatCode="dd\-mmm\-yyyy"/>
    <numFmt numFmtId="178" formatCode="yyyy\-mm"/>
    <numFmt numFmtId="179" formatCode="#,##0_ ;\-#,##0\ "/>
    <numFmt numFmtId="180" formatCode="_ * #,##0.00_ ;_ * \-#,##0.00_ ;_ * &quot;-&quot;??_ ;_ @_ "/>
    <numFmt numFmtId="181" formatCode="#,##0.0000"/>
    <numFmt numFmtId="182" formatCode="_(* #,##0.0_);_(* \(#,##0.0\);_(* &quot;-&quot;??_);_(@_)"/>
    <numFmt numFmtId="183" formatCode="0.000"/>
    <numFmt numFmtId="184" formatCode="_-* #,##0.00_-;\-* #,##0.00_-;_-* &quot;-&quot;_-;_-@_-"/>
    <numFmt numFmtId="185" formatCode="_-* #,##0_-;\-* #,##0_-;_-* &quot;-&quot;??_-;_-@_-"/>
    <numFmt numFmtId="186" formatCode="_-* #,##0.0_-;\-* #,##0.0_-;_-* &quot;-&quot;??_-;_-@_-"/>
    <numFmt numFmtId="187" formatCode="_ * #,##0.000_ ;_ * \-#,##0.000_ ;_ * &quot;-&quot;??_ ;_ @_ "/>
    <numFmt numFmtId="188" formatCode="&quot;$&quot;#,##0.00;[Red]&quot;$&quot;\-#,##0.00"/>
    <numFmt numFmtId="189" formatCode="#,##0.00_ ;[Red]\-#,##0.00\ "/>
    <numFmt numFmtId="190" formatCode="0.0"/>
    <numFmt numFmtId="191" formatCode="_-* #,##0.0_-;\-* #,##0.0_-;_-* &quot;-&quot;?_-;_-@_-"/>
    <numFmt numFmtId="192" formatCode="[$USD]\ #,##0"/>
  </numFmts>
  <fonts count="47" x14ac:knownFonts="1">
    <font>
      <sz val="11"/>
      <color theme="1"/>
      <name val="Calibri"/>
      <family val="2"/>
      <scheme val="minor"/>
    </font>
    <font>
      <sz val="10"/>
      <color theme="1"/>
      <name val="Calibri"/>
      <family val="2"/>
      <scheme val="minor"/>
    </font>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b/>
      <sz val="10"/>
      <name val="Calibri"/>
      <family val="2"/>
      <scheme val="minor"/>
    </font>
    <font>
      <sz val="9"/>
      <color indexed="81"/>
      <name val="Tahoma"/>
      <family val="2"/>
    </font>
    <font>
      <b/>
      <sz val="9"/>
      <color indexed="81"/>
      <name val="Tahoma"/>
      <family val="2"/>
    </font>
    <font>
      <b/>
      <sz val="18"/>
      <color theme="1"/>
      <name val="Calibri"/>
      <family val="2"/>
      <scheme val="minor"/>
    </font>
    <font>
      <sz val="10"/>
      <color theme="1"/>
      <name val="Times New Roman"/>
      <family val="1"/>
    </font>
    <font>
      <sz val="11"/>
      <color rgb="FF000000"/>
      <name val="Calibri"/>
      <family val="2"/>
    </font>
    <font>
      <sz val="10"/>
      <color rgb="FF333333"/>
      <name val="Arial"/>
      <family val="2"/>
    </font>
    <font>
      <b/>
      <sz val="10"/>
      <color theme="1"/>
      <name val="Calibri"/>
      <family val="2"/>
      <scheme val="minor"/>
    </font>
    <font>
      <sz val="10"/>
      <name val="Calibri"/>
      <family val="2"/>
      <scheme val="minor"/>
    </font>
    <font>
      <b/>
      <sz val="9"/>
      <color theme="1"/>
      <name val="Calibri"/>
      <family val="2"/>
      <scheme val="minor"/>
    </font>
    <font>
      <sz val="9"/>
      <color theme="1"/>
      <name val="Calibri"/>
      <family val="2"/>
      <scheme val="minor"/>
    </font>
    <font>
      <b/>
      <sz val="9"/>
      <color rgb="FFFF0000"/>
      <name val="Calibri"/>
      <family val="2"/>
      <scheme val="minor"/>
    </font>
    <font>
      <sz val="10"/>
      <name val="Arial"/>
      <family val="2"/>
    </font>
    <font>
      <sz val="11"/>
      <color rgb="FFFF0000"/>
      <name val="Calibri"/>
      <family val="2"/>
      <scheme val="minor"/>
    </font>
    <font>
      <b/>
      <sz val="11"/>
      <color rgb="FFFF0000"/>
      <name val="Calibri"/>
      <family val="2"/>
      <scheme val="minor"/>
    </font>
    <font>
      <b/>
      <sz val="11"/>
      <color theme="0"/>
      <name val="Calibri"/>
      <family val="2"/>
      <scheme val="minor"/>
    </font>
    <font>
      <b/>
      <sz val="15"/>
      <color indexed="64"/>
      <name val="Calibri"/>
      <family val="2"/>
    </font>
    <font>
      <sz val="11"/>
      <color indexed="64"/>
      <name val="Calibri"/>
      <family val="2"/>
    </font>
    <font>
      <b/>
      <sz val="11"/>
      <color indexed="64"/>
      <name val="Calibri"/>
      <family val="2"/>
    </font>
    <font>
      <u/>
      <sz val="11"/>
      <color rgb="FF0000FF"/>
      <name val="Calibri"/>
      <family val="2"/>
      <scheme val="minor"/>
    </font>
    <font>
      <b/>
      <sz val="11"/>
      <color rgb="FFFF6600"/>
      <name val="Calibri"/>
      <family val="2"/>
      <scheme val="minor"/>
    </font>
    <font>
      <sz val="8"/>
      <name val="Calibri"/>
      <family val="2"/>
      <scheme val="minor"/>
    </font>
    <font>
      <sz val="11"/>
      <color theme="0"/>
      <name val="Calibri"/>
      <family val="2"/>
      <scheme val="minor"/>
    </font>
    <font>
      <sz val="11"/>
      <color theme="1"/>
      <name val="Calibri"/>
      <family val="2"/>
    </font>
    <font>
      <b/>
      <sz val="11"/>
      <color rgb="FF002060"/>
      <name val="Calibri"/>
      <family val="2"/>
      <scheme val="minor"/>
    </font>
    <font>
      <sz val="11"/>
      <color rgb="FFC00000"/>
      <name val="Calibri"/>
      <family val="2"/>
      <scheme val="minor"/>
    </font>
    <font>
      <sz val="11"/>
      <name val="Calibri"/>
      <family val="2"/>
    </font>
    <font>
      <u/>
      <sz val="11"/>
      <color rgb="FF0000FF"/>
      <name val="Calibri"/>
      <family val="2"/>
    </font>
    <font>
      <b/>
      <sz val="11"/>
      <color rgb="FF000000"/>
      <name val="Calibri"/>
      <family val="2"/>
    </font>
    <font>
      <sz val="8"/>
      <color rgb="FFA1A1A1"/>
      <name val="Calibri"/>
      <family val="2"/>
    </font>
    <font>
      <b/>
      <sz val="11"/>
      <name val="Calibri"/>
      <family val="2"/>
    </font>
    <font>
      <b/>
      <sz val="11"/>
      <color theme="0"/>
      <name val="Calibri"/>
      <family val="2"/>
    </font>
    <font>
      <b/>
      <sz val="12"/>
      <color rgb="FFFFFFFF"/>
      <name val="Calibri"/>
      <family val="2"/>
      <scheme val="minor"/>
    </font>
    <font>
      <sz val="12"/>
      <color rgb="FF000000"/>
      <name val="Calibri"/>
      <family val="2"/>
      <scheme val="minor"/>
    </font>
    <font>
      <u/>
      <sz val="11"/>
      <color theme="10"/>
      <name val="Calibri"/>
      <family val="2"/>
      <scheme val="minor"/>
    </font>
    <font>
      <b/>
      <sz val="10"/>
      <color theme="0"/>
      <name val="Calibri"/>
      <family val="2"/>
      <scheme val="minor"/>
    </font>
    <font>
      <sz val="18"/>
      <color theme="1"/>
      <name val="Calibri"/>
      <family val="2"/>
      <scheme val="minor"/>
    </font>
    <font>
      <sz val="11"/>
      <color rgb="FF000000"/>
      <name val="Calibri"/>
      <family val="2"/>
      <scheme val="minor"/>
    </font>
    <font>
      <b/>
      <sz val="11"/>
      <color theme="3"/>
      <name val="Calibri"/>
      <family val="2"/>
      <scheme val="minor"/>
    </font>
    <font>
      <sz val="11"/>
      <color theme="5" tint="-0.499984740745262"/>
      <name val="Calibri"/>
      <family val="2"/>
      <scheme val="minor"/>
    </font>
    <font>
      <b/>
      <sz val="20"/>
      <name val="Calibri"/>
      <family val="2"/>
    </font>
  </fonts>
  <fills count="36">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FFFF99"/>
        <bgColor indexed="64"/>
      </patternFill>
    </fill>
    <fill>
      <patternFill patternType="solid">
        <fgColor rgb="FFFF0000"/>
        <bgColor indexed="64"/>
      </patternFill>
    </fill>
    <fill>
      <patternFill patternType="solid">
        <fgColor rgb="FFFFC000"/>
        <bgColor indexed="64"/>
      </patternFill>
    </fill>
    <fill>
      <patternFill patternType="solid">
        <fgColor rgb="FF002060"/>
        <bgColor indexed="64"/>
      </patternFill>
    </fill>
    <fill>
      <patternFill patternType="solid">
        <fgColor indexed="40"/>
        <bgColor indexed="64"/>
      </patternFill>
    </fill>
    <fill>
      <patternFill patternType="solid">
        <fgColor rgb="FFD8EBB7"/>
        <bgColor indexed="64"/>
      </patternFill>
    </fill>
    <fill>
      <patternFill patternType="solid">
        <fgColor theme="5"/>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3" tint="-0.249977111117893"/>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rgb="FF00B050"/>
        <bgColor indexed="64"/>
      </patternFill>
    </fill>
    <fill>
      <patternFill patternType="solid">
        <fgColor theme="9" tint="0.59999389629810485"/>
        <bgColor indexed="64"/>
      </patternFill>
    </fill>
    <fill>
      <patternFill patternType="solid">
        <fgColor rgb="FF002060"/>
        <bgColor rgb="FF000000"/>
      </patternFill>
    </fill>
    <fill>
      <patternFill patternType="solid">
        <fgColor rgb="FF305496"/>
        <bgColor rgb="FF000000"/>
      </patternFill>
    </fill>
    <fill>
      <patternFill patternType="solid">
        <fgColor rgb="FFFFFFFF"/>
        <bgColor rgb="FF000000"/>
      </patternFill>
    </fill>
    <fill>
      <patternFill patternType="solid">
        <fgColor rgb="FF73FAEC"/>
        <bgColor rgb="FF000000"/>
      </patternFill>
    </fill>
    <fill>
      <patternFill patternType="solid">
        <fgColor theme="4" tint="0.79998168889431442"/>
        <bgColor rgb="FF000000"/>
      </patternFill>
    </fill>
    <fill>
      <patternFill patternType="solid">
        <fgColor theme="8" tint="-0.499984740745262"/>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2" tint="-0.249977111117893"/>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4"/>
        <bgColor indexed="64"/>
      </patternFill>
    </fill>
    <fill>
      <patternFill patternType="solid">
        <fgColor indexed="30"/>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thick">
        <color indexed="8"/>
      </left>
      <right style="thick">
        <color indexed="8"/>
      </right>
      <top style="thick">
        <color indexed="8"/>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style="thick">
        <color indexed="8"/>
      </left>
      <right style="medium">
        <color indexed="64"/>
      </right>
      <top style="medium">
        <color indexed="64"/>
      </top>
      <bottom/>
      <diagonal/>
    </border>
    <border>
      <left style="medium">
        <color indexed="64"/>
      </left>
      <right style="thick">
        <color indexed="8"/>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bottom/>
      <diagonal/>
    </border>
    <border>
      <left style="thin">
        <color indexed="8"/>
      </left>
      <right style="thin">
        <color indexed="8"/>
      </right>
      <top/>
      <bottom/>
      <diagonal/>
    </border>
    <border>
      <left style="thin">
        <color indexed="8"/>
      </left>
      <right style="medium">
        <color indexed="8"/>
      </right>
      <top/>
      <bottom/>
      <diagonal/>
    </border>
    <border>
      <left style="medium">
        <color indexed="8"/>
      </left>
      <right style="thin">
        <color indexed="8"/>
      </right>
      <top/>
      <bottom style="medium">
        <color indexed="8"/>
      </bottom>
      <diagonal/>
    </border>
    <border>
      <left style="thin">
        <color indexed="8"/>
      </left>
      <right style="thin">
        <color indexed="8"/>
      </right>
      <top/>
      <bottom style="medium">
        <color indexed="8"/>
      </bottom>
      <diagonal/>
    </border>
    <border>
      <left style="thin">
        <color indexed="8"/>
      </left>
      <right style="medium">
        <color indexed="8"/>
      </right>
      <top/>
      <bottom style="medium">
        <color indexed="8"/>
      </bottom>
      <diagonal/>
    </border>
  </borders>
  <cellStyleXfs count="62">
    <xf numFmtId="0" fontId="0" fillId="0" borderId="0"/>
    <xf numFmtId="43" fontId="2" fillId="0" borderId="0" applyFont="0" applyFill="0" applyBorder="0" applyAlignment="0" applyProtection="0"/>
    <xf numFmtId="168" fontId="2" fillId="0" borderId="0" applyFont="0" applyFill="0" applyBorder="0" applyAlignment="0" applyProtection="0"/>
    <xf numFmtId="9" fontId="2" fillId="0" borderId="0" applyFont="0" applyFill="0" applyBorder="0" applyAlignment="0" applyProtection="0"/>
    <xf numFmtId="0" fontId="18" fillId="0" borderId="0"/>
    <xf numFmtId="0" fontId="18" fillId="0" borderId="0"/>
    <xf numFmtId="167" fontId="2" fillId="0" borderId="0" applyFont="0" applyFill="0" applyBorder="0" applyAlignment="0" applyProtection="0"/>
    <xf numFmtId="165" fontId="2" fillId="0" borderId="0" applyFont="0" applyFill="0" applyBorder="0" applyAlignment="0" applyProtection="0"/>
    <xf numFmtId="0" fontId="18" fillId="0" borderId="0"/>
    <xf numFmtId="168" fontId="2" fillId="0" borderId="0" applyFont="0" applyFill="0" applyBorder="0" applyAlignment="0" applyProtection="0"/>
    <xf numFmtId="0" fontId="2" fillId="0" borderId="0"/>
    <xf numFmtId="180" fontId="2" fillId="0" borderId="0" applyFont="0" applyFill="0" applyBorder="0" applyAlignment="0" applyProtection="0"/>
    <xf numFmtId="9" fontId="2" fillId="0" borderId="0" applyFont="0" applyFill="0" applyBorder="0" applyAlignment="0" applyProtection="0"/>
    <xf numFmtId="181" fontId="18" fillId="0" borderId="0" applyFont="0" applyFill="0" applyBorder="0" applyAlignment="0" applyProtection="0"/>
    <xf numFmtId="0" fontId="18" fillId="0" borderId="0"/>
    <xf numFmtId="168" fontId="18" fillId="0" borderId="0" applyFont="0" applyFill="0" applyBorder="0" applyAlignment="0" applyProtection="0"/>
    <xf numFmtId="167" fontId="2"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165" fontId="2"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167" fontId="2"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166" fontId="2" fillId="0" borderId="0" applyFont="0" applyFill="0" applyBorder="0" applyAlignment="0" applyProtection="0"/>
    <xf numFmtId="164" fontId="2" fillId="0" borderId="0" applyFont="0" applyFill="0" applyBorder="0" applyAlignment="0" applyProtection="0"/>
    <xf numFmtId="0" fontId="2" fillId="0" borderId="0"/>
    <xf numFmtId="0" fontId="32" fillId="0" borderId="0"/>
    <xf numFmtId="0" fontId="32" fillId="0" borderId="0"/>
    <xf numFmtId="0" fontId="40" fillId="0" borderId="0" applyNumberForma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5" fontId="2" fillId="0" borderId="0" applyFont="0" applyFill="0" applyBorder="0" applyAlignment="0" applyProtection="0"/>
    <xf numFmtId="167" fontId="2" fillId="0" borderId="0" applyFont="0" applyFill="0" applyBorder="0" applyAlignment="0" applyProtection="0"/>
    <xf numFmtId="165" fontId="2" fillId="0" borderId="0" applyFont="0" applyFill="0" applyBorder="0" applyAlignment="0" applyProtection="0"/>
    <xf numFmtId="167" fontId="2" fillId="0" borderId="0" applyFont="0" applyFill="0" applyBorder="0" applyAlignment="0" applyProtection="0"/>
    <xf numFmtId="166" fontId="2" fillId="0" borderId="0" applyFont="0" applyFill="0" applyBorder="0" applyAlignment="0" applyProtection="0"/>
    <xf numFmtId="164" fontId="2" fillId="0" borderId="0" applyFont="0" applyFill="0" applyBorder="0" applyAlignment="0" applyProtection="0"/>
    <xf numFmtId="0" fontId="18" fillId="0" borderId="0"/>
  </cellStyleXfs>
  <cellXfs count="648">
    <xf numFmtId="0" fontId="0" fillId="0" borderId="0" xfId="0"/>
    <xf numFmtId="0" fontId="0" fillId="0" borderId="0" xfId="0" applyAlignment="1">
      <alignment horizontal="center"/>
    </xf>
    <xf numFmtId="2" fontId="0" fillId="0" borderId="0" xfId="0" applyNumberFormat="1"/>
    <xf numFmtId="170" fontId="5" fillId="0" borderId="0" xfId="0" applyNumberFormat="1" applyFont="1" applyAlignment="1">
      <alignment horizontal="center"/>
    </xf>
    <xf numFmtId="9" fontId="0" fillId="0" borderId="0" xfId="3" applyFont="1" applyFill="1"/>
    <xf numFmtId="170" fontId="5" fillId="4" borderId="0" xfId="0" applyNumberFormat="1" applyFont="1" applyFill="1" applyAlignment="1">
      <alignment horizontal="center"/>
    </xf>
    <xf numFmtId="171" fontId="5" fillId="0" borderId="0" xfId="0" applyNumberFormat="1" applyFont="1" applyAlignment="1">
      <alignment horizontal="center"/>
    </xf>
    <xf numFmtId="0" fontId="4" fillId="0" borderId="0" xfId="0" applyFont="1" applyAlignment="1">
      <alignment horizontal="center"/>
    </xf>
    <xf numFmtId="0" fontId="4" fillId="0" borderId="0" xfId="0" applyFont="1"/>
    <xf numFmtId="0" fontId="6" fillId="0" borderId="0" xfId="0" applyFont="1" applyAlignment="1">
      <alignment horizontal="center"/>
    </xf>
    <xf numFmtId="0" fontId="5" fillId="0" borderId="0" xfId="0" applyFont="1" applyAlignment="1">
      <alignment horizontal="center"/>
    </xf>
    <xf numFmtId="0" fontId="5" fillId="0" borderId="0" xfId="0" applyFont="1"/>
    <xf numFmtId="171" fontId="4" fillId="0" borderId="0" xfId="0" applyNumberFormat="1" applyFont="1" applyAlignment="1">
      <alignment horizontal="center"/>
    </xf>
    <xf numFmtId="171" fontId="0" fillId="0" borderId="0" xfId="0" applyNumberFormat="1"/>
    <xf numFmtId="0" fontId="3" fillId="0" borderId="1" xfId="0" applyFont="1" applyBorder="1" applyAlignment="1">
      <alignment horizontal="center"/>
    </xf>
    <xf numFmtId="0" fontId="3" fillId="0" borderId="0" xfId="0" applyFont="1" applyAlignment="1">
      <alignment horizontal="center"/>
    </xf>
    <xf numFmtId="3" fontId="0" fillId="2" borderId="1" xfId="0" applyNumberFormat="1" applyFill="1" applyBorder="1" applyAlignment="1">
      <alignment horizontal="center"/>
    </xf>
    <xf numFmtId="170" fontId="0" fillId="2" borderId="1" xfId="0" applyNumberFormat="1" applyFill="1" applyBorder="1" applyAlignment="1">
      <alignment horizontal="center"/>
    </xf>
    <xf numFmtId="170" fontId="0" fillId="0" borderId="0" xfId="0" applyNumberFormat="1" applyAlignment="1">
      <alignment horizontal="center"/>
    </xf>
    <xf numFmtId="1" fontId="3" fillId="0" borderId="1" xfId="0" applyNumberFormat="1" applyFont="1" applyBorder="1" applyAlignment="1">
      <alignment horizontal="center"/>
    </xf>
    <xf numFmtId="170" fontId="3" fillId="0" borderId="1" xfId="0" applyNumberFormat="1" applyFont="1" applyBorder="1" applyAlignment="1">
      <alignment horizontal="center"/>
    </xf>
    <xf numFmtId="170" fontId="3" fillId="0" borderId="0" xfId="0" applyNumberFormat="1" applyFont="1" applyAlignment="1">
      <alignment horizontal="center"/>
    </xf>
    <xf numFmtId="171" fontId="0" fillId="0" borderId="0" xfId="0" applyNumberFormat="1" applyAlignment="1">
      <alignment horizontal="center"/>
    </xf>
    <xf numFmtId="171" fontId="3" fillId="0" borderId="1" xfId="0" applyNumberFormat="1" applyFont="1" applyBorder="1" applyAlignment="1">
      <alignment horizontal="center"/>
    </xf>
    <xf numFmtId="171" fontId="3" fillId="0" borderId="0" xfId="0" applyNumberFormat="1" applyFont="1" applyAlignment="1">
      <alignment horizontal="center"/>
    </xf>
    <xf numFmtId="0" fontId="0" fillId="0" borderId="0" xfId="0" applyAlignment="1">
      <alignment vertical="center"/>
    </xf>
    <xf numFmtId="171" fontId="0" fillId="0" borderId="1" xfId="0" applyNumberFormat="1" applyBorder="1" applyAlignment="1">
      <alignment horizontal="center" vertical="center"/>
    </xf>
    <xf numFmtId="10" fontId="0" fillId="0" borderId="0" xfId="3" applyNumberFormat="1" applyFont="1" applyFill="1" applyBorder="1" applyAlignment="1">
      <alignment horizontal="center" vertical="center"/>
    </xf>
    <xf numFmtId="0" fontId="0" fillId="0" borderId="0" xfId="0" applyAlignment="1">
      <alignment horizontal="left"/>
    </xf>
    <xf numFmtId="168" fontId="0" fillId="0" borderId="0" xfId="2" applyFont="1" applyFill="1" applyAlignment="1">
      <alignment horizontal="center"/>
    </xf>
    <xf numFmtId="9" fontId="0" fillId="0" borderId="0" xfId="0" applyNumberFormat="1" applyAlignment="1">
      <alignment horizontal="center"/>
    </xf>
    <xf numFmtId="172" fontId="0" fillId="0" borderId="0" xfId="3" applyNumberFormat="1" applyFont="1" applyFill="1" applyAlignment="1">
      <alignment horizontal="center"/>
    </xf>
    <xf numFmtId="0" fontId="3" fillId="5" borderId="0" xfId="0" applyFont="1" applyFill="1" applyAlignment="1">
      <alignment horizontal="left"/>
    </xf>
    <xf numFmtId="168" fontId="3" fillId="5" borderId="0" xfId="2" applyFont="1" applyFill="1" applyAlignment="1">
      <alignment horizontal="center"/>
    </xf>
    <xf numFmtId="169" fontId="4" fillId="0" borderId="0" xfId="1" applyNumberFormat="1" applyFont="1" applyFill="1" applyAlignment="1">
      <alignment horizontal="center"/>
    </xf>
    <xf numFmtId="171" fontId="0" fillId="0" borderId="1" xfId="0" applyNumberFormat="1" applyBorder="1" applyAlignment="1">
      <alignment horizontal="center"/>
    </xf>
    <xf numFmtId="3" fontId="0" fillId="2" borderId="0" xfId="0" applyNumberFormat="1" applyFill="1" applyAlignment="1">
      <alignment horizontal="center"/>
    </xf>
    <xf numFmtId="170" fontId="0" fillId="2" borderId="0" xfId="0" applyNumberFormat="1" applyFill="1" applyAlignment="1">
      <alignment horizontal="center"/>
    </xf>
    <xf numFmtId="1" fontId="3" fillId="0" borderId="0" xfId="0" applyNumberFormat="1" applyFont="1" applyAlignment="1">
      <alignment horizontal="center"/>
    </xf>
    <xf numFmtId="171" fontId="3" fillId="0" borderId="1" xfId="0" applyNumberFormat="1" applyFont="1" applyBorder="1" applyAlignment="1">
      <alignment horizontal="center" vertical="center" wrapText="1"/>
    </xf>
    <xf numFmtId="0" fontId="0" fillId="0" borderId="1" xfId="0" applyBorder="1" applyAlignment="1">
      <alignment horizontal="center" vertical="center" wrapText="1"/>
    </xf>
    <xf numFmtId="0" fontId="5" fillId="0" borderId="1" xfId="0" applyFont="1" applyBorder="1" applyAlignment="1">
      <alignment horizontal="center"/>
    </xf>
    <xf numFmtId="168" fontId="0" fillId="0" borderId="1" xfId="2" applyFont="1" applyFill="1" applyBorder="1" applyAlignment="1">
      <alignment horizontal="center"/>
    </xf>
    <xf numFmtId="173" fontId="0" fillId="0" borderId="1" xfId="2" applyNumberFormat="1" applyFont="1" applyFill="1" applyBorder="1" applyAlignment="1">
      <alignment horizontal="center"/>
    </xf>
    <xf numFmtId="171" fontId="5" fillId="0" borderId="1" xfId="0" applyNumberFormat="1" applyFont="1" applyBorder="1" applyAlignment="1">
      <alignment horizontal="center"/>
    </xf>
    <xf numFmtId="171" fontId="4" fillId="0" borderId="1" xfId="0" applyNumberFormat="1" applyFont="1" applyBorder="1" applyAlignment="1">
      <alignment horizontal="center"/>
    </xf>
    <xf numFmtId="171" fontId="0" fillId="0" borderId="1" xfId="0" applyNumberFormat="1" applyBorder="1"/>
    <xf numFmtId="0" fontId="0" fillId="0" borderId="1" xfId="0" applyBorder="1" applyAlignment="1">
      <alignment vertical="center" wrapText="1"/>
    </xf>
    <xf numFmtId="0" fontId="0" fillId="0" borderId="1" xfId="0" applyBorder="1"/>
    <xf numFmtId="0" fontId="5" fillId="0" borderId="1" xfId="0" applyFont="1" applyBorder="1"/>
    <xf numFmtId="173" fontId="3" fillId="0" borderId="1" xfId="2" applyNumberFormat="1" applyFont="1" applyFill="1" applyBorder="1" applyAlignment="1">
      <alignment horizontal="center"/>
    </xf>
    <xf numFmtId="173" fontId="0" fillId="4" borderId="1" xfId="2" applyNumberFormat="1" applyFont="1" applyFill="1" applyBorder="1" applyAlignment="1">
      <alignment horizontal="center"/>
    </xf>
    <xf numFmtId="173" fontId="2" fillId="4" borderId="1" xfId="2" applyNumberFormat="1" applyFont="1" applyFill="1" applyBorder="1" applyAlignment="1">
      <alignment horizontal="center"/>
    </xf>
    <xf numFmtId="173" fontId="0" fillId="0" borderId="1" xfId="2" applyNumberFormat="1" applyFont="1" applyFill="1" applyBorder="1" applyAlignment="1">
      <alignment horizontal="center" vertical="center"/>
    </xf>
    <xf numFmtId="173" fontId="2" fillId="0" borderId="1" xfId="2" applyNumberFormat="1" applyFont="1" applyFill="1" applyBorder="1" applyAlignment="1">
      <alignment horizontal="center"/>
    </xf>
    <xf numFmtId="173" fontId="4" fillId="0" borderId="1" xfId="2" applyNumberFormat="1" applyFont="1" applyFill="1" applyBorder="1" applyAlignment="1"/>
    <xf numFmtId="173" fontId="4" fillId="0" borderId="1" xfId="2" applyNumberFormat="1" applyFont="1" applyFill="1" applyBorder="1" applyAlignment="1">
      <alignment horizontal="center"/>
    </xf>
    <xf numFmtId="173" fontId="5" fillId="0" borderId="1" xfId="2" applyNumberFormat="1" applyFont="1" applyFill="1" applyBorder="1" applyAlignment="1">
      <alignment horizontal="center"/>
    </xf>
    <xf numFmtId="173" fontId="4" fillId="0" borderId="0" xfId="2" applyNumberFormat="1" applyFont="1" applyFill="1" applyAlignment="1">
      <alignment horizontal="center"/>
    </xf>
    <xf numFmtId="173" fontId="3" fillId="0" borderId="0" xfId="0" applyNumberFormat="1" applyFont="1" applyAlignment="1">
      <alignment horizontal="center"/>
    </xf>
    <xf numFmtId="0" fontId="5" fillId="3" borderId="0" xfId="0" applyFont="1" applyFill="1"/>
    <xf numFmtId="0" fontId="9" fillId="0" borderId="0" xfId="0" applyFont="1" applyAlignment="1">
      <alignment horizontal="left"/>
    </xf>
    <xf numFmtId="173" fontId="0" fillId="4" borderId="4" xfId="2" applyNumberFormat="1" applyFont="1" applyFill="1" applyBorder="1" applyAlignment="1">
      <alignment horizontal="center"/>
    </xf>
    <xf numFmtId="171" fontId="5" fillId="6" borderId="0" xfId="0" applyNumberFormat="1" applyFont="1" applyFill="1" applyAlignment="1">
      <alignment horizontal="center"/>
    </xf>
    <xf numFmtId="0" fontId="0" fillId="6" borderId="0" xfId="0" applyFill="1"/>
    <xf numFmtId="0" fontId="5" fillId="6" borderId="0" xfId="0" applyFont="1" applyFill="1"/>
    <xf numFmtId="0" fontId="1" fillId="0" borderId="0" xfId="0" applyFont="1" applyAlignment="1">
      <alignment wrapText="1"/>
    </xf>
    <xf numFmtId="174" fontId="4" fillId="0" borderId="0" xfId="0" applyNumberFormat="1" applyFont="1" applyAlignment="1">
      <alignment horizontal="center"/>
    </xf>
    <xf numFmtId="174" fontId="5" fillId="0" borderId="0" xfId="0" applyNumberFormat="1" applyFont="1" applyAlignment="1">
      <alignment horizontal="center"/>
    </xf>
    <xf numFmtId="174" fontId="5" fillId="6" borderId="0" xfId="0" applyNumberFormat="1" applyFont="1" applyFill="1" applyAlignment="1">
      <alignment horizontal="center"/>
    </xf>
    <xf numFmtId="173" fontId="0" fillId="4" borderId="0" xfId="2" applyNumberFormat="1" applyFont="1" applyFill="1" applyBorder="1" applyAlignment="1">
      <alignment horizontal="center"/>
    </xf>
    <xf numFmtId="0" fontId="3" fillId="0" borderId="0" xfId="0" applyFont="1"/>
    <xf numFmtId="0" fontId="4" fillId="0" borderId="0" xfId="0" applyFont="1" applyAlignment="1">
      <alignment vertical="center"/>
    </xf>
    <xf numFmtId="0" fontId="6" fillId="0" borderId="0" xfId="0" applyFont="1" applyAlignment="1">
      <alignment horizontal="center" vertical="center"/>
    </xf>
    <xf numFmtId="171" fontId="0" fillId="0" borderId="0" xfId="0" applyNumberFormat="1" applyAlignment="1">
      <alignment horizontal="center" vertical="center"/>
    </xf>
    <xf numFmtId="0" fontId="5" fillId="7" borderId="0" xfId="0" applyFont="1" applyFill="1"/>
    <xf numFmtId="171" fontId="5" fillId="7" borderId="0" xfId="0" applyNumberFormat="1" applyFont="1" applyFill="1" applyAlignment="1">
      <alignment horizontal="center"/>
    </xf>
    <xf numFmtId="0" fontId="3" fillId="0" borderId="0" xfId="0" applyFont="1" applyAlignment="1">
      <alignment horizontal="left"/>
    </xf>
    <xf numFmtId="170" fontId="5" fillId="2" borderId="0" xfId="0" applyNumberFormat="1" applyFont="1" applyFill="1" applyAlignment="1">
      <alignment horizontal="center"/>
    </xf>
    <xf numFmtId="0" fontId="5" fillId="2" borderId="0" xfId="0" applyFont="1" applyFill="1"/>
    <xf numFmtId="171" fontId="5" fillId="2" borderId="0" xfId="0" applyNumberFormat="1" applyFont="1" applyFill="1" applyAlignment="1">
      <alignment horizontal="center"/>
    </xf>
    <xf numFmtId="0" fontId="0" fillId="2" borderId="0" xfId="0" applyFill="1"/>
    <xf numFmtId="0" fontId="0" fillId="2" borderId="0" xfId="0" applyFill="1" applyAlignment="1">
      <alignment horizontal="center"/>
    </xf>
    <xf numFmtId="9" fontId="0" fillId="2" borderId="0" xfId="3" applyFont="1" applyFill="1"/>
    <xf numFmtId="171" fontId="4" fillId="2" borderId="0" xfId="0" applyNumberFormat="1" applyFont="1" applyFill="1" applyAlignment="1">
      <alignment horizontal="center"/>
    </xf>
    <xf numFmtId="0" fontId="4" fillId="2" borderId="0" xfId="0" applyFont="1" applyFill="1"/>
    <xf numFmtId="0" fontId="3" fillId="2" borderId="0" xfId="0" applyFont="1" applyFill="1" applyAlignment="1">
      <alignment horizontal="left"/>
    </xf>
    <xf numFmtId="0" fontId="3" fillId="2" borderId="0" xfId="0" applyFont="1" applyFill="1"/>
    <xf numFmtId="2" fontId="0" fillId="2" borderId="0" xfId="0" applyNumberFormat="1" applyFill="1"/>
    <xf numFmtId="1" fontId="3" fillId="2" borderId="0" xfId="0" applyNumberFormat="1" applyFont="1" applyFill="1" applyAlignment="1">
      <alignment horizontal="center"/>
    </xf>
    <xf numFmtId="170" fontId="3" fillId="2" borderId="0" xfId="0" applyNumberFormat="1" applyFont="1" applyFill="1" applyAlignment="1">
      <alignment horizontal="center"/>
    </xf>
    <xf numFmtId="0" fontId="4" fillId="2" borderId="0" xfId="0" applyFont="1" applyFill="1" applyAlignment="1">
      <alignment horizontal="center"/>
    </xf>
    <xf numFmtId="169" fontId="4" fillId="2" borderId="0" xfId="1" applyNumberFormat="1" applyFont="1" applyFill="1" applyAlignment="1">
      <alignment horizontal="center"/>
    </xf>
    <xf numFmtId="0" fontId="9" fillId="2" borderId="0" xfId="0" applyFont="1" applyFill="1" applyAlignment="1">
      <alignment horizontal="left"/>
    </xf>
    <xf numFmtId="171" fontId="0" fillId="2" borderId="0" xfId="0" applyNumberFormat="1" applyFill="1"/>
    <xf numFmtId="0" fontId="0" fillId="2" borderId="0" xfId="0" applyFill="1" applyAlignment="1">
      <alignment vertical="center"/>
    </xf>
    <xf numFmtId="0" fontId="6" fillId="2" borderId="0" xfId="0" applyFont="1" applyFill="1" applyAlignment="1">
      <alignment horizontal="center"/>
    </xf>
    <xf numFmtId="0" fontId="6" fillId="2" borderId="0" xfId="0" applyFont="1" applyFill="1" applyAlignment="1">
      <alignment horizontal="center" vertical="center"/>
    </xf>
    <xf numFmtId="171" fontId="0" fillId="2" borderId="0" xfId="0" applyNumberFormat="1" applyFill="1" applyAlignment="1">
      <alignment horizontal="center" vertical="center"/>
    </xf>
    <xf numFmtId="171" fontId="3" fillId="2" borderId="1" xfId="0" applyNumberFormat="1" applyFont="1" applyFill="1" applyBorder="1" applyAlignment="1">
      <alignment horizontal="center" vertical="center" wrapText="1"/>
    </xf>
    <xf numFmtId="0" fontId="4" fillId="2" borderId="0" xfId="0" applyFont="1" applyFill="1" applyAlignment="1">
      <alignment vertical="center"/>
    </xf>
    <xf numFmtId="0" fontId="5" fillId="2" borderId="0" xfId="0" applyFont="1" applyFill="1" applyAlignment="1">
      <alignment horizontal="center"/>
    </xf>
    <xf numFmtId="171" fontId="0" fillId="2" borderId="1" xfId="0" applyNumberFormat="1" applyFill="1" applyBorder="1"/>
    <xf numFmtId="171" fontId="0" fillId="2" borderId="1" xfId="0" applyNumberFormat="1" applyFill="1" applyBorder="1" applyAlignment="1">
      <alignment horizontal="center"/>
    </xf>
    <xf numFmtId="173" fontId="0" fillId="2" borderId="1" xfId="2" applyNumberFormat="1" applyFont="1" applyFill="1" applyBorder="1" applyAlignment="1">
      <alignment horizontal="center"/>
    </xf>
    <xf numFmtId="173" fontId="2" fillId="2" borderId="1" xfId="2" applyNumberFormat="1" applyFont="1" applyFill="1" applyBorder="1" applyAlignment="1">
      <alignment horizontal="center"/>
    </xf>
    <xf numFmtId="0" fontId="0" fillId="2" borderId="1" xfId="0" applyFill="1" applyBorder="1" applyAlignment="1">
      <alignment vertical="center" wrapText="1"/>
    </xf>
    <xf numFmtId="0" fontId="0" fillId="2" borderId="1" xfId="0" applyFill="1" applyBorder="1" applyAlignment="1">
      <alignment horizontal="center" vertical="center" wrapText="1"/>
    </xf>
    <xf numFmtId="173" fontId="0" fillId="2" borderId="1" xfId="2" applyNumberFormat="1" applyFont="1" applyFill="1" applyBorder="1" applyAlignment="1">
      <alignment horizontal="center" vertical="center"/>
    </xf>
    <xf numFmtId="0" fontId="0" fillId="2" borderId="1" xfId="0" applyFill="1" applyBorder="1"/>
    <xf numFmtId="0" fontId="3" fillId="2" borderId="1" xfId="0" applyFont="1" applyFill="1" applyBorder="1" applyAlignment="1">
      <alignment horizontal="center"/>
    </xf>
    <xf numFmtId="173" fontId="3" fillId="2" borderId="1" xfId="2" applyNumberFormat="1" applyFont="1" applyFill="1" applyBorder="1" applyAlignment="1">
      <alignment horizontal="center"/>
    </xf>
    <xf numFmtId="173" fontId="4" fillId="2" borderId="1" xfId="2" applyNumberFormat="1" applyFont="1" applyFill="1" applyBorder="1" applyAlignment="1"/>
    <xf numFmtId="0" fontId="5" fillId="2" borderId="1" xfId="0" applyFont="1" applyFill="1" applyBorder="1"/>
    <xf numFmtId="0" fontId="5" fillId="2" borderId="1" xfId="0" applyFont="1" applyFill="1" applyBorder="1" applyAlignment="1">
      <alignment horizontal="center"/>
    </xf>
    <xf numFmtId="173" fontId="4" fillId="2" borderId="1" xfId="2" applyNumberFormat="1" applyFont="1" applyFill="1" applyBorder="1" applyAlignment="1">
      <alignment horizontal="center"/>
    </xf>
    <xf numFmtId="168" fontId="0" fillId="2" borderId="1" xfId="2" applyFont="1" applyFill="1" applyBorder="1" applyAlignment="1">
      <alignment horizontal="center"/>
    </xf>
    <xf numFmtId="171" fontId="5" fillId="2" borderId="1" xfId="0" applyNumberFormat="1" applyFont="1" applyFill="1" applyBorder="1" applyAlignment="1">
      <alignment horizontal="center"/>
    </xf>
    <xf numFmtId="173" fontId="5" fillId="2" borderId="1" xfId="2" applyNumberFormat="1" applyFont="1" applyFill="1" applyBorder="1" applyAlignment="1">
      <alignment horizontal="center"/>
    </xf>
    <xf numFmtId="171" fontId="4" fillId="2" borderId="1" xfId="0" applyNumberFormat="1" applyFont="1" applyFill="1" applyBorder="1" applyAlignment="1">
      <alignment horizontal="center"/>
    </xf>
    <xf numFmtId="173" fontId="4" fillId="2" borderId="0" xfId="2" applyNumberFormat="1" applyFont="1" applyFill="1" applyAlignment="1">
      <alignment horizontal="center"/>
    </xf>
    <xf numFmtId="0" fontId="0" fillId="7" borderId="0" xfId="0" applyFill="1"/>
    <xf numFmtId="0" fontId="3" fillId="2" borderId="0" xfId="0" applyFont="1" applyFill="1" applyAlignment="1">
      <alignment horizontal="right"/>
    </xf>
    <xf numFmtId="16" fontId="3" fillId="2" borderId="0" xfId="0" applyNumberFormat="1" applyFont="1" applyFill="1" applyAlignment="1">
      <alignment horizontal="center"/>
    </xf>
    <xf numFmtId="0" fontId="4" fillId="2" borderId="0" xfId="0" applyFont="1" applyFill="1" applyAlignment="1">
      <alignment horizontal="left"/>
    </xf>
    <xf numFmtId="0" fontId="0" fillId="5" borderId="1" xfId="0" applyFill="1" applyBorder="1"/>
    <xf numFmtId="173" fontId="0" fillId="5" borderId="1" xfId="2" applyNumberFormat="1" applyFont="1" applyFill="1" applyBorder="1" applyAlignment="1">
      <alignment horizontal="center"/>
    </xf>
    <xf numFmtId="173" fontId="2" fillId="5" borderId="1" xfId="2" applyNumberFormat="1" applyFont="1" applyFill="1" applyBorder="1" applyAlignment="1">
      <alignment horizontal="center"/>
    </xf>
    <xf numFmtId="0" fontId="0" fillId="5" borderId="1" xfId="0" applyFill="1" applyBorder="1" applyAlignment="1">
      <alignment vertical="center" wrapText="1"/>
    </xf>
    <xf numFmtId="173" fontId="0" fillId="5" borderId="1" xfId="2" applyNumberFormat="1" applyFont="1" applyFill="1" applyBorder="1" applyAlignment="1">
      <alignment horizontal="center" vertical="center"/>
    </xf>
    <xf numFmtId="173" fontId="0" fillId="0" borderId="4" xfId="2" applyNumberFormat="1" applyFont="1" applyFill="1" applyBorder="1" applyAlignment="1">
      <alignment horizontal="center"/>
    </xf>
    <xf numFmtId="173" fontId="0" fillId="0" borderId="0" xfId="2" applyNumberFormat="1" applyFont="1" applyFill="1" applyBorder="1" applyAlignment="1">
      <alignment horizontal="center"/>
    </xf>
    <xf numFmtId="171" fontId="0" fillId="2" borderId="0" xfId="0" applyNumberFormat="1" applyFill="1" applyAlignment="1">
      <alignment horizontal="center"/>
    </xf>
    <xf numFmtId="0" fontId="0" fillId="2" borderId="0" xfId="0" applyFill="1" applyAlignment="1">
      <alignment wrapText="1"/>
    </xf>
    <xf numFmtId="170" fontId="5" fillId="2" borderId="0" xfId="0" applyNumberFormat="1" applyFont="1" applyFill="1" applyAlignment="1">
      <alignment horizontal="center" wrapText="1"/>
    </xf>
    <xf numFmtId="0" fontId="0" fillId="2" borderId="0" xfId="0" applyFill="1" applyAlignment="1">
      <alignment horizontal="center" wrapText="1"/>
    </xf>
    <xf numFmtId="2" fontId="0" fillId="2" borderId="0" xfId="0" applyNumberFormat="1" applyFill="1" applyAlignment="1">
      <alignment wrapText="1"/>
    </xf>
    <xf numFmtId="171" fontId="5" fillId="2" borderId="0" xfId="0" applyNumberFormat="1" applyFont="1" applyFill="1" applyAlignment="1">
      <alignment horizontal="center" wrapText="1"/>
    </xf>
    <xf numFmtId="1" fontId="3" fillId="2" borderId="0" xfId="0" applyNumberFormat="1" applyFont="1" applyFill="1" applyAlignment="1">
      <alignment horizontal="center" wrapText="1"/>
    </xf>
    <xf numFmtId="170" fontId="3" fillId="2" borderId="0" xfId="0" applyNumberFormat="1" applyFont="1" applyFill="1" applyAlignment="1">
      <alignment horizontal="center" wrapText="1"/>
    </xf>
    <xf numFmtId="170" fontId="0" fillId="2" borderId="0" xfId="0" applyNumberFormat="1" applyFill="1" applyAlignment="1">
      <alignment horizontal="center" wrapText="1"/>
    </xf>
    <xf numFmtId="170" fontId="5" fillId="2" borderId="0" xfId="0" applyNumberFormat="1" applyFont="1" applyFill="1" applyAlignment="1">
      <alignment horizontal="center" vertical="center" wrapText="1"/>
    </xf>
    <xf numFmtId="0" fontId="0" fillId="2" borderId="0" xfId="0" applyFill="1" applyAlignment="1">
      <alignment horizontal="center" vertical="center" wrapText="1"/>
    </xf>
    <xf numFmtId="9" fontId="0" fillId="2" borderId="0" xfId="3" applyFont="1" applyFill="1" applyAlignment="1">
      <alignment horizontal="center" vertical="center" wrapText="1"/>
    </xf>
    <xf numFmtId="2" fontId="0" fillId="2" borderId="0" xfId="0" applyNumberFormat="1" applyFill="1" applyAlignment="1">
      <alignment horizontal="center" vertical="center" wrapText="1"/>
    </xf>
    <xf numFmtId="0" fontId="4" fillId="2" borderId="0" xfId="0" applyFont="1" applyFill="1" applyAlignment="1">
      <alignment horizontal="center" vertical="center" wrapText="1"/>
    </xf>
    <xf numFmtId="0" fontId="4" fillId="2" borderId="0" xfId="0" applyFont="1" applyFill="1" applyAlignment="1">
      <alignment horizontal="center" wrapText="1"/>
    </xf>
    <xf numFmtId="171" fontId="3" fillId="2" borderId="1" xfId="0" applyNumberFormat="1" applyFont="1" applyFill="1" applyBorder="1" applyAlignment="1">
      <alignment horizontal="center" vertical="center"/>
    </xf>
    <xf numFmtId="0" fontId="11" fillId="0" borderId="0" xfId="0" applyFont="1" applyAlignment="1">
      <alignment vertical="center"/>
    </xf>
    <xf numFmtId="0" fontId="10" fillId="0" borderId="0" xfId="0" applyFont="1"/>
    <xf numFmtId="16" fontId="0" fillId="0" borderId="0" xfId="0" applyNumberFormat="1" applyAlignment="1">
      <alignment horizontal="center"/>
    </xf>
    <xf numFmtId="14" fontId="12" fillId="0" borderId="0" xfId="0" applyNumberFormat="1" applyFont="1" applyAlignment="1">
      <alignment horizontal="right" vertical="center"/>
    </xf>
    <xf numFmtId="0" fontId="12" fillId="0" borderId="0" xfId="0" applyFont="1" applyAlignment="1">
      <alignment vertical="center"/>
    </xf>
    <xf numFmtId="0" fontId="12" fillId="0" borderId="0" xfId="0" applyFont="1" applyAlignment="1">
      <alignment horizontal="right" vertical="center"/>
    </xf>
    <xf numFmtId="3" fontId="12" fillId="0" borderId="0" xfId="0" applyNumberFormat="1" applyFont="1" applyAlignment="1">
      <alignment horizontal="right" vertical="center"/>
    </xf>
    <xf numFmtId="0" fontId="12" fillId="4" borderId="0" xfId="0" applyFont="1" applyFill="1" applyAlignment="1">
      <alignment horizontal="right" vertical="center"/>
    </xf>
    <xf numFmtId="2" fontId="12" fillId="4" borderId="0" xfId="0" applyNumberFormat="1" applyFont="1" applyFill="1" applyAlignment="1">
      <alignment horizontal="right" vertical="center"/>
    </xf>
    <xf numFmtId="0" fontId="0" fillId="4" borderId="1" xfId="0" applyFill="1" applyBorder="1"/>
    <xf numFmtId="173" fontId="3" fillId="4" borderId="1" xfId="2" applyNumberFormat="1" applyFont="1" applyFill="1" applyBorder="1" applyAlignment="1">
      <alignment horizontal="center"/>
    </xf>
    <xf numFmtId="173" fontId="4" fillId="4" borderId="1" xfId="2" applyNumberFormat="1" applyFont="1" applyFill="1" applyBorder="1" applyAlignment="1"/>
    <xf numFmtId="0" fontId="5" fillId="4" borderId="1" xfId="0" applyFont="1" applyFill="1" applyBorder="1"/>
    <xf numFmtId="173" fontId="4" fillId="4" borderId="1" xfId="2" applyNumberFormat="1" applyFont="1" applyFill="1" applyBorder="1" applyAlignment="1">
      <alignment horizontal="center"/>
    </xf>
    <xf numFmtId="0" fontId="4" fillId="2" borderId="0" xfId="0" applyFont="1" applyFill="1" applyAlignment="1">
      <alignment horizontal="center" vertical="center"/>
    </xf>
    <xf numFmtId="168" fontId="0" fillId="2" borderId="0" xfId="2" applyFont="1" applyFill="1" applyBorder="1" applyAlignment="1">
      <alignment horizontal="center" vertical="center"/>
    </xf>
    <xf numFmtId="43" fontId="0" fillId="2" borderId="0" xfId="1" applyFont="1" applyFill="1"/>
    <xf numFmtId="171" fontId="5" fillId="2" borderId="0" xfId="0" applyNumberFormat="1" applyFont="1" applyFill="1" applyAlignment="1">
      <alignment horizontal="center" vertical="center"/>
    </xf>
    <xf numFmtId="0" fontId="0" fillId="5" borderId="1" xfId="0" applyFill="1" applyBorder="1" applyAlignment="1">
      <alignment vertical="center"/>
    </xf>
    <xf numFmtId="173" fontId="2" fillId="5" borderId="1" xfId="2" applyNumberFormat="1" applyFont="1" applyFill="1" applyBorder="1" applyAlignment="1">
      <alignment horizontal="center" vertical="center"/>
    </xf>
    <xf numFmtId="0" fontId="5" fillId="2" borderId="0" xfId="0" applyFont="1" applyFill="1" applyAlignment="1">
      <alignment vertical="center"/>
    </xf>
    <xf numFmtId="0" fontId="4" fillId="2" borderId="0" xfId="0" applyFont="1" applyFill="1" applyAlignment="1">
      <alignment horizontal="right"/>
    </xf>
    <xf numFmtId="0" fontId="5" fillId="2" borderId="0" xfId="0" applyFont="1" applyFill="1" applyAlignment="1">
      <alignment horizontal="right"/>
    </xf>
    <xf numFmtId="0" fontId="4" fillId="2" borderId="0" xfId="0" applyFont="1" applyFill="1" applyAlignment="1">
      <alignment horizontal="right" vertical="center" wrapText="1"/>
    </xf>
    <xf numFmtId="0" fontId="5" fillId="7" borderId="0" xfId="0" applyFont="1" applyFill="1" applyAlignment="1">
      <alignment horizontal="right"/>
    </xf>
    <xf numFmtId="0" fontId="0" fillId="2" borderId="0" xfId="0" applyFill="1" applyAlignment="1">
      <alignment horizontal="right"/>
    </xf>
    <xf numFmtId="0" fontId="4" fillId="2" borderId="0" xfId="0" applyFont="1" applyFill="1" applyAlignment="1">
      <alignment horizontal="right" wrapText="1"/>
    </xf>
    <xf numFmtId="0" fontId="4" fillId="7" borderId="0" xfId="0" applyFont="1" applyFill="1" applyAlignment="1">
      <alignment horizontal="right" vertical="center" wrapText="1"/>
    </xf>
    <xf numFmtId="9" fontId="4" fillId="7" borderId="0" xfId="0" applyNumberFormat="1" applyFont="1" applyFill="1" applyAlignment="1">
      <alignment horizontal="center" vertical="center"/>
    </xf>
    <xf numFmtId="0" fontId="4" fillId="7" borderId="0" xfId="0" applyFont="1" applyFill="1" applyAlignment="1">
      <alignment horizontal="center" vertical="center"/>
    </xf>
    <xf numFmtId="0" fontId="1" fillId="0" borderId="0" xfId="0" applyFont="1"/>
    <xf numFmtId="0" fontId="0" fillId="4" borderId="1" xfId="0" applyFill="1" applyBorder="1" applyAlignment="1">
      <alignment vertical="center" wrapText="1"/>
    </xf>
    <xf numFmtId="173" fontId="0" fillId="4" borderId="1" xfId="2" applyNumberFormat="1" applyFont="1" applyFill="1" applyBorder="1" applyAlignment="1">
      <alignment horizontal="center" vertical="center"/>
    </xf>
    <xf numFmtId="173" fontId="4" fillId="2" borderId="0" xfId="0" applyNumberFormat="1" applyFont="1" applyFill="1"/>
    <xf numFmtId="173" fontId="0" fillId="2" borderId="0" xfId="0" applyNumberFormat="1" applyFill="1"/>
    <xf numFmtId="171" fontId="15" fillId="2" borderId="1" xfId="0" applyNumberFormat="1" applyFont="1" applyFill="1" applyBorder="1" applyAlignment="1">
      <alignment horizontal="center" vertical="center"/>
    </xf>
    <xf numFmtId="171" fontId="15" fillId="2" borderId="1" xfId="0" applyNumberFormat="1" applyFont="1" applyFill="1" applyBorder="1" applyAlignment="1">
      <alignment horizontal="center" vertical="center" wrapText="1"/>
    </xf>
    <xf numFmtId="0" fontId="16" fillId="0" borderId="0" xfId="0" applyFont="1"/>
    <xf numFmtId="171" fontId="16" fillId="2" borderId="1" xfId="0" applyNumberFormat="1" applyFont="1" applyFill="1" applyBorder="1"/>
    <xf numFmtId="0" fontId="16" fillId="5" borderId="1" xfId="0" applyFont="1" applyFill="1" applyBorder="1" applyAlignment="1">
      <alignment vertical="center" wrapText="1"/>
    </xf>
    <xf numFmtId="173" fontId="16" fillId="5" borderId="1" xfId="2" applyNumberFormat="1" applyFont="1" applyFill="1" applyBorder="1" applyAlignment="1">
      <alignment horizontal="center" vertical="center"/>
    </xf>
    <xf numFmtId="0" fontId="16" fillId="5" borderId="1" xfId="0" applyFont="1" applyFill="1" applyBorder="1" applyAlignment="1">
      <alignment vertical="center"/>
    </xf>
    <xf numFmtId="173" fontId="16" fillId="2" borderId="1" xfId="2" applyNumberFormat="1" applyFont="1" applyFill="1" applyBorder="1" applyAlignment="1">
      <alignment horizontal="center"/>
    </xf>
    <xf numFmtId="0" fontId="16" fillId="2" borderId="1" xfId="0" applyFont="1" applyFill="1" applyBorder="1" applyAlignment="1">
      <alignment vertical="center" wrapText="1"/>
    </xf>
    <xf numFmtId="173" fontId="16" fillId="2" borderId="1" xfId="2" applyNumberFormat="1" applyFont="1" applyFill="1" applyBorder="1" applyAlignment="1">
      <alignment horizontal="center" vertical="center"/>
    </xf>
    <xf numFmtId="43" fontId="16" fillId="0" borderId="1" xfId="1" applyFont="1" applyBorder="1"/>
    <xf numFmtId="173" fontId="15" fillId="2" borderId="1" xfId="2" applyNumberFormat="1" applyFont="1" applyFill="1" applyBorder="1" applyAlignment="1">
      <alignment horizontal="center" vertical="center"/>
    </xf>
    <xf numFmtId="0" fontId="15" fillId="2" borderId="1" xfId="0" applyFont="1" applyFill="1" applyBorder="1" applyAlignment="1">
      <alignment vertical="center" wrapText="1"/>
    </xf>
    <xf numFmtId="0" fontId="15" fillId="4" borderId="1" xfId="0" applyFont="1" applyFill="1" applyBorder="1" applyAlignment="1">
      <alignment vertical="center" wrapText="1"/>
    </xf>
    <xf numFmtId="173" fontId="15" fillId="4" borderId="1" xfId="2" applyNumberFormat="1" applyFont="1" applyFill="1" applyBorder="1" applyAlignment="1">
      <alignment horizontal="center" vertical="center"/>
    </xf>
    <xf numFmtId="0" fontId="17" fillId="4" borderId="1" xfId="0" applyFont="1" applyFill="1" applyBorder="1"/>
    <xf numFmtId="173" fontId="17" fillId="4" borderId="1" xfId="2" applyNumberFormat="1" applyFont="1" applyFill="1" applyBorder="1" applyAlignment="1">
      <alignment horizontal="center"/>
    </xf>
    <xf numFmtId="170" fontId="4" fillId="2" borderId="0" xfId="0" applyNumberFormat="1" applyFont="1" applyFill="1" applyAlignment="1">
      <alignment horizontal="right" wrapText="1"/>
    </xf>
    <xf numFmtId="175" fontId="0" fillId="2" borderId="0" xfId="0" applyNumberFormat="1" applyFill="1" applyAlignment="1">
      <alignment horizontal="center"/>
    </xf>
    <xf numFmtId="173" fontId="3" fillId="2" borderId="0" xfId="0" applyNumberFormat="1" applyFont="1" applyFill="1"/>
    <xf numFmtId="173" fontId="20" fillId="2" borderId="0" xfId="0" applyNumberFormat="1" applyFont="1" applyFill="1"/>
    <xf numFmtId="0" fontId="20" fillId="2" borderId="0" xfId="0" applyFont="1" applyFill="1"/>
    <xf numFmtId="171" fontId="19" fillId="2" borderId="0" xfId="0" applyNumberFormat="1" applyFont="1" applyFill="1" applyAlignment="1">
      <alignment horizontal="center"/>
    </xf>
    <xf numFmtId="0" fontId="19" fillId="2" borderId="0" xfId="0" applyFont="1" applyFill="1"/>
    <xf numFmtId="0" fontId="20" fillId="2" borderId="0" xfId="0" applyFont="1" applyFill="1" applyAlignment="1">
      <alignment horizontal="center"/>
    </xf>
    <xf numFmtId="9" fontId="5" fillId="2" borderId="0" xfId="3" applyFont="1" applyFill="1" applyAlignment="1">
      <alignment horizontal="center"/>
    </xf>
    <xf numFmtId="173" fontId="0" fillId="9" borderId="1" xfId="2" applyNumberFormat="1" applyFont="1" applyFill="1" applyBorder="1" applyAlignment="1">
      <alignment horizontal="center" vertical="center"/>
    </xf>
    <xf numFmtId="173" fontId="0" fillId="10" borderId="1" xfId="2" applyNumberFormat="1" applyFont="1" applyFill="1" applyBorder="1" applyAlignment="1">
      <alignment horizontal="center" vertical="center"/>
    </xf>
    <xf numFmtId="176" fontId="20" fillId="2" borderId="0" xfId="0" applyNumberFormat="1" applyFont="1" applyFill="1"/>
    <xf numFmtId="0" fontId="22" fillId="0" borderId="0" xfId="4" applyFont="1"/>
    <xf numFmtId="0" fontId="18" fillId="0" borderId="0" xfId="4"/>
    <xf numFmtId="0" fontId="23" fillId="0" borderId="0" xfId="4" applyFont="1"/>
    <xf numFmtId="0" fontId="25" fillId="0" borderId="0" xfId="0" applyFont="1"/>
    <xf numFmtId="0" fontId="26" fillId="0" borderId="0" xfId="0" applyFont="1" applyAlignment="1">
      <alignment horizontal="left"/>
    </xf>
    <xf numFmtId="178" fontId="3" fillId="0" borderId="0" xfId="0" applyNumberFormat="1" applyFont="1" applyAlignment="1">
      <alignment horizontal="right"/>
    </xf>
    <xf numFmtId="0" fontId="0" fillId="4" borderId="0" xfId="0" applyFill="1"/>
    <xf numFmtId="4" fontId="0" fillId="0" borderId="0" xfId="0" applyNumberFormat="1"/>
    <xf numFmtId="4" fontId="0" fillId="13" borderId="0" xfId="0" applyNumberFormat="1" applyFill="1"/>
    <xf numFmtId="0" fontId="0" fillId="10" borderId="0" xfId="0" applyFill="1"/>
    <xf numFmtId="0" fontId="0" fillId="14" borderId="0" xfId="0" applyFill="1"/>
    <xf numFmtId="4" fontId="0" fillId="10" borderId="0" xfId="0" applyNumberFormat="1" applyFill="1"/>
    <xf numFmtId="10" fontId="0" fillId="2" borderId="0" xfId="0" applyNumberFormat="1" applyFill="1" applyAlignment="1">
      <alignment horizontal="center"/>
    </xf>
    <xf numFmtId="179" fontId="0" fillId="2" borderId="0" xfId="7" applyNumberFormat="1" applyFont="1" applyFill="1" applyAlignment="1">
      <alignment horizontal="center"/>
    </xf>
    <xf numFmtId="177" fontId="23" fillId="0" borderId="5" xfId="4" applyNumberFormat="1" applyFont="1" applyBorder="1" applyAlignment="1">
      <alignment horizontal="right"/>
    </xf>
    <xf numFmtId="2" fontId="23" fillId="0" borderId="5" xfId="4" applyNumberFormat="1" applyFont="1" applyBorder="1" applyAlignment="1">
      <alignment horizontal="right"/>
    </xf>
    <xf numFmtId="2" fontId="23" fillId="0" borderId="6" xfId="4" applyNumberFormat="1" applyFont="1" applyBorder="1" applyAlignment="1">
      <alignment horizontal="right"/>
    </xf>
    <xf numFmtId="177" fontId="23" fillId="0" borderId="7" xfId="4" applyNumberFormat="1" applyFont="1" applyBorder="1" applyAlignment="1">
      <alignment horizontal="right"/>
    </xf>
    <xf numFmtId="2" fontId="23" fillId="0" borderId="7" xfId="4" applyNumberFormat="1" applyFont="1" applyBorder="1" applyAlignment="1">
      <alignment horizontal="right"/>
    </xf>
    <xf numFmtId="2" fontId="23" fillId="0" borderId="8" xfId="4" applyNumberFormat="1" applyFont="1" applyBorder="1" applyAlignment="1">
      <alignment horizontal="right"/>
    </xf>
    <xf numFmtId="177" fontId="23" fillId="0" borderId="7" xfId="0" applyNumberFormat="1" applyFont="1" applyBorder="1" applyAlignment="1">
      <alignment horizontal="right"/>
    </xf>
    <xf numFmtId="2" fontId="23" fillId="0" borderId="7" xfId="0" applyNumberFormat="1" applyFont="1" applyBorder="1" applyAlignment="1">
      <alignment horizontal="right"/>
    </xf>
    <xf numFmtId="2" fontId="23" fillId="0" borderId="8" xfId="0" applyNumberFormat="1" applyFont="1" applyBorder="1" applyAlignment="1">
      <alignment horizontal="right"/>
    </xf>
    <xf numFmtId="9" fontId="0" fillId="2" borderId="0" xfId="3" applyFont="1" applyFill="1" applyAlignment="1">
      <alignment horizontal="center"/>
    </xf>
    <xf numFmtId="0" fontId="24" fillId="12" borderId="9" xfId="4" applyFont="1" applyFill="1" applyBorder="1" applyAlignment="1">
      <alignment horizontal="center" vertical="center" wrapText="1"/>
    </xf>
    <xf numFmtId="177" fontId="23" fillId="0" borderId="0" xfId="0" applyNumberFormat="1" applyFont="1" applyAlignment="1">
      <alignment horizontal="right"/>
    </xf>
    <xf numFmtId="2" fontId="23" fillId="0" borderId="0" xfId="0" applyNumberFormat="1" applyFont="1" applyAlignment="1">
      <alignment horizontal="right"/>
    </xf>
    <xf numFmtId="177" fontId="23" fillId="0" borderId="7" xfId="4" quotePrefix="1" applyNumberFormat="1" applyFont="1" applyBorder="1" applyAlignment="1">
      <alignment horizontal="right"/>
    </xf>
    <xf numFmtId="14" fontId="23" fillId="0" borderId="7" xfId="0" quotePrefix="1" applyNumberFormat="1" applyFont="1" applyBorder="1" applyAlignment="1">
      <alignment horizontal="right"/>
    </xf>
    <xf numFmtId="165" fontId="0" fillId="2" borderId="0" xfId="7" applyFont="1" applyFill="1"/>
    <xf numFmtId="165" fontId="0" fillId="2" borderId="0" xfId="0" applyNumberFormat="1" applyFill="1" applyAlignment="1">
      <alignment vertical="center"/>
    </xf>
    <xf numFmtId="170" fontId="5" fillId="8" borderId="0" xfId="0" applyNumberFormat="1" applyFont="1" applyFill="1" applyAlignment="1">
      <alignment horizontal="center" vertical="center" wrapText="1"/>
    </xf>
    <xf numFmtId="170" fontId="5" fillId="3" borderId="0" xfId="0" applyNumberFormat="1" applyFont="1" applyFill="1" applyAlignment="1">
      <alignment horizontal="center" wrapText="1"/>
    </xf>
    <xf numFmtId="0" fontId="4" fillId="2" borderId="12" xfId="0" applyFont="1" applyFill="1" applyBorder="1" applyAlignment="1">
      <alignment horizontal="center"/>
    </xf>
    <xf numFmtId="0" fontId="4" fillId="2" borderId="8" xfId="0" applyFont="1" applyFill="1" applyBorder="1" applyAlignment="1">
      <alignment horizontal="center"/>
    </xf>
    <xf numFmtId="171" fontId="5" fillId="8" borderId="12" xfId="0" applyNumberFormat="1" applyFont="1" applyFill="1" applyBorder="1" applyAlignment="1">
      <alignment horizontal="center"/>
    </xf>
    <xf numFmtId="171" fontId="5" fillId="8" borderId="0" xfId="0" applyNumberFormat="1" applyFont="1" applyFill="1" applyAlignment="1">
      <alignment horizontal="center"/>
    </xf>
    <xf numFmtId="171" fontId="5" fillId="3" borderId="12" xfId="0" applyNumberFormat="1" applyFont="1" applyFill="1" applyBorder="1" applyAlignment="1">
      <alignment horizontal="center"/>
    </xf>
    <xf numFmtId="171" fontId="5" fillId="3" borderId="0" xfId="0" applyNumberFormat="1" applyFont="1" applyFill="1" applyAlignment="1">
      <alignment horizontal="center"/>
    </xf>
    <xf numFmtId="171" fontId="5" fillId="3" borderId="8" xfId="0" applyNumberFormat="1" applyFont="1" applyFill="1" applyBorder="1" applyAlignment="1">
      <alignment horizontal="center"/>
    </xf>
    <xf numFmtId="171" fontId="4" fillId="2" borderId="12" xfId="0" applyNumberFormat="1" applyFont="1" applyFill="1" applyBorder="1" applyAlignment="1">
      <alignment horizontal="center"/>
    </xf>
    <xf numFmtId="171" fontId="5" fillId="2" borderId="8" xfId="0" applyNumberFormat="1" applyFont="1" applyFill="1" applyBorder="1" applyAlignment="1">
      <alignment horizontal="center"/>
    </xf>
    <xf numFmtId="171" fontId="5" fillId="2" borderId="12" xfId="0" applyNumberFormat="1" applyFont="1" applyFill="1" applyBorder="1" applyAlignment="1">
      <alignment horizontal="center"/>
    </xf>
    <xf numFmtId="171" fontId="4" fillId="2" borderId="13" xfId="0" applyNumberFormat="1" applyFont="1" applyFill="1" applyBorder="1" applyAlignment="1">
      <alignment horizontal="center"/>
    </xf>
    <xf numFmtId="171" fontId="4" fillId="2" borderId="14" xfId="0" applyNumberFormat="1" applyFont="1" applyFill="1" applyBorder="1" applyAlignment="1">
      <alignment horizontal="center"/>
    </xf>
    <xf numFmtId="171" fontId="5" fillId="8" borderId="8" xfId="0" applyNumberFormat="1" applyFont="1" applyFill="1" applyBorder="1" applyAlignment="1">
      <alignment horizontal="center"/>
    </xf>
    <xf numFmtId="171" fontId="4" fillId="2" borderId="8" xfId="0" applyNumberFormat="1" applyFont="1" applyFill="1" applyBorder="1" applyAlignment="1">
      <alignment horizontal="center"/>
    </xf>
    <xf numFmtId="171" fontId="4" fillId="2" borderId="15" xfId="0" applyNumberFormat="1" applyFont="1" applyFill="1" applyBorder="1" applyAlignment="1">
      <alignment horizontal="center"/>
    </xf>
    <xf numFmtId="0" fontId="4" fillId="0" borderId="0" xfId="0" applyFont="1" applyAlignment="1">
      <alignment horizontal="center" vertical="center"/>
    </xf>
    <xf numFmtId="2" fontId="0" fillId="0" borderId="0" xfId="0" applyNumberFormat="1" applyAlignment="1">
      <alignment horizontal="center" vertical="center" wrapText="1"/>
    </xf>
    <xf numFmtId="2" fontId="0" fillId="0" borderId="0" xfId="0" applyNumberFormat="1" applyAlignment="1">
      <alignment wrapText="1"/>
    </xf>
    <xf numFmtId="0" fontId="0" fillId="0" borderId="1" xfId="0" applyBorder="1" applyAlignment="1">
      <alignment horizontal="center"/>
    </xf>
    <xf numFmtId="9" fontId="0" fillId="0" borderId="1" xfId="0" applyNumberFormat="1" applyBorder="1" applyAlignment="1">
      <alignment horizontal="center"/>
    </xf>
    <xf numFmtId="0" fontId="28" fillId="17" borderId="4" xfId="0" applyFont="1" applyFill="1" applyBorder="1" applyAlignment="1">
      <alignment horizontal="center"/>
    </xf>
    <xf numFmtId="43" fontId="0" fillId="0" borderId="1" xfId="1" applyFont="1" applyBorder="1"/>
    <xf numFmtId="43" fontId="0" fillId="0" borderId="1" xfId="0" applyNumberFormat="1" applyBorder="1"/>
    <xf numFmtId="0" fontId="28" fillId="17" borderId="1" xfId="0" applyFont="1" applyFill="1" applyBorder="1" applyAlignment="1">
      <alignment horizontal="center"/>
    </xf>
    <xf numFmtId="0" fontId="28" fillId="17" borderId="16" xfId="0" applyFont="1" applyFill="1" applyBorder="1" applyAlignment="1">
      <alignment horizontal="center"/>
    </xf>
    <xf numFmtId="0" fontId="28" fillId="17" borderId="17" xfId="0" applyFont="1" applyFill="1" applyBorder="1" applyAlignment="1">
      <alignment horizontal="center"/>
    </xf>
    <xf numFmtId="0" fontId="15" fillId="0" borderId="0" xfId="0" applyFont="1"/>
    <xf numFmtId="3" fontId="6" fillId="2" borderId="0" xfId="0" applyNumberFormat="1" applyFont="1" applyFill="1" applyAlignment="1">
      <alignment horizontal="center" vertical="center"/>
    </xf>
    <xf numFmtId="170" fontId="0" fillId="2" borderId="0" xfId="0" applyNumberFormat="1" applyFill="1"/>
    <xf numFmtId="174" fontId="5" fillId="2" borderId="0" xfId="0" applyNumberFormat="1" applyFont="1" applyFill="1" applyAlignment="1">
      <alignment horizontal="center"/>
    </xf>
    <xf numFmtId="0" fontId="3" fillId="2" borderId="0" xfId="0" applyFont="1" applyFill="1" applyAlignment="1">
      <alignment horizontal="center"/>
    </xf>
    <xf numFmtId="0" fontId="28" fillId="11" borderId="0" xfId="0" applyFont="1" applyFill="1" applyAlignment="1">
      <alignment horizontal="center"/>
    </xf>
    <xf numFmtId="15" fontId="0" fillId="0" borderId="0" xfId="0" applyNumberFormat="1"/>
    <xf numFmtId="10" fontId="0" fillId="0" borderId="0" xfId="0" applyNumberFormat="1" applyAlignment="1">
      <alignment horizontal="center"/>
    </xf>
    <xf numFmtId="10" fontId="0" fillId="0" borderId="0" xfId="3" applyNumberFormat="1" applyFont="1" applyAlignment="1">
      <alignment horizontal="center"/>
    </xf>
    <xf numFmtId="169" fontId="0" fillId="0" borderId="0" xfId="1" applyNumberFormat="1" applyFont="1"/>
    <xf numFmtId="169" fontId="3" fillId="19" borderId="0" xfId="1" applyNumberFormat="1" applyFont="1" applyFill="1"/>
    <xf numFmtId="169" fontId="3" fillId="20" borderId="0" xfId="1" applyNumberFormat="1" applyFont="1" applyFill="1"/>
    <xf numFmtId="0" fontId="3" fillId="18" borderId="0" xfId="0" applyFont="1" applyFill="1"/>
    <xf numFmtId="0" fontId="4" fillId="2" borderId="5" xfId="0" applyFont="1" applyFill="1" applyBorder="1" applyAlignment="1">
      <alignment horizontal="center"/>
    </xf>
    <xf numFmtId="0" fontId="5" fillId="2" borderId="7" xfId="0" applyFont="1" applyFill="1" applyBorder="1" applyAlignment="1">
      <alignment horizontal="center"/>
    </xf>
    <xf numFmtId="0" fontId="4" fillId="7" borderId="7" xfId="0" applyFont="1" applyFill="1" applyBorder="1" applyAlignment="1">
      <alignment horizontal="center" vertical="center" wrapText="1"/>
    </xf>
    <xf numFmtId="0" fontId="5" fillId="8" borderId="7" xfId="0" applyFont="1" applyFill="1" applyBorder="1" applyAlignment="1">
      <alignment horizontal="center"/>
    </xf>
    <xf numFmtId="0" fontId="5" fillId="3" borderId="7" xfId="0" applyFont="1" applyFill="1" applyBorder="1" applyAlignment="1">
      <alignment horizontal="center"/>
    </xf>
    <xf numFmtId="0" fontId="4" fillId="2" borderId="7" xfId="0" applyFont="1" applyFill="1" applyBorder="1" applyAlignment="1">
      <alignment horizontal="center"/>
    </xf>
    <xf numFmtId="0" fontId="5" fillId="0" borderId="7" xfId="0" applyFont="1" applyBorder="1" applyAlignment="1">
      <alignment horizontal="center"/>
    </xf>
    <xf numFmtId="0" fontId="4" fillId="2" borderId="18" xfId="0" applyFont="1" applyFill="1" applyBorder="1" applyAlignment="1">
      <alignment horizontal="center"/>
    </xf>
    <xf numFmtId="0" fontId="5" fillId="2" borderId="10" xfId="0" applyFont="1" applyFill="1" applyBorder="1" applyAlignment="1">
      <alignment horizontal="center"/>
    </xf>
    <xf numFmtId="0" fontId="5" fillId="2" borderId="11" xfId="0" applyFont="1" applyFill="1" applyBorder="1" applyAlignment="1">
      <alignment horizontal="center"/>
    </xf>
    <xf numFmtId="0" fontId="5" fillId="2" borderId="6" xfId="0" applyFont="1" applyFill="1" applyBorder="1" applyAlignment="1">
      <alignment horizontal="center"/>
    </xf>
    <xf numFmtId="3" fontId="3" fillId="18" borderId="0" xfId="0" applyNumberFormat="1" applyFont="1" applyFill="1"/>
    <xf numFmtId="17" fontId="30" fillId="18" borderId="0" xfId="0" applyNumberFormat="1" applyFont="1" applyFill="1"/>
    <xf numFmtId="3" fontId="0" fillId="8" borderId="0" xfId="0" applyNumberFormat="1" applyFill="1"/>
    <xf numFmtId="3" fontId="0" fillId="0" borderId="0" xfId="0" applyNumberFormat="1"/>
    <xf numFmtId="0" fontId="33" fillId="0" borderId="0" xfId="50" applyFont="1"/>
    <xf numFmtId="0" fontId="32" fillId="0" borderId="0" xfId="50"/>
    <xf numFmtId="0" fontId="34" fillId="0" borderId="0" xfId="50" applyFont="1"/>
    <xf numFmtId="4" fontId="32" fillId="0" borderId="0" xfId="50" applyNumberFormat="1"/>
    <xf numFmtId="0" fontId="32" fillId="0" borderId="0" xfId="51"/>
    <xf numFmtId="0" fontId="36" fillId="0" borderId="1" xfId="51" applyFont="1" applyBorder="1" applyAlignment="1">
      <alignment horizontal="center"/>
    </xf>
    <xf numFmtId="0" fontId="32" fillId="0" borderId="1" xfId="51" applyBorder="1" applyAlignment="1">
      <alignment horizontal="center"/>
    </xf>
    <xf numFmtId="180" fontId="32" fillId="0" borderId="1" xfId="11" applyFont="1" applyBorder="1" applyAlignment="1">
      <alignment horizontal="center"/>
    </xf>
    <xf numFmtId="180" fontId="32" fillId="0" borderId="0" xfId="51" applyNumberFormat="1"/>
    <xf numFmtId="180" fontId="32" fillId="0" borderId="1" xfId="51" applyNumberFormat="1" applyBorder="1"/>
    <xf numFmtId="17" fontId="36" fillId="0" borderId="1" xfId="51" applyNumberFormat="1" applyFont="1" applyBorder="1" applyAlignment="1">
      <alignment horizontal="center"/>
    </xf>
    <xf numFmtId="178" fontId="34" fillId="0" borderId="0" xfId="50" applyNumberFormat="1" applyFont="1" applyAlignment="1">
      <alignment horizontal="center"/>
    </xf>
    <xf numFmtId="4" fontId="32" fillId="0" borderId="0" xfId="50" applyNumberFormat="1" applyAlignment="1">
      <alignment horizontal="center"/>
    </xf>
    <xf numFmtId="2" fontId="32" fillId="0" borderId="0" xfId="50" applyNumberFormat="1" applyAlignment="1">
      <alignment horizontal="center"/>
    </xf>
    <xf numFmtId="0" fontId="32" fillId="0" borderId="0" xfId="50" applyAlignment="1">
      <alignment horizontal="center"/>
    </xf>
    <xf numFmtId="43" fontId="32" fillId="0" borderId="0" xfId="1" applyFont="1" applyAlignment="1">
      <alignment horizontal="center"/>
    </xf>
    <xf numFmtId="169" fontId="0" fillId="3" borderId="0" xfId="1" applyNumberFormat="1" applyFont="1" applyFill="1" applyAlignment="1">
      <alignment horizontal="center"/>
    </xf>
    <xf numFmtId="169" fontId="30" fillId="18" borderId="0" xfId="1" applyNumberFormat="1" applyFont="1" applyFill="1" applyAlignment="1">
      <alignment horizontal="center"/>
    </xf>
    <xf numFmtId="0" fontId="4" fillId="3" borderId="20" xfId="0" applyFont="1" applyFill="1" applyBorder="1" applyAlignment="1">
      <alignment horizontal="center" vertical="center" wrapText="1"/>
    </xf>
    <xf numFmtId="0" fontId="4" fillId="3" borderId="21" xfId="0" applyFont="1" applyFill="1" applyBorder="1" applyAlignment="1">
      <alignment horizontal="center" vertical="center" wrapText="1"/>
    </xf>
    <xf numFmtId="0" fontId="4" fillId="3" borderId="22" xfId="0" applyFont="1" applyFill="1" applyBorder="1" applyAlignment="1">
      <alignment horizontal="center" vertical="center" wrapText="1"/>
    </xf>
    <xf numFmtId="0" fontId="4" fillId="7" borderId="12" xfId="0" applyFont="1" applyFill="1" applyBorder="1" applyAlignment="1">
      <alignment horizontal="center" vertical="center" wrapText="1"/>
    </xf>
    <xf numFmtId="0" fontId="4" fillId="7" borderId="0" xfId="0" applyFont="1" applyFill="1" applyAlignment="1">
      <alignment horizontal="center" vertical="center" wrapText="1"/>
    </xf>
    <xf numFmtId="0" fontId="4" fillId="7" borderId="8" xfId="0" applyFont="1" applyFill="1" applyBorder="1" applyAlignment="1">
      <alignment horizontal="center" vertical="center" wrapText="1"/>
    </xf>
    <xf numFmtId="0" fontId="4" fillId="0" borderId="0" xfId="0" applyFont="1" applyAlignment="1">
      <alignment horizontal="center" vertical="center" wrapText="1"/>
    </xf>
    <xf numFmtId="171" fontId="4" fillId="0" borderId="15" xfId="0" applyNumberFormat="1" applyFont="1" applyBorder="1" applyAlignment="1">
      <alignment horizontal="center"/>
    </xf>
    <xf numFmtId="43" fontId="32" fillId="15" borderId="0" xfId="1" applyFont="1" applyFill="1" applyAlignment="1">
      <alignment horizontal="center"/>
    </xf>
    <xf numFmtId="0" fontId="36" fillId="15" borderId="1" xfId="51" applyFont="1" applyFill="1" applyBorder="1" applyAlignment="1">
      <alignment horizontal="center"/>
    </xf>
    <xf numFmtId="2" fontId="0" fillId="2" borderId="0" xfId="3" applyNumberFormat="1" applyFont="1" applyFill="1"/>
    <xf numFmtId="4" fontId="19" fillId="2" borderId="0" xfId="0" applyNumberFormat="1" applyFont="1" applyFill="1"/>
    <xf numFmtId="4" fontId="0" fillId="2" borderId="0" xfId="0" applyNumberFormat="1" applyFill="1"/>
    <xf numFmtId="174" fontId="5" fillId="8" borderId="8" xfId="0" applyNumberFormat="1" applyFont="1" applyFill="1" applyBorder="1" applyAlignment="1">
      <alignment horizontal="center"/>
    </xf>
    <xf numFmtId="183" fontId="0" fillId="2" borderId="0" xfId="3" applyNumberFormat="1" applyFont="1" applyFill="1"/>
    <xf numFmtId="0" fontId="36" fillId="0" borderId="0" xfId="50" applyFont="1"/>
    <xf numFmtId="0" fontId="36" fillId="0" borderId="0" xfId="51" applyFont="1"/>
    <xf numFmtId="43" fontId="32" fillId="0" borderId="0" xfId="1" applyFont="1" applyFill="1" applyAlignment="1">
      <alignment horizontal="center"/>
    </xf>
    <xf numFmtId="0" fontId="38" fillId="23" borderId="23" xfId="0" applyFont="1" applyFill="1" applyBorder="1" applyAlignment="1">
      <alignment horizontal="center" vertical="center" wrapText="1"/>
    </xf>
    <xf numFmtId="0" fontId="38" fillId="24" borderId="23" xfId="0" applyFont="1" applyFill="1" applyBorder="1" applyAlignment="1">
      <alignment horizontal="center" vertical="center" wrapText="1"/>
    </xf>
    <xf numFmtId="0" fontId="38" fillId="23" borderId="24" xfId="0" applyFont="1" applyFill="1" applyBorder="1" applyAlignment="1">
      <alignment horizontal="center" vertical="center" wrapText="1"/>
    </xf>
    <xf numFmtId="0" fontId="38" fillId="23" borderId="24" xfId="0" applyFont="1" applyFill="1" applyBorder="1" applyAlignment="1">
      <alignment horizontal="center" vertical="center"/>
    </xf>
    <xf numFmtId="0" fontId="39" fillId="0" borderId="25" xfId="0" applyFont="1" applyBorder="1" applyAlignment="1">
      <alignment horizontal="center" vertical="center"/>
    </xf>
    <xf numFmtId="0" fontId="39" fillId="26" borderId="25" xfId="0" applyFont="1" applyFill="1" applyBorder="1" applyAlignment="1">
      <alignment horizontal="center" vertical="center"/>
    </xf>
    <xf numFmtId="0" fontId="39" fillId="0" borderId="26" xfId="0" applyFont="1" applyBorder="1" applyAlignment="1">
      <alignment horizontal="center" vertical="center"/>
    </xf>
    <xf numFmtId="0" fontId="39" fillId="26" borderId="26" xfId="0" applyFont="1" applyFill="1" applyBorder="1" applyAlignment="1">
      <alignment horizontal="center" vertical="center"/>
    </xf>
    <xf numFmtId="0" fontId="39" fillId="0" borderId="24" xfId="0" applyFont="1" applyBorder="1" applyAlignment="1">
      <alignment horizontal="center" vertical="center"/>
    </xf>
    <xf numFmtId="3" fontId="39" fillId="25" borderId="24" xfId="0" applyNumberFormat="1" applyFont="1" applyFill="1" applyBorder="1" applyAlignment="1">
      <alignment horizontal="center" vertical="center"/>
    </xf>
    <xf numFmtId="14" fontId="39" fillId="0" borderId="24" xfId="0" applyNumberFormat="1" applyFont="1" applyBorder="1" applyAlignment="1">
      <alignment horizontal="center" vertical="center"/>
    </xf>
    <xf numFmtId="0" fontId="39" fillId="0" borderId="24" xfId="0" applyFont="1" applyBorder="1" applyAlignment="1">
      <alignment horizontal="center"/>
    </xf>
    <xf numFmtId="0" fontId="39" fillId="0" borderId="27" xfId="0" applyFont="1" applyBorder="1" applyAlignment="1">
      <alignment horizontal="center" vertical="center"/>
    </xf>
    <xf numFmtId="0" fontId="39" fillId="0" borderId="28" xfId="0" applyFont="1" applyBorder="1" applyAlignment="1">
      <alignment horizontal="center" vertical="center"/>
    </xf>
    <xf numFmtId="3" fontId="39" fillId="0" borderId="28" xfId="0" applyNumberFormat="1" applyFont="1" applyBorder="1" applyAlignment="1">
      <alignment horizontal="center" vertical="center"/>
    </xf>
    <xf numFmtId="14" fontId="39" fillId="0" borderId="28" xfId="0" applyNumberFormat="1" applyFont="1" applyBorder="1" applyAlignment="1">
      <alignment horizontal="center" vertical="center"/>
    </xf>
    <xf numFmtId="0" fontId="39" fillId="0" borderId="28" xfId="0" applyFont="1" applyBorder="1" applyAlignment="1">
      <alignment horizontal="center"/>
    </xf>
    <xf numFmtId="14" fontId="39" fillId="0" borderId="29" xfId="0" applyNumberFormat="1" applyFont="1" applyBorder="1" applyAlignment="1">
      <alignment horizontal="center" vertical="center"/>
    </xf>
    <xf numFmtId="0" fontId="39" fillId="27" borderId="30" xfId="0" applyFont="1" applyFill="1" applyBorder="1" applyAlignment="1">
      <alignment horizontal="center" vertical="center"/>
    </xf>
    <xf numFmtId="0" fontId="39" fillId="27" borderId="31" xfId="0" applyFont="1" applyFill="1" applyBorder="1" applyAlignment="1">
      <alignment horizontal="center" vertical="center"/>
    </xf>
    <xf numFmtId="3" fontId="39" fillId="27" borderId="31" xfId="0" applyNumberFormat="1" applyFont="1" applyFill="1" applyBorder="1" applyAlignment="1">
      <alignment horizontal="center" vertical="center"/>
    </xf>
    <xf numFmtId="14" fontId="39" fillId="27" borderId="31" xfId="0" applyNumberFormat="1" applyFont="1" applyFill="1" applyBorder="1" applyAlignment="1">
      <alignment horizontal="center" vertical="center"/>
    </xf>
    <xf numFmtId="0" fontId="39" fillId="27" borderId="31" xfId="0" applyFont="1" applyFill="1" applyBorder="1" applyAlignment="1">
      <alignment horizontal="center"/>
    </xf>
    <xf numFmtId="0" fontId="39" fillId="3" borderId="31" xfId="0" applyFont="1" applyFill="1" applyBorder="1" applyAlignment="1">
      <alignment horizontal="center" vertical="center"/>
    </xf>
    <xf numFmtId="14" fontId="39" fillId="3" borderId="32" xfId="0" applyNumberFormat="1" applyFont="1" applyFill="1" applyBorder="1" applyAlignment="1">
      <alignment horizontal="center" vertical="center"/>
    </xf>
    <xf numFmtId="3" fontId="39" fillId="0" borderId="25" xfId="0" applyNumberFormat="1" applyFont="1" applyBorder="1" applyAlignment="1">
      <alignment horizontal="center" vertical="center"/>
    </xf>
    <xf numFmtId="43" fontId="0" fillId="0" borderId="0" xfId="1" applyFont="1"/>
    <xf numFmtId="182" fontId="0" fillId="0" borderId="0" xfId="1" applyNumberFormat="1" applyFont="1"/>
    <xf numFmtId="0" fontId="30" fillId="18" borderId="0" xfId="0" applyFont="1" applyFill="1" applyAlignment="1">
      <alignment horizontal="center"/>
    </xf>
    <xf numFmtId="1" fontId="0" fillId="2" borderId="0" xfId="0" applyNumberFormat="1" applyFill="1"/>
    <xf numFmtId="43" fontId="13" fillId="10" borderId="0" xfId="0" applyNumberFormat="1" applyFont="1" applyFill="1" applyAlignment="1">
      <alignment horizontal="left" vertical="center"/>
    </xf>
    <xf numFmtId="0" fontId="40" fillId="0" borderId="0" xfId="52"/>
    <xf numFmtId="10" fontId="1" fillId="10" borderId="0" xfId="0" applyNumberFormat="1" applyFont="1" applyFill="1"/>
    <xf numFmtId="0" fontId="1" fillId="10" borderId="0" xfId="0" applyFont="1" applyFill="1"/>
    <xf numFmtId="10" fontId="1" fillId="10" borderId="0" xfId="3" applyNumberFormat="1" applyFont="1" applyFill="1"/>
    <xf numFmtId="0" fontId="1" fillId="0" borderId="33" xfId="0" applyFont="1" applyBorder="1"/>
    <xf numFmtId="172" fontId="1" fillId="0" borderId="0" xfId="3" applyNumberFormat="1" applyFont="1"/>
    <xf numFmtId="169" fontId="28" fillId="0" borderId="0" xfId="1" applyNumberFormat="1" applyFont="1" applyAlignment="1">
      <alignment horizontal="center"/>
    </xf>
    <xf numFmtId="0" fontId="28" fillId="0" borderId="0" xfId="0" applyFont="1"/>
    <xf numFmtId="169" fontId="28" fillId="0" borderId="0" xfId="1" applyNumberFormat="1" applyFont="1"/>
    <xf numFmtId="169" fontId="28" fillId="0" borderId="0" xfId="0" applyNumberFormat="1" applyFont="1"/>
    <xf numFmtId="169" fontId="21" fillId="0" borderId="0" xfId="1" applyNumberFormat="1" applyFont="1" applyAlignment="1">
      <alignment horizontal="center"/>
    </xf>
    <xf numFmtId="0" fontId="21" fillId="0" borderId="0" xfId="0" applyFont="1"/>
    <xf numFmtId="169" fontId="21" fillId="0" borderId="0" xfId="1" applyNumberFormat="1" applyFont="1"/>
    <xf numFmtId="0" fontId="0" fillId="0" borderId="0" xfId="0" applyAlignment="1">
      <alignment horizontal="center" vertical="center"/>
    </xf>
    <xf numFmtId="0" fontId="4" fillId="2" borderId="19" xfId="0" applyFont="1" applyFill="1" applyBorder="1" applyAlignment="1">
      <alignment horizontal="center"/>
    </xf>
    <xf numFmtId="0" fontId="41" fillId="0" borderId="0" xfId="0" applyFont="1" applyAlignment="1">
      <alignment horizontal="left"/>
    </xf>
    <xf numFmtId="184" fontId="1" fillId="0" borderId="0" xfId="7" applyNumberFormat="1" applyFont="1" applyAlignment="1">
      <alignment horizontal="left" vertical="center"/>
    </xf>
    <xf numFmtId="0" fontId="41" fillId="28" borderId="11" xfId="0" applyFont="1" applyFill="1" applyBorder="1" applyAlignment="1">
      <alignment horizontal="center" vertical="center" wrapText="1"/>
    </xf>
    <xf numFmtId="0" fontId="41" fillId="28" borderId="6" xfId="0" applyFont="1" applyFill="1" applyBorder="1" applyAlignment="1">
      <alignment horizontal="center" vertical="center" wrapText="1"/>
    </xf>
    <xf numFmtId="0" fontId="13" fillId="7" borderId="5" xfId="0" applyFont="1" applyFill="1" applyBorder="1" applyAlignment="1">
      <alignment horizontal="left" vertical="center"/>
    </xf>
    <xf numFmtId="173" fontId="1" fillId="29" borderId="6" xfId="2" applyNumberFormat="1" applyFont="1" applyFill="1" applyBorder="1" applyAlignment="1">
      <alignment horizontal="center"/>
    </xf>
    <xf numFmtId="185" fontId="1" fillId="29" borderId="11" xfId="0" applyNumberFormat="1" applyFont="1" applyFill="1" applyBorder="1" applyAlignment="1">
      <alignment horizontal="center"/>
    </xf>
    <xf numFmtId="0" fontId="13" fillId="7" borderId="7" xfId="0" applyFont="1" applyFill="1" applyBorder="1" applyAlignment="1">
      <alignment horizontal="left" vertical="center"/>
    </xf>
    <xf numFmtId="173" fontId="1" fillId="29" borderId="8" xfId="2" applyNumberFormat="1" applyFont="1" applyFill="1" applyBorder="1" applyAlignment="1">
      <alignment horizontal="center"/>
    </xf>
    <xf numFmtId="185" fontId="14" fillId="29" borderId="0" xfId="0" applyNumberFormat="1" applyFont="1" applyFill="1" applyAlignment="1">
      <alignment horizontal="center"/>
    </xf>
    <xf numFmtId="185" fontId="1" fillId="29" borderId="0" xfId="0" applyNumberFormat="1" applyFont="1" applyFill="1" applyAlignment="1">
      <alignment horizontal="center"/>
    </xf>
    <xf numFmtId="0" fontId="13" fillId="7" borderId="18" xfId="0" applyFont="1" applyFill="1" applyBorder="1" applyAlignment="1">
      <alignment horizontal="left" vertical="center"/>
    </xf>
    <xf numFmtId="173" fontId="1" fillId="29" borderId="15" xfId="2" applyNumberFormat="1" applyFont="1" applyFill="1" applyBorder="1" applyAlignment="1">
      <alignment horizontal="center"/>
    </xf>
    <xf numFmtId="185" fontId="1" fillId="29" borderId="14" xfId="0" applyNumberFormat="1" applyFont="1" applyFill="1" applyBorder="1" applyAlignment="1">
      <alignment horizontal="center"/>
    </xf>
    <xf numFmtId="185" fontId="1" fillId="0" borderId="0" xfId="0" applyNumberFormat="1" applyFont="1" applyAlignment="1">
      <alignment horizontal="left"/>
    </xf>
    <xf numFmtId="173" fontId="0" fillId="0" borderId="0" xfId="0" applyNumberFormat="1" applyAlignment="1">
      <alignment horizontal="center"/>
    </xf>
    <xf numFmtId="0" fontId="1" fillId="0" borderId="0" xfId="0" applyFont="1" applyAlignment="1">
      <alignment horizontal="left"/>
    </xf>
    <xf numFmtId="185" fontId="1" fillId="0" borderId="0" xfId="0" applyNumberFormat="1" applyFont="1" applyAlignment="1">
      <alignment horizontal="center" vertical="center"/>
    </xf>
    <xf numFmtId="164" fontId="1" fillId="0" borderId="0" xfId="0" applyNumberFormat="1" applyFont="1" applyAlignment="1">
      <alignment horizontal="center" vertical="center"/>
    </xf>
    <xf numFmtId="0" fontId="40" fillId="0" borderId="0" xfId="52" applyFill="1" applyBorder="1" applyAlignment="1">
      <alignment horizontal="center" wrapText="1"/>
    </xf>
    <xf numFmtId="186" fontId="1" fillId="29" borderId="0" xfId="0" applyNumberFormat="1" applyFont="1" applyFill="1" applyAlignment="1">
      <alignment horizontal="center"/>
    </xf>
    <xf numFmtId="173" fontId="13" fillId="29" borderId="15" xfId="2" applyNumberFormat="1" applyFont="1" applyFill="1" applyBorder="1" applyAlignment="1">
      <alignment horizontal="center"/>
    </xf>
    <xf numFmtId="169" fontId="0" fillId="0" borderId="0" xfId="1" applyNumberFormat="1" applyFont="1" applyFill="1"/>
    <xf numFmtId="0" fontId="42" fillId="3" borderId="0" xfId="0" applyFont="1" applyFill="1"/>
    <xf numFmtId="0" fontId="42" fillId="0" borderId="0" xfId="0" applyFont="1"/>
    <xf numFmtId="0" fontId="9" fillId="0" borderId="1" xfId="0" applyFont="1" applyBorder="1"/>
    <xf numFmtId="0" fontId="42" fillId="0" borderId="1" xfId="0" applyFont="1" applyBorder="1"/>
    <xf numFmtId="180" fontId="42" fillId="0" borderId="1" xfId="11" applyFont="1" applyBorder="1"/>
    <xf numFmtId="187" fontId="42" fillId="30" borderId="1" xfId="11" applyNumberFormat="1" applyFont="1" applyFill="1" applyBorder="1"/>
    <xf numFmtId="0" fontId="9" fillId="3" borderId="1" xfId="0" applyFont="1" applyFill="1" applyBorder="1" applyAlignment="1">
      <alignment wrapText="1"/>
    </xf>
    <xf numFmtId="4" fontId="42" fillId="0" borderId="1" xfId="0" applyNumberFormat="1" applyFont="1" applyBorder="1"/>
    <xf numFmtId="188" fontId="42" fillId="0" borderId="1" xfId="0" applyNumberFormat="1" applyFont="1" applyBorder="1"/>
    <xf numFmtId="9" fontId="42" fillId="0" borderId="1" xfId="3" applyFont="1" applyBorder="1"/>
    <xf numFmtId="0" fontId="9" fillId="0" borderId="16" xfId="0" applyFont="1" applyBorder="1"/>
    <xf numFmtId="0" fontId="30" fillId="18" borderId="43" xfId="0" applyFont="1" applyFill="1" applyBorder="1" applyAlignment="1">
      <alignment horizontal="center"/>
    </xf>
    <xf numFmtId="0" fontId="30" fillId="18" borderId="1" xfId="0" applyFont="1" applyFill="1" applyBorder="1" applyAlignment="1">
      <alignment horizontal="center"/>
    </xf>
    <xf numFmtId="0" fontId="30" fillId="18" borderId="44" xfId="0" applyFont="1" applyFill="1" applyBorder="1" applyAlignment="1">
      <alignment horizontal="center"/>
    </xf>
    <xf numFmtId="0" fontId="0" fillId="0" borderId="43" xfId="0" applyBorder="1" applyAlignment="1">
      <alignment horizontal="center"/>
    </xf>
    <xf numFmtId="0" fontId="0" fillId="0" borderId="3" xfId="0" applyBorder="1" applyAlignment="1">
      <alignment horizontal="center"/>
    </xf>
    <xf numFmtId="2" fontId="0" fillId="0" borderId="45" xfId="0" applyNumberFormat="1" applyBorder="1" applyAlignment="1">
      <alignment horizontal="center"/>
    </xf>
    <xf numFmtId="2" fontId="0" fillId="0" borderId="43" xfId="0" applyNumberFormat="1" applyBorder="1" applyAlignment="1">
      <alignment horizontal="center"/>
    </xf>
    <xf numFmtId="2" fontId="0" fillId="0" borderId="1" xfId="0" applyNumberFormat="1" applyBorder="1" applyAlignment="1">
      <alignment horizontal="center"/>
    </xf>
    <xf numFmtId="2" fontId="30" fillId="18" borderId="46" xfId="0" applyNumberFormat="1" applyFont="1" applyFill="1" applyBorder="1" applyAlignment="1">
      <alignment horizontal="center"/>
    </xf>
    <xf numFmtId="2" fontId="30" fillId="18" borderId="48" xfId="0" applyNumberFormat="1" applyFont="1" applyFill="1" applyBorder="1" applyAlignment="1">
      <alignment horizontal="center"/>
    </xf>
    <xf numFmtId="2" fontId="30" fillId="18" borderId="1" xfId="0" applyNumberFormat="1" applyFont="1" applyFill="1" applyBorder="1" applyAlignment="1">
      <alignment horizontal="center"/>
    </xf>
    <xf numFmtId="0" fontId="36" fillId="20" borderId="1" xfId="51" applyFont="1" applyFill="1" applyBorder="1" applyAlignment="1">
      <alignment horizontal="center"/>
    </xf>
    <xf numFmtId="169" fontId="0" fillId="0" borderId="0" xfId="0" applyNumberFormat="1"/>
    <xf numFmtId="9" fontId="42" fillId="0" borderId="0" xfId="0" applyNumberFormat="1" applyFont="1"/>
    <xf numFmtId="186" fontId="0" fillId="0" borderId="0" xfId="0" applyNumberFormat="1" applyAlignment="1">
      <alignment horizontal="center"/>
    </xf>
    <xf numFmtId="9" fontId="1" fillId="0" borderId="1" xfId="3" applyFont="1" applyBorder="1" applyAlignment="1">
      <alignment horizontal="center"/>
    </xf>
    <xf numFmtId="43" fontId="0" fillId="2" borderId="0" xfId="1" applyFont="1" applyFill="1" applyAlignment="1">
      <alignment horizontal="center"/>
    </xf>
    <xf numFmtId="2" fontId="0" fillId="0" borderId="52" xfId="0" applyNumberFormat="1" applyBorder="1" applyAlignment="1">
      <alignment horizontal="center"/>
    </xf>
    <xf numFmtId="2" fontId="0" fillId="0" borderId="51" xfId="0" applyNumberFormat="1" applyBorder="1" applyAlignment="1">
      <alignment horizontal="center"/>
    </xf>
    <xf numFmtId="2" fontId="0" fillId="0" borderId="3" xfId="0" applyNumberFormat="1" applyBorder="1" applyAlignment="1">
      <alignment horizontal="center"/>
    </xf>
    <xf numFmtId="0" fontId="30" fillId="18" borderId="45" xfId="0" applyFont="1" applyFill="1" applyBorder="1" applyAlignment="1">
      <alignment horizontal="center"/>
    </xf>
    <xf numFmtId="9" fontId="1" fillId="0" borderId="44" xfId="3" applyFont="1" applyBorder="1" applyAlignment="1">
      <alignment horizontal="center"/>
    </xf>
    <xf numFmtId="0" fontId="0" fillId="0" borderId="50" xfId="0" applyBorder="1" applyAlignment="1">
      <alignment horizontal="center"/>
    </xf>
    <xf numFmtId="0" fontId="0" fillId="0" borderId="17" xfId="0" applyBorder="1" applyAlignment="1">
      <alignment horizontal="center"/>
    </xf>
    <xf numFmtId="9" fontId="1" fillId="0" borderId="16" xfId="3" applyFont="1" applyBorder="1" applyAlignment="1">
      <alignment horizontal="center"/>
    </xf>
    <xf numFmtId="9" fontId="1" fillId="0" borderId="53" xfId="3" applyFont="1" applyBorder="1" applyAlignment="1">
      <alignment horizontal="center"/>
    </xf>
    <xf numFmtId="9" fontId="30" fillId="18" borderId="48" xfId="0" applyNumberFormat="1" applyFont="1" applyFill="1" applyBorder="1" applyAlignment="1">
      <alignment horizontal="center"/>
    </xf>
    <xf numFmtId="0" fontId="21" fillId="0" borderId="0" xfId="0" applyFont="1" applyAlignment="1">
      <alignment horizontal="center"/>
    </xf>
    <xf numFmtId="182" fontId="0" fillId="0" borderId="0" xfId="1" applyNumberFormat="1" applyFont="1" applyFill="1"/>
    <xf numFmtId="189" fontId="21" fillId="0" borderId="0" xfId="0" applyNumberFormat="1" applyFont="1"/>
    <xf numFmtId="189" fontId="0" fillId="0" borderId="0" xfId="0" applyNumberFormat="1"/>
    <xf numFmtId="172" fontId="32" fillId="0" borderId="0" xfId="3" applyNumberFormat="1" applyFont="1"/>
    <xf numFmtId="173" fontId="0" fillId="0" borderId="0" xfId="2" applyNumberFormat="1" applyFont="1" applyFill="1"/>
    <xf numFmtId="0" fontId="36" fillId="31" borderId="1" xfId="51" applyFont="1" applyFill="1" applyBorder="1" applyAlignment="1">
      <alignment horizontal="center"/>
    </xf>
    <xf numFmtId="182" fontId="3" fillId="20" borderId="0" xfId="1" applyNumberFormat="1" applyFont="1" applyFill="1"/>
    <xf numFmtId="182" fontId="0" fillId="0" borderId="0" xfId="0" applyNumberFormat="1"/>
    <xf numFmtId="189" fontId="4" fillId="0" borderId="0" xfId="0" applyNumberFormat="1" applyFont="1"/>
    <xf numFmtId="0" fontId="18" fillId="0" borderId="0" xfId="8"/>
    <xf numFmtId="0" fontId="22" fillId="0" borderId="0" xfId="8" applyFont="1"/>
    <xf numFmtId="43" fontId="32" fillId="0" borderId="0" xfId="1" applyFont="1"/>
    <xf numFmtId="182" fontId="19" fillId="0" borderId="0" xfId="1" applyNumberFormat="1" applyFont="1"/>
    <xf numFmtId="182" fontId="19" fillId="0" borderId="0" xfId="1" applyNumberFormat="1" applyFont="1" applyFill="1"/>
    <xf numFmtId="43" fontId="0" fillId="2" borderId="0" xfId="0" applyNumberFormat="1" applyFill="1"/>
    <xf numFmtId="191" fontId="0" fillId="0" borderId="0" xfId="0" applyNumberFormat="1"/>
    <xf numFmtId="43" fontId="0" fillId="0" borderId="0" xfId="0" applyNumberFormat="1"/>
    <xf numFmtId="43" fontId="0" fillId="0" borderId="0" xfId="1" applyFont="1" applyFill="1"/>
    <xf numFmtId="0" fontId="21" fillId="11" borderId="1" xfId="0" applyFont="1" applyFill="1" applyBorder="1" applyAlignment="1">
      <alignment horizontal="center"/>
    </xf>
    <xf numFmtId="9" fontId="0" fillId="0" borderId="1" xfId="3" applyFont="1" applyBorder="1" applyAlignment="1">
      <alignment horizontal="center"/>
    </xf>
    <xf numFmtId="192" fontId="0" fillId="0" borderId="1" xfId="0" applyNumberFormat="1" applyBorder="1" applyAlignment="1">
      <alignment horizontal="center"/>
    </xf>
    <xf numFmtId="3" fontId="0" fillId="0" borderId="0" xfId="0" applyNumberFormat="1" applyAlignment="1">
      <alignment vertical="center" wrapText="1"/>
    </xf>
    <xf numFmtId="0" fontId="21" fillId="0" borderId="0" xfId="0" applyFont="1" applyAlignment="1">
      <alignment vertical="center" wrapText="1"/>
    </xf>
    <xf numFmtId="0" fontId="21" fillId="11" borderId="11" xfId="0" applyFont="1" applyFill="1" applyBorder="1" applyAlignment="1">
      <alignment vertical="center" wrapText="1"/>
    </xf>
    <xf numFmtId="0" fontId="21" fillId="11" borderId="6" xfId="0" applyFont="1" applyFill="1" applyBorder="1" applyAlignment="1">
      <alignment vertical="center" wrapText="1"/>
    </xf>
    <xf numFmtId="0" fontId="0" fillId="0" borderId="13" xfId="0" applyBorder="1" applyAlignment="1">
      <alignment horizontal="center" wrapText="1"/>
    </xf>
    <xf numFmtId="43" fontId="1" fillId="0" borderId="0" xfId="1" applyFont="1"/>
    <xf numFmtId="0" fontId="21" fillId="11" borderId="10" xfId="0" applyFont="1" applyFill="1" applyBorder="1" applyAlignment="1">
      <alignment horizontal="center" vertical="center" wrapText="1"/>
    </xf>
    <xf numFmtId="0" fontId="21" fillId="11" borderId="11" xfId="0" applyFont="1" applyFill="1" applyBorder="1" applyAlignment="1">
      <alignment horizontal="center" vertical="center" wrapText="1"/>
    </xf>
    <xf numFmtId="0" fontId="21" fillId="11" borderId="6" xfId="0" applyFont="1" applyFill="1" applyBorder="1" applyAlignment="1">
      <alignment horizontal="center" vertical="center" wrapText="1"/>
    </xf>
    <xf numFmtId="0" fontId="3" fillId="0" borderId="12" xfId="0" applyFont="1" applyBorder="1" applyAlignment="1">
      <alignment horizontal="center" vertical="center" wrapText="1"/>
    </xf>
    <xf numFmtId="3" fontId="0" fillId="0" borderId="0" xfId="0" applyNumberFormat="1" applyAlignment="1">
      <alignment horizontal="center" vertical="center" wrapText="1"/>
    </xf>
    <xf numFmtId="3" fontId="0" fillId="0" borderId="8" xfId="0" applyNumberFormat="1" applyBorder="1" applyAlignment="1">
      <alignment horizontal="center" vertical="center" wrapText="1"/>
    </xf>
    <xf numFmtId="0" fontId="3" fillId="0" borderId="13" xfId="0" applyFont="1" applyBorder="1" applyAlignment="1">
      <alignment horizontal="center" vertical="center" wrapText="1"/>
    </xf>
    <xf numFmtId="3" fontId="0" fillId="0" borderId="14" xfId="0" applyNumberFormat="1" applyBorder="1" applyAlignment="1">
      <alignment horizontal="center" vertical="center" wrapText="1"/>
    </xf>
    <xf numFmtId="3" fontId="0" fillId="0" borderId="15" xfId="0" applyNumberFormat="1" applyBorder="1" applyAlignment="1">
      <alignment horizontal="center" vertical="center" wrapText="1"/>
    </xf>
    <xf numFmtId="0" fontId="21" fillId="11" borderId="10" xfId="0" applyFont="1" applyFill="1" applyBorder="1" applyAlignment="1">
      <alignment horizontal="center"/>
    </xf>
    <xf numFmtId="173" fontId="0" fillId="0" borderId="14" xfId="2" applyNumberFormat="1" applyFont="1" applyBorder="1"/>
    <xf numFmtId="173" fontId="3" fillId="0" borderId="15" xfId="2" applyNumberFormat="1" applyFont="1" applyBorder="1"/>
    <xf numFmtId="173" fontId="0" fillId="0" borderId="0" xfId="2" applyNumberFormat="1" applyFont="1"/>
    <xf numFmtId="3" fontId="19" fillId="0" borderId="0" xfId="0" applyNumberFormat="1" applyFont="1"/>
    <xf numFmtId="0" fontId="19" fillId="0" borderId="0" xfId="0" applyFont="1"/>
    <xf numFmtId="168" fontId="0" fillId="0" borderId="14" xfId="2" applyFont="1" applyBorder="1" applyAlignment="1">
      <alignment horizontal="center" wrapText="1"/>
    </xf>
    <xf numFmtId="0" fontId="36" fillId="4" borderId="1" xfId="51" applyFont="1" applyFill="1" applyBorder="1" applyAlignment="1">
      <alignment horizontal="center"/>
    </xf>
    <xf numFmtId="43" fontId="19" fillId="0" borderId="0" xfId="1" applyFont="1"/>
    <xf numFmtId="0" fontId="0" fillId="2" borderId="7" xfId="0" applyFill="1" applyBorder="1"/>
    <xf numFmtId="0" fontId="6" fillId="2" borderId="7" xfId="0" applyFont="1" applyFill="1" applyBorder="1" applyAlignment="1">
      <alignment horizontal="center" vertical="center"/>
    </xf>
    <xf numFmtId="3" fontId="6" fillId="2" borderId="7" xfId="0" applyNumberFormat="1" applyFont="1" applyFill="1" applyBorder="1" applyAlignment="1">
      <alignment horizontal="center" vertical="center"/>
    </xf>
    <xf numFmtId="171" fontId="5" fillId="8" borderId="7" xfId="0" applyNumberFormat="1" applyFont="1" applyFill="1" applyBorder="1" applyAlignment="1">
      <alignment horizontal="center"/>
    </xf>
    <xf numFmtId="171" fontId="5" fillId="3" borderId="7" xfId="0" applyNumberFormat="1" applyFont="1" applyFill="1" applyBorder="1" applyAlignment="1">
      <alignment horizontal="center"/>
    </xf>
    <xf numFmtId="171" fontId="4" fillId="2" borderId="7" xfId="0" applyNumberFormat="1" applyFont="1" applyFill="1" applyBorder="1" applyAlignment="1">
      <alignment horizontal="center"/>
    </xf>
    <xf numFmtId="171" fontId="5" fillId="2" borderId="7" xfId="0" applyNumberFormat="1" applyFont="1" applyFill="1" applyBorder="1" applyAlignment="1">
      <alignment horizontal="center"/>
    </xf>
    <xf numFmtId="171" fontId="4" fillId="2" borderId="18" xfId="0" applyNumberFormat="1" applyFont="1" applyFill="1" applyBorder="1" applyAlignment="1">
      <alignment horizontal="center"/>
    </xf>
    <xf numFmtId="0" fontId="5" fillId="2" borderId="12" xfId="0" applyFont="1" applyFill="1" applyBorder="1" applyAlignment="1">
      <alignment horizontal="center"/>
    </xf>
    <xf numFmtId="0" fontId="4" fillId="3" borderId="54" xfId="0" applyFont="1" applyFill="1" applyBorder="1" applyAlignment="1">
      <alignment horizontal="center" vertical="center" wrapText="1"/>
    </xf>
    <xf numFmtId="0" fontId="4" fillId="3" borderId="55" xfId="0" applyFont="1" applyFill="1" applyBorder="1" applyAlignment="1">
      <alignment horizontal="center" vertical="center" wrapText="1"/>
    </xf>
    <xf numFmtId="0" fontId="4" fillId="3" borderId="56" xfId="0" applyFont="1" applyFill="1" applyBorder="1" applyAlignment="1">
      <alignment horizontal="center" vertical="center" wrapText="1"/>
    </xf>
    <xf numFmtId="9" fontId="0" fillId="0" borderId="0" xfId="0" applyNumberFormat="1" applyAlignment="1">
      <alignment vertical="center"/>
    </xf>
    <xf numFmtId="182" fontId="32" fillId="0" borderId="0" xfId="1" applyNumberFormat="1" applyFont="1"/>
    <xf numFmtId="171" fontId="4" fillId="2" borderId="34" xfId="0" applyNumberFormat="1" applyFont="1" applyFill="1" applyBorder="1" applyAlignment="1">
      <alignment horizontal="center"/>
    </xf>
    <xf numFmtId="171" fontId="4" fillId="2" borderId="35" xfId="0" applyNumberFormat="1" applyFont="1" applyFill="1" applyBorder="1" applyAlignment="1">
      <alignment horizontal="center"/>
    </xf>
    <xf numFmtId="171" fontId="4" fillId="2" borderId="36" xfId="0" applyNumberFormat="1" applyFont="1" applyFill="1" applyBorder="1" applyAlignment="1">
      <alignment horizontal="center"/>
    </xf>
    <xf numFmtId="171" fontId="5" fillId="2" borderId="57" xfId="0" applyNumberFormat="1" applyFont="1" applyFill="1" applyBorder="1" applyAlignment="1">
      <alignment horizontal="center" vertical="center"/>
    </xf>
    <xf numFmtId="3" fontId="5" fillId="0" borderId="0" xfId="0" applyNumberFormat="1" applyFont="1"/>
    <xf numFmtId="0" fontId="36" fillId="32" borderId="1" xfId="51" applyFont="1" applyFill="1" applyBorder="1" applyAlignment="1">
      <alignment horizontal="center"/>
    </xf>
    <xf numFmtId="17" fontId="23" fillId="0" borderId="12" xfId="8" applyNumberFormat="1" applyFont="1" applyBorder="1" applyAlignment="1">
      <alignment horizontal="right"/>
    </xf>
    <xf numFmtId="0" fontId="24" fillId="12" borderId="58" xfId="8" applyFont="1" applyFill="1" applyBorder="1" applyAlignment="1">
      <alignment horizontal="center" vertical="center" wrapText="1"/>
    </xf>
    <xf numFmtId="0" fontId="24" fillId="12" borderId="59" xfId="8" applyFont="1" applyFill="1" applyBorder="1" applyAlignment="1">
      <alignment horizontal="center" vertical="center" wrapText="1"/>
    </xf>
    <xf numFmtId="17" fontId="23" fillId="0" borderId="10" xfId="8" applyNumberFormat="1" applyFont="1" applyBorder="1" applyAlignment="1">
      <alignment horizontal="right"/>
    </xf>
    <xf numFmtId="17" fontId="23" fillId="0" borderId="13" xfId="8" applyNumberFormat="1" applyFont="1" applyBorder="1" applyAlignment="1">
      <alignment horizontal="right"/>
    </xf>
    <xf numFmtId="190" fontId="23" fillId="0" borderId="5" xfId="8" applyNumberFormat="1" applyFont="1" applyBorder="1" applyAlignment="1">
      <alignment horizontal="right"/>
    </xf>
    <xf numFmtId="190" fontId="23" fillId="0" borderId="7" xfId="8" applyNumberFormat="1" applyFont="1" applyBorder="1" applyAlignment="1">
      <alignment horizontal="right"/>
    </xf>
    <xf numFmtId="190" fontId="18" fillId="0" borderId="18" xfId="8" applyNumberFormat="1" applyBorder="1"/>
    <xf numFmtId="4" fontId="5" fillId="0" borderId="0" xfId="0" applyNumberFormat="1" applyFont="1"/>
    <xf numFmtId="0" fontId="43" fillId="0" borderId="0" xfId="0" applyFont="1" applyAlignment="1">
      <alignment horizontal="right"/>
    </xf>
    <xf numFmtId="190" fontId="18" fillId="0" borderId="0" xfId="8" applyNumberFormat="1"/>
    <xf numFmtId="182" fontId="5" fillId="0" borderId="0" xfId="1" applyNumberFormat="1" applyFont="1"/>
    <xf numFmtId="43" fontId="5" fillId="0" borderId="0" xfId="1" applyFont="1"/>
    <xf numFmtId="169" fontId="0" fillId="2" borderId="0" xfId="1" applyNumberFormat="1" applyFont="1" applyFill="1"/>
    <xf numFmtId="0" fontId="5" fillId="2" borderId="5" xfId="0" applyFont="1" applyFill="1" applyBorder="1" applyAlignment="1">
      <alignment horizontal="center"/>
    </xf>
    <xf numFmtId="171" fontId="4" fillId="2" borderId="19" xfId="0" applyNumberFormat="1" applyFont="1" applyFill="1" applyBorder="1" applyAlignment="1">
      <alignment horizontal="center"/>
    </xf>
    <xf numFmtId="17" fontId="0" fillId="2" borderId="0" xfId="0" applyNumberFormat="1" applyFill="1" applyAlignment="1">
      <alignment horizontal="right"/>
    </xf>
    <xf numFmtId="167" fontId="0" fillId="2" borderId="0" xfId="0" applyNumberFormat="1" applyFill="1"/>
    <xf numFmtId="0" fontId="0" fillId="2" borderId="0" xfId="0" applyFill="1" applyAlignment="1">
      <alignment horizontal="right" vertical="center" wrapText="1"/>
    </xf>
    <xf numFmtId="0" fontId="0" fillId="2" borderId="0" xfId="0" applyFill="1" applyAlignment="1">
      <alignment horizontal="right" wrapText="1"/>
    </xf>
    <xf numFmtId="0" fontId="0" fillId="0" borderId="0" xfId="0" applyAlignment="1">
      <alignment horizontal="right"/>
    </xf>
    <xf numFmtId="189" fontId="21" fillId="0" borderId="0" xfId="0" applyNumberFormat="1" applyFont="1" applyAlignment="1">
      <alignment horizontal="right"/>
    </xf>
    <xf numFmtId="169" fontId="0" fillId="2" borderId="0" xfId="1" applyNumberFormat="1" applyFont="1" applyFill="1" applyAlignment="1"/>
    <xf numFmtId="0" fontId="37" fillId="0" borderId="0" xfId="51" applyFont="1" applyAlignment="1">
      <alignment horizontal="center" wrapText="1"/>
    </xf>
    <xf numFmtId="0" fontId="4" fillId="3" borderId="19" xfId="0" applyFont="1" applyFill="1" applyBorder="1" applyAlignment="1">
      <alignment horizontal="center" vertical="center" wrapText="1"/>
    </xf>
    <xf numFmtId="0" fontId="0" fillId="0" borderId="0" xfId="0" applyAlignment="1">
      <alignment horizontal="right" vertical="center"/>
    </xf>
    <xf numFmtId="0" fontId="4" fillId="0" borderId="0" xfId="0" applyFont="1" applyAlignment="1">
      <alignment vertical="center" wrapText="1"/>
    </xf>
    <xf numFmtId="182" fontId="0" fillId="0" borderId="0" xfId="1" applyNumberFormat="1" applyFont="1" applyFill="1" applyBorder="1" applyAlignment="1">
      <alignment horizontal="right"/>
    </xf>
    <xf numFmtId="0" fontId="4" fillId="15" borderId="19" xfId="0" applyFont="1" applyFill="1" applyBorder="1" applyAlignment="1">
      <alignment horizontal="center" vertical="center" wrapText="1"/>
    </xf>
    <xf numFmtId="0" fontId="3" fillId="33" borderId="41" xfId="0" applyFont="1" applyFill="1" applyBorder="1" applyAlignment="1">
      <alignment horizontal="center" vertical="center"/>
    </xf>
    <xf numFmtId="0" fontId="3" fillId="33" borderId="60" xfId="0" applyFont="1" applyFill="1" applyBorder="1" applyAlignment="1">
      <alignment horizontal="center"/>
    </xf>
    <xf numFmtId="0" fontId="3" fillId="33" borderId="61" xfId="0" applyFont="1" applyFill="1" applyBorder="1" applyAlignment="1">
      <alignment horizontal="center"/>
    </xf>
    <xf numFmtId="0" fontId="0" fillId="0" borderId="44" xfId="0" applyBorder="1" applyAlignment="1">
      <alignment horizontal="center"/>
    </xf>
    <xf numFmtId="0" fontId="0" fillId="0" borderId="46" xfId="0" applyBorder="1" applyAlignment="1">
      <alignment horizontal="center"/>
    </xf>
    <xf numFmtId="0" fontId="0" fillId="0" borderId="48" xfId="0" applyBorder="1" applyAlignment="1">
      <alignment horizontal="center"/>
    </xf>
    <xf numFmtId="1" fontId="0" fillId="0" borderId="62" xfId="0" applyNumberFormat="1" applyBorder="1" applyAlignment="1">
      <alignment horizontal="center"/>
    </xf>
    <xf numFmtId="0" fontId="44" fillId="34" borderId="0" xfId="0" applyFont="1" applyFill="1"/>
    <xf numFmtId="0" fontId="45" fillId="0" borderId="0" xfId="0" applyFont="1" applyAlignment="1">
      <alignment horizontal="left"/>
    </xf>
    <xf numFmtId="0" fontId="19" fillId="0" borderId="0" xfId="0" applyFont="1" applyAlignment="1">
      <alignment horizontal="left" vertical="top"/>
    </xf>
    <xf numFmtId="169" fontId="19" fillId="0" borderId="0" xfId="1" applyNumberFormat="1" applyFont="1" applyFill="1" applyAlignment="1">
      <alignment horizontal="left" vertical="top"/>
    </xf>
    <xf numFmtId="0" fontId="46" fillId="0" borderId="0" xfId="61" applyFont="1"/>
    <xf numFmtId="0" fontId="18" fillId="0" borderId="0" xfId="61"/>
    <xf numFmtId="0" fontId="32" fillId="0" borderId="0" xfId="61" applyFont="1" applyAlignment="1">
      <alignment horizontal="left"/>
    </xf>
    <xf numFmtId="0" fontId="36" fillId="12" borderId="63" xfId="61" applyFont="1" applyFill="1" applyBorder="1" applyAlignment="1">
      <alignment horizontal="center" vertical="center" wrapText="1"/>
    </xf>
    <xf numFmtId="0" fontId="32" fillId="35" borderId="64" xfId="61" applyFont="1" applyFill="1" applyBorder="1" applyAlignment="1">
      <alignment horizontal="right"/>
    </xf>
    <xf numFmtId="0" fontId="32" fillId="35" borderId="65" xfId="61" applyFont="1" applyFill="1" applyBorder="1" applyAlignment="1">
      <alignment horizontal="right"/>
    </xf>
    <xf numFmtId="0" fontId="32" fillId="35" borderId="66" xfId="61" applyFont="1" applyFill="1" applyBorder="1" applyAlignment="1">
      <alignment horizontal="right"/>
    </xf>
    <xf numFmtId="0" fontId="32" fillId="35" borderId="67" xfId="61" applyFont="1" applyFill="1" applyBorder="1" applyAlignment="1">
      <alignment horizontal="right"/>
    </xf>
    <xf numFmtId="0" fontId="32" fillId="35" borderId="68" xfId="61" applyFont="1" applyFill="1" applyBorder="1" applyAlignment="1">
      <alignment horizontal="right"/>
    </xf>
    <xf numFmtId="0" fontId="32" fillId="35" borderId="69" xfId="61" applyFont="1" applyFill="1" applyBorder="1" applyAlignment="1">
      <alignment horizontal="right"/>
    </xf>
    <xf numFmtId="0" fontId="32" fillId="35" borderId="70" xfId="61" applyFont="1" applyFill="1" applyBorder="1" applyAlignment="1">
      <alignment horizontal="right"/>
    </xf>
    <xf numFmtId="0" fontId="32" fillId="35" borderId="72" xfId="61" applyFont="1" applyFill="1" applyBorder="1" applyAlignment="1">
      <alignment horizontal="right"/>
    </xf>
    <xf numFmtId="0" fontId="32" fillId="35" borderId="71" xfId="61" applyFont="1" applyFill="1" applyBorder="1" applyAlignment="1">
      <alignment horizontal="right"/>
    </xf>
    <xf numFmtId="169" fontId="19" fillId="0" borderId="0" xfId="0" applyNumberFormat="1" applyFont="1"/>
    <xf numFmtId="169" fontId="0" fillId="0" borderId="0" xfId="0" applyNumberFormat="1" applyAlignment="1">
      <alignment horizontal="left"/>
    </xf>
    <xf numFmtId="169" fontId="19" fillId="0" borderId="0" xfId="0" applyNumberFormat="1" applyFont="1" applyAlignment="1">
      <alignment horizontal="left"/>
    </xf>
    <xf numFmtId="0" fontId="19" fillId="0" borderId="0" xfId="0" applyFont="1" applyAlignment="1">
      <alignment horizontal="left"/>
    </xf>
    <xf numFmtId="0" fontId="3" fillId="0" borderId="0" xfId="0" applyFont="1" applyAlignment="1">
      <alignment horizontal="center"/>
    </xf>
    <xf numFmtId="171" fontId="0" fillId="0" borderId="3" xfId="0" applyNumberFormat="1" applyBorder="1" applyAlignment="1">
      <alignment horizontal="center"/>
    </xf>
    <xf numFmtId="171" fontId="0" fillId="0" borderId="2" xfId="0" applyNumberFormat="1" applyBorder="1" applyAlignment="1">
      <alignment horizontal="center"/>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3" fillId="0" borderId="1" xfId="0" applyFont="1" applyBorder="1" applyAlignment="1">
      <alignment horizontal="center"/>
    </xf>
    <xf numFmtId="0" fontId="4" fillId="0" borderId="0" xfId="0" applyFont="1" applyAlignment="1">
      <alignment horizontal="center"/>
    </xf>
    <xf numFmtId="0" fontId="4" fillId="0" borderId="0" xfId="0" applyFont="1" applyAlignment="1">
      <alignment horizontal="left"/>
    </xf>
    <xf numFmtId="0" fontId="4" fillId="2" borderId="0" xfId="0" applyFont="1" applyFill="1" applyAlignment="1">
      <alignment horizontal="center"/>
    </xf>
    <xf numFmtId="0" fontId="3" fillId="2" borderId="0" xfId="0" applyFont="1" applyFill="1" applyAlignment="1">
      <alignment horizontal="center"/>
    </xf>
    <xf numFmtId="0" fontId="4" fillId="2" borderId="0" xfId="0" applyFont="1" applyFill="1" applyAlignment="1">
      <alignment horizontal="left"/>
    </xf>
    <xf numFmtId="0" fontId="4" fillId="2" borderId="0" xfId="0" applyFont="1" applyFill="1" applyAlignment="1">
      <alignment horizontal="center" vertical="center" wrapText="1"/>
    </xf>
    <xf numFmtId="0" fontId="4" fillId="2" borderId="0" xfId="0" applyFont="1" applyFill="1" applyAlignment="1">
      <alignment horizontal="center" wrapText="1"/>
    </xf>
    <xf numFmtId="0" fontId="1" fillId="0" borderId="0" xfId="0" applyFont="1" applyAlignment="1">
      <alignment horizontal="left" vertical="center" wrapText="1"/>
    </xf>
    <xf numFmtId="0" fontId="0" fillId="6" borderId="0" xfId="0" applyFill="1" applyAlignment="1">
      <alignment horizontal="center" vertical="center"/>
    </xf>
    <xf numFmtId="0" fontId="3" fillId="20" borderId="0" xfId="0" applyFont="1" applyFill="1" applyAlignment="1">
      <alignment horizontal="center"/>
    </xf>
    <xf numFmtId="0" fontId="0" fillId="0" borderId="0" xfId="0" applyAlignment="1">
      <alignment horizontal="left"/>
    </xf>
    <xf numFmtId="0" fontId="28" fillId="0" borderId="0" xfId="0" applyFont="1" applyAlignment="1">
      <alignment horizontal="center"/>
    </xf>
    <xf numFmtId="0" fontId="21" fillId="0" borderId="0" xfId="0" applyFont="1" applyAlignment="1">
      <alignment horizontal="center"/>
    </xf>
    <xf numFmtId="0" fontId="0" fillId="0" borderId="0" xfId="0" applyAlignment="1">
      <alignment horizontal="center"/>
    </xf>
    <xf numFmtId="0" fontId="0" fillId="0" borderId="0" xfId="0" applyAlignment="1">
      <alignment horizontal="center" vertical="center"/>
    </xf>
    <xf numFmtId="0" fontId="5" fillId="0" borderId="0" xfId="0" applyFont="1" applyAlignment="1">
      <alignment horizontal="left" vertical="center"/>
    </xf>
    <xf numFmtId="0" fontId="3" fillId="19" borderId="0" xfId="0" applyFont="1" applyFill="1" applyAlignment="1">
      <alignment horizontal="center"/>
    </xf>
    <xf numFmtId="0" fontId="30" fillId="18" borderId="0" xfId="0" applyFont="1" applyFill="1" applyAlignment="1">
      <alignment horizontal="center"/>
    </xf>
    <xf numFmtId="0" fontId="4" fillId="22" borderId="34" xfId="0" applyFont="1" applyFill="1" applyBorder="1" applyAlignment="1">
      <alignment horizontal="center" vertical="center" wrapText="1"/>
    </xf>
    <xf numFmtId="0" fontId="4" fillId="22" borderId="35" xfId="0" applyFont="1" applyFill="1" applyBorder="1" applyAlignment="1">
      <alignment horizontal="center" vertical="center" wrapText="1"/>
    </xf>
    <xf numFmtId="0" fontId="4" fillId="22" borderId="36" xfId="0" applyFont="1" applyFill="1" applyBorder="1" applyAlignment="1">
      <alignment horizontal="center" vertical="center" wrapText="1"/>
    </xf>
    <xf numFmtId="170" fontId="21" fillId="21" borderId="34" xfId="0" applyNumberFormat="1" applyFont="1" applyFill="1" applyBorder="1" applyAlignment="1">
      <alignment horizontal="center"/>
    </xf>
    <xf numFmtId="170" fontId="21" fillId="21" borderId="35" xfId="0" applyNumberFormat="1" applyFont="1" applyFill="1" applyBorder="1" applyAlignment="1">
      <alignment horizontal="center"/>
    </xf>
    <xf numFmtId="170" fontId="21" fillId="21" borderId="36" xfId="0" applyNumberFormat="1" applyFont="1" applyFill="1" applyBorder="1" applyAlignment="1">
      <alignment horizontal="center"/>
    </xf>
    <xf numFmtId="170" fontId="21" fillId="11" borderId="34" xfId="0" applyNumberFormat="1" applyFont="1" applyFill="1" applyBorder="1" applyAlignment="1">
      <alignment horizontal="center"/>
    </xf>
    <xf numFmtId="170" fontId="21" fillId="11" borderId="35" xfId="0" applyNumberFormat="1" applyFont="1" applyFill="1" applyBorder="1" applyAlignment="1">
      <alignment horizontal="center"/>
    </xf>
    <xf numFmtId="170" fontId="21" fillId="11" borderId="36" xfId="0" applyNumberFormat="1" applyFont="1" applyFill="1" applyBorder="1" applyAlignment="1">
      <alignment horizontal="center"/>
    </xf>
    <xf numFmtId="0" fontId="4" fillId="8" borderId="0" xfId="0" applyFont="1" applyFill="1" applyAlignment="1">
      <alignment horizontal="center" vertical="center" wrapText="1"/>
    </xf>
    <xf numFmtId="0" fontId="4" fillId="3" borderId="0" xfId="0" applyFont="1" applyFill="1" applyAlignment="1">
      <alignment horizontal="center" vertical="center" wrapText="1"/>
    </xf>
    <xf numFmtId="0" fontId="30" fillId="29" borderId="43" xfId="0" applyFont="1" applyFill="1" applyBorder="1" applyAlignment="1">
      <alignment horizontal="center"/>
    </xf>
    <xf numFmtId="0" fontId="30" fillId="29" borderId="3" xfId="0" applyFont="1" applyFill="1" applyBorder="1" applyAlignment="1">
      <alignment horizontal="center"/>
    </xf>
    <xf numFmtId="0" fontId="30" fillId="29" borderId="46" xfId="0" applyFont="1" applyFill="1" applyBorder="1" applyAlignment="1">
      <alignment horizontal="center"/>
    </xf>
    <xf numFmtId="0" fontId="30" fillId="29" borderId="47" xfId="0" applyFont="1" applyFill="1"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30" fillId="29" borderId="45" xfId="0" applyFont="1" applyFill="1" applyBorder="1" applyAlignment="1">
      <alignment horizontal="center"/>
    </xf>
    <xf numFmtId="0" fontId="30" fillId="29" borderId="49" xfId="0" applyFont="1" applyFill="1" applyBorder="1" applyAlignment="1">
      <alignment horizontal="center"/>
    </xf>
    <xf numFmtId="0" fontId="3" fillId="0" borderId="38" xfId="0" applyFont="1" applyBorder="1" applyAlignment="1">
      <alignment horizontal="center"/>
    </xf>
    <xf numFmtId="0" fontId="3" fillId="0" borderId="39" xfId="0" applyFont="1" applyBorder="1" applyAlignment="1">
      <alignment horizontal="center"/>
    </xf>
    <xf numFmtId="0" fontId="3" fillId="0" borderId="40" xfId="0" applyFont="1" applyBorder="1" applyAlignment="1">
      <alignment horizontal="center"/>
    </xf>
    <xf numFmtId="0" fontId="30" fillId="29" borderId="41" xfId="0" applyFont="1" applyFill="1" applyBorder="1" applyAlignment="1">
      <alignment horizontal="center"/>
    </xf>
    <xf numFmtId="0" fontId="30" fillId="29" borderId="42" xfId="0" applyFont="1" applyFill="1" applyBorder="1" applyAlignment="1">
      <alignment horizontal="center"/>
    </xf>
    <xf numFmtId="0" fontId="30" fillId="18" borderId="43" xfId="0" applyFont="1" applyFill="1" applyBorder="1" applyAlignment="1">
      <alignment horizontal="center"/>
    </xf>
    <xf numFmtId="0" fontId="30" fillId="18" borderId="1" xfId="0" applyFont="1" applyFill="1" applyBorder="1" applyAlignment="1">
      <alignment horizontal="center"/>
    </xf>
    <xf numFmtId="0" fontId="30" fillId="18" borderId="44" xfId="0" applyFont="1" applyFill="1" applyBorder="1" applyAlignment="1">
      <alignment horizontal="center"/>
    </xf>
    <xf numFmtId="9" fontId="0" fillId="0" borderId="0" xfId="0" applyNumberFormat="1" applyAlignment="1">
      <alignment horizontal="center"/>
    </xf>
    <xf numFmtId="0" fontId="30" fillId="29" borderId="1" xfId="0" applyFont="1" applyFill="1" applyBorder="1" applyAlignment="1">
      <alignment horizontal="center"/>
    </xf>
    <xf numFmtId="0" fontId="30" fillId="29" borderId="2" xfId="0" applyFont="1" applyFill="1" applyBorder="1" applyAlignment="1">
      <alignment horizontal="center"/>
    </xf>
    <xf numFmtId="0" fontId="4" fillId="15" borderId="12" xfId="0" applyFont="1" applyFill="1" applyBorder="1" applyAlignment="1">
      <alignment horizontal="center" vertical="center"/>
    </xf>
    <xf numFmtId="0" fontId="4" fillId="15" borderId="0" xfId="0" applyFont="1" applyFill="1" applyAlignment="1">
      <alignment horizontal="center" vertical="center"/>
    </xf>
    <xf numFmtId="0" fontId="4" fillId="15" borderId="8" xfId="0" applyFont="1" applyFill="1" applyBorder="1" applyAlignment="1">
      <alignment horizontal="center" vertical="center"/>
    </xf>
    <xf numFmtId="0" fontId="4" fillId="16" borderId="12" xfId="0" applyFont="1" applyFill="1" applyBorder="1" applyAlignment="1">
      <alignment horizontal="center" vertical="center"/>
    </xf>
    <xf numFmtId="0" fontId="4" fillId="16" borderId="0" xfId="0" applyFont="1" applyFill="1" applyAlignment="1">
      <alignment horizontal="center" vertical="center"/>
    </xf>
    <xf numFmtId="0" fontId="4" fillId="16" borderId="8" xfId="0" applyFont="1" applyFill="1" applyBorder="1" applyAlignment="1">
      <alignment horizontal="center" vertical="center"/>
    </xf>
    <xf numFmtId="0" fontId="4" fillId="22" borderId="12" xfId="0" applyFont="1" applyFill="1" applyBorder="1" applyAlignment="1">
      <alignment horizontal="center" vertical="center" wrapText="1"/>
    </xf>
    <xf numFmtId="0" fontId="4" fillId="22" borderId="0" xfId="0" applyFont="1" applyFill="1" applyAlignment="1">
      <alignment horizontal="center" vertical="center" wrapText="1"/>
    </xf>
    <xf numFmtId="0" fontId="4" fillId="22" borderId="8" xfId="0" applyFont="1" applyFill="1" applyBorder="1" applyAlignment="1">
      <alignment horizontal="center" vertical="center" wrapText="1"/>
    </xf>
    <xf numFmtId="0" fontId="0" fillId="0" borderId="0" xfId="0" applyAlignment="1">
      <alignment horizontal="left" vertical="center"/>
    </xf>
    <xf numFmtId="0" fontId="2" fillId="0" borderId="0" xfId="0" applyFont="1" applyAlignment="1">
      <alignment horizontal="left" vertical="center"/>
    </xf>
    <xf numFmtId="0" fontId="32" fillId="0" borderId="0" xfId="51" applyAlignment="1">
      <alignment horizontal="center"/>
    </xf>
    <xf numFmtId="0" fontId="37" fillId="11" borderId="1" xfId="51" applyFont="1" applyFill="1" applyBorder="1" applyAlignment="1">
      <alignment horizontal="center" wrapText="1"/>
    </xf>
    <xf numFmtId="0" fontId="28" fillId="17" borderId="0" xfId="0" applyFont="1" applyFill="1" applyAlignment="1">
      <alignment horizontal="center"/>
    </xf>
    <xf numFmtId="0" fontId="28" fillId="17" borderId="1" xfId="0" applyFont="1" applyFill="1" applyBorder="1" applyAlignment="1">
      <alignment horizontal="center"/>
    </xf>
    <xf numFmtId="10" fontId="0" fillId="0" borderId="1" xfId="3" applyNumberFormat="1" applyFont="1" applyBorder="1" applyAlignment="1">
      <alignment horizontal="center" vertical="center"/>
    </xf>
    <xf numFmtId="0" fontId="21" fillId="21" borderId="0" xfId="0" applyFont="1" applyFill="1" applyAlignment="1">
      <alignment horizontal="center"/>
    </xf>
    <xf numFmtId="0" fontId="35" fillId="0" borderId="0" xfId="50" applyFont="1" applyAlignment="1">
      <alignment horizontal="left" vertical="top" wrapText="1"/>
    </xf>
    <xf numFmtId="0" fontId="32" fillId="0" borderId="0" xfId="50"/>
    <xf numFmtId="0" fontId="21" fillId="11" borderId="34" xfId="0" applyFont="1" applyFill="1" applyBorder="1" applyAlignment="1">
      <alignment horizontal="center"/>
    </xf>
    <xf numFmtId="0" fontId="21" fillId="11" borderId="35" xfId="0" applyFont="1" applyFill="1" applyBorder="1" applyAlignment="1">
      <alignment horizontal="center"/>
    </xf>
    <xf numFmtId="0" fontId="21" fillId="11" borderId="36" xfId="0" applyFont="1" applyFill="1" applyBorder="1" applyAlignment="1">
      <alignment horizontal="center"/>
    </xf>
    <xf numFmtId="17" fontId="41" fillId="28" borderId="34" xfId="49" applyNumberFormat="1" applyFont="1" applyFill="1" applyBorder="1" applyAlignment="1">
      <alignment horizontal="center" vertical="center"/>
    </xf>
    <xf numFmtId="17" fontId="41" fillId="28" borderId="36" xfId="49" applyNumberFormat="1" applyFont="1" applyFill="1" applyBorder="1" applyAlignment="1">
      <alignment horizontal="center" vertical="center"/>
    </xf>
    <xf numFmtId="0" fontId="21" fillId="11" borderId="0" xfId="0" applyFont="1" applyFill="1" applyAlignment="1">
      <alignment horizontal="center"/>
    </xf>
    <xf numFmtId="17" fontId="9" fillId="0" borderId="1" xfId="0" applyNumberFormat="1" applyFont="1" applyBorder="1" applyAlignment="1">
      <alignment horizontal="center"/>
    </xf>
    <xf numFmtId="17" fontId="9" fillId="0" borderId="3" xfId="0" applyNumberFormat="1" applyFont="1" applyBorder="1" applyAlignment="1">
      <alignment horizontal="center"/>
    </xf>
    <xf numFmtId="17" fontId="9" fillId="0" borderId="37" xfId="0" applyNumberFormat="1" applyFont="1" applyBorder="1" applyAlignment="1">
      <alignment horizontal="center"/>
    </xf>
    <xf numFmtId="0" fontId="0" fillId="0" borderId="0" xfId="0" applyFont="1" applyAlignment="1">
      <alignment horizontal="left" vertical="top"/>
    </xf>
  </cellXfs>
  <cellStyles count="62">
    <cellStyle name="Comma" xfId="1" builtinId="3"/>
    <cellStyle name="Comma [0]" xfId="7" builtinId="6"/>
    <cellStyle name="Currency" xfId="2" builtinId="4"/>
    <cellStyle name="Hyperlink" xfId="52" builtinId="8"/>
    <cellStyle name="Millares [0] 2" xfId="31" xr:uid="{6B5EA574-46BD-44CD-9FA7-7C1EFA4B6CEE}"/>
    <cellStyle name="Millares [0] 2 2" xfId="57" xr:uid="{1544DD15-6CF6-40BA-869E-9FD6238C34F0}"/>
    <cellStyle name="Millares [0] 3" xfId="55" xr:uid="{720B3995-39D4-4532-A967-ABD3AD74B873}"/>
    <cellStyle name="Millares 2" xfId="6" xr:uid="{328F2734-60DE-497F-8B44-9020698BCF91}"/>
    <cellStyle name="Millares 2 2" xfId="16" xr:uid="{EF123E33-7F93-4E62-BDCA-76B9C01B7869}"/>
    <cellStyle name="Millares 2 2 2" xfId="56" xr:uid="{8B9BC6E0-7850-4B70-B8D2-A004ED42C979}"/>
    <cellStyle name="Millares 2 3" xfId="54" xr:uid="{0955AA65-E256-4A09-B66F-1E64134C4EE1}"/>
    <cellStyle name="Millares 3" xfId="37" xr:uid="{EAFF184D-BA06-4D6B-A0F5-0BA413E6871C}"/>
    <cellStyle name="Millares 3 2" xfId="58" xr:uid="{98AF25DA-FFE7-42D8-8103-9AE0EAEED037}"/>
    <cellStyle name="Millares 4" xfId="53" xr:uid="{7464877B-F7E7-4D7B-90DD-74A94F78385C}"/>
    <cellStyle name="Millares 9 2" xfId="11" xr:uid="{FCC79C7D-CC15-4B20-8F07-FC37854C01E8}"/>
    <cellStyle name="Moneda [0] 2" xfId="48" xr:uid="{1E2E4F49-C17B-4151-B79F-7B7EB7133D94}"/>
    <cellStyle name="Moneda [0] 2 2" xfId="60" xr:uid="{CB1664FA-DB2B-48E6-99EB-52DF3BD28875}"/>
    <cellStyle name="Moneda 2" xfId="15" xr:uid="{3F4749A1-C64A-49D0-A707-335BAAC64D3C}"/>
    <cellStyle name="Moneda 2 2" xfId="13" xr:uid="{5F66BFB2-F3C3-441E-A6F1-7753B5FD0EAE}"/>
    <cellStyle name="Moneda 3" xfId="9" xr:uid="{D27A6236-88D7-4460-BC0A-11C1928A3538}"/>
    <cellStyle name="Moneda 4" xfId="47" xr:uid="{4474FFDD-13E1-4FB7-8F08-8EF23DC9FAF0}"/>
    <cellStyle name="Moneda 4 2" xfId="59" xr:uid="{14F131D7-04A8-4C63-876C-DB7A0D5F58BA}"/>
    <cellStyle name="Normal" xfId="0" builtinId="0"/>
    <cellStyle name="Normal - Style1 2" xfId="8" xr:uid="{BEE7B902-9EF5-435F-AF28-BBF0CF0A1666}"/>
    <cellStyle name="Normal 10" xfId="22" xr:uid="{04B757FD-AF15-405E-9678-138665A548D2}"/>
    <cellStyle name="Normal 11" xfId="23" xr:uid="{636B9EA2-9FF1-4610-8C53-F9AB01BD108D}"/>
    <cellStyle name="Normal 12" xfId="24" xr:uid="{751A92EC-8F9B-4F6C-8DF8-A10D85EF2C38}"/>
    <cellStyle name="Normal 13" xfId="25" xr:uid="{81AFA8F4-6B2C-4E19-A9E9-61134C3AFBD5}"/>
    <cellStyle name="Normal 14" xfId="26" xr:uid="{0B1146BB-9546-4B0F-B2A0-BCC331B80AA1}"/>
    <cellStyle name="Normal 15" xfId="27" xr:uid="{8CF1D504-B45B-461C-893E-9F4BE0A9D9FE}"/>
    <cellStyle name="Normal 16" xfId="28" xr:uid="{0859A764-1C37-4897-AB23-8E12FDB2F7B4}"/>
    <cellStyle name="Normal 17" xfId="29" xr:uid="{497A4994-E849-40EF-8BE4-2246C26B15B9}"/>
    <cellStyle name="Normal 18" xfId="30" xr:uid="{37B1FB82-DAA4-406F-A094-F27135E5CAE4}"/>
    <cellStyle name="Normal 19" xfId="32" xr:uid="{FC27B55E-3742-417A-8341-4901A15A8222}"/>
    <cellStyle name="Normal 2" xfId="4" xr:uid="{00000000-0005-0000-0000-000003000000}"/>
    <cellStyle name="Normal 2 2" xfId="41" xr:uid="{0AD1B62E-D61C-46EB-87DE-368FB1D2D369}"/>
    <cellStyle name="Normal 2 3" xfId="51" xr:uid="{BCD19A01-FF6A-4A0B-B6DD-15D8029624BB}"/>
    <cellStyle name="Normal 2 4 2" xfId="49" xr:uid="{B9130C2B-1878-42A8-82CA-3C3C33E3563C}"/>
    <cellStyle name="Normal 20" xfId="33" xr:uid="{78CF9FCE-904E-433D-ABC8-140B1C8613AD}"/>
    <cellStyle name="Normal 21" xfId="34" xr:uid="{80ECA3FD-32E7-426E-8BDF-2FBA7244398E}"/>
    <cellStyle name="Normal 22" xfId="35" xr:uid="{6005BA98-019D-40EF-BB1D-E31A9BB8424B}"/>
    <cellStyle name="Normal 23" xfId="36" xr:uid="{8EC121DD-8FD9-4B4F-B470-D0697D38B153}"/>
    <cellStyle name="Normal 24" xfId="38" xr:uid="{94FB85CD-C231-4C9A-8957-B4C51E980CD8}"/>
    <cellStyle name="Normal 25" xfId="39" xr:uid="{0060D7B8-9050-47CB-8A26-EEF4FB912557}"/>
    <cellStyle name="Normal 26" xfId="40" xr:uid="{F85919FF-16CF-4DDB-8F3C-509681277134}"/>
    <cellStyle name="Normal 27" xfId="42" xr:uid="{DC60B160-0B63-4F10-92B8-D4F9C7795ACA}"/>
    <cellStyle name="Normal 28" xfId="43" xr:uid="{7C0B1A24-5BA1-4309-9F6E-4A4E33B9C99F}"/>
    <cellStyle name="Normal 29" xfId="44" xr:uid="{CBC8A83A-7FC7-4C60-BFE0-5B92FA92873A}"/>
    <cellStyle name="Normal 3" xfId="5" xr:uid="{00000000-0005-0000-0000-000004000000}"/>
    <cellStyle name="Normal 30" xfId="45" xr:uid="{4CB81AF8-DDA1-4D74-8797-A5EF8EE64510}"/>
    <cellStyle name="Normal 31" xfId="46" xr:uid="{78DA7FB1-7BEF-4E7F-8150-94981042755E}"/>
    <cellStyle name="Normal 32" xfId="50" xr:uid="{A6647E31-FBD2-4B82-8CB7-5C8E7336523B}"/>
    <cellStyle name="Normal 32 2" xfId="61" xr:uid="{328F70B7-C1C5-45F7-9DD2-DE06AE713341}"/>
    <cellStyle name="Normal 4" xfId="10" xr:uid="{9A8DA6F9-1C15-4D6A-8357-45A972780F3C}"/>
    <cellStyle name="Normal 4 2" xfId="14" xr:uid="{BC4B9DB6-E5F6-4FA8-9D83-6B840B3D37D7}"/>
    <cellStyle name="Normal 5" xfId="17" xr:uid="{DE4D3F55-943D-4A42-B78E-25941F4F2E17}"/>
    <cellStyle name="Normal 6" xfId="18" xr:uid="{2EC22E11-39C4-4C30-B67D-4F6830DDBBC4}"/>
    <cellStyle name="Normal 7" xfId="19" xr:uid="{1B6B8150-AB7F-40A6-9923-AABD74B5C262}"/>
    <cellStyle name="Normal 8" xfId="20" xr:uid="{B7BC3D85-71D8-4A3E-BCEC-7E503555FE39}"/>
    <cellStyle name="Normal 9" xfId="21" xr:uid="{2ED47E8B-5331-4827-B50A-623012346EA0}"/>
    <cellStyle name="Percent" xfId="3" builtinId="5"/>
    <cellStyle name="Percent 2" xfId="12" xr:uid="{37301301-5697-4029-9539-2946195268B6}"/>
  </cellStyles>
  <dxfs count="0"/>
  <tableStyles count="1" defaultTableStyle="TableStyleMedium2" defaultPivotStyle="PivotStyleLight16">
    <tableStyle name="Invisible" pivot="0" table="0" count="0" xr9:uid="{55DBD4F4-D38A-433D-A003-8C12CC17C0C5}"/>
  </tableStyles>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externalLink" Target="externalLinks/externalLink3.xml"/><Relationship Id="rId84" Type="http://schemas.openxmlformats.org/officeDocument/2006/relationships/externalLink" Target="externalLinks/externalLink19.xml"/><Relationship Id="rId89" Type="http://schemas.openxmlformats.org/officeDocument/2006/relationships/externalLink" Target="externalLinks/externalLink24.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9.xml"/><Relationship Id="rId79" Type="http://schemas.openxmlformats.org/officeDocument/2006/relationships/externalLink" Target="externalLinks/externalLink14.xml"/><Relationship Id="rId5" Type="http://schemas.openxmlformats.org/officeDocument/2006/relationships/worksheet" Target="worksheets/sheet5.xml"/><Relationship Id="rId90" Type="http://schemas.openxmlformats.org/officeDocument/2006/relationships/externalLink" Target="externalLinks/externalLink25.xml"/><Relationship Id="rId95" Type="http://schemas.openxmlformats.org/officeDocument/2006/relationships/externalLink" Target="externalLinks/externalLink3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externalLink" Target="externalLinks/externalLink4.xml"/><Relationship Id="rId80" Type="http://schemas.openxmlformats.org/officeDocument/2006/relationships/externalLink" Target="externalLinks/externalLink15.xml"/><Relationship Id="rId85" Type="http://schemas.openxmlformats.org/officeDocument/2006/relationships/externalLink" Target="externalLinks/externalLink20.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externalLink" Target="externalLinks/externalLink5.xml"/><Relationship Id="rId75" Type="http://schemas.openxmlformats.org/officeDocument/2006/relationships/externalLink" Target="externalLinks/externalLink10.xml"/><Relationship Id="rId83" Type="http://schemas.openxmlformats.org/officeDocument/2006/relationships/externalLink" Target="externalLinks/externalLink18.xml"/><Relationship Id="rId88" Type="http://schemas.openxmlformats.org/officeDocument/2006/relationships/externalLink" Target="externalLinks/externalLink23.xml"/><Relationship Id="rId91" Type="http://schemas.openxmlformats.org/officeDocument/2006/relationships/externalLink" Target="externalLinks/externalLink26.xml"/><Relationship Id="rId96" Type="http://schemas.openxmlformats.org/officeDocument/2006/relationships/externalLink" Target="externalLinks/externalLink3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externalLink" Target="externalLinks/externalLink8.xml"/><Relationship Id="rId78" Type="http://schemas.openxmlformats.org/officeDocument/2006/relationships/externalLink" Target="externalLinks/externalLink13.xml"/><Relationship Id="rId81" Type="http://schemas.openxmlformats.org/officeDocument/2006/relationships/externalLink" Target="externalLinks/externalLink16.xml"/><Relationship Id="rId86" Type="http://schemas.openxmlformats.org/officeDocument/2006/relationships/externalLink" Target="externalLinks/externalLink21.xml"/><Relationship Id="rId94" Type="http://schemas.openxmlformats.org/officeDocument/2006/relationships/externalLink" Target="externalLinks/externalLink29.xml"/><Relationship Id="rId99" Type="http://schemas.openxmlformats.org/officeDocument/2006/relationships/styles" Target="styles.xml"/><Relationship Id="rId10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1.xml"/><Relationship Id="rId97" Type="http://schemas.openxmlformats.org/officeDocument/2006/relationships/externalLink" Target="externalLinks/externalLink32.xml"/><Relationship Id="rId7" Type="http://schemas.openxmlformats.org/officeDocument/2006/relationships/worksheet" Target="worksheets/sheet7.xml"/><Relationship Id="rId71" Type="http://schemas.openxmlformats.org/officeDocument/2006/relationships/externalLink" Target="externalLinks/externalLink6.xml"/><Relationship Id="rId92" Type="http://schemas.openxmlformats.org/officeDocument/2006/relationships/externalLink" Target="externalLinks/externalLink27.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xml"/><Relationship Id="rId87" Type="http://schemas.openxmlformats.org/officeDocument/2006/relationships/externalLink" Target="externalLinks/externalLink22.xml"/><Relationship Id="rId61" Type="http://schemas.openxmlformats.org/officeDocument/2006/relationships/worksheet" Target="worksheets/sheet61.xml"/><Relationship Id="rId82" Type="http://schemas.openxmlformats.org/officeDocument/2006/relationships/externalLink" Target="externalLinks/externalLink17.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12.xml"/><Relationship Id="rId100"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7.xml"/><Relationship Id="rId93" Type="http://schemas.openxmlformats.org/officeDocument/2006/relationships/externalLink" Target="externalLinks/externalLink28.xml"/><Relationship Id="rId98" Type="http://schemas.openxmlformats.org/officeDocument/2006/relationships/theme" Target="theme/theme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160" b="1" i="0" u="none" strike="noStrike" kern="1200" spc="0" baseline="0">
                <a:solidFill>
                  <a:schemeClr val="tx1">
                    <a:lumMod val="65000"/>
                    <a:lumOff val="35000"/>
                  </a:schemeClr>
                </a:solidFill>
                <a:latin typeface="+mn-lt"/>
                <a:ea typeface="+mn-ea"/>
                <a:cs typeface="+mn-cs"/>
              </a:defRPr>
            </a:pPr>
            <a:r>
              <a:rPr lang="es-EC" b="1"/>
              <a:t>Evolución de tarifa promedio (kW/h) por trimestre</a:t>
            </a:r>
          </a:p>
        </c:rich>
      </c:tx>
      <c:overlay val="0"/>
      <c:spPr>
        <a:noFill/>
        <a:ln>
          <a:noFill/>
        </a:ln>
        <a:effectLst/>
      </c:spPr>
      <c:txPr>
        <a:bodyPr rot="0" spcFirstLastPara="1" vertOverflow="ellipsis" vert="horz" wrap="square" anchor="ctr" anchorCtr="1"/>
        <a:lstStyle/>
        <a:p>
          <a:pPr>
            <a:defRPr sz="216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5"/>
              <c:pt idx="0">
                <c:v>T1-24</c:v>
              </c:pt>
              <c:pt idx="1">
                <c:v>T2-24</c:v>
              </c:pt>
              <c:pt idx="2">
                <c:v>T3-24</c:v>
              </c:pt>
              <c:pt idx="3">
                <c:v>T4-24</c:v>
              </c:pt>
              <c:pt idx="4">
                <c:v>T1-25</c:v>
              </c:pt>
            </c:strLit>
          </c:cat>
          <c:val>
            <c:numLit>
              <c:formatCode>General</c:formatCode>
              <c:ptCount val="5"/>
              <c:pt idx="0">
                <c:v>5.7605817504806506E-2</c:v>
              </c:pt>
              <c:pt idx="1">
                <c:v>5.7238665257087908E-2</c:v>
              </c:pt>
              <c:pt idx="2">
                <c:v>9.5696234416243933E-2</c:v>
              </c:pt>
              <c:pt idx="3">
                <c:v>9.169099466840451E-2</c:v>
              </c:pt>
              <c:pt idx="4">
                <c:v>9.4936292284304072E-2</c:v>
              </c:pt>
            </c:numLit>
          </c:val>
          <c:smooth val="0"/>
          <c:extLst>
            <c:ext xmlns:c16="http://schemas.microsoft.com/office/drawing/2014/chart" uri="{C3380CC4-5D6E-409C-BE32-E72D297353CC}">
              <c16:uniqueId val="{00000000-7188-436C-B9E9-59F339658764}"/>
            </c:ext>
          </c:extLst>
        </c:ser>
        <c:dLbls>
          <c:showLegendKey val="0"/>
          <c:showVal val="0"/>
          <c:showCatName val="0"/>
          <c:showSerName val="0"/>
          <c:showPercent val="0"/>
          <c:showBubbleSize val="0"/>
        </c:dLbls>
        <c:marker val="1"/>
        <c:smooth val="0"/>
        <c:axId val="1548551472"/>
        <c:axId val="1548550992"/>
      </c:lineChart>
      <c:scatterChart>
        <c:scatterStyle val="lineMarker"/>
        <c:varyColors val="0"/>
        <c:ser>
          <c:idx val="1"/>
          <c:order val="1"/>
          <c:tx>
            <c:v>% var Trim/Trim</c:v>
          </c:tx>
          <c:spPr>
            <a:ln w="25400" cap="rnd">
              <a:noFill/>
              <a:round/>
            </a:ln>
            <a:effectLst/>
          </c:spPr>
          <c:marker>
            <c:symbol val="circle"/>
            <c:size val="5"/>
            <c:spPr>
              <a:solidFill>
                <a:schemeClr val="bg1"/>
              </a:solidFill>
              <a:ln w="9525">
                <a:no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1-7188-436C-B9E9-59F339658764}"/>
                </c:ext>
              </c:extLst>
            </c:dLbl>
            <c:dLbl>
              <c:idx val="1"/>
              <c:layout>
                <c:manualLayout>
                  <c:x val="-7.5861111111111115E-2"/>
                  <c:y val="-0.2893172207640712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188-436C-B9E9-59F339658764}"/>
                </c:ext>
              </c:extLst>
            </c:dLbl>
            <c:dLbl>
              <c:idx val="2"/>
              <c:layout>
                <c:manualLayout>
                  <c:x val="-6.0263428726782343E-2"/>
                  <c:y val="-8.048858740578509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188-436C-B9E9-59F339658764}"/>
                </c:ext>
              </c:extLst>
            </c:dLbl>
            <c:dLbl>
              <c:idx val="3"/>
              <c:layout>
                <c:manualLayout>
                  <c:x val="-5.5949305771560508E-2"/>
                  <c:y val="-0.5532573820023799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188-436C-B9E9-59F339658764}"/>
                </c:ext>
              </c:extLst>
            </c:dLbl>
            <c:dLbl>
              <c:idx val="4"/>
              <c:layout>
                <c:manualLayout>
                  <c:x val="-5.1905919508882958E-2"/>
                  <c:y val="-0.524589594381695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188-436C-B9E9-59F339658764}"/>
                </c:ext>
              </c:extLst>
            </c:dLbl>
            <c:numFmt formatCode="0.00%" sourceLinked="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xVal>
            <c:strLit>
              <c:ptCount val="5"/>
              <c:pt idx="0">
                <c:v>T1-24</c:v>
              </c:pt>
              <c:pt idx="1">
                <c:v>T2-24</c:v>
              </c:pt>
              <c:pt idx="2">
                <c:v>T3-24</c:v>
              </c:pt>
              <c:pt idx="3">
                <c:v>T4-24</c:v>
              </c:pt>
              <c:pt idx="4">
                <c:v>T1-25</c:v>
              </c:pt>
            </c:strLit>
          </c:xVal>
          <c:yVal>
            <c:numLit>
              <c:formatCode>General</c:formatCode>
              <c:ptCount val="5"/>
              <c:pt idx="0">
                <c:v>0</c:v>
              </c:pt>
              <c:pt idx="1">
                <c:v>-6.1999111526727102E-3</c:v>
              </c:pt>
              <c:pt idx="2">
                <c:v>0.66724103932708023</c:v>
              </c:pt>
              <c:pt idx="3">
                <c:v>-3.4534850269422046E-2</c:v>
              </c:pt>
              <c:pt idx="4">
                <c:v>2.9480129440274672E-2</c:v>
              </c:pt>
            </c:numLit>
          </c:yVal>
          <c:smooth val="0"/>
          <c:extLst>
            <c:ext xmlns:c16="http://schemas.microsoft.com/office/drawing/2014/chart" uri="{C3380CC4-5D6E-409C-BE32-E72D297353CC}">
              <c16:uniqueId val="{00000006-7188-436C-B9E9-59F339658764}"/>
            </c:ext>
          </c:extLst>
        </c:ser>
        <c:dLbls>
          <c:showLegendKey val="0"/>
          <c:showVal val="0"/>
          <c:showCatName val="0"/>
          <c:showSerName val="0"/>
          <c:showPercent val="0"/>
          <c:showBubbleSize val="0"/>
        </c:dLbls>
        <c:axId val="1737125504"/>
        <c:axId val="1737128864"/>
      </c:scatterChart>
      <c:catAx>
        <c:axId val="1548551472"/>
        <c:scaling>
          <c:orientation val="minMax"/>
        </c:scaling>
        <c:delete val="0"/>
        <c:axPos val="b"/>
        <c:title>
          <c:tx>
            <c:rich>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s-EC"/>
                  <a:t>Trimestres</a:t>
                </a:r>
              </a:p>
            </c:rich>
          </c:tx>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CO"/>
          </a:p>
        </c:txPr>
        <c:crossAx val="1548550992"/>
        <c:crosses val="autoZero"/>
        <c:auto val="1"/>
        <c:lblAlgn val="ctr"/>
        <c:lblOffset val="100"/>
        <c:noMultiLvlLbl val="0"/>
      </c:catAx>
      <c:valAx>
        <c:axId val="1548550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s-CO"/>
          </a:p>
        </c:txPr>
        <c:crossAx val="1548551472"/>
        <c:crosses val="autoZero"/>
        <c:crossBetween val="between"/>
      </c:valAx>
      <c:valAx>
        <c:axId val="1737128864"/>
        <c:scaling>
          <c:orientation val="minMax"/>
        </c:scaling>
        <c:delete val="0"/>
        <c:axPos val="r"/>
        <c:numFmt formatCode="General" sourceLinked="1"/>
        <c:majorTickMark val="out"/>
        <c:minorTickMark val="none"/>
        <c:tickLblPos val="nextTo"/>
        <c:spPr>
          <a:solidFill>
            <a:schemeClr val="bg1"/>
          </a:solidFill>
          <a:ln>
            <a:noFill/>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s-CO"/>
          </a:p>
        </c:txPr>
        <c:crossAx val="1737125504"/>
        <c:crosses val="max"/>
        <c:crossBetween val="midCat"/>
      </c:valAx>
      <c:valAx>
        <c:axId val="1737125504"/>
        <c:scaling>
          <c:orientation val="minMax"/>
        </c:scaling>
        <c:delete val="1"/>
        <c:axPos val="t"/>
        <c:majorTickMark val="out"/>
        <c:minorTickMark val="none"/>
        <c:tickLblPos val="nextTo"/>
        <c:crossAx val="1737128864"/>
        <c:crosses val="max"/>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800"/>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3.xml.rels><?xml version="1.0" encoding="UTF-8" standalone="yes"?>
<Relationships xmlns="http://schemas.openxmlformats.org/package/2006/relationships"><Relationship Id="rId1" Type="http://schemas.openxmlformats.org/officeDocument/2006/relationships/image" Target="../media/image2.png"/></Relationships>
</file>

<file path=xl/drawings/_rels/drawing34.xml.rels><?xml version="1.0" encoding="UTF-8" standalone="yes"?>
<Relationships xmlns="http://schemas.openxmlformats.org/package/2006/relationships"><Relationship Id="rId1" Type="http://schemas.openxmlformats.org/officeDocument/2006/relationships/image" Target="../media/image2.png"/></Relationships>
</file>

<file path=xl/drawings/_rels/drawing35.xml.rels><?xml version="1.0" encoding="UTF-8" standalone="yes"?>
<Relationships xmlns="http://schemas.openxmlformats.org/package/2006/relationships"><Relationship Id="rId1" Type="http://schemas.openxmlformats.org/officeDocument/2006/relationships/image" Target="../media/image2.png"/></Relationships>
</file>

<file path=xl/drawings/_rels/drawing36.xml.rels><?xml version="1.0" encoding="UTF-8" standalone="yes"?>
<Relationships xmlns="http://schemas.openxmlformats.org/package/2006/relationships"><Relationship Id="rId1" Type="http://schemas.openxmlformats.org/officeDocument/2006/relationships/image" Target="../media/image2.png"/></Relationships>
</file>

<file path=xl/drawings/_rels/drawing37.xml.rels><?xml version="1.0" encoding="UTF-8" standalone="yes"?>
<Relationships xmlns="http://schemas.openxmlformats.org/package/2006/relationships"><Relationship Id="rId1" Type="http://schemas.openxmlformats.org/officeDocument/2006/relationships/image" Target="../media/image2.png"/></Relationships>
</file>

<file path=xl/drawings/_rels/drawing38.xml.rels><?xml version="1.0" encoding="UTF-8" standalone="yes"?>
<Relationships xmlns="http://schemas.openxmlformats.org/package/2006/relationships"><Relationship Id="rId1" Type="http://schemas.openxmlformats.org/officeDocument/2006/relationships/image" Target="../media/image2.png"/></Relationships>
</file>

<file path=xl/drawings/_rels/drawing39.xml.rels><?xml version="1.0" encoding="UTF-8" standalone="yes"?>
<Relationships xmlns="http://schemas.openxmlformats.org/package/2006/relationships"><Relationship Id="rId1" Type="http://schemas.openxmlformats.org/officeDocument/2006/relationships/image" Target="../media/image2.png"/></Relationships>
</file>

<file path=xl/drawings/_rels/drawing40.xml.rels><?xml version="1.0" encoding="UTF-8" standalone="yes"?>
<Relationships xmlns="http://schemas.openxmlformats.org/package/2006/relationships"><Relationship Id="rId1" Type="http://schemas.openxmlformats.org/officeDocument/2006/relationships/image" Target="../media/image2.png"/></Relationships>
</file>

<file path=xl/drawings/_rels/drawing41.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_rels/drawing42.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4.png"/></Relationships>
</file>

<file path=xl/drawings/_rels/drawing44.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s>
</file>

<file path=xl/drawings/_rels/drawing45.xml.rels><?xml version="1.0" encoding="UTF-8" standalone="yes"?>
<Relationships xmlns="http://schemas.openxmlformats.org/package/2006/relationships"><Relationship Id="rId1" Type="http://schemas.openxmlformats.org/officeDocument/2006/relationships/image" Target="../media/image18.png"/></Relationships>
</file>

<file path=xl/drawings/_rels/drawing46.xml.rels><?xml version="1.0" encoding="UTF-8" standalone="yes"?>
<Relationships xmlns="http://schemas.openxmlformats.org/package/2006/relationships"><Relationship Id="rId1" Type="http://schemas.openxmlformats.org/officeDocument/2006/relationships/image" Target="../media/image19.bin"/></Relationships>
</file>

<file path=xl/drawings/_rels/drawing47.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s>
</file>

<file path=xl/drawings/_rels/drawing49.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chart" Target="../charts/chart1.xml"/><Relationship Id="rId1" Type="http://schemas.openxmlformats.org/officeDocument/2006/relationships/image" Target="../media/image23.png"/><Relationship Id="rId6" Type="http://schemas.openxmlformats.org/officeDocument/2006/relationships/image" Target="../media/image27.png"/><Relationship Id="rId5" Type="http://schemas.openxmlformats.org/officeDocument/2006/relationships/image" Target="../media/image26.png"/><Relationship Id="rId4" Type="http://schemas.openxmlformats.org/officeDocument/2006/relationships/image" Target="../media/image25.png"/></Relationships>
</file>

<file path=xl/drawings/_rels/drawing50.xml.rels><?xml version="1.0" encoding="UTF-8" standalone="yes"?>
<Relationships xmlns="http://schemas.openxmlformats.org/package/2006/relationships"><Relationship Id="rId1"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8</xdr:col>
      <xdr:colOff>503464</xdr:colOff>
      <xdr:row>40</xdr:row>
      <xdr:rowOff>122464</xdr:rowOff>
    </xdr:from>
    <xdr:to>
      <xdr:col>18</xdr:col>
      <xdr:colOff>664166</xdr:colOff>
      <xdr:row>51</xdr:row>
      <xdr:rowOff>46012</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789964" y="8313964"/>
          <a:ext cx="9780952" cy="2019048"/>
        </a:xfrm>
        <a:prstGeom prst="rect">
          <a:avLst/>
        </a:prstGeom>
      </xdr:spPr>
    </xdr:pic>
    <xdr:clientData/>
  </xdr:twoCellAnchor>
  <xdr:twoCellAnchor editAs="oneCell">
    <xdr:from>
      <xdr:col>0</xdr:col>
      <xdr:colOff>72571</xdr:colOff>
      <xdr:row>39</xdr:row>
      <xdr:rowOff>127001</xdr:rowOff>
    </xdr:from>
    <xdr:to>
      <xdr:col>8</xdr:col>
      <xdr:colOff>173774</xdr:colOff>
      <xdr:row>50</xdr:row>
      <xdr:rowOff>60072</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72571" y="7692572"/>
          <a:ext cx="7140632" cy="19287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503464</xdr:colOff>
      <xdr:row>20</xdr:row>
      <xdr:rowOff>122464</xdr:rowOff>
    </xdr:from>
    <xdr:to>
      <xdr:col>19</xdr:col>
      <xdr:colOff>664166</xdr:colOff>
      <xdr:row>31</xdr:row>
      <xdr:rowOff>46012</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1409589" y="8418739"/>
          <a:ext cx="9780952" cy="2019048"/>
        </a:xfrm>
        <a:prstGeom prst="rect">
          <a:avLst/>
        </a:prstGeom>
      </xdr:spPr>
    </xdr:pic>
    <xdr:clientData/>
  </xdr:twoCellAnchor>
  <xdr:twoCellAnchor editAs="oneCell">
    <xdr:from>
      <xdr:col>0</xdr:col>
      <xdr:colOff>54428</xdr:colOff>
      <xdr:row>20</xdr:row>
      <xdr:rowOff>0</xdr:rowOff>
    </xdr:from>
    <xdr:to>
      <xdr:col>8</xdr:col>
      <xdr:colOff>1380273</xdr:colOff>
      <xdr:row>30</xdr:row>
      <xdr:rowOff>123571</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54428" y="8214633"/>
          <a:ext cx="6810885" cy="2028571"/>
        </a:xfrm>
        <a:prstGeom prst="rect">
          <a:avLst/>
        </a:prstGeom>
      </xdr:spPr>
    </xdr:pic>
    <xdr:clientData/>
  </xdr:twoCellAnchor>
  <xdr:twoCellAnchor>
    <xdr:from>
      <xdr:col>14</xdr:col>
      <xdr:colOff>312964</xdr:colOff>
      <xdr:row>1</xdr:row>
      <xdr:rowOff>176893</xdr:rowOff>
    </xdr:from>
    <xdr:to>
      <xdr:col>14</xdr:col>
      <xdr:colOff>775607</xdr:colOff>
      <xdr:row>3</xdr:row>
      <xdr:rowOff>136072</xdr:rowOff>
    </xdr:to>
    <xdr:sp macro="" textlink="">
      <xdr:nvSpPr>
        <xdr:cNvPr id="4" name="Flecha abajo 3">
          <a:extLst>
            <a:ext uri="{FF2B5EF4-FFF2-40B4-BE49-F238E27FC236}">
              <a16:creationId xmlns:a16="http://schemas.microsoft.com/office/drawing/2014/main" id="{00000000-0008-0000-0100-000004000000}"/>
            </a:ext>
          </a:extLst>
        </xdr:cNvPr>
        <xdr:cNvSpPr/>
      </xdr:nvSpPr>
      <xdr:spPr>
        <a:xfrm>
          <a:off x="11919857" y="367393"/>
          <a:ext cx="462643" cy="340179"/>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503464</xdr:colOff>
      <xdr:row>18</xdr:row>
      <xdr:rowOff>122464</xdr:rowOff>
    </xdr:from>
    <xdr:to>
      <xdr:col>19</xdr:col>
      <xdr:colOff>664166</xdr:colOff>
      <xdr:row>29</xdr:row>
      <xdr:rowOff>46012</xdr:rowOff>
    </xdr:to>
    <xdr:pic>
      <xdr:nvPicPr>
        <xdr:cNvPr id="2" name="Imagen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0409464" y="8418739"/>
          <a:ext cx="9780952" cy="2019048"/>
        </a:xfrm>
        <a:prstGeom prst="rect">
          <a:avLst/>
        </a:prstGeom>
      </xdr:spPr>
    </xdr:pic>
    <xdr:clientData/>
  </xdr:twoCellAnchor>
  <xdr:twoCellAnchor editAs="oneCell">
    <xdr:from>
      <xdr:col>0</xdr:col>
      <xdr:colOff>54428</xdr:colOff>
      <xdr:row>18</xdr:row>
      <xdr:rowOff>0</xdr:rowOff>
    </xdr:from>
    <xdr:to>
      <xdr:col>8</xdr:col>
      <xdr:colOff>944845</xdr:colOff>
      <xdr:row>28</xdr:row>
      <xdr:rowOff>123571</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54428" y="8214633"/>
          <a:ext cx="6801360" cy="2028571"/>
        </a:xfrm>
        <a:prstGeom prst="rect">
          <a:avLst/>
        </a:prstGeom>
      </xdr:spPr>
    </xdr:pic>
    <xdr:clientData/>
  </xdr:twoCellAnchor>
  <xdr:twoCellAnchor>
    <xdr:from>
      <xdr:col>15</xdr:col>
      <xdr:colOff>326572</xdr:colOff>
      <xdr:row>2</xdr:row>
      <xdr:rowOff>27215</xdr:rowOff>
    </xdr:from>
    <xdr:to>
      <xdr:col>15</xdr:col>
      <xdr:colOff>789215</xdr:colOff>
      <xdr:row>3</xdr:row>
      <xdr:rowOff>176894</xdr:rowOff>
    </xdr:to>
    <xdr:sp macro="" textlink="">
      <xdr:nvSpPr>
        <xdr:cNvPr id="4" name="Flecha abajo 3">
          <a:extLst>
            <a:ext uri="{FF2B5EF4-FFF2-40B4-BE49-F238E27FC236}">
              <a16:creationId xmlns:a16="http://schemas.microsoft.com/office/drawing/2014/main" id="{00000000-0008-0000-0200-000004000000}"/>
            </a:ext>
          </a:extLst>
        </xdr:cNvPr>
        <xdr:cNvSpPr/>
      </xdr:nvSpPr>
      <xdr:spPr>
        <a:xfrm>
          <a:off x="13443858" y="408215"/>
          <a:ext cx="462643" cy="340179"/>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503464</xdr:colOff>
      <xdr:row>19</xdr:row>
      <xdr:rowOff>0</xdr:rowOff>
    </xdr:from>
    <xdr:to>
      <xdr:col>20</xdr:col>
      <xdr:colOff>337594</xdr:colOff>
      <xdr:row>29</xdr:row>
      <xdr:rowOff>114048</xdr:rowOff>
    </xdr:to>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10885714" y="8418739"/>
          <a:ext cx="9780952" cy="2019048"/>
        </a:xfrm>
        <a:prstGeom prst="rect">
          <a:avLst/>
        </a:prstGeom>
      </xdr:spPr>
    </xdr:pic>
    <xdr:clientData/>
  </xdr:twoCellAnchor>
  <xdr:twoCellAnchor editAs="oneCell">
    <xdr:from>
      <xdr:col>0</xdr:col>
      <xdr:colOff>54428</xdr:colOff>
      <xdr:row>19</xdr:row>
      <xdr:rowOff>0</xdr:rowOff>
    </xdr:from>
    <xdr:to>
      <xdr:col>9</xdr:col>
      <xdr:colOff>468595</xdr:colOff>
      <xdr:row>29</xdr:row>
      <xdr:rowOff>123571</xdr:rowOff>
    </xdr:to>
    <xdr:pic>
      <xdr:nvPicPr>
        <xdr:cNvPr id="3" name="Imagen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54428" y="8214633"/>
          <a:ext cx="6804081" cy="2028571"/>
        </a:xfrm>
        <a:prstGeom prst="rect">
          <a:avLst/>
        </a:prstGeom>
      </xdr:spPr>
    </xdr:pic>
    <xdr:clientData/>
  </xdr:twoCellAnchor>
  <xdr:twoCellAnchor>
    <xdr:from>
      <xdr:col>17</xdr:col>
      <xdr:colOff>285750</xdr:colOff>
      <xdr:row>2</xdr:row>
      <xdr:rowOff>95250</xdr:rowOff>
    </xdr:from>
    <xdr:to>
      <xdr:col>17</xdr:col>
      <xdr:colOff>748393</xdr:colOff>
      <xdr:row>4</xdr:row>
      <xdr:rowOff>54429</xdr:rowOff>
    </xdr:to>
    <xdr:sp macro="" textlink="">
      <xdr:nvSpPr>
        <xdr:cNvPr id="4" name="Flecha abajo 3">
          <a:extLst>
            <a:ext uri="{FF2B5EF4-FFF2-40B4-BE49-F238E27FC236}">
              <a16:creationId xmlns:a16="http://schemas.microsoft.com/office/drawing/2014/main" id="{00000000-0008-0000-0300-000004000000}"/>
            </a:ext>
          </a:extLst>
        </xdr:cNvPr>
        <xdr:cNvSpPr/>
      </xdr:nvSpPr>
      <xdr:spPr>
        <a:xfrm>
          <a:off x="14709321" y="476250"/>
          <a:ext cx="462643" cy="340179"/>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54428</xdr:colOff>
      <xdr:row>20</xdr:row>
      <xdr:rowOff>0</xdr:rowOff>
    </xdr:from>
    <xdr:to>
      <xdr:col>9</xdr:col>
      <xdr:colOff>414166</xdr:colOff>
      <xdr:row>30</xdr:row>
      <xdr:rowOff>123571</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54428" y="8214633"/>
          <a:ext cx="6804081" cy="2028571"/>
        </a:xfrm>
        <a:prstGeom prst="rect">
          <a:avLst/>
        </a:prstGeom>
      </xdr:spPr>
    </xdr:pic>
    <xdr:clientData/>
  </xdr:twoCellAnchor>
  <xdr:twoCellAnchor editAs="oneCell">
    <xdr:from>
      <xdr:col>10</xdr:col>
      <xdr:colOff>639536</xdr:colOff>
      <xdr:row>21</xdr:row>
      <xdr:rowOff>163285</xdr:rowOff>
    </xdr:from>
    <xdr:to>
      <xdr:col>25</xdr:col>
      <xdr:colOff>151071</xdr:colOff>
      <xdr:row>29</xdr:row>
      <xdr:rowOff>48809</xdr:rowOff>
    </xdr:to>
    <xdr:pic>
      <xdr:nvPicPr>
        <xdr:cNvPr id="5" name="Imagen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2"/>
        <a:stretch>
          <a:fillRect/>
        </a:stretch>
      </xdr:blipFill>
      <xdr:spPr>
        <a:xfrm>
          <a:off x="11021786" y="8654142"/>
          <a:ext cx="10628571" cy="1409524"/>
        </a:xfrm>
        <a:prstGeom prst="rect">
          <a:avLst/>
        </a:prstGeom>
      </xdr:spPr>
    </xdr:pic>
    <xdr:clientData/>
  </xdr:twoCellAnchor>
  <xdr:twoCellAnchor>
    <xdr:from>
      <xdr:col>18</xdr:col>
      <xdr:colOff>299358</xdr:colOff>
      <xdr:row>1</xdr:row>
      <xdr:rowOff>163285</xdr:rowOff>
    </xdr:from>
    <xdr:to>
      <xdr:col>18</xdr:col>
      <xdr:colOff>762001</xdr:colOff>
      <xdr:row>3</xdr:row>
      <xdr:rowOff>122464</xdr:rowOff>
    </xdr:to>
    <xdr:sp macro="" textlink="">
      <xdr:nvSpPr>
        <xdr:cNvPr id="4" name="Flecha abajo 3">
          <a:extLst>
            <a:ext uri="{FF2B5EF4-FFF2-40B4-BE49-F238E27FC236}">
              <a16:creationId xmlns:a16="http://schemas.microsoft.com/office/drawing/2014/main" id="{00000000-0008-0000-0400-000004000000}"/>
            </a:ext>
          </a:extLst>
        </xdr:cNvPr>
        <xdr:cNvSpPr/>
      </xdr:nvSpPr>
      <xdr:spPr>
        <a:xfrm>
          <a:off x="12872358" y="353785"/>
          <a:ext cx="462643" cy="340179"/>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54428</xdr:colOff>
      <xdr:row>20</xdr:row>
      <xdr:rowOff>108858</xdr:rowOff>
    </xdr:from>
    <xdr:to>
      <xdr:col>10</xdr:col>
      <xdr:colOff>563845</xdr:colOff>
      <xdr:row>31</xdr:row>
      <xdr:rowOff>41929</xdr:rowOff>
    </xdr:to>
    <xdr:pic>
      <xdr:nvPicPr>
        <xdr:cNvPr id="2" name="Imagen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54428" y="8214633"/>
          <a:ext cx="6804081" cy="2028571"/>
        </a:xfrm>
        <a:prstGeom prst="rect">
          <a:avLst/>
        </a:prstGeom>
      </xdr:spPr>
    </xdr:pic>
    <xdr:clientData/>
  </xdr:twoCellAnchor>
  <xdr:twoCellAnchor editAs="oneCell">
    <xdr:from>
      <xdr:col>11</xdr:col>
      <xdr:colOff>639536</xdr:colOff>
      <xdr:row>22</xdr:row>
      <xdr:rowOff>163285</xdr:rowOff>
    </xdr:from>
    <xdr:to>
      <xdr:col>27</xdr:col>
      <xdr:colOff>188183</xdr:colOff>
      <xdr:row>30</xdr:row>
      <xdr:rowOff>48809</xdr:rowOff>
    </xdr:to>
    <xdr:pic>
      <xdr:nvPicPr>
        <xdr:cNvPr id="3" name="Imagen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11021786" y="8650060"/>
          <a:ext cx="10620407" cy="1409524"/>
        </a:xfrm>
        <a:prstGeom prst="rect">
          <a:avLst/>
        </a:prstGeom>
      </xdr:spPr>
    </xdr:pic>
    <xdr:clientData/>
  </xdr:twoCellAnchor>
  <xdr:twoCellAnchor>
    <xdr:from>
      <xdr:col>20</xdr:col>
      <xdr:colOff>272143</xdr:colOff>
      <xdr:row>1</xdr:row>
      <xdr:rowOff>108858</xdr:rowOff>
    </xdr:from>
    <xdr:to>
      <xdr:col>20</xdr:col>
      <xdr:colOff>734786</xdr:colOff>
      <xdr:row>3</xdr:row>
      <xdr:rowOff>68037</xdr:rowOff>
    </xdr:to>
    <xdr:sp macro="" textlink="">
      <xdr:nvSpPr>
        <xdr:cNvPr id="4" name="Flecha abajo 3">
          <a:extLst>
            <a:ext uri="{FF2B5EF4-FFF2-40B4-BE49-F238E27FC236}">
              <a16:creationId xmlns:a16="http://schemas.microsoft.com/office/drawing/2014/main" id="{00000000-0008-0000-0500-000004000000}"/>
            </a:ext>
          </a:extLst>
        </xdr:cNvPr>
        <xdr:cNvSpPr/>
      </xdr:nvSpPr>
      <xdr:spPr>
        <a:xfrm>
          <a:off x="13035643" y="299358"/>
          <a:ext cx="462643" cy="340179"/>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54428</xdr:colOff>
      <xdr:row>20</xdr:row>
      <xdr:rowOff>0</xdr:rowOff>
    </xdr:from>
    <xdr:to>
      <xdr:col>10</xdr:col>
      <xdr:colOff>468595</xdr:colOff>
      <xdr:row>30</xdr:row>
      <xdr:rowOff>123571</xdr:rowOff>
    </xdr:to>
    <xdr:pic>
      <xdr:nvPicPr>
        <xdr:cNvPr id="2" name="Imagen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54428" y="6119133"/>
          <a:ext cx="6804081" cy="2028571"/>
        </a:xfrm>
        <a:prstGeom prst="rect">
          <a:avLst/>
        </a:prstGeom>
      </xdr:spPr>
    </xdr:pic>
    <xdr:clientData/>
  </xdr:twoCellAnchor>
  <xdr:twoCellAnchor editAs="oneCell">
    <xdr:from>
      <xdr:col>11</xdr:col>
      <xdr:colOff>639536</xdr:colOff>
      <xdr:row>21</xdr:row>
      <xdr:rowOff>163285</xdr:rowOff>
    </xdr:from>
    <xdr:to>
      <xdr:col>27</xdr:col>
      <xdr:colOff>610004</xdr:colOff>
      <xdr:row>29</xdr:row>
      <xdr:rowOff>48809</xdr:rowOff>
    </xdr:to>
    <xdr:pic>
      <xdr:nvPicPr>
        <xdr:cNvPr id="3" name="Imagen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10240736" y="6554560"/>
          <a:ext cx="10622140" cy="1409524"/>
        </a:xfrm>
        <a:prstGeom prst="rect">
          <a:avLst/>
        </a:prstGeom>
      </xdr:spPr>
    </xdr:pic>
    <xdr:clientData/>
  </xdr:twoCellAnchor>
  <xdr:twoCellAnchor>
    <xdr:from>
      <xdr:col>23</xdr:col>
      <xdr:colOff>285750</xdr:colOff>
      <xdr:row>2</xdr:row>
      <xdr:rowOff>0</xdr:rowOff>
    </xdr:from>
    <xdr:to>
      <xdr:col>23</xdr:col>
      <xdr:colOff>748393</xdr:colOff>
      <xdr:row>3</xdr:row>
      <xdr:rowOff>149679</xdr:rowOff>
    </xdr:to>
    <xdr:sp macro="" textlink="">
      <xdr:nvSpPr>
        <xdr:cNvPr id="4" name="Flecha abajo 3">
          <a:extLst>
            <a:ext uri="{FF2B5EF4-FFF2-40B4-BE49-F238E27FC236}">
              <a16:creationId xmlns:a16="http://schemas.microsoft.com/office/drawing/2014/main" id="{00000000-0008-0000-0600-000004000000}"/>
            </a:ext>
          </a:extLst>
        </xdr:cNvPr>
        <xdr:cNvSpPr/>
      </xdr:nvSpPr>
      <xdr:spPr>
        <a:xfrm>
          <a:off x="15335250" y="381000"/>
          <a:ext cx="462643" cy="340179"/>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54428</xdr:colOff>
      <xdr:row>20</xdr:row>
      <xdr:rowOff>0</xdr:rowOff>
    </xdr:from>
    <xdr:to>
      <xdr:col>10</xdr:col>
      <xdr:colOff>468595</xdr:colOff>
      <xdr:row>30</xdr:row>
      <xdr:rowOff>123571</xdr:rowOff>
    </xdr:to>
    <xdr:pic>
      <xdr:nvPicPr>
        <xdr:cNvPr id="2" name="Imagen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54428" y="4486275"/>
          <a:ext cx="6805442" cy="2028571"/>
        </a:xfrm>
        <a:prstGeom prst="rect">
          <a:avLst/>
        </a:prstGeom>
      </xdr:spPr>
    </xdr:pic>
    <xdr:clientData/>
  </xdr:twoCellAnchor>
  <xdr:twoCellAnchor editAs="oneCell">
    <xdr:from>
      <xdr:col>10</xdr:col>
      <xdr:colOff>1170215</xdr:colOff>
      <xdr:row>20</xdr:row>
      <xdr:rowOff>27214</xdr:rowOff>
    </xdr:from>
    <xdr:to>
      <xdr:col>25</xdr:col>
      <xdr:colOff>369915</xdr:colOff>
      <xdr:row>23</xdr:row>
      <xdr:rowOff>132083</xdr:rowOff>
    </xdr:to>
    <xdr:pic>
      <xdr:nvPicPr>
        <xdr:cNvPr id="3" name="Imagen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stretch>
          <a:fillRect/>
        </a:stretch>
      </xdr:blipFill>
      <xdr:spPr>
        <a:xfrm>
          <a:off x="7565572" y="4517571"/>
          <a:ext cx="8316486" cy="676369"/>
        </a:xfrm>
        <a:prstGeom prst="rect">
          <a:avLst/>
        </a:prstGeom>
      </xdr:spPr>
    </xdr:pic>
    <xdr:clientData/>
  </xdr:twoCellAnchor>
  <xdr:twoCellAnchor>
    <xdr:from>
      <xdr:col>24</xdr:col>
      <xdr:colOff>272141</xdr:colOff>
      <xdr:row>1</xdr:row>
      <xdr:rowOff>95250</xdr:rowOff>
    </xdr:from>
    <xdr:to>
      <xdr:col>24</xdr:col>
      <xdr:colOff>734784</xdr:colOff>
      <xdr:row>3</xdr:row>
      <xdr:rowOff>54429</xdr:rowOff>
    </xdr:to>
    <xdr:sp macro="" textlink="">
      <xdr:nvSpPr>
        <xdr:cNvPr id="4" name="Flecha abajo 3">
          <a:extLst>
            <a:ext uri="{FF2B5EF4-FFF2-40B4-BE49-F238E27FC236}">
              <a16:creationId xmlns:a16="http://schemas.microsoft.com/office/drawing/2014/main" id="{00000000-0008-0000-0700-000004000000}"/>
            </a:ext>
          </a:extLst>
        </xdr:cNvPr>
        <xdr:cNvSpPr/>
      </xdr:nvSpPr>
      <xdr:spPr>
        <a:xfrm>
          <a:off x="14355534" y="285750"/>
          <a:ext cx="462643" cy="340179"/>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231319</xdr:colOff>
      <xdr:row>17</xdr:row>
      <xdr:rowOff>68041</xdr:rowOff>
    </xdr:from>
    <xdr:to>
      <xdr:col>10</xdr:col>
      <xdr:colOff>645486</xdr:colOff>
      <xdr:row>28</xdr:row>
      <xdr:rowOff>1112</xdr:rowOff>
    </xdr:to>
    <xdr:pic>
      <xdr:nvPicPr>
        <xdr:cNvPr id="2" name="Imagen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231319" y="3986898"/>
          <a:ext cx="6809524" cy="2028571"/>
        </a:xfrm>
        <a:prstGeom prst="rect">
          <a:avLst/>
        </a:prstGeom>
      </xdr:spPr>
    </xdr:pic>
    <xdr:clientData/>
  </xdr:twoCellAnchor>
  <xdr:twoCellAnchor>
    <xdr:from>
      <xdr:col>25</xdr:col>
      <xdr:colOff>258534</xdr:colOff>
      <xdr:row>1</xdr:row>
      <xdr:rowOff>136071</xdr:rowOff>
    </xdr:from>
    <xdr:to>
      <xdr:col>25</xdr:col>
      <xdr:colOff>762000</xdr:colOff>
      <xdr:row>4</xdr:row>
      <xdr:rowOff>27214</xdr:rowOff>
    </xdr:to>
    <xdr:sp macro="" textlink="">
      <xdr:nvSpPr>
        <xdr:cNvPr id="4" name="Flecha abajo 3">
          <a:extLst>
            <a:ext uri="{FF2B5EF4-FFF2-40B4-BE49-F238E27FC236}">
              <a16:creationId xmlns:a16="http://schemas.microsoft.com/office/drawing/2014/main" id="{00000000-0008-0000-0800-000004000000}"/>
            </a:ext>
          </a:extLst>
        </xdr:cNvPr>
        <xdr:cNvSpPr/>
      </xdr:nvSpPr>
      <xdr:spPr>
        <a:xfrm>
          <a:off x="15770677" y="326571"/>
          <a:ext cx="503466" cy="462643"/>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twoCellAnchor editAs="oneCell">
    <xdr:from>
      <xdr:col>11</xdr:col>
      <xdr:colOff>13607</xdr:colOff>
      <xdr:row>18</xdr:row>
      <xdr:rowOff>176893</xdr:rowOff>
    </xdr:from>
    <xdr:to>
      <xdr:col>25</xdr:col>
      <xdr:colOff>874756</xdr:colOff>
      <xdr:row>23</xdr:row>
      <xdr:rowOff>24605</xdr:rowOff>
    </xdr:to>
    <xdr:pic>
      <xdr:nvPicPr>
        <xdr:cNvPr id="5" name="Imagen 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2"/>
        <a:stretch>
          <a:fillRect/>
        </a:stretch>
      </xdr:blipFill>
      <xdr:spPr>
        <a:xfrm>
          <a:off x="7946571" y="4286250"/>
          <a:ext cx="8440328" cy="80021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231319</xdr:colOff>
      <xdr:row>17</xdr:row>
      <xdr:rowOff>68041</xdr:rowOff>
    </xdr:from>
    <xdr:to>
      <xdr:col>10</xdr:col>
      <xdr:colOff>645486</xdr:colOff>
      <xdr:row>28</xdr:row>
      <xdr:rowOff>1112</xdr:rowOff>
    </xdr:to>
    <xdr:pic>
      <xdr:nvPicPr>
        <xdr:cNvPr id="2" name="Imagen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231319" y="3982816"/>
          <a:ext cx="6805442" cy="2028571"/>
        </a:xfrm>
        <a:prstGeom prst="rect">
          <a:avLst/>
        </a:prstGeom>
      </xdr:spPr>
    </xdr:pic>
    <xdr:clientData/>
  </xdr:twoCellAnchor>
  <xdr:twoCellAnchor>
    <xdr:from>
      <xdr:col>27</xdr:col>
      <xdr:colOff>231320</xdr:colOff>
      <xdr:row>1</xdr:row>
      <xdr:rowOff>163285</xdr:rowOff>
    </xdr:from>
    <xdr:to>
      <xdr:col>27</xdr:col>
      <xdr:colOff>734786</xdr:colOff>
      <xdr:row>4</xdr:row>
      <xdr:rowOff>54428</xdr:rowOff>
    </xdr:to>
    <xdr:sp macro="" textlink="">
      <xdr:nvSpPr>
        <xdr:cNvPr id="3" name="Flecha abajo 2">
          <a:extLst>
            <a:ext uri="{FF2B5EF4-FFF2-40B4-BE49-F238E27FC236}">
              <a16:creationId xmlns:a16="http://schemas.microsoft.com/office/drawing/2014/main" id="{00000000-0008-0000-0900-000003000000}"/>
            </a:ext>
          </a:extLst>
        </xdr:cNvPr>
        <xdr:cNvSpPr/>
      </xdr:nvSpPr>
      <xdr:spPr>
        <a:xfrm>
          <a:off x="16709570" y="353785"/>
          <a:ext cx="503466" cy="462643"/>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231319</xdr:colOff>
      <xdr:row>17</xdr:row>
      <xdr:rowOff>68041</xdr:rowOff>
    </xdr:from>
    <xdr:to>
      <xdr:col>10</xdr:col>
      <xdr:colOff>645486</xdr:colOff>
      <xdr:row>28</xdr:row>
      <xdr:rowOff>1112</xdr:rowOff>
    </xdr:to>
    <xdr:pic>
      <xdr:nvPicPr>
        <xdr:cNvPr id="2" name="Imagen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31319" y="3792316"/>
          <a:ext cx="6805442" cy="2028571"/>
        </a:xfrm>
        <a:prstGeom prst="rect">
          <a:avLst/>
        </a:prstGeom>
      </xdr:spPr>
    </xdr:pic>
    <xdr:clientData/>
  </xdr:twoCellAnchor>
  <xdr:twoCellAnchor editAs="oneCell">
    <xdr:from>
      <xdr:col>10</xdr:col>
      <xdr:colOff>1074965</xdr:colOff>
      <xdr:row>19</xdr:row>
      <xdr:rowOff>27214</xdr:rowOff>
    </xdr:from>
    <xdr:to>
      <xdr:col>32</xdr:col>
      <xdr:colOff>255931</xdr:colOff>
      <xdr:row>22</xdr:row>
      <xdr:rowOff>65399</xdr:rowOff>
    </xdr:to>
    <xdr:pic>
      <xdr:nvPicPr>
        <xdr:cNvPr id="4" name="Imagen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2"/>
        <a:stretch>
          <a:fillRect/>
        </a:stretch>
      </xdr:blipFill>
      <xdr:spPr>
        <a:xfrm>
          <a:off x="7470322" y="4136571"/>
          <a:ext cx="10583752" cy="609685"/>
        </a:xfrm>
        <a:prstGeom prst="rect">
          <a:avLst/>
        </a:prstGeom>
      </xdr:spPr>
    </xdr:pic>
    <xdr:clientData/>
  </xdr:twoCellAnchor>
  <xdr:twoCellAnchor>
    <xdr:from>
      <xdr:col>28</xdr:col>
      <xdr:colOff>231320</xdr:colOff>
      <xdr:row>1</xdr:row>
      <xdr:rowOff>163285</xdr:rowOff>
    </xdr:from>
    <xdr:to>
      <xdr:col>28</xdr:col>
      <xdr:colOff>734786</xdr:colOff>
      <xdr:row>4</xdr:row>
      <xdr:rowOff>54428</xdr:rowOff>
    </xdr:to>
    <xdr:sp macro="" textlink="">
      <xdr:nvSpPr>
        <xdr:cNvPr id="5" name="Flecha abajo 4">
          <a:extLst>
            <a:ext uri="{FF2B5EF4-FFF2-40B4-BE49-F238E27FC236}">
              <a16:creationId xmlns:a16="http://schemas.microsoft.com/office/drawing/2014/main" id="{00000000-0008-0000-0A00-000005000000}"/>
            </a:ext>
          </a:extLst>
        </xdr:cNvPr>
        <xdr:cNvSpPr/>
      </xdr:nvSpPr>
      <xdr:spPr>
        <a:xfrm>
          <a:off x="17866177" y="353785"/>
          <a:ext cx="503466" cy="462643"/>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136069</xdr:colOff>
      <xdr:row>19</xdr:row>
      <xdr:rowOff>54434</xdr:rowOff>
    </xdr:from>
    <xdr:to>
      <xdr:col>10</xdr:col>
      <xdr:colOff>550236</xdr:colOff>
      <xdr:row>29</xdr:row>
      <xdr:rowOff>178005</xdr:rowOff>
    </xdr:to>
    <xdr:pic>
      <xdr:nvPicPr>
        <xdr:cNvPr id="2" name="Imagen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136069" y="4163791"/>
          <a:ext cx="6809524" cy="2028571"/>
        </a:xfrm>
        <a:prstGeom prst="rect">
          <a:avLst/>
        </a:prstGeom>
      </xdr:spPr>
    </xdr:pic>
    <xdr:clientData/>
  </xdr:twoCellAnchor>
  <xdr:twoCellAnchor>
    <xdr:from>
      <xdr:col>28</xdr:col>
      <xdr:colOff>231320</xdr:colOff>
      <xdr:row>1</xdr:row>
      <xdr:rowOff>163285</xdr:rowOff>
    </xdr:from>
    <xdr:to>
      <xdr:col>28</xdr:col>
      <xdr:colOff>734786</xdr:colOff>
      <xdr:row>4</xdr:row>
      <xdr:rowOff>54428</xdr:rowOff>
    </xdr:to>
    <xdr:sp macro="" textlink="">
      <xdr:nvSpPr>
        <xdr:cNvPr id="5" name="Flecha abajo 4">
          <a:extLst>
            <a:ext uri="{FF2B5EF4-FFF2-40B4-BE49-F238E27FC236}">
              <a16:creationId xmlns:a16="http://schemas.microsoft.com/office/drawing/2014/main" id="{00000000-0008-0000-0B00-000005000000}"/>
            </a:ext>
          </a:extLst>
        </xdr:cNvPr>
        <xdr:cNvSpPr/>
      </xdr:nvSpPr>
      <xdr:spPr>
        <a:xfrm>
          <a:off x="24370391" y="353785"/>
          <a:ext cx="503466" cy="462643"/>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twoCellAnchor editAs="oneCell">
    <xdr:from>
      <xdr:col>10</xdr:col>
      <xdr:colOff>1319893</xdr:colOff>
      <xdr:row>19</xdr:row>
      <xdr:rowOff>122465</xdr:rowOff>
    </xdr:from>
    <xdr:to>
      <xdr:col>34</xdr:col>
      <xdr:colOff>684629</xdr:colOff>
      <xdr:row>23</xdr:row>
      <xdr:rowOff>27308</xdr:rowOff>
    </xdr:to>
    <xdr:pic>
      <xdr:nvPicPr>
        <xdr:cNvPr id="6" name="Imagen 5">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2"/>
        <a:stretch>
          <a:fillRect/>
        </a:stretch>
      </xdr:blipFill>
      <xdr:spPr>
        <a:xfrm>
          <a:off x="7715250" y="4231822"/>
          <a:ext cx="11107700" cy="66684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91245</xdr:colOff>
      <xdr:row>17</xdr:row>
      <xdr:rowOff>65639</xdr:rowOff>
    </xdr:from>
    <xdr:to>
      <xdr:col>11</xdr:col>
      <xdr:colOff>124412</xdr:colOff>
      <xdr:row>27</xdr:row>
      <xdr:rowOff>189210</xdr:rowOff>
    </xdr:to>
    <xdr:pic>
      <xdr:nvPicPr>
        <xdr:cNvPr id="2" name="Imagen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91245" y="3449815"/>
          <a:ext cx="6801520" cy="2028571"/>
        </a:xfrm>
        <a:prstGeom prst="rect">
          <a:avLst/>
        </a:prstGeom>
      </xdr:spPr>
    </xdr:pic>
    <xdr:clientData/>
  </xdr:twoCellAnchor>
  <xdr:twoCellAnchor>
    <xdr:from>
      <xdr:col>28</xdr:col>
      <xdr:colOff>231320</xdr:colOff>
      <xdr:row>1</xdr:row>
      <xdr:rowOff>163285</xdr:rowOff>
    </xdr:from>
    <xdr:to>
      <xdr:col>28</xdr:col>
      <xdr:colOff>734786</xdr:colOff>
      <xdr:row>4</xdr:row>
      <xdr:rowOff>54428</xdr:rowOff>
    </xdr:to>
    <xdr:sp macro="" textlink="">
      <xdr:nvSpPr>
        <xdr:cNvPr id="5" name="Flecha abajo 4">
          <a:extLst>
            <a:ext uri="{FF2B5EF4-FFF2-40B4-BE49-F238E27FC236}">
              <a16:creationId xmlns:a16="http://schemas.microsoft.com/office/drawing/2014/main" id="{00000000-0008-0000-0C00-000005000000}"/>
            </a:ext>
          </a:extLst>
        </xdr:cNvPr>
        <xdr:cNvSpPr/>
      </xdr:nvSpPr>
      <xdr:spPr>
        <a:xfrm>
          <a:off x="13593534" y="353785"/>
          <a:ext cx="503466" cy="462643"/>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twoCellAnchor editAs="oneCell">
    <xdr:from>
      <xdr:col>11</xdr:col>
      <xdr:colOff>493058</xdr:colOff>
      <xdr:row>20</xdr:row>
      <xdr:rowOff>0</xdr:rowOff>
    </xdr:from>
    <xdr:to>
      <xdr:col>31</xdr:col>
      <xdr:colOff>635888</xdr:colOff>
      <xdr:row>28</xdr:row>
      <xdr:rowOff>9739</xdr:rowOff>
    </xdr:to>
    <xdr:pic>
      <xdr:nvPicPr>
        <xdr:cNvPr id="3" name="Imagen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7261411" y="3955676"/>
          <a:ext cx="7706801" cy="153373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91245</xdr:colOff>
      <xdr:row>17</xdr:row>
      <xdr:rowOff>65639</xdr:rowOff>
    </xdr:from>
    <xdr:to>
      <xdr:col>11</xdr:col>
      <xdr:colOff>124412</xdr:colOff>
      <xdr:row>27</xdr:row>
      <xdr:rowOff>189210</xdr:rowOff>
    </xdr:to>
    <xdr:pic>
      <xdr:nvPicPr>
        <xdr:cNvPr id="2" name="Imagen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91245" y="3456539"/>
          <a:ext cx="6814967" cy="2028571"/>
        </a:xfrm>
        <a:prstGeom prst="rect">
          <a:avLst/>
        </a:prstGeom>
      </xdr:spPr>
    </xdr:pic>
    <xdr:clientData/>
  </xdr:twoCellAnchor>
  <xdr:twoCellAnchor editAs="oneCell">
    <xdr:from>
      <xdr:col>11</xdr:col>
      <xdr:colOff>493058</xdr:colOff>
      <xdr:row>20</xdr:row>
      <xdr:rowOff>0</xdr:rowOff>
    </xdr:from>
    <xdr:to>
      <xdr:col>31</xdr:col>
      <xdr:colOff>232477</xdr:colOff>
      <xdr:row>28</xdr:row>
      <xdr:rowOff>9739</xdr:rowOff>
    </xdr:to>
    <xdr:pic>
      <xdr:nvPicPr>
        <xdr:cNvPr id="4" name="Imagen 3">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2"/>
        <a:stretch>
          <a:fillRect/>
        </a:stretch>
      </xdr:blipFill>
      <xdr:spPr>
        <a:xfrm>
          <a:off x="7274858" y="3962400"/>
          <a:ext cx="7686630" cy="1533739"/>
        </a:xfrm>
        <a:prstGeom prst="rect">
          <a:avLst/>
        </a:prstGeom>
      </xdr:spPr>
    </xdr:pic>
    <xdr:clientData/>
  </xdr:twoCellAnchor>
  <xdr:twoCellAnchor>
    <xdr:from>
      <xdr:col>29</xdr:col>
      <xdr:colOff>231320</xdr:colOff>
      <xdr:row>1</xdr:row>
      <xdr:rowOff>163285</xdr:rowOff>
    </xdr:from>
    <xdr:to>
      <xdr:col>29</xdr:col>
      <xdr:colOff>734786</xdr:colOff>
      <xdr:row>4</xdr:row>
      <xdr:rowOff>54428</xdr:rowOff>
    </xdr:to>
    <xdr:sp macro="" textlink="">
      <xdr:nvSpPr>
        <xdr:cNvPr id="5" name="Flecha abajo 4">
          <a:extLst>
            <a:ext uri="{FF2B5EF4-FFF2-40B4-BE49-F238E27FC236}">
              <a16:creationId xmlns:a16="http://schemas.microsoft.com/office/drawing/2014/main" id="{00000000-0008-0000-0D00-000005000000}"/>
            </a:ext>
          </a:extLst>
        </xdr:cNvPr>
        <xdr:cNvSpPr/>
      </xdr:nvSpPr>
      <xdr:spPr>
        <a:xfrm>
          <a:off x="12075938" y="353785"/>
          <a:ext cx="503466" cy="462643"/>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57627</xdr:colOff>
      <xdr:row>17</xdr:row>
      <xdr:rowOff>33617</xdr:rowOff>
    </xdr:from>
    <xdr:to>
      <xdr:col>12</xdr:col>
      <xdr:colOff>685951</xdr:colOff>
      <xdr:row>27</xdr:row>
      <xdr:rowOff>110769</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57627" y="3417793"/>
          <a:ext cx="6645883" cy="1982152"/>
        </a:xfrm>
        <a:prstGeom prst="rect">
          <a:avLst/>
        </a:prstGeom>
      </xdr:spPr>
    </xdr:pic>
    <xdr:clientData/>
  </xdr:twoCellAnchor>
  <xdr:twoCellAnchor>
    <xdr:from>
      <xdr:col>30</xdr:col>
      <xdr:colOff>403411</xdr:colOff>
      <xdr:row>2</xdr:row>
      <xdr:rowOff>11205</xdr:rowOff>
    </xdr:from>
    <xdr:to>
      <xdr:col>30</xdr:col>
      <xdr:colOff>906877</xdr:colOff>
      <xdr:row>4</xdr:row>
      <xdr:rowOff>92848</xdr:rowOff>
    </xdr:to>
    <xdr:sp macro="" textlink="">
      <xdr:nvSpPr>
        <xdr:cNvPr id="7" name="Flecha abajo 6">
          <a:extLst>
            <a:ext uri="{FF2B5EF4-FFF2-40B4-BE49-F238E27FC236}">
              <a16:creationId xmlns:a16="http://schemas.microsoft.com/office/drawing/2014/main" id="{00000000-0008-0000-0E00-000007000000}"/>
            </a:ext>
          </a:extLst>
        </xdr:cNvPr>
        <xdr:cNvSpPr/>
      </xdr:nvSpPr>
      <xdr:spPr>
        <a:xfrm>
          <a:off x="13211735" y="392205"/>
          <a:ext cx="503466" cy="462643"/>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57627</xdr:colOff>
      <xdr:row>17</xdr:row>
      <xdr:rowOff>33617</xdr:rowOff>
    </xdr:from>
    <xdr:to>
      <xdr:col>12</xdr:col>
      <xdr:colOff>685951</xdr:colOff>
      <xdr:row>27</xdr:row>
      <xdr:rowOff>110769</xdr:rowOff>
    </xdr:to>
    <xdr:pic>
      <xdr:nvPicPr>
        <xdr:cNvPr id="2" name="Imagen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57627" y="3424517"/>
          <a:ext cx="6648124" cy="198215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57627</xdr:colOff>
      <xdr:row>17</xdr:row>
      <xdr:rowOff>33617</xdr:rowOff>
    </xdr:from>
    <xdr:to>
      <xdr:col>12</xdr:col>
      <xdr:colOff>685951</xdr:colOff>
      <xdr:row>27</xdr:row>
      <xdr:rowOff>110769</xdr:rowOff>
    </xdr:to>
    <xdr:pic>
      <xdr:nvPicPr>
        <xdr:cNvPr id="2" name="Imagen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57627" y="3424517"/>
          <a:ext cx="6648124" cy="1982152"/>
        </a:xfrm>
        <a:prstGeom prst="rect">
          <a:avLst/>
        </a:prstGeom>
      </xdr:spPr>
    </xdr:pic>
    <xdr:clientData/>
  </xdr:twoCellAnchor>
  <xdr:twoCellAnchor>
    <xdr:from>
      <xdr:col>32</xdr:col>
      <xdr:colOff>403411</xdr:colOff>
      <xdr:row>2</xdr:row>
      <xdr:rowOff>11205</xdr:rowOff>
    </xdr:from>
    <xdr:to>
      <xdr:col>32</xdr:col>
      <xdr:colOff>906877</xdr:colOff>
      <xdr:row>4</xdr:row>
      <xdr:rowOff>92848</xdr:rowOff>
    </xdr:to>
    <xdr:sp macro="" textlink="">
      <xdr:nvSpPr>
        <xdr:cNvPr id="3" name="Flecha abajo 2">
          <a:extLst>
            <a:ext uri="{FF2B5EF4-FFF2-40B4-BE49-F238E27FC236}">
              <a16:creationId xmlns:a16="http://schemas.microsoft.com/office/drawing/2014/main" id="{00000000-0008-0000-1000-000003000000}"/>
            </a:ext>
          </a:extLst>
        </xdr:cNvPr>
        <xdr:cNvSpPr/>
      </xdr:nvSpPr>
      <xdr:spPr>
        <a:xfrm>
          <a:off x="12719236" y="392205"/>
          <a:ext cx="503466" cy="462643"/>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57627</xdr:colOff>
      <xdr:row>17</xdr:row>
      <xdr:rowOff>33617</xdr:rowOff>
    </xdr:from>
    <xdr:to>
      <xdr:col>12</xdr:col>
      <xdr:colOff>685951</xdr:colOff>
      <xdr:row>27</xdr:row>
      <xdr:rowOff>110769</xdr:rowOff>
    </xdr:to>
    <xdr:pic>
      <xdr:nvPicPr>
        <xdr:cNvPr id="2" name="Imagen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57627" y="3424517"/>
          <a:ext cx="6648124" cy="1982152"/>
        </a:xfrm>
        <a:prstGeom prst="rect">
          <a:avLst/>
        </a:prstGeom>
      </xdr:spPr>
    </xdr:pic>
    <xdr:clientData/>
  </xdr:twoCellAnchor>
  <xdr:twoCellAnchor>
    <xdr:from>
      <xdr:col>33</xdr:col>
      <xdr:colOff>336175</xdr:colOff>
      <xdr:row>1</xdr:row>
      <xdr:rowOff>156882</xdr:rowOff>
    </xdr:from>
    <xdr:to>
      <xdr:col>33</xdr:col>
      <xdr:colOff>839641</xdr:colOff>
      <xdr:row>4</xdr:row>
      <xdr:rowOff>48025</xdr:rowOff>
    </xdr:to>
    <xdr:sp macro="" textlink="">
      <xdr:nvSpPr>
        <xdr:cNvPr id="3" name="Flecha abajo 2">
          <a:extLst>
            <a:ext uri="{FF2B5EF4-FFF2-40B4-BE49-F238E27FC236}">
              <a16:creationId xmlns:a16="http://schemas.microsoft.com/office/drawing/2014/main" id="{00000000-0008-0000-1200-000003000000}"/>
            </a:ext>
          </a:extLst>
        </xdr:cNvPr>
        <xdr:cNvSpPr/>
      </xdr:nvSpPr>
      <xdr:spPr>
        <a:xfrm>
          <a:off x="13659969" y="347382"/>
          <a:ext cx="503466" cy="462643"/>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11206</xdr:colOff>
      <xdr:row>20</xdr:row>
      <xdr:rowOff>168088</xdr:rowOff>
    </xdr:from>
    <xdr:to>
      <xdr:col>14</xdr:col>
      <xdr:colOff>0</xdr:colOff>
      <xdr:row>31</xdr:row>
      <xdr:rowOff>54740</xdr:rowOff>
    </xdr:to>
    <xdr:pic>
      <xdr:nvPicPr>
        <xdr:cNvPr id="2" name="Imagen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11206" y="4123764"/>
          <a:ext cx="6645883" cy="1982152"/>
        </a:xfrm>
        <a:prstGeom prst="rect">
          <a:avLst/>
        </a:prstGeom>
      </xdr:spPr>
    </xdr:pic>
    <xdr:clientData/>
  </xdr:twoCellAnchor>
  <xdr:twoCellAnchor>
    <xdr:from>
      <xdr:col>33</xdr:col>
      <xdr:colOff>336175</xdr:colOff>
      <xdr:row>0</xdr:row>
      <xdr:rowOff>156882</xdr:rowOff>
    </xdr:from>
    <xdr:to>
      <xdr:col>33</xdr:col>
      <xdr:colOff>839641</xdr:colOff>
      <xdr:row>3</xdr:row>
      <xdr:rowOff>48025</xdr:rowOff>
    </xdr:to>
    <xdr:sp macro="" textlink="">
      <xdr:nvSpPr>
        <xdr:cNvPr id="4" name="Flecha abajo 3">
          <a:extLst>
            <a:ext uri="{FF2B5EF4-FFF2-40B4-BE49-F238E27FC236}">
              <a16:creationId xmlns:a16="http://schemas.microsoft.com/office/drawing/2014/main" id="{00000000-0008-0000-1300-000004000000}"/>
            </a:ext>
          </a:extLst>
        </xdr:cNvPr>
        <xdr:cNvSpPr/>
      </xdr:nvSpPr>
      <xdr:spPr>
        <a:xfrm>
          <a:off x="10701616" y="347382"/>
          <a:ext cx="503466" cy="462643"/>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11206</xdr:colOff>
      <xdr:row>20</xdr:row>
      <xdr:rowOff>168088</xdr:rowOff>
    </xdr:from>
    <xdr:to>
      <xdr:col>14</xdr:col>
      <xdr:colOff>22412</xdr:colOff>
      <xdr:row>31</xdr:row>
      <xdr:rowOff>54740</xdr:rowOff>
    </xdr:to>
    <xdr:pic>
      <xdr:nvPicPr>
        <xdr:cNvPr id="2" name="Imagen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11206" y="4511488"/>
          <a:ext cx="6646769" cy="1982152"/>
        </a:xfrm>
        <a:prstGeom prst="rect">
          <a:avLst/>
        </a:prstGeom>
      </xdr:spPr>
    </xdr:pic>
    <xdr:clientData/>
  </xdr:twoCellAnchor>
  <xdr:twoCellAnchor>
    <xdr:from>
      <xdr:col>35</xdr:col>
      <xdr:colOff>336175</xdr:colOff>
      <xdr:row>0</xdr:row>
      <xdr:rowOff>156882</xdr:rowOff>
    </xdr:from>
    <xdr:to>
      <xdr:col>35</xdr:col>
      <xdr:colOff>839641</xdr:colOff>
      <xdr:row>3</xdr:row>
      <xdr:rowOff>48025</xdr:rowOff>
    </xdr:to>
    <xdr:sp macro="" textlink="">
      <xdr:nvSpPr>
        <xdr:cNvPr id="6" name="Flecha abajo 5">
          <a:extLst>
            <a:ext uri="{FF2B5EF4-FFF2-40B4-BE49-F238E27FC236}">
              <a16:creationId xmlns:a16="http://schemas.microsoft.com/office/drawing/2014/main" id="{00000000-0008-0000-1400-000006000000}"/>
            </a:ext>
          </a:extLst>
        </xdr:cNvPr>
        <xdr:cNvSpPr/>
      </xdr:nvSpPr>
      <xdr:spPr>
        <a:xfrm>
          <a:off x="10208557" y="156882"/>
          <a:ext cx="503466" cy="462643"/>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11206</xdr:colOff>
      <xdr:row>20</xdr:row>
      <xdr:rowOff>168088</xdr:rowOff>
    </xdr:from>
    <xdr:to>
      <xdr:col>14</xdr:col>
      <xdr:colOff>22412</xdr:colOff>
      <xdr:row>31</xdr:row>
      <xdr:rowOff>54740</xdr:rowOff>
    </xdr:to>
    <xdr:pic>
      <xdr:nvPicPr>
        <xdr:cNvPr id="2" name="Imagen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11206" y="4511488"/>
          <a:ext cx="6650131" cy="1982152"/>
        </a:xfrm>
        <a:prstGeom prst="rect">
          <a:avLst/>
        </a:prstGeom>
      </xdr:spPr>
    </xdr:pic>
    <xdr:clientData/>
  </xdr:twoCellAnchor>
  <xdr:twoCellAnchor>
    <xdr:from>
      <xdr:col>36</xdr:col>
      <xdr:colOff>336175</xdr:colOff>
      <xdr:row>0</xdr:row>
      <xdr:rowOff>156882</xdr:rowOff>
    </xdr:from>
    <xdr:to>
      <xdr:col>36</xdr:col>
      <xdr:colOff>839641</xdr:colOff>
      <xdr:row>3</xdr:row>
      <xdr:rowOff>48025</xdr:rowOff>
    </xdr:to>
    <xdr:sp macro="" textlink="">
      <xdr:nvSpPr>
        <xdr:cNvPr id="4" name="Flecha abajo 3">
          <a:extLst>
            <a:ext uri="{FF2B5EF4-FFF2-40B4-BE49-F238E27FC236}">
              <a16:creationId xmlns:a16="http://schemas.microsoft.com/office/drawing/2014/main" id="{00000000-0008-0000-1600-000004000000}"/>
            </a:ext>
          </a:extLst>
        </xdr:cNvPr>
        <xdr:cNvSpPr/>
      </xdr:nvSpPr>
      <xdr:spPr>
        <a:xfrm>
          <a:off x="9805146" y="156882"/>
          <a:ext cx="503466" cy="462643"/>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17</xdr:row>
      <xdr:rowOff>168088</xdr:rowOff>
    </xdr:from>
    <xdr:to>
      <xdr:col>14</xdr:col>
      <xdr:colOff>11206</xdr:colOff>
      <xdr:row>28</xdr:row>
      <xdr:rowOff>54740</xdr:rowOff>
    </xdr:to>
    <xdr:pic>
      <xdr:nvPicPr>
        <xdr:cNvPr id="2" name="Imagen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0" y="3933264"/>
          <a:ext cx="6645088" cy="1982152"/>
        </a:xfrm>
        <a:prstGeom prst="rect">
          <a:avLst/>
        </a:prstGeom>
      </xdr:spPr>
    </xdr:pic>
    <xdr:clientData/>
  </xdr:twoCellAnchor>
  <xdr:twoCellAnchor>
    <xdr:from>
      <xdr:col>37</xdr:col>
      <xdr:colOff>336175</xdr:colOff>
      <xdr:row>0</xdr:row>
      <xdr:rowOff>156882</xdr:rowOff>
    </xdr:from>
    <xdr:to>
      <xdr:col>37</xdr:col>
      <xdr:colOff>839641</xdr:colOff>
      <xdr:row>3</xdr:row>
      <xdr:rowOff>48025</xdr:rowOff>
    </xdr:to>
    <xdr:sp macro="" textlink="">
      <xdr:nvSpPr>
        <xdr:cNvPr id="4" name="Flecha abajo 3">
          <a:extLst>
            <a:ext uri="{FF2B5EF4-FFF2-40B4-BE49-F238E27FC236}">
              <a16:creationId xmlns:a16="http://schemas.microsoft.com/office/drawing/2014/main" id="{00000000-0008-0000-1700-000004000000}"/>
            </a:ext>
          </a:extLst>
        </xdr:cNvPr>
        <xdr:cNvSpPr/>
      </xdr:nvSpPr>
      <xdr:spPr>
        <a:xfrm>
          <a:off x="10981763" y="156882"/>
          <a:ext cx="503466" cy="462643"/>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17</xdr:row>
      <xdr:rowOff>168088</xdr:rowOff>
    </xdr:from>
    <xdr:to>
      <xdr:col>14</xdr:col>
      <xdr:colOff>11206</xdr:colOff>
      <xdr:row>28</xdr:row>
      <xdr:rowOff>54740</xdr:rowOff>
    </xdr:to>
    <xdr:pic>
      <xdr:nvPicPr>
        <xdr:cNvPr id="2" name="Imagen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stretch>
          <a:fillRect/>
        </a:stretch>
      </xdr:blipFill>
      <xdr:spPr>
        <a:xfrm>
          <a:off x="0" y="3939988"/>
          <a:ext cx="6650131" cy="1982152"/>
        </a:xfrm>
        <a:prstGeom prst="rect">
          <a:avLst/>
        </a:prstGeom>
      </xdr:spPr>
    </xdr:pic>
    <xdr:clientData/>
  </xdr:twoCellAnchor>
  <xdr:twoCellAnchor>
    <xdr:from>
      <xdr:col>38</xdr:col>
      <xdr:colOff>336175</xdr:colOff>
      <xdr:row>0</xdr:row>
      <xdr:rowOff>156882</xdr:rowOff>
    </xdr:from>
    <xdr:to>
      <xdr:col>38</xdr:col>
      <xdr:colOff>839641</xdr:colOff>
      <xdr:row>3</xdr:row>
      <xdr:rowOff>48025</xdr:rowOff>
    </xdr:to>
    <xdr:sp macro="" textlink="">
      <xdr:nvSpPr>
        <xdr:cNvPr id="4" name="Flecha abajo 3">
          <a:extLst>
            <a:ext uri="{FF2B5EF4-FFF2-40B4-BE49-F238E27FC236}">
              <a16:creationId xmlns:a16="http://schemas.microsoft.com/office/drawing/2014/main" id="{00000000-0008-0000-1800-000004000000}"/>
            </a:ext>
          </a:extLst>
        </xdr:cNvPr>
        <xdr:cNvSpPr/>
      </xdr:nvSpPr>
      <xdr:spPr>
        <a:xfrm>
          <a:off x="9805146" y="156882"/>
          <a:ext cx="503466" cy="462643"/>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17</xdr:row>
      <xdr:rowOff>168088</xdr:rowOff>
    </xdr:from>
    <xdr:to>
      <xdr:col>14</xdr:col>
      <xdr:colOff>717176</xdr:colOff>
      <xdr:row>28</xdr:row>
      <xdr:rowOff>54740</xdr:rowOff>
    </xdr:to>
    <xdr:pic>
      <xdr:nvPicPr>
        <xdr:cNvPr id="2" name="Imagen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stretch>
          <a:fillRect/>
        </a:stretch>
      </xdr:blipFill>
      <xdr:spPr>
        <a:xfrm>
          <a:off x="0" y="3644713"/>
          <a:ext cx="6650131" cy="1982152"/>
        </a:xfrm>
        <a:prstGeom prst="rect">
          <a:avLst/>
        </a:prstGeom>
      </xdr:spPr>
    </xdr:pic>
    <xdr:clientData/>
  </xdr:twoCellAnchor>
  <xdr:twoCellAnchor>
    <xdr:from>
      <xdr:col>39</xdr:col>
      <xdr:colOff>336175</xdr:colOff>
      <xdr:row>0</xdr:row>
      <xdr:rowOff>156882</xdr:rowOff>
    </xdr:from>
    <xdr:to>
      <xdr:col>39</xdr:col>
      <xdr:colOff>839641</xdr:colOff>
      <xdr:row>3</xdr:row>
      <xdr:rowOff>48025</xdr:rowOff>
    </xdr:to>
    <xdr:sp macro="" textlink="">
      <xdr:nvSpPr>
        <xdr:cNvPr id="5" name="Flecha abajo 3">
          <a:extLst>
            <a:ext uri="{FF2B5EF4-FFF2-40B4-BE49-F238E27FC236}">
              <a16:creationId xmlns:a16="http://schemas.microsoft.com/office/drawing/2014/main" id="{00000000-0008-0000-1900-000005000000}"/>
            </a:ext>
          </a:extLst>
        </xdr:cNvPr>
        <xdr:cNvSpPr/>
      </xdr:nvSpPr>
      <xdr:spPr>
        <a:xfrm>
          <a:off x="9805146" y="156882"/>
          <a:ext cx="503466" cy="414618"/>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17</xdr:row>
      <xdr:rowOff>168088</xdr:rowOff>
    </xdr:from>
    <xdr:to>
      <xdr:col>16</xdr:col>
      <xdr:colOff>526676</xdr:colOff>
      <xdr:row>28</xdr:row>
      <xdr:rowOff>54740</xdr:rowOff>
    </xdr:to>
    <xdr:pic>
      <xdr:nvPicPr>
        <xdr:cNvPr id="2" name="Imagen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0" y="3644713"/>
          <a:ext cx="6651251" cy="1982152"/>
        </a:xfrm>
        <a:prstGeom prst="rect">
          <a:avLst/>
        </a:prstGeom>
      </xdr:spPr>
    </xdr:pic>
    <xdr:clientData/>
  </xdr:twoCellAnchor>
  <xdr:twoCellAnchor>
    <xdr:from>
      <xdr:col>40</xdr:col>
      <xdr:colOff>336175</xdr:colOff>
      <xdr:row>0</xdr:row>
      <xdr:rowOff>156882</xdr:rowOff>
    </xdr:from>
    <xdr:to>
      <xdr:col>40</xdr:col>
      <xdr:colOff>839641</xdr:colOff>
      <xdr:row>3</xdr:row>
      <xdr:rowOff>48025</xdr:rowOff>
    </xdr:to>
    <xdr:sp macro="" textlink="">
      <xdr:nvSpPr>
        <xdr:cNvPr id="4" name="Flecha abajo 3">
          <a:extLst>
            <a:ext uri="{FF2B5EF4-FFF2-40B4-BE49-F238E27FC236}">
              <a16:creationId xmlns:a16="http://schemas.microsoft.com/office/drawing/2014/main" id="{00000000-0008-0000-1A00-000004000000}"/>
            </a:ext>
          </a:extLst>
        </xdr:cNvPr>
        <xdr:cNvSpPr/>
      </xdr:nvSpPr>
      <xdr:spPr>
        <a:xfrm>
          <a:off x="9099175" y="156882"/>
          <a:ext cx="503466" cy="414618"/>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17</xdr:row>
      <xdr:rowOff>168088</xdr:rowOff>
    </xdr:from>
    <xdr:to>
      <xdr:col>14</xdr:col>
      <xdr:colOff>717176</xdr:colOff>
      <xdr:row>28</xdr:row>
      <xdr:rowOff>54740</xdr:rowOff>
    </xdr:to>
    <xdr:pic>
      <xdr:nvPicPr>
        <xdr:cNvPr id="2" name="Imagen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a:stretch>
          <a:fillRect/>
        </a:stretch>
      </xdr:blipFill>
      <xdr:spPr>
        <a:xfrm>
          <a:off x="0" y="3644713"/>
          <a:ext cx="6651251" cy="1982152"/>
        </a:xfrm>
        <a:prstGeom prst="rect">
          <a:avLst/>
        </a:prstGeom>
      </xdr:spPr>
    </xdr:pic>
    <xdr:clientData/>
  </xdr:twoCellAnchor>
  <xdr:twoCellAnchor>
    <xdr:from>
      <xdr:col>41</xdr:col>
      <xdr:colOff>336175</xdr:colOff>
      <xdr:row>0</xdr:row>
      <xdr:rowOff>156882</xdr:rowOff>
    </xdr:from>
    <xdr:to>
      <xdr:col>41</xdr:col>
      <xdr:colOff>839641</xdr:colOff>
      <xdr:row>3</xdr:row>
      <xdr:rowOff>48025</xdr:rowOff>
    </xdr:to>
    <xdr:sp macro="" textlink="">
      <xdr:nvSpPr>
        <xdr:cNvPr id="3" name="Flecha abajo 2">
          <a:extLst>
            <a:ext uri="{FF2B5EF4-FFF2-40B4-BE49-F238E27FC236}">
              <a16:creationId xmlns:a16="http://schemas.microsoft.com/office/drawing/2014/main" id="{00000000-0008-0000-1B00-000003000000}"/>
            </a:ext>
          </a:extLst>
        </xdr:cNvPr>
        <xdr:cNvSpPr/>
      </xdr:nvSpPr>
      <xdr:spPr>
        <a:xfrm>
          <a:off x="9099175" y="156882"/>
          <a:ext cx="503466" cy="414618"/>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17</xdr:row>
      <xdr:rowOff>168088</xdr:rowOff>
    </xdr:from>
    <xdr:to>
      <xdr:col>14</xdr:col>
      <xdr:colOff>717176</xdr:colOff>
      <xdr:row>28</xdr:row>
      <xdr:rowOff>54740</xdr:rowOff>
    </xdr:to>
    <xdr:pic>
      <xdr:nvPicPr>
        <xdr:cNvPr id="2" name="Imagen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0" y="3644713"/>
          <a:ext cx="6651251" cy="1982152"/>
        </a:xfrm>
        <a:prstGeom prst="rect">
          <a:avLst/>
        </a:prstGeom>
      </xdr:spPr>
    </xdr:pic>
    <xdr:clientData/>
  </xdr:twoCellAnchor>
  <xdr:twoCellAnchor>
    <xdr:from>
      <xdr:col>41</xdr:col>
      <xdr:colOff>336175</xdr:colOff>
      <xdr:row>0</xdr:row>
      <xdr:rowOff>156882</xdr:rowOff>
    </xdr:from>
    <xdr:to>
      <xdr:col>41</xdr:col>
      <xdr:colOff>839641</xdr:colOff>
      <xdr:row>3</xdr:row>
      <xdr:rowOff>48025</xdr:rowOff>
    </xdr:to>
    <xdr:sp macro="" textlink="">
      <xdr:nvSpPr>
        <xdr:cNvPr id="4" name="Flecha abajo 3">
          <a:extLst>
            <a:ext uri="{FF2B5EF4-FFF2-40B4-BE49-F238E27FC236}">
              <a16:creationId xmlns:a16="http://schemas.microsoft.com/office/drawing/2014/main" id="{00000000-0008-0000-1C00-000004000000}"/>
            </a:ext>
          </a:extLst>
        </xdr:cNvPr>
        <xdr:cNvSpPr/>
      </xdr:nvSpPr>
      <xdr:spPr>
        <a:xfrm>
          <a:off x="9289675" y="156882"/>
          <a:ext cx="503466" cy="414618"/>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56030</xdr:colOff>
      <xdr:row>18</xdr:row>
      <xdr:rowOff>168087</xdr:rowOff>
    </xdr:from>
    <xdr:to>
      <xdr:col>15</xdr:col>
      <xdr:colOff>44824</xdr:colOff>
      <xdr:row>29</xdr:row>
      <xdr:rowOff>54739</xdr:rowOff>
    </xdr:to>
    <xdr:pic>
      <xdr:nvPicPr>
        <xdr:cNvPr id="2" name="Imagen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a:stretch>
          <a:fillRect/>
        </a:stretch>
      </xdr:blipFill>
      <xdr:spPr>
        <a:xfrm>
          <a:off x="56030" y="3641911"/>
          <a:ext cx="6645088" cy="1982152"/>
        </a:xfrm>
        <a:prstGeom prst="rect">
          <a:avLst/>
        </a:prstGeom>
      </xdr:spPr>
    </xdr:pic>
    <xdr:clientData/>
  </xdr:twoCellAnchor>
  <xdr:twoCellAnchor>
    <xdr:from>
      <xdr:col>42</xdr:col>
      <xdr:colOff>336175</xdr:colOff>
      <xdr:row>0</xdr:row>
      <xdr:rowOff>78440</xdr:rowOff>
    </xdr:from>
    <xdr:to>
      <xdr:col>42</xdr:col>
      <xdr:colOff>839641</xdr:colOff>
      <xdr:row>2</xdr:row>
      <xdr:rowOff>112058</xdr:rowOff>
    </xdr:to>
    <xdr:sp macro="" textlink="">
      <xdr:nvSpPr>
        <xdr:cNvPr id="5" name="Flecha abajo 4">
          <a:extLst>
            <a:ext uri="{FF2B5EF4-FFF2-40B4-BE49-F238E27FC236}">
              <a16:creationId xmlns:a16="http://schemas.microsoft.com/office/drawing/2014/main" id="{00000000-0008-0000-1E00-000005000000}"/>
            </a:ext>
          </a:extLst>
        </xdr:cNvPr>
        <xdr:cNvSpPr/>
      </xdr:nvSpPr>
      <xdr:spPr>
        <a:xfrm>
          <a:off x="9099175" y="78440"/>
          <a:ext cx="503466" cy="414618"/>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219137</xdr:colOff>
      <xdr:row>21</xdr:row>
      <xdr:rowOff>190499</xdr:rowOff>
    </xdr:from>
    <xdr:to>
      <xdr:col>16</xdr:col>
      <xdr:colOff>15563</xdr:colOff>
      <xdr:row>32</xdr:row>
      <xdr:rowOff>77151</xdr:rowOff>
    </xdr:to>
    <xdr:pic>
      <xdr:nvPicPr>
        <xdr:cNvPr id="2" name="Imagen 1">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a:stretch>
          <a:fillRect/>
        </a:stretch>
      </xdr:blipFill>
      <xdr:spPr>
        <a:xfrm>
          <a:off x="219137" y="4429124"/>
          <a:ext cx="6644901" cy="1982152"/>
        </a:xfrm>
        <a:prstGeom prst="rect">
          <a:avLst/>
        </a:prstGeom>
      </xdr:spPr>
    </xdr:pic>
    <xdr:clientData/>
  </xdr:twoCellAnchor>
  <xdr:twoCellAnchor>
    <xdr:from>
      <xdr:col>49</xdr:col>
      <xdr:colOff>336175</xdr:colOff>
      <xdr:row>0</xdr:row>
      <xdr:rowOff>156882</xdr:rowOff>
    </xdr:from>
    <xdr:to>
      <xdr:col>49</xdr:col>
      <xdr:colOff>839641</xdr:colOff>
      <xdr:row>3</xdr:row>
      <xdr:rowOff>48025</xdr:rowOff>
    </xdr:to>
    <xdr:sp macro="" textlink="">
      <xdr:nvSpPr>
        <xdr:cNvPr id="3" name="Flecha abajo 2">
          <a:extLst>
            <a:ext uri="{FF2B5EF4-FFF2-40B4-BE49-F238E27FC236}">
              <a16:creationId xmlns:a16="http://schemas.microsoft.com/office/drawing/2014/main" id="{00000000-0008-0000-1F00-000003000000}"/>
            </a:ext>
          </a:extLst>
        </xdr:cNvPr>
        <xdr:cNvSpPr/>
      </xdr:nvSpPr>
      <xdr:spPr>
        <a:xfrm>
          <a:off x="9137275" y="156882"/>
          <a:ext cx="503466" cy="414618"/>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134471</xdr:colOff>
      <xdr:row>21</xdr:row>
      <xdr:rowOff>-1</xdr:rowOff>
    </xdr:from>
    <xdr:to>
      <xdr:col>15</xdr:col>
      <xdr:colOff>123265</xdr:colOff>
      <xdr:row>31</xdr:row>
      <xdr:rowOff>77151</xdr:rowOff>
    </xdr:to>
    <xdr:pic>
      <xdr:nvPicPr>
        <xdr:cNvPr id="2" name="Imagen 1">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stretch>
          <a:fillRect/>
        </a:stretch>
      </xdr:blipFill>
      <xdr:spPr>
        <a:xfrm>
          <a:off x="134471" y="4045323"/>
          <a:ext cx="6645088" cy="1982152"/>
        </a:xfrm>
        <a:prstGeom prst="rect">
          <a:avLst/>
        </a:prstGeom>
      </xdr:spPr>
    </xdr:pic>
    <xdr:clientData/>
  </xdr:twoCellAnchor>
  <xdr:twoCellAnchor>
    <xdr:from>
      <xdr:col>43</xdr:col>
      <xdr:colOff>336175</xdr:colOff>
      <xdr:row>0</xdr:row>
      <xdr:rowOff>156882</xdr:rowOff>
    </xdr:from>
    <xdr:to>
      <xdr:col>43</xdr:col>
      <xdr:colOff>839641</xdr:colOff>
      <xdr:row>3</xdr:row>
      <xdr:rowOff>48025</xdr:rowOff>
    </xdr:to>
    <xdr:sp macro="" textlink="">
      <xdr:nvSpPr>
        <xdr:cNvPr id="3" name="Flecha abajo 2">
          <a:extLst>
            <a:ext uri="{FF2B5EF4-FFF2-40B4-BE49-F238E27FC236}">
              <a16:creationId xmlns:a16="http://schemas.microsoft.com/office/drawing/2014/main" id="{00000000-0008-0000-2000-000003000000}"/>
            </a:ext>
          </a:extLst>
        </xdr:cNvPr>
        <xdr:cNvSpPr/>
      </xdr:nvSpPr>
      <xdr:spPr>
        <a:xfrm>
          <a:off x="10204075" y="156882"/>
          <a:ext cx="503466" cy="414618"/>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134471</xdr:colOff>
      <xdr:row>21</xdr:row>
      <xdr:rowOff>-1</xdr:rowOff>
    </xdr:from>
    <xdr:to>
      <xdr:col>16</xdr:col>
      <xdr:colOff>661147</xdr:colOff>
      <xdr:row>31</xdr:row>
      <xdr:rowOff>77151</xdr:rowOff>
    </xdr:to>
    <xdr:pic>
      <xdr:nvPicPr>
        <xdr:cNvPr id="2" name="Imagen 1">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a:stretch>
          <a:fillRect/>
        </a:stretch>
      </xdr:blipFill>
      <xdr:spPr>
        <a:xfrm>
          <a:off x="134471" y="4238624"/>
          <a:ext cx="6646769" cy="1982152"/>
        </a:xfrm>
        <a:prstGeom prst="rect">
          <a:avLst/>
        </a:prstGeom>
      </xdr:spPr>
    </xdr:pic>
    <xdr:clientData/>
  </xdr:twoCellAnchor>
  <xdr:twoCellAnchor>
    <xdr:from>
      <xdr:col>44</xdr:col>
      <xdr:colOff>336175</xdr:colOff>
      <xdr:row>0</xdr:row>
      <xdr:rowOff>156882</xdr:rowOff>
    </xdr:from>
    <xdr:to>
      <xdr:col>44</xdr:col>
      <xdr:colOff>839641</xdr:colOff>
      <xdr:row>3</xdr:row>
      <xdr:rowOff>48025</xdr:rowOff>
    </xdr:to>
    <xdr:sp macro="" textlink="">
      <xdr:nvSpPr>
        <xdr:cNvPr id="4" name="Flecha abajo 3">
          <a:extLst>
            <a:ext uri="{FF2B5EF4-FFF2-40B4-BE49-F238E27FC236}">
              <a16:creationId xmlns:a16="http://schemas.microsoft.com/office/drawing/2014/main" id="{00000000-0008-0000-2100-000004000000}"/>
            </a:ext>
          </a:extLst>
        </xdr:cNvPr>
        <xdr:cNvSpPr/>
      </xdr:nvSpPr>
      <xdr:spPr>
        <a:xfrm>
          <a:off x="9099175" y="156882"/>
          <a:ext cx="503466" cy="414618"/>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134471</xdr:colOff>
      <xdr:row>21</xdr:row>
      <xdr:rowOff>-1</xdr:rowOff>
    </xdr:from>
    <xdr:to>
      <xdr:col>15</xdr:col>
      <xdr:colOff>121397</xdr:colOff>
      <xdr:row>31</xdr:row>
      <xdr:rowOff>77151</xdr:rowOff>
    </xdr:to>
    <xdr:pic>
      <xdr:nvPicPr>
        <xdr:cNvPr id="2" name="Imagen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a:stretch>
          <a:fillRect/>
        </a:stretch>
      </xdr:blipFill>
      <xdr:spPr>
        <a:xfrm>
          <a:off x="134471" y="4238624"/>
          <a:ext cx="6651251" cy="1982152"/>
        </a:xfrm>
        <a:prstGeom prst="rect">
          <a:avLst/>
        </a:prstGeom>
      </xdr:spPr>
    </xdr:pic>
    <xdr:clientData/>
  </xdr:twoCellAnchor>
  <xdr:twoCellAnchor>
    <xdr:from>
      <xdr:col>45</xdr:col>
      <xdr:colOff>336175</xdr:colOff>
      <xdr:row>0</xdr:row>
      <xdr:rowOff>156882</xdr:rowOff>
    </xdr:from>
    <xdr:to>
      <xdr:col>45</xdr:col>
      <xdr:colOff>839641</xdr:colOff>
      <xdr:row>3</xdr:row>
      <xdr:rowOff>48025</xdr:rowOff>
    </xdr:to>
    <xdr:sp macro="" textlink="">
      <xdr:nvSpPr>
        <xdr:cNvPr id="4" name="Flecha abajo 3">
          <a:extLst>
            <a:ext uri="{FF2B5EF4-FFF2-40B4-BE49-F238E27FC236}">
              <a16:creationId xmlns:a16="http://schemas.microsoft.com/office/drawing/2014/main" id="{00000000-0008-0000-2200-000004000000}"/>
            </a:ext>
          </a:extLst>
        </xdr:cNvPr>
        <xdr:cNvSpPr/>
      </xdr:nvSpPr>
      <xdr:spPr>
        <a:xfrm>
          <a:off x="8370793" y="156882"/>
          <a:ext cx="503466" cy="414618"/>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134471</xdr:colOff>
      <xdr:row>21</xdr:row>
      <xdr:rowOff>-1</xdr:rowOff>
    </xdr:from>
    <xdr:to>
      <xdr:col>15</xdr:col>
      <xdr:colOff>121397</xdr:colOff>
      <xdr:row>31</xdr:row>
      <xdr:rowOff>77151</xdr:rowOff>
    </xdr:to>
    <xdr:pic>
      <xdr:nvPicPr>
        <xdr:cNvPr id="2" name="Imagen 1">
          <a:extLst>
            <a:ext uri="{FF2B5EF4-FFF2-40B4-BE49-F238E27FC236}">
              <a16:creationId xmlns:a16="http://schemas.microsoft.com/office/drawing/2014/main" id="{00000000-0008-0000-2300-000002000000}"/>
            </a:ext>
          </a:extLst>
        </xdr:cNvPr>
        <xdr:cNvPicPr>
          <a:picLocks noChangeAspect="1"/>
        </xdr:cNvPicPr>
      </xdr:nvPicPr>
      <xdr:blipFill>
        <a:blip xmlns:r="http://schemas.openxmlformats.org/officeDocument/2006/relationships" r:embed="rId1"/>
        <a:stretch>
          <a:fillRect/>
        </a:stretch>
      </xdr:blipFill>
      <xdr:spPr>
        <a:xfrm>
          <a:off x="134471" y="4238624"/>
          <a:ext cx="6644901" cy="1982152"/>
        </a:xfrm>
        <a:prstGeom prst="rect">
          <a:avLst/>
        </a:prstGeom>
      </xdr:spPr>
    </xdr:pic>
    <xdr:clientData/>
  </xdr:twoCellAnchor>
  <xdr:twoCellAnchor>
    <xdr:from>
      <xdr:col>46</xdr:col>
      <xdr:colOff>336175</xdr:colOff>
      <xdr:row>0</xdr:row>
      <xdr:rowOff>156882</xdr:rowOff>
    </xdr:from>
    <xdr:to>
      <xdr:col>46</xdr:col>
      <xdr:colOff>839641</xdr:colOff>
      <xdr:row>3</xdr:row>
      <xdr:rowOff>48025</xdr:rowOff>
    </xdr:to>
    <xdr:sp macro="" textlink="">
      <xdr:nvSpPr>
        <xdr:cNvPr id="4" name="Flecha abajo 3">
          <a:extLst>
            <a:ext uri="{FF2B5EF4-FFF2-40B4-BE49-F238E27FC236}">
              <a16:creationId xmlns:a16="http://schemas.microsoft.com/office/drawing/2014/main" id="{00000000-0008-0000-2300-000004000000}"/>
            </a:ext>
          </a:extLst>
        </xdr:cNvPr>
        <xdr:cNvSpPr/>
      </xdr:nvSpPr>
      <xdr:spPr>
        <a:xfrm>
          <a:off x="9099175" y="156882"/>
          <a:ext cx="503466" cy="414618"/>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134471</xdr:colOff>
      <xdr:row>21</xdr:row>
      <xdr:rowOff>-1</xdr:rowOff>
    </xdr:from>
    <xdr:to>
      <xdr:col>15</xdr:col>
      <xdr:colOff>121397</xdr:colOff>
      <xdr:row>31</xdr:row>
      <xdr:rowOff>77151</xdr:rowOff>
    </xdr:to>
    <xdr:pic>
      <xdr:nvPicPr>
        <xdr:cNvPr id="2" name="Imagen 1">
          <a:extLst>
            <a:ext uri="{FF2B5EF4-FFF2-40B4-BE49-F238E27FC236}">
              <a16:creationId xmlns:a16="http://schemas.microsoft.com/office/drawing/2014/main" id="{00000000-0008-0000-2400-000002000000}"/>
            </a:ext>
          </a:extLst>
        </xdr:cNvPr>
        <xdr:cNvPicPr>
          <a:picLocks noChangeAspect="1"/>
        </xdr:cNvPicPr>
      </xdr:nvPicPr>
      <xdr:blipFill>
        <a:blip xmlns:r="http://schemas.openxmlformats.org/officeDocument/2006/relationships" r:embed="rId1"/>
        <a:stretch>
          <a:fillRect/>
        </a:stretch>
      </xdr:blipFill>
      <xdr:spPr>
        <a:xfrm>
          <a:off x="134471" y="4238624"/>
          <a:ext cx="6644901" cy="1982152"/>
        </a:xfrm>
        <a:prstGeom prst="rect">
          <a:avLst/>
        </a:prstGeom>
      </xdr:spPr>
    </xdr:pic>
    <xdr:clientData/>
  </xdr:twoCellAnchor>
  <xdr:twoCellAnchor>
    <xdr:from>
      <xdr:col>47</xdr:col>
      <xdr:colOff>336175</xdr:colOff>
      <xdr:row>0</xdr:row>
      <xdr:rowOff>156882</xdr:rowOff>
    </xdr:from>
    <xdr:to>
      <xdr:col>47</xdr:col>
      <xdr:colOff>839641</xdr:colOff>
      <xdr:row>3</xdr:row>
      <xdr:rowOff>48025</xdr:rowOff>
    </xdr:to>
    <xdr:sp macro="" textlink="">
      <xdr:nvSpPr>
        <xdr:cNvPr id="4" name="Flecha abajo 3">
          <a:extLst>
            <a:ext uri="{FF2B5EF4-FFF2-40B4-BE49-F238E27FC236}">
              <a16:creationId xmlns:a16="http://schemas.microsoft.com/office/drawing/2014/main" id="{00000000-0008-0000-2400-000004000000}"/>
            </a:ext>
          </a:extLst>
        </xdr:cNvPr>
        <xdr:cNvSpPr/>
      </xdr:nvSpPr>
      <xdr:spPr>
        <a:xfrm>
          <a:off x="10199842" y="156882"/>
          <a:ext cx="503466" cy="414618"/>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219137</xdr:colOff>
      <xdr:row>21</xdr:row>
      <xdr:rowOff>190499</xdr:rowOff>
    </xdr:from>
    <xdr:to>
      <xdr:col>16</xdr:col>
      <xdr:colOff>15563</xdr:colOff>
      <xdr:row>32</xdr:row>
      <xdr:rowOff>77151</xdr:rowOff>
    </xdr:to>
    <xdr:pic>
      <xdr:nvPicPr>
        <xdr:cNvPr id="2" name="Imagen 1">
          <a:extLst>
            <a:ext uri="{FF2B5EF4-FFF2-40B4-BE49-F238E27FC236}">
              <a16:creationId xmlns:a16="http://schemas.microsoft.com/office/drawing/2014/main" id="{00000000-0008-0000-2500-000002000000}"/>
            </a:ext>
          </a:extLst>
        </xdr:cNvPr>
        <xdr:cNvPicPr>
          <a:picLocks noChangeAspect="1"/>
        </xdr:cNvPicPr>
      </xdr:nvPicPr>
      <xdr:blipFill>
        <a:blip xmlns:r="http://schemas.openxmlformats.org/officeDocument/2006/relationships" r:embed="rId1"/>
        <a:stretch>
          <a:fillRect/>
        </a:stretch>
      </xdr:blipFill>
      <xdr:spPr>
        <a:xfrm>
          <a:off x="219137" y="4434416"/>
          <a:ext cx="6643843" cy="1982152"/>
        </a:xfrm>
        <a:prstGeom prst="rect">
          <a:avLst/>
        </a:prstGeom>
      </xdr:spPr>
    </xdr:pic>
    <xdr:clientData/>
  </xdr:twoCellAnchor>
  <xdr:twoCellAnchor>
    <xdr:from>
      <xdr:col>48</xdr:col>
      <xdr:colOff>336175</xdr:colOff>
      <xdr:row>0</xdr:row>
      <xdr:rowOff>156882</xdr:rowOff>
    </xdr:from>
    <xdr:to>
      <xdr:col>48</xdr:col>
      <xdr:colOff>839641</xdr:colOff>
      <xdr:row>3</xdr:row>
      <xdr:rowOff>48025</xdr:rowOff>
    </xdr:to>
    <xdr:sp macro="" textlink="">
      <xdr:nvSpPr>
        <xdr:cNvPr id="4" name="Flecha abajo 3">
          <a:extLst>
            <a:ext uri="{FF2B5EF4-FFF2-40B4-BE49-F238E27FC236}">
              <a16:creationId xmlns:a16="http://schemas.microsoft.com/office/drawing/2014/main" id="{00000000-0008-0000-2500-000004000000}"/>
            </a:ext>
          </a:extLst>
        </xdr:cNvPr>
        <xdr:cNvSpPr/>
      </xdr:nvSpPr>
      <xdr:spPr>
        <a:xfrm>
          <a:off x="10242175" y="156882"/>
          <a:ext cx="503466" cy="414618"/>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219137</xdr:colOff>
      <xdr:row>21</xdr:row>
      <xdr:rowOff>190499</xdr:rowOff>
    </xdr:from>
    <xdr:to>
      <xdr:col>16</xdr:col>
      <xdr:colOff>15563</xdr:colOff>
      <xdr:row>32</xdr:row>
      <xdr:rowOff>77151</xdr:rowOff>
    </xdr:to>
    <xdr:pic>
      <xdr:nvPicPr>
        <xdr:cNvPr id="2" name="Imagen 1">
          <a:extLst>
            <a:ext uri="{FF2B5EF4-FFF2-40B4-BE49-F238E27FC236}">
              <a16:creationId xmlns:a16="http://schemas.microsoft.com/office/drawing/2014/main" id="{00000000-0008-0000-2600-000002000000}"/>
            </a:ext>
          </a:extLst>
        </xdr:cNvPr>
        <xdr:cNvPicPr>
          <a:picLocks noChangeAspect="1"/>
        </xdr:cNvPicPr>
      </xdr:nvPicPr>
      <xdr:blipFill>
        <a:blip xmlns:r="http://schemas.openxmlformats.org/officeDocument/2006/relationships" r:embed="rId1"/>
        <a:stretch>
          <a:fillRect/>
        </a:stretch>
      </xdr:blipFill>
      <xdr:spPr>
        <a:xfrm>
          <a:off x="219137" y="4429124"/>
          <a:ext cx="6644901" cy="1982152"/>
        </a:xfrm>
        <a:prstGeom prst="rect">
          <a:avLst/>
        </a:prstGeom>
      </xdr:spPr>
    </xdr:pic>
    <xdr:clientData/>
  </xdr:twoCellAnchor>
  <xdr:twoCellAnchor>
    <xdr:from>
      <xdr:col>49</xdr:col>
      <xdr:colOff>336175</xdr:colOff>
      <xdr:row>0</xdr:row>
      <xdr:rowOff>156882</xdr:rowOff>
    </xdr:from>
    <xdr:to>
      <xdr:col>49</xdr:col>
      <xdr:colOff>839641</xdr:colOff>
      <xdr:row>3</xdr:row>
      <xdr:rowOff>48025</xdr:rowOff>
    </xdr:to>
    <xdr:sp macro="" textlink="">
      <xdr:nvSpPr>
        <xdr:cNvPr id="4" name="Flecha abajo 3">
          <a:extLst>
            <a:ext uri="{FF2B5EF4-FFF2-40B4-BE49-F238E27FC236}">
              <a16:creationId xmlns:a16="http://schemas.microsoft.com/office/drawing/2014/main" id="{00000000-0008-0000-2600-000004000000}"/>
            </a:ext>
          </a:extLst>
        </xdr:cNvPr>
        <xdr:cNvSpPr/>
      </xdr:nvSpPr>
      <xdr:spPr>
        <a:xfrm>
          <a:off x="9141508" y="156882"/>
          <a:ext cx="503466" cy="414618"/>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219137</xdr:colOff>
      <xdr:row>21</xdr:row>
      <xdr:rowOff>190499</xdr:rowOff>
    </xdr:from>
    <xdr:to>
      <xdr:col>16</xdr:col>
      <xdr:colOff>15563</xdr:colOff>
      <xdr:row>32</xdr:row>
      <xdr:rowOff>77151</xdr:rowOff>
    </xdr:to>
    <xdr:pic>
      <xdr:nvPicPr>
        <xdr:cNvPr id="2" name="Imagen 1">
          <a:extLst>
            <a:ext uri="{FF2B5EF4-FFF2-40B4-BE49-F238E27FC236}">
              <a16:creationId xmlns:a16="http://schemas.microsoft.com/office/drawing/2014/main" id="{00000000-0008-0000-2700-000002000000}"/>
            </a:ext>
          </a:extLst>
        </xdr:cNvPr>
        <xdr:cNvPicPr>
          <a:picLocks noChangeAspect="1"/>
        </xdr:cNvPicPr>
      </xdr:nvPicPr>
      <xdr:blipFill>
        <a:blip xmlns:r="http://schemas.openxmlformats.org/officeDocument/2006/relationships" r:embed="rId1"/>
        <a:stretch>
          <a:fillRect/>
        </a:stretch>
      </xdr:blipFill>
      <xdr:spPr>
        <a:xfrm>
          <a:off x="219137" y="4429124"/>
          <a:ext cx="6644901" cy="1982152"/>
        </a:xfrm>
        <a:prstGeom prst="rect">
          <a:avLst/>
        </a:prstGeom>
      </xdr:spPr>
    </xdr:pic>
    <xdr:clientData/>
  </xdr:twoCellAnchor>
  <xdr:twoCellAnchor>
    <xdr:from>
      <xdr:col>50</xdr:col>
      <xdr:colOff>336175</xdr:colOff>
      <xdr:row>0</xdr:row>
      <xdr:rowOff>156882</xdr:rowOff>
    </xdr:from>
    <xdr:to>
      <xdr:col>50</xdr:col>
      <xdr:colOff>839641</xdr:colOff>
      <xdr:row>3</xdr:row>
      <xdr:rowOff>48025</xdr:rowOff>
    </xdr:to>
    <xdr:sp macro="" textlink="">
      <xdr:nvSpPr>
        <xdr:cNvPr id="3" name="Flecha abajo 2">
          <a:extLst>
            <a:ext uri="{FF2B5EF4-FFF2-40B4-BE49-F238E27FC236}">
              <a16:creationId xmlns:a16="http://schemas.microsoft.com/office/drawing/2014/main" id="{00000000-0008-0000-2700-000003000000}"/>
            </a:ext>
          </a:extLst>
        </xdr:cNvPr>
        <xdr:cNvSpPr/>
      </xdr:nvSpPr>
      <xdr:spPr>
        <a:xfrm>
          <a:off x="9137275" y="156882"/>
          <a:ext cx="503466" cy="414618"/>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219137</xdr:colOff>
      <xdr:row>21</xdr:row>
      <xdr:rowOff>190499</xdr:rowOff>
    </xdr:from>
    <xdr:to>
      <xdr:col>16</xdr:col>
      <xdr:colOff>15563</xdr:colOff>
      <xdr:row>32</xdr:row>
      <xdr:rowOff>77151</xdr:rowOff>
    </xdr:to>
    <xdr:pic>
      <xdr:nvPicPr>
        <xdr:cNvPr id="2" name="Imagen 1">
          <a:extLst>
            <a:ext uri="{FF2B5EF4-FFF2-40B4-BE49-F238E27FC236}">
              <a16:creationId xmlns:a16="http://schemas.microsoft.com/office/drawing/2014/main" id="{00000000-0008-0000-2800-000002000000}"/>
            </a:ext>
          </a:extLst>
        </xdr:cNvPr>
        <xdr:cNvPicPr>
          <a:picLocks noChangeAspect="1"/>
        </xdr:cNvPicPr>
      </xdr:nvPicPr>
      <xdr:blipFill>
        <a:blip xmlns:r="http://schemas.openxmlformats.org/officeDocument/2006/relationships" r:embed="rId1"/>
        <a:stretch>
          <a:fillRect/>
        </a:stretch>
      </xdr:blipFill>
      <xdr:spPr>
        <a:xfrm>
          <a:off x="219137" y="4429124"/>
          <a:ext cx="6644901" cy="1982152"/>
        </a:xfrm>
        <a:prstGeom prst="rect">
          <a:avLst/>
        </a:prstGeom>
      </xdr:spPr>
    </xdr:pic>
    <xdr:clientData/>
  </xdr:twoCellAnchor>
  <xdr:twoCellAnchor>
    <xdr:from>
      <xdr:col>51</xdr:col>
      <xdr:colOff>336175</xdr:colOff>
      <xdr:row>0</xdr:row>
      <xdr:rowOff>156882</xdr:rowOff>
    </xdr:from>
    <xdr:to>
      <xdr:col>51</xdr:col>
      <xdr:colOff>839641</xdr:colOff>
      <xdr:row>3</xdr:row>
      <xdr:rowOff>48025</xdr:rowOff>
    </xdr:to>
    <xdr:sp macro="" textlink="">
      <xdr:nvSpPr>
        <xdr:cNvPr id="3" name="Flecha abajo 2">
          <a:extLst>
            <a:ext uri="{FF2B5EF4-FFF2-40B4-BE49-F238E27FC236}">
              <a16:creationId xmlns:a16="http://schemas.microsoft.com/office/drawing/2014/main" id="{00000000-0008-0000-2800-000003000000}"/>
            </a:ext>
          </a:extLst>
        </xdr:cNvPr>
        <xdr:cNvSpPr/>
      </xdr:nvSpPr>
      <xdr:spPr>
        <a:xfrm>
          <a:off x="9137275" y="156882"/>
          <a:ext cx="503466" cy="414618"/>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219137</xdr:colOff>
      <xdr:row>21</xdr:row>
      <xdr:rowOff>190499</xdr:rowOff>
    </xdr:from>
    <xdr:to>
      <xdr:col>16</xdr:col>
      <xdr:colOff>15563</xdr:colOff>
      <xdr:row>32</xdr:row>
      <xdr:rowOff>77151</xdr:rowOff>
    </xdr:to>
    <xdr:pic>
      <xdr:nvPicPr>
        <xdr:cNvPr id="2" name="Imagen 1">
          <a:extLst>
            <a:ext uri="{FF2B5EF4-FFF2-40B4-BE49-F238E27FC236}">
              <a16:creationId xmlns:a16="http://schemas.microsoft.com/office/drawing/2014/main" id="{00000000-0008-0000-2900-000002000000}"/>
            </a:ext>
          </a:extLst>
        </xdr:cNvPr>
        <xdr:cNvPicPr>
          <a:picLocks noChangeAspect="1"/>
        </xdr:cNvPicPr>
      </xdr:nvPicPr>
      <xdr:blipFill>
        <a:blip xmlns:r="http://schemas.openxmlformats.org/officeDocument/2006/relationships" r:embed="rId1"/>
        <a:stretch>
          <a:fillRect/>
        </a:stretch>
      </xdr:blipFill>
      <xdr:spPr>
        <a:xfrm>
          <a:off x="219137" y="4429124"/>
          <a:ext cx="6644901" cy="1982152"/>
        </a:xfrm>
        <a:prstGeom prst="rect">
          <a:avLst/>
        </a:prstGeom>
      </xdr:spPr>
    </xdr:pic>
    <xdr:clientData/>
  </xdr:twoCellAnchor>
  <xdr:twoCellAnchor>
    <xdr:from>
      <xdr:col>52</xdr:col>
      <xdr:colOff>317125</xdr:colOff>
      <xdr:row>0</xdr:row>
      <xdr:rowOff>147357</xdr:rowOff>
    </xdr:from>
    <xdr:to>
      <xdr:col>52</xdr:col>
      <xdr:colOff>820591</xdr:colOff>
      <xdr:row>2</xdr:row>
      <xdr:rowOff>180975</xdr:rowOff>
    </xdr:to>
    <xdr:sp macro="" textlink="">
      <xdr:nvSpPr>
        <xdr:cNvPr id="4" name="Flecha abajo 3">
          <a:extLst>
            <a:ext uri="{FF2B5EF4-FFF2-40B4-BE49-F238E27FC236}">
              <a16:creationId xmlns:a16="http://schemas.microsoft.com/office/drawing/2014/main" id="{00000000-0008-0000-2900-000004000000}"/>
            </a:ext>
          </a:extLst>
        </xdr:cNvPr>
        <xdr:cNvSpPr/>
      </xdr:nvSpPr>
      <xdr:spPr>
        <a:xfrm>
          <a:off x="15490450" y="147357"/>
          <a:ext cx="503466" cy="414618"/>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219137</xdr:colOff>
      <xdr:row>21</xdr:row>
      <xdr:rowOff>190499</xdr:rowOff>
    </xdr:from>
    <xdr:to>
      <xdr:col>16</xdr:col>
      <xdr:colOff>15563</xdr:colOff>
      <xdr:row>32</xdr:row>
      <xdr:rowOff>77151</xdr:rowOff>
    </xdr:to>
    <xdr:pic>
      <xdr:nvPicPr>
        <xdr:cNvPr id="2" name="Imagen 1">
          <a:extLst>
            <a:ext uri="{FF2B5EF4-FFF2-40B4-BE49-F238E27FC236}">
              <a16:creationId xmlns:a16="http://schemas.microsoft.com/office/drawing/2014/main" id="{A6999676-3722-444F-8507-1DD9E1733630}"/>
            </a:ext>
          </a:extLst>
        </xdr:cNvPr>
        <xdr:cNvPicPr>
          <a:picLocks noChangeAspect="1"/>
        </xdr:cNvPicPr>
      </xdr:nvPicPr>
      <xdr:blipFill>
        <a:blip xmlns:r="http://schemas.openxmlformats.org/officeDocument/2006/relationships" r:embed="rId1"/>
        <a:stretch>
          <a:fillRect/>
        </a:stretch>
      </xdr:blipFill>
      <xdr:spPr>
        <a:xfrm>
          <a:off x="219137" y="4298949"/>
          <a:ext cx="6965576" cy="1918652"/>
        </a:xfrm>
        <a:prstGeom prst="rect">
          <a:avLst/>
        </a:prstGeom>
      </xdr:spPr>
    </xdr:pic>
    <xdr:clientData/>
  </xdr:twoCellAnchor>
  <xdr:twoCellAnchor>
    <xdr:from>
      <xdr:col>52</xdr:col>
      <xdr:colOff>317125</xdr:colOff>
      <xdr:row>0</xdr:row>
      <xdr:rowOff>147357</xdr:rowOff>
    </xdr:from>
    <xdr:to>
      <xdr:col>52</xdr:col>
      <xdr:colOff>820591</xdr:colOff>
      <xdr:row>2</xdr:row>
      <xdr:rowOff>180975</xdr:rowOff>
    </xdr:to>
    <xdr:sp macro="" textlink="">
      <xdr:nvSpPr>
        <xdr:cNvPr id="3" name="Flecha abajo 3">
          <a:extLst>
            <a:ext uri="{FF2B5EF4-FFF2-40B4-BE49-F238E27FC236}">
              <a16:creationId xmlns:a16="http://schemas.microsoft.com/office/drawing/2014/main" id="{99DC50B7-37BE-4280-BD0A-898EF94E5D8F}"/>
            </a:ext>
          </a:extLst>
        </xdr:cNvPr>
        <xdr:cNvSpPr/>
      </xdr:nvSpPr>
      <xdr:spPr>
        <a:xfrm>
          <a:off x="9530975" y="147357"/>
          <a:ext cx="503466" cy="408268"/>
        </a:xfrm>
        <a:prstGeom prst="downArrow">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6</xdr:col>
      <xdr:colOff>584200</xdr:colOff>
      <xdr:row>9</xdr:row>
      <xdr:rowOff>146050</xdr:rowOff>
    </xdr:from>
    <xdr:to>
      <xdr:col>7</xdr:col>
      <xdr:colOff>165100</xdr:colOff>
      <xdr:row>9</xdr:row>
      <xdr:rowOff>146050</xdr:rowOff>
    </xdr:to>
    <xdr:cxnSp macro="">
      <xdr:nvCxnSpPr>
        <xdr:cNvPr id="2" name="Straight Arrow Connector 1">
          <a:extLst>
            <a:ext uri="{FF2B5EF4-FFF2-40B4-BE49-F238E27FC236}">
              <a16:creationId xmlns:a16="http://schemas.microsoft.com/office/drawing/2014/main" id="{6E3202FD-4C98-4CEE-A06D-349FED18A276}"/>
            </a:ext>
          </a:extLst>
        </xdr:cNvPr>
        <xdr:cNvCxnSpPr/>
      </xdr:nvCxnSpPr>
      <xdr:spPr>
        <a:xfrm>
          <a:off x="5505450" y="1809750"/>
          <a:ext cx="64135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14</xdr:col>
      <xdr:colOff>666750</xdr:colOff>
      <xdr:row>11</xdr:row>
      <xdr:rowOff>31750</xdr:rowOff>
    </xdr:from>
    <xdr:to>
      <xdr:col>25</xdr:col>
      <xdr:colOff>402182</xdr:colOff>
      <xdr:row>12</xdr:row>
      <xdr:rowOff>180848</xdr:rowOff>
    </xdr:to>
    <xdr:pic>
      <xdr:nvPicPr>
        <xdr:cNvPr id="3" name="Picture 2">
          <a:extLst>
            <a:ext uri="{FF2B5EF4-FFF2-40B4-BE49-F238E27FC236}">
              <a16:creationId xmlns:a16="http://schemas.microsoft.com/office/drawing/2014/main" id="{FE449E69-950A-46FD-BBCA-86BE5EF43199}"/>
            </a:ext>
          </a:extLst>
        </xdr:cNvPr>
        <xdr:cNvPicPr>
          <a:picLocks noChangeAspect="1"/>
        </xdr:cNvPicPr>
      </xdr:nvPicPr>
      <xdr:blipFill>
        <a:blip xmlns:r="http://schemas.openxmlformats.org/officeDocument/2006/relationships" r:embed="rId1"/>
        <a:stretch>
          <a:fillRect/>
        </a:stretch>
      </xdr:blipFill>
      <xdr:spPr>
        <a:xfrm>
          <a:off x="18237200" y="2063750"/>
          <a:ext cx="7088732" cy="333248"/>
        </a:xfrm>
        <a:prstGeom prst="rect">
          <a:avLst/>
        </a:prstGeom>
      </xdr:spPr>
    </xdr:pic>
    <xdr:clientData/>
  </xdr:twoCellAnchor>
  <xdr:twoCellAnchor editAs="oneCell">
    <xdr:from>
      <xdr:col>0</xdr:col>
      <xdr:colOff>101600</xdr:colOff>
      <xdr:row>5</xdr:row>
      <xdr:rowOff>57150</xdr:rowOff>
    </xdr:from>
    <xdr:to>
      <xdr:col>6</xdr:col>
      <xdr:colOff>527091</xdr:colOff>
      <xdr:row>20</xdr:row>
      <xdr:rowOff>139700</xdr:rowOff>
    </xdr:to>
    <xdr:pic>
      <xdr:nvPicPr>
        <xdr:cNvPr id="4" name="Picture 3">
          <a:extLst>
            <a:ext uri="{FF2B5EF4-FFF2-40B4-BE49-F238E27FC236}">
              <a16:creationId xmlns:a16="http://schemas.microsoft.com/office/drawing/2014/main" id="{208024C6-E804-4B73-8E07-5F4D8377E0A5}"/>
            </a:ext>
          </a:extLst>
        </xdr:cNvPr>
        <xdr:cNvPicPr>
          <a:picLocks noChangeAspect="1"/>
        </xdr:cNvPicPr>
      </xdr:nvPicPr>
      <xdr:blipFill>
        <a:blip xmlns:r="http://schemas.openxmlformats.org/officeDocument/2006/relationships" r:embed="rId2"/>
        <a:stretch>
          <a:fillRect/>
        </a:stretch>
      </xdr:blipFill>
      <xdr:spPr>
        <a:xfrm>
          <a:off x="101600" y="977900"/>
          <a:ext cx="5346741" cy="2857500"/>
        </a:xfrm>
        <a:prstGeom prst="rect">
          <a:avLst/>
        </a:prstGeom>
      </xdr:spPr>
    </xdr:pic>
    <xdr:clientData/>
  </xdr:twoCellAnchor>
  <xdr:twoCellAnchor editAs="oneCell">
    <xdr:from>
      <xdr:col>6</xdr:col>
      <xdr:colOff>933450</xdr:colOff>
      <xdr:row>1</xdr:row>
      <xdr:rowOff>95250</xdr:rowOff>
    </xdr:from>
    <xdr:to>
      <xdr:col>10</xdr:col>
      <xdr:colOff>228836</xdr:colOff>
      <xdr:row>4</xdr:row>
      <xdr:rowOff>131558</xdr:rowOff>
    </xdr:to>
    <xdr:pic>
      <xdr:nvPicPr>
        <xdr:cNvPr id="5" name="Picture 4">
          <a:extLst>
            <a:ext uri="{FF2B5EF4-FFF2-40B4-BE49-F238E27FC236}">
              <a16:creationId xmlns:a16="http://schemas.microsoft.com/office/drawing/2014/main" id="{90AB041A-105B-4953-95B2-86620BCA3690}"/>
            </a:ext>
          </a:extLst>
        </xdr:cNvPr>
        <xdr:cNvPicPr>
          <a:picLocks noChangeAspect="1"/>
        </xdr:cNvPicPr>
      </xdr:nvPicPr>
      <xdr:blipFill>
        <a:blip xmlns:r="http://schemas.openxmlformats.org/officeDocument/2006/relationships" r:embed="rId3"/>
        <a:stretch>
          <a:fillRect/>
        </a:stretch>
      </xdr:blipFill>
      <xdr:spPr>
        <a:xfrm>
          <a:off x="5854700" y="279400"/>
          <a:ext cx="4394436" cy="588758"/>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45720</xdr:colOff>
      <xdr:row>5</xdr:row>
      <xdr:rowOff>38100</xdr:rowOff>
    </xdr:from>
    <xdr:to>
      <xdr:col>5</xdr:col>
      <xdr:colOff>527235</xdr:colOff>
      <xdr:row>16</xdr:row>
      <xdr:rowOff>140939</xdr:rowOff>
    </xdr:to>
    <xdr:pic>
      <xdr:nvPicPr>
        <xdr:cNvPr id="2" name="Picture 27">
          <a:extLst>
            <a:ext uri="{FF2B5EF4-FFF2-40B4-BE49-F238E27FC236}">
              <a16:creationId xmlns:a16="http://schemas.microsoft.com/office/drawing/2014/main" id="{A77A566D-BA16-45E9-A4CB-5D15C7824277}"/>
            </a:ext>
          </a:extLst>
        </xdr:cNvPr>
        <xdr:cNvPicPr>
          <a:picLocks noChangeAspect="1"/>
        </xdr:cNvPicPr>
      </xdr:nvPicPr>
      <xdr:blipFill>
        <a:blip xmlns:r="http://schemas.openxmlformats.org/officeDocument/2006/relationships" r:embed="rId1"/>
        <a:stretch>
          <a:fillRect/>
        </a:stretch>
      </xdr:blipFill>
      <xdr:spPr>
        <a:xfrm>
          <a:off x="866775" y="19728180"/>
          <a:ext cx="3527610" cy="2194529"/>
        </a:xfrm>
        <a:prstGeom prst="rect">
          <a:avLst/>
        </a:prstGeom>
        <a:ln>
          <a:solidFill>
            <a:schemeClr val="accent1"/>
          </a:solidFill>
        </a:ln>
      </xdr:spPr>
    </xdr:pic>
    <xdr:clientData/>
  </xdr:twoCellAnchor>
  <xdr:twoCellAnchor editAs="oneCell">
    <xdr:from>
      <xdr:col>10</xdr:col>
      <xdr:colOff>38100</xdr:colOff>
      <xdr:row>4</xdr:row>
      <xdr:rowOff>167640</xdr:rowOff>
    </xdr:from>
    <xdr:to>
      <xdr:col>14</xdr:col>
      <xdr:colOff>532950</xdr:colOff>
      <xdr:row>11</xdr:row>
      <xdr:rowOff>142565</xdr:rowOff>
    </xdr:to>
    <xdr:pic>
      <xdr:nvPicPr>
        <xdr:cNvPr id="3" name="Picture 28">
          <a:extLst>
            <a:ext uri="{FF2B5EF4-FFF2-40B4-BE49-F238E27FC236}">
              <a16:creationId xmlns:a16="http://schemas.microsoft.com/office/drawing/2014/main" id="{F36F8E7F-BC25-4044-9763-0264CC0978DF}"/>
            </a:ext>
          </a:extLst>
        </xdr:cNvPr>
        <xdr:cNvPicPr>
          <a:picLocks noChangeAspect="1"/>
        </xdr:cNvPicPr>
      </xdr:nvPicPr>
      <xdr:blipFill>
        <a:blip xmlns:r="http://schemas.openxmlformats.org/officeDocument/2006/relationships" r:embed="rId2"/>
        <a:stretch>
          <a:fillRect/>
        </a:stretch>
      </xdr:blipFill>
      <xdr:spPr>
        <a:xfrm>
          <a:off x="11178540" y="19686270"/>
          <a:ext cx="3542850" cy="1306520"/>
        </a:xfrm>
        <a:prstGeom prst="rect">
          <a:avLst/>
        </a:prstGeom>
        <a:ln>
          <a:solidFill>
            <a:schemeClr val="accent1"/>
          </a:solidFill>
        </a:ln>
      </xdr:spPr>
    </xdr:pic>
    <xdr:clientData/>
  </xdr:twoCellAnchor>
</xdr:wsDr>
</file>

<file path=xl/drawings/drawing4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314325</xdr:colOff>
      <xdr:row>1</xdr:row>
      <xdr:rowOff>123825</xdr:rowOff>
    </xdr:to>
    <xdr:pic>
      <xdr:nvPicPr>
        <xdr:cNvPr id="2" name="Picture 1">
          <a:extLst>
            <a:ext uri="{FF2B5EF4-FFF2-40B4-BE49-F238E27FC236}">
              <a16:creationId xmlns:a16="http://schemas.microsoft.com/office/drawing/2014/main" id="{F49898D1-0E77-4E38-8636-0EBA7740E74E}"/>
            </a:ext>
          </a:extLst>
        </xdr:cNvPr>
        <xdr:cNvPicPr>
          <a:picLocks noChangeAspect="1"/>
        </xdr:cNvPicPr>
      </xdr:nvPicPr>
      <xdr:blipFill>
        <a:blip xmlns:r="http://schemas.openxmlformats.org/officeDocument/2006/relationships" r:embed="rId1"/>
        <a:stretch>
          <a:fillRect/>
        </a:stretch>
      </xdr:blipFill>
      <xdr:spPr>
        <a:xfrm>
          <a:off x="0" y="0"/>
          <a:ext cx="314325" cy="307975"/>
        </a:xfrm>
        <a:prstGeom prst="rect">
          <a:avLst/>
        </a:prstGeom>
        <a:solidFill>
          <a:srgbClr val="FFFFFF"/>
        </a:solidFill>
        <a:ln w="9525" cmpd="sng">
          <a:noFill/>
        </a:ln>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0</xdr:col>
      <xdr:colOff>444011</xdr:colOff>
      <xdr:row>7</xdr:row>
      <xdr:rowOff>77374</xdr:rowOff>
    </xdr:from>
    <xdr:to>
      <xdr:col>7</xdr:col>
      <xdr:colOff>503810</xdr:colOff>
      <xdr:row>23</xdr:row>
      <xdr:rowOff>1466</xdr:rowOff>
    </xdr:to>
    <xdr:pic>
      <xdr:nvPicPr>
        <xdr:cNvPr id="2" name="Imagen 1">
          <a:extLst>
            <a:ext uri="{FF2B5EF4-FFF2-40B4-BE49-F238E27FC236}">
              <a16:creationId xmlns:a16="http://schemas.microsoft.com/office/drawing/2014/main" id="{EB8E045B-015E-4BAF-A175-61C0C05E1CFE}"/>
            </a:ext>
          </a:extLst>
        </xdr:cNvPr>
        <xdr:cNvPicPr>
          <a:picLocks noChangeAspect="1"/>
        </xdr:cNvPicPr>
      </xdr:nvPicPr>
      <xdr:blipFill>
        <a:blip xmlns:r="http://schemas.openxmlformats.org/officeDocument/2006/relationships" r:embed="rId1"/>
        <a:stretch>
          <a:fillRect/>
        </a:stretch>
      </xdr:blipFill>
      <xdr:spPr>
        <a:xfrm>
          <a:off x="444011" y="1410874"/>
          <a:ext cx="5393799" cy="2963300"/>
        </a:xfrm>
        <a:prstGeom prst="rect">
          <a:avLst/>
        </a:prstGeom>
      </xdr:spPr>
    </xdr:pic>
    <xdr:clientData/>
  </xdr:twoCellAnchor>
  <xdr:twoCellAnchor editAs="oneCell">
    <xdr:from>
      <xdr:col>8</xdr:col>
      <xdr:colOff>492076</xdr:colOff>
      <xdr:row>8</xdr:row>
      <xdr:rowOff>57005</xdr:rowOff>
    </xdr:from>
    <xdr:to>
      <xdr:col>14</xdr:col>
      <xdr:colOff>2</xdr:colOff>
      <xdr:row>26</xdr:row>
      <xdr:rowOff>171731</xdr:rowOff>
    </xdr:to>
    <xdr:pic>
      <xdr:nvPicPr>
        <xdr:cNvPr id="3" name="Imagen 2">
          <a:extLst>
            <a:ext uri="{FF2B5EF4-FFF2-40B4-BE49-F238E27FC236}">
              <a16:creationId xmlns:a16="http://schemas.microsoft.com/office/drawing/2014/main" id="{AF8C0252-5197-4656-A45A-B20638CFD136}"/>
            </a:ext>
          </a:extLst>
        </xdr:cNvPr>
        <xdr:cNvPicPr>
          <a:picLocks noChangeAspect="1"/>
        </xdr:cNvPicPr>
      </xdr:nvPicPr>
      <xdr:blipFill>
        <a:blip xmlns:r="http://schemas.openxmlformats.org/officeDocument/2006/relationships" r:embed="rId2"/>
        <a:stretch>
          <a:fillRect/>
        </a:stretch>
      </xdr:blipFill>
      <xdr:spPr>
        <a:xfrm>
          <a:off x="6588076" y="1581005"/>
          <a:ext cx="3860118" cy="3543726"/>
        </a:xfrm>
        <a:prstGeom prst="rect">
          <a:avLst/>
        </a:prstGeom>
      </xdr:spPr>
    </xdr:pic>
    <xdr:clientData/>
  </xdr:twoCellAnchor>
  <xdr:twoCellAnchor editAs="oneCell">
    <xdr:from>
      <xdr:col>21</xdr:col>
      <xdr:colOff>0</xdr:colOff>
      <xdr:row>7</xdr:row>
      <xdr:rowOff>0</xdr:rowOff>
    </xdr:from>
    <xdr:to>
      <xdr:col>30</xdr:col>
      <xdr:colOff>208667</xdr:colOff>
      <xdr:row>27</xdr:row>
      <xdr:rowOff>174761</xdr:rowOff>
    </xdr:to>
    <xdr:pic>
      <xdr:nvPicPr>
        <xdr:cNvPr id="4" name="Imagen 3">
          <a:extLst>
            <a:ext uri="{FF2B5EF4-FFF2-40B4-BE49-F238E27FC236}">
              <a16:creationId xmlns:a16="http://schemas.microsoft.com/office/drawing/2014/main" id="{1F7DA755-A3B6-410F-BA96-F93CAF27E82A}"/>
            </a:ext>
          </a:extLst>
        </xdr:cNvPr>
        <xdr:cNvPicPr>
          <a:picLocks noChangeAspect="1"/>
        </xdr:cNvPicPr>
      </xdr:nvPicPr>
      <xdr:blipFill>
        <a:blip xmlns:r="http://schemas.openxmlformats.org/officeDocument/2006/relationships" r:embed="rId3"/>
        <a:stretch>
          <a:fillRect/>
        </a:stretch>
      </xdr:blipFill>
      <xdr:spPr>
        <a:xfrm>
          <a:off x="15240000" y="2095500"/>
          <a:ext cx="7066667" cy="3990476"/>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0</xdr:col>
      <xdr:colOff>414130</xdr:colOff>
      <xdr:row>4</xdr:row>
      <xdr:rowOff>140804</xdr:rowOff>
    </xdr:from>
    <xdr:to>
      <xdr:col>11</xdr:col>
      <xdr:colOff>306381</xdr:colOff>
      <xdr:row>24</xdr:row>
      <xdr:rowOff>8919</xdr:rowOff>
    </xdr:to>
    <xdr:pic>
      <xdr:nvPicPr>
        <xdr:cNvPr id="3" name="Imagen 2">
          <a:extLst>
            <a:ext uri="{FF2B5EF4-FFF2-40B4-BE49-F238E27FC236}">
              <a16:creationId xmlns:a16="http://schemas.microsoft.com/office/drawing/2014/main" id="{FACB1E94-CE96-4826-9BC9-44982132B977}"/>
            </a:ext>
          </a:extLst>
        </xdr:cNvPr>
        <xdr:cNvPicPr>
          <a:picLocks noChangeAspect="1"/>
        </xdr:cNvPicPr>
      </xdr:nvPicPr>
      <xdr:blipFill>
        <a:blip xmlns:r="http://schemas.openxmlformats.org/officeDocument/2006/relationships" r:embed="rId1"/>
        <a:stretch>
          <a:fillRect/>
        </a:stretch>
      </xdr:blipFill>
      <xdr:spPr>
        <a:xfrm>
          <a:off x="414130" y="902804"/>
          <a:ext cx="8274251" cy="3678115"/>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oneCellAnchor>
    <xdr:from>
      <xdr:col>0</xdr:col>
      <xdr:colOff>0</xdr:colOff>
      <xdr:row>0</xdr:row>
      <xdr:rowOff>0</xdr:rowOff>
    </xdr:from>
    <xdr:ext cx="2752725" cy="314325"/>
    <xdr:pic>
      <xdr:nvPicPr>
        <xdr:cNvPr id="2" name="Imagen 1">
          <a:extLst>
            <a:ext uri="{FF2B5EF4-FFF2-40B4-BE49-F238E27FC236}">
              <a16:creationId xmlns:a16="http://schemas.microsoft.com/office/drawing/2014/main" id="{E7DBB0C8-92C5-4FEE-9EE6-74A4C287CB1E}"/>
            </a:ext>
          </a:extLst>
        </xdr:cNvPr>
        <xdr:cNvPicPr/>
      </xdr:nvPicPr>
      <xdr:blipFill>
        <a:blip xmlns:r="http://schemas.openxmlformats.org/officeDocument/2006/relationships" r:embed="rId1"/>
        <a:stretch>
          <a:fillRect/>
        </a:stretch>
      </xdr:blipFill>
      <xdr:spPr>
        <a:xfrm>
          <a:off x="0" y="0"/>
          <a:ext cx="2752725" cy="314325"/>
        </a:xfrm>
        <a:prstGeom prst="rect">
          <a:avLst/>
        </a:prstGeom>
      </xdr:spPr>
    </xdr:pic>
    <xdr:clientData/>
  </xdr:oneCellAnchor>
</xdr:wsDr>
</file>

<file path=xl/drawings/drawing47.xml><?xml version="1.0" encoding="utf-8"?>
<xdr:wsDr xmlns:xdr="http://schemas.openxmlformats.org/drawingml/2006/spreadsheetDrawing" xmlns:a="http://schemas.openxmlformats.org/drawingml/2006/main">
  <xdr:twoCellAnchor editAs="oneCell">
    <xdr:from>
      <xdr:col>0</xdr:col>
      <xdr:colOff>19050</xdr:colOff>
      <xdr:row>4</xdr:row>
      <xdr:rowOff>52517</xdr:rowOff>
    </xdr:from>
    <xdr:to>
      <xdr:col>7</xdr:col>
      <xdr:colOff>1470</xdr:colOff>
      <xdr:row>19</xdr:row>
      <xdr:rowOff>172161</xdr:rowOff>
    </xdr:to>
    <xdr:pic>
      <xdr:nvPicPr>
        <xdr:cNvPr id="2" name="Imagen 1">
          <a:extLst>
            <a:ext uri="{FF2B5EF4-FFF2-40B4-BE49-F238E27FC236}">
              <a16:creationId xmlns:a16="http://schemas.microsoft.com/office/drawing/2014/main" id="{204BF6C5-87F6-31C4-F823-B924DBF2BDB2}"/>
            </a:ext>
          </a:extLst>
        </xdr:cNvPr>
        <xdr:cNvPicPr>
          <a:picLocks noChangeAspect="1"/>
        </xdr:cNvPicPr>
      </xdr:nvPicPr>
      <xdr:blipFill>
        <a:blip xmlns:r="http://schemas.openxmlformats.org/officeDocument/2006/relationships" r:embed="rId1"/>
        <a:stretch>
          <a:fillRect/>
        </a:stretch>
      </xdr:blipFill>
      <xdr:spPr>
        <a:xfrm>
          <a:off x="19050" y="814517"/>
          <a:ext cx="6154620" cy="297714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0</xdr:colOff>
      <xdr:row>20</xdr:row>
      <xdr:rowOff>104775</xdr:rowOff>
    </xdr:from>
    <xdr:to>
      <xdr:col>7</xdr:col>
      <xdr:colOff>23618</xdr:colOff>
      <xdr:row>36</xdr:row>
      <xdr:rowOff>28575</xdr:rowOff>
    </xdr:to>
    <xdr:pic>
      <xdr:nvPicPr>
        <xdr:cNvPr id="3" name="Imagen 2">
          <a:extLst>
            <a:ext uri="{FF2B5EF4-FFF2-40B4-BE49-F238E27FC236}">
              <a16:creationId xmlns:a16="http://schemas.microsoft.com/office/drawing/2014/main" id="{0A2FC249-D061-0B93-B4EA-8CBEF2258F2A}"/>
            </a:ext>
          </a:extLst>
        </xdr:cNvPr>
        <xdr:cNvPicPr>
          <a:picLocks noChangeAspect="1"/>
        </xdr:cNvPicPr>
      </xdr:nvPicPr>
      <xdr:blipFill>
        <a:blip xmlns:r="http://schemas.openxmlformats.org/officeDocument/2006/relationships" r:embed="rId2"/>
        <a:stretch>
          <a:fillRect/>
        </a:stretch>
      </xdr:blipFill>
      <xdr:spPr>
        <a:xfrm>
          <a:off x="0" y="3914775"/>
          <a:ext cx="6195818" cy="297180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7</xdr:col>
      <xdr:colOff>390525</xdr:colOff>
      <xdr:row>4</xdr:row>
      <xdr:rowOff>66675</xdr:rowOff>
    </xdr:from>
    <xdr:to>
      <xdr:col>14</xdr:col>
      <xdr:colOff>534164</xdr:colOff>
      <xdr:row>44</xdr:row>
      <xdr:rowOff>67739</xdr:rowOff>
    </xdr:to>
    <xdr:pic>
      <xdr:nvPicPr>
        <xdr:cNvPr id="4" name="Imagen 3">
          <a:extLst>
            <a:ext uri="{FF2B5EF4-FFF2-40B4-BE49-F238E27FC236}">
              <a16:creationId xmlns:a16="http://schemas.microsoft.com/office/drawing/2014/main" id="{5FB790E1-6048-4CEE-DB2A-21892F10226D}"/>
            </a:ext>
          </a:extLst>
        </xdr:cNvPr>
        <xdr:cNvPicPr>
          <a:picLocks noChangeAspect="1"/>
        </xdr:cNvPicPr>
      </xdr:nvPicPr>
      <xdr:blipFill>
        <a:blip xmlns:r="http://schemas.openxmlformats.org/officeDocument/2006/relationships" r:embed="rId3"/>
        <a:stretch>
          <a:fillRect/>
        </a:stretch>
      </xdr:blipFill>
      <xdr:spPr>
        <a:xfrm>
          <a:off x="6562725" y="828675"/>
          <a:ext cx="5477639" cy="762106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48.xml><?xml version="1.0" encoding="utf-8"?>
<xdr:wsDr xmlns:xdr="http://schemas.openxmlformats.org/drawingml/2006/spreadsheetDrawing" xmlns:a="http://schemas.openxmlformats.org/drawingml/2006/main">
  <xdr:twoCellAnchor>
    <xdr:from>
      <xdr:col>24</xdr:col>
      <xdr:colOff>172</xdr:colOff>
      <xdr:row>11</xdr:row>
      <xdr:rowOff>183224</xdr:rowOff>
    </xdr:from>
    <xdr:to>
      <xdr:col>24</xdr:col>
      <xdr:colOff>325427</xdr:colOff>
      <xdr:row>13</xdr:row>
      <xdr:rowOff>41957</xdr:rowOff>
    </xdr:to>
    <xdr:sp macro="" textlink="">
      <xdr:nvSpPr>
        <xdr:cNvPr id="3" name="Flecha: hacia abajo 1">
          <a:extLst>
            <a:ext uri="{FF2B5EF4-FFF2-40B4-BE49-F238E27FC236}">
              <a16:creationId xmlns:a16="http://schemas.microsoft.com/office/drawing/2014/main" id="{D592409C-D366-4ED1-A784-322CB067F2C7}"/>
            </a:ext>
          </a:extLst>
        </xdr:cNvPr>
        <xdr:cNvSpPr/>
      </xdr:nvSpPr>
      <xdr:spPr>
        <a:xfrm rot="5400000">
          <a:off x="6196083" y="2140713"/>
          <a:ext cx="239733" cy="325255"/>
        </a:xfrm>
        <a:prstGeom prst="downArrow">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s-CO" sz="1100"/>
        </a:p>
      </xdr:txBody>
    </xdr:sp>
    <xdr:clientData/>
  </xdr:twoCellAnchor>
</xdr:wsDr>
</file>

<file path=xl/drawings/drawing49.xml><?xml version="1.0" encoding="utf-8"?>
<xdr:wsDr xmlns:xdr="http://schemas.openxmlformats.org/drawingml/2006/spreadsheetDrawing" xmlns:a="http://schemas.openxmlformats.org/drawingml/2006/main">
  <xdr:twoCellAnchor editAs="oneCell">
    <xdr:from>
      <xdr:col>2</xdr:col>
      <xdr:colOff>63241</xdr:colOff>
      <xdr:row>5</xdr:row>
      <xdr:rowOff>253740</xdr:rowOff>
    </xdr:from>
    <xdr:to>
      <xdr:col>9</xdr:col>
      <xdr:colOff>147810</xdr:colOff>
      <xdr:row>21</xdr:row>
      <xdr:rowOff>538094</xdr:rowOff>
    </xdr:to>
    <xdr:pic>
      <xdr:nvPicPr>
        <xdr:cNvPr id="2" name="Imagen 1">
          <a:extLst>
            <a:ext uri="{FF2B5EF4-FFF2-40B4-BE49-F238E27FC236}">
              <a16:creationId xmlns:a16="http://schemas.microsoft.com/office/drawing/2014/main" id="{3B97E98E-26F2-4457-8B38-80314EA7DEC8}"/>
            </a:ext>
          </a:extLst>
        </xdr:cNvPr>
        <xdr:cNvPicPr>
          <a:picLocks noChangeAspect="1"/>
        </xdr:cNvPicPr>
      </xdr:nvPicPr>
      <xdr:blipFill>
        <a:blip xmlns:r="http://schemas.openxmlformats.org/officeDocument/2006/relationships" r:embed="rId1"/>
        <a:stretch>
          <a:fillRect/>
        </a:stretch>
      </xdr:blipFill>
      <xdr:spPr>
        <a:xfrm>
          <a:off x="659506" y="1741545"/>
          <a:ext cx="6917804" cy="5037329"/>
        </a:xfrm>
        <a:prstGeom prst="rect">
          <a:avLst/>
        </a:prstGeom>
      </xdr:spPr>
    </xdr:pic>
    <xdr:clientData/>
  </xdr:twoCellAnchor>
  <xdr:twoCellAnchor>
    <xdr:from>
      <xdr:col>11</xdr:col>
      <xdr:colOff>90714</xdr:colOff>
      <xdr:row>1</xdr:row>
      <xdr:rowOff>272143</xdr:rowOff>
    </xdr:from>
    <xdr:to>
      <xdr:col>16</xdr:col>
      <xdr:colOff>2099387</xdr:colOff>
      <xdr:row>18</xdr:row>
      <xdr:rowOff>272143</xdr:rowOff>
    </xdr:to>
    <xdr:graphicFrame macro="">
      <xdr:nvGraphicFramePr>
        <xdr:cNvPr id="3" name="Gráfico 2">
          <a:extLst>
            <a:ext uri="{FF2B5EF4-FFF2-40B4-BE49-F238E27FC236}">
              <a16:creationId xmlns:a16="http://schemas.microsoft.com/office/drawing/2014/main" id="{9740782A-4F42-4842-BAD2-D37032F99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90714</xdr:colOff>
      <xdr:row>102</xdr:row>
      <xdr:rowOff>233265</xdr:rowOff>
    </xdr:from>
    <xdr:to>
      <xdr:col>14</xdr:col>
      <xdr:colOff>917479</xdr:colOff>
      <xdr:row>119</xdr:row>
      <xdr:rowOff>4392</xdr:rowOff>
    </xdr:to>
    <xdr:pic>
      <xdr:nvPicPr>
        <xdr:cNvPr id="4" name="Imagen 3">
          <a:extLst>
            <a:ext uri="{FF2B5EF4-FFF2-40B4-BE49-F238E27FC236}">
              <a16:creationId xmlns:a16="http://schemas.microsoft.com/office/drawing/2014/main" id="{578A11C8-792E-40F2-9045-A29C7F97D841}"/>
            </a:ext>
          </a:extLst>
        </xdr:cNvPr>
        <xdr:cNvPicPr>
          <a:picLocks noChangeAspect="1"/>
        </xdr:cNvPicPr>
      </xdr:nvPicPr>
      <xdr:blipFill rotWithShape="1">
        <a:blip xmlns:r="http://schemas.openxmlformats.org/officeDocument/2006/relationships" r:embed="rId3"/>
        <a:srcRect t="22038"/>
        <a:stretch/>
      </xdr:blipFill>
      <xdr:spPr>
        <a:xfrm>
          <a:off x="688884" y="30842805"/>
          <a:ext cx="12885415" cy="4823187"/>
        </a:xfrm>
        <a:prstGeom prst="rect">
          <a:avLst/>
        </a:prstGeom>
      </xdr:spPr>
    </xdr:pic>
    <xdr:clientData/>
  </xdr:twoCellAnchor>
  <xdr:twoCellAnchor editAs="oneCell">
    <xdr:from>
      <xdr:col>3</xdr:col>
      <xdr:colOff>220306</xdr:colOff>
      <xdr:row>31</xdr:row>
      <xdr:rowOff>168469</xdr:rowOff>
    </xdr:from>
    <xdr:to>
      <xdr:col>9</xdr:col>
      <xdr:colOff>720912</xdr:colOff>
      <xdr:row>51</xdr:row>
      <xdr:rowOff>118535</xdr:rowOff>
    </xdr:to>
    <xdr:pic>
      <xdr:nvPicPr>
        <xdr:cNvPr id="5" name="Imagen 4">
          <a:extLst>
            <a:ext uri="{FF2B5EF4-FFF2-40B4-BE49-F238E27FC236}">
              <a16:creationId xmlns:a16="http://schemas.microsoft.com/office/drawing/2014/main" id="{A04BF716-A4F8-4CFA-B3C6-59E13A53C878}"/>
            </a:ext>
          </a:extLst>
        </xdr:cNvPr>
        <xdr:cNvPicPr>
          <a:picLocks noChangeAspect="1"/>
        </xdr:cNvPicPr>
      </xdr:nvPicPr>
      <xdr:blipFill>
        <a:blip xmlns:r="http://schemas.openxmlformats.org/officeDocument/2006/relationships" r:embed="rId4"/>
        <a:stretch>
          <a:fillRect/>
        </a:stretch>
      </xdr:blipFill>
      <xdr:spPr>
        <a:xfrm>
          <a:off x="1113751" y="9682039"/>
          <a:ext cx="7036661" cy="5889856"/>
        </a:xfrm>
        <a:prstGeom prst="rect">
          <a:avLst/>
        </a:prstGeom>
      </xdr:spPr>
    </xdr:pic>
    <xdr:clientData/>
  </xdr:twoCellAnchor>
  <xdr:twoCellAnchor editAs="oneCell">
    <xdr:from>
      <xdr:col>2</xdr:col>
      <xdr:colOff>272143</xdr:colOff>
      <xdr:row>58</xdr:row>
      <xdr:rowOff>220304</xdr:rowOff>
    </xdr:from>
    <xdr:to>
      <xdr:col>14</xdr:col>
      <xdr:colOff>34457</xdr:colOff>
      <xdr:row>73</xdr:row>
      <xdr:rowOff>3567</xdr:rowOff>
    </xdr:to>
    <xdr:pic>
      <xdr:nvPicPr>
        <xdr:cNvPr id="6" name="Imagen 5">
          <a:extLst>
            <a:ext uri="{FF2B5EF4-FFF2-40B4-BE49-F238E27FC236}">
              <a16:creationId xmlns:a16="http://schemas.microsoft.com/office/drawing/2014/main" id="{9F90EC8A-93B7-433A-A4EC-2B03BD730E40}"/>
            </a:ext>
          </a:extLst>
        </xdr:cNvPr>
        <xdr:cNvPicPr>
          <a:picLocks noChangeAspect="1"/>
        </xdr:cNvPicPr>
      </xdr:nvPicPr>
      <xdr:blipFill>
        <a:blip xmlns:r="http://schemas.openxmlformats.org/officeDocument/2006/relationships" r:embed="rId5"/>
        <a:stretch>
          <a:fillRect/>
        </a:stretch>
      </xdr:blipFill>
      <xdr:spPr>
        <a:xfrm>
          <a:off x="864598" y="17755829"/>
          <a:ext cx="11822869" cy="4239058"/>
        </a:xfrm>
        <a:prstGeom prst="rect">
          <a:avLst/>
        </a:prstGeom>
      </xdr:spPr>
    </xdr:pic>
    <xdr:clientData/>
  </xdr:twoCellAnchor>
  <xdr:twoCellAnchor editAs="oneCell">
    <xdr:from>
      <xdr:col>3</xdr:col>
      <xdr:colOff>0</xdr:colOff>
      <xdr:row>80</xdr:row>
      <xdr:rowOff>0</xdr:rowOff>
    </xdr:from>
    <xdr:to>
      <xdr:col>14</xdr:col>
      <xdr:colOff>1370640</xdr:colOff>
      <xdr:row>94</xdr:row>
      <xdr:rowOff>290593</xdr:rowOff>
    </xdr:to>
    <xdr:pic>
      <xdr:nvPicPr>
        <xdr:cNvPr id="7" name="Imagen 6">
          <a:extLst>
            <a:ext uri="{FF2B5EF4-FFF2-40B4-BE49-F238E27FC236}">
              <a16:creationId xmlns:a16="http://schemas.microsoft.com/office/drawing/2014/main" id="{ED47A927-17F1-48FB-AF76-C8C091E2DDCC}"/>
            </a:ext>
          </a:extLst>
        </xdr:cNvPr>
        <xdr:cNvPicPr>
          <a:picLocks noChangeAspect="1"/>
        </xdr:cNvPicPr>
      </xdr:nvPicPr>
      <xdr:blipFill>
        <a:blip xmlns:r="http://schemas.openxmlformats.org/officeDocument/2006/relationships" r:embed="rId6"/>
        <a:stretch>
          <a:fillRect/>
        </a:stretch>
      </xdr:blipFill>
      <xdr:spPr>
        <a:xfrm>
          <a:off x="891540" y="24071580"/>
          <a:ext cx="13135920" cy="4456828"/>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1</xdr:col>
      <xdr:colOff>22860</xdr:colOff>
      <xdr:row>2</xdr:row>
      <xdr:rowOff>15240</xdr:rowOff>
    </xdr:from>
    <xdr:to>
      <xdr:col>14</xdr:col>
      <xdr:colOff>225382</xdr:colOff>
      <xdr:row>13</xdr:row>
      <xdr:rowOff>51179</xdr:rowOff>
    </xdr:to>
    <xdr:pic>
      <xdr:nvPicPr>
        <xdr:cNvPr id="2" name="Imagen 1">
          <a:extLst>
            <a:ext uri="{FF2B5EF4-FFF2-40B4-BE49-F238E27FC236}">
              <a16:creationId xmlns:a16="http://schemas.microsoft.com/office/drawing/2014/main" id="{C630A51A-64F1-4C3F-973F-9F5DDD0E2E99}"/>
            </a:ext>
          </a:extLst>
        </xdr:cNvPr>
        <xdr:cNvPicPr>
          <a:picLocks noChangeAspect="1"/>
        </xdr:cNvPicPr>
      </xdr:nvPicPr>
      <xdr:blipFill>
        <a:blip xmlns:r="http://schemas.openxmlformats.org/officeDocument/2006/relationships" r:embed="rId1"/>
        <a:stretch>
          <a:fillRect/>
        </a:stretch>
      </xdr:blipFill>
      <xdr:spPr>
        <a:xfrm>
          <a:off x="815340" y="381000"/>
          <a:ext cx="10504762" cy="2047619"/>
        </a:xfrm>
        <a:prstGeom prst="rect">
          <a:avLst/>
        </a:prstGeom>
      </xdr:spPr>
    </xdr:pic>
    <xdr:clientData/>
  </xdr:twoCellAnchor>
  <xdr:twoCellAnchor>
    <xdr:from>
      <xdr:col>10</xdr:col>
      <xdr:colOff>281940</xdr:colOff>
      <xdr:row>5</xdr:row>
      <xdr:rowOff>22860</xdr:rowOff>
    </xdr:from>
    <xdr:to>
      <xdr:col>12</xdr:col>
      <xdr:colOff>190500</xdr:colOff>
      <xdr:row>11</xdr:row>
      <xdr:rowOff>144780</xdr:rowOff>
    </xdr:to>
    <xdr:sp macro="" textlink="">
      <xdr:nvSpPr>
        <xdr:cNvPr id="3" name="Rectángulo 2">
          <a:extLst>
            <a:ext uri="{FF2B5EF4-FFF2-40B4-BE49-F238E27FC236}">
              <a16:creationId xmlns:a16="http://schemas.microsoft.com/office/drawing/2014/main" id="{7F14086F-F7A2-4CCB-AA86-53577068FCE2}"/>
            </a:ext>
          </a:extLst>
        </xdr:cNvPr>
        <xdr:cNvSpPr/>
      </xdr:nvSpPr>
      <xdr:spPr>
        <a:xfrm>
          <a:off x="8206740" y="937260"/>
          <a:ext cx="1493520" cy="1219200"/>
        </a:xfrm>
        <a:prstGeom prst="rect">
          <a:avLst/>
        </a:prstGeom>
        <a:solidFill>
          <a:schemeClr val="accent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708660</xdr:colOff>
      <xdr:row>13</xdr:row>
      <xdr:rowOff>152400</xdr:rowOff>
    </xdr:from>
    <xdr:to>
      <xdr:col>2</xdr:col>
      <xdr:colOff>754380</xdr:colOff>
      <xdr:row>14</xdr:row>
      <xdr:rowOff>175260</xdr:rowOff>
    </xdr:to>
    <xdr:sp macro="" textlink="">
      <xdr:nvSpPr>
        <xdr:cNvPr id="4" name="Rectángulo 3">
          <a:extLst>
            <a:ext uri="{FF2B5EF4-FFF2-40B4-BE49-F238E27FC236}">
              <a16:creationId xmlns:a16="http://schemas.microsoft.com/office/drawing/2014/main" id="{D9BF25CA-540C-4B4F-82EA-A8D04AF73CE8}"/>
            </a:ext>
          </a:extLst>
        </xdr:cNvPr>
        <xdr:cNvSpPr/>
      </xdr:nvSpPr>
      <xdr:spPr>
        <a:xfrm>
          <a:off x="1501140" y="2529840"/>
          <a:ext cx="838200" cy="205740"/>
        </a:xfrm>
        <a:prstGeom prst="rect">
          <a:avLst/>
        </a:prstGeom>
        <a:solidFill>
          <a:schemeClr val="accent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s-CO"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gyefs0001\mpd%20graf%20soplado\A&#209;O%202007\Diciembre%202007\Blowing%20Pascuales%20Mpd%20Graf%20Diciembre%20%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1\MARIO~1.KEX\LOCALS~1\Temp\notes6030C8\~079721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jenny.chu\Local%20Settings\Temporary%20Internet%20Files\OLK38\BSP%202006v1%20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mandb07\Hysoft\PET%20Common\Global-Reporting\FY%202007%2008\03%202007%20Sep\Monthly%20Management%20Reporting\Capital%20Reporting\REGION%20Capital%20Summaries\(New)%20BG_PET_Capex%20Monthly%20reporting%20_0908%20(37)-PPN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RLIM\USERS\Planificacion%20y%20Desarrollo\Comun\VENTAS\Informes%20Gerenciales\C.%20Operativos\Sur\1999\CompGranCO%20Su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Data\Users\ESPERA~1.MOR\AppData\Local\Temp\notesD14D2B\HC%20Amcor%20MARZO%20201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Pmandb07\Hysoft\PET%20Common\Global-Reporting\FY%202007%2008\02%202007%20Aug\Monthly%20Management%20Reporting\Capital%20Reporting\REGION%20Capital%20Summaries\Models%20received\BG_PET_Capex%20Monthly%20Reporting_0807%20_PPN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sers\Luis.Caiza\Documents\GESTIONES\AGUA\consumo%20de%20agua\GESTION%20H2O%20GG.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LINA~1.RAM\AppData\Local\Temp\notes3BA98F\SabMiller%20Ecuador\CEAV%20AbInbev_Overall%20Proposal_V5%20+%20propuesta.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ivan.roa\AppData\Local\Temp\notesAF3A78\PE_IT_Budget_FY13_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PET%20Common\Global-Reporting\FY%202007%2008\Budget%20FY07%2008\B%20+%203%20File%20to%20Abbotsford\BG_PET%20-%20Forecast%20(8).xls" TargetMode="External"/></Relationships>
</file>

<file path=xl/externalLinks/_rels/externalLink12.xml.rels><?xml version="1.0" encoding="UTF-8" standalone="yes"?>
<Relationships xmlns="http://schemas.openxmlformats.org/package/2006/relationships"><Relationship Id="rId2" Type="http://schemas.microsoft.com/office/2019/04/relationships/externalLinkLongPath" Target="file:///\\Schmalbach-admo\produccion\Documents%20and%20Settings\fesparza\Configuraci&#243;n%20local\Archivos%20temporales%20de%20Internet\OLK4\Documents%20and%20Settings\alexfonseca\Configura&#231;&#245;es%20locais\Temporary%20Internet%20Files\OLK6\Planilla%20para%20calculo%20MKI%20(20-6-02)%20Rev%202.xls?C8E1A27A" TargetMode="External"/><Relationship Id="rId1" Type="http://schemas.openxmlformats.org/officeDocument/2006/relationships/externalLinkPath" Target="file:///\\C8E1A27A\Planilla%20para%20calculo%20MKI%20(20-6-02)%20Rev%20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WINDOWS\Temporary%20Internet%20Files\OLKB246\proyecciones\2001\3+9\norte%203+9.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DOCUME~1\SANDRA~1.VEL\CONFIG~1\Temp\notesECF2F1\Peru%204400-%20FY1011%20Budget%20Load%20file-14.01.1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Users\soplado.guayaquil\AppData\Roaming\Microsoft\Excel\A&#209;O%202011\Agosto%2011\A&#209;O%202011\Agosto%2011\REPORTES%20DE%20PRODUCCION\2011\Reporte%20del%20mes%20de%20Abril\REPORTE%20DEL%2024%20DE%20ABRI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Documents%20and%20Settings\augusto.ruiz\Mis%20documentos\Ingenier&#237;a%20&amp;%20Proyectos\04.%20INFO%20TECNICA\Estimated%20prices-%20Machines%20&amp;%20Auxiliary%20Equipment.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Documents%20and%20Settings\priscila\Configuraci&#243;n%20local\Archivos%20temporales%20de%20Internet\OLKB6\COMPARATIVO%202007.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PET%20Common\Global-Reporting\FY%202006%2007\03%202006%20Sep\Reporting%20Packages\BG_NA%20-%20Capex%20Report%200607.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Budget%20Koala%20Arca%20FY2004\Budget%20Koala%20Arca%20FY2004\Budget%20Koala%20Arca%20FY2004\Budget0506\Load%20Files%20Units\Amcor%20Budget%202004-2005%20NEW%20FORMAT.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WINDOWS\Temporary%20Internet%20Files\OLKB246\proyecciones\2001\3+9\CENTRO%203+9.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FileServer\PRODUCCION\INYECCION\MPD%20Graf\A&#241;o%202014\Febrero14\Injection%20Ecuador%20MPD%20Graf%20Febrero%202014.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D:\Documents%20and%20Settings\Priscila\Mis%20documentos\COMPARATIVO%202006.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My%20Documents\APPLA\APPSA%20Injection%20Molds_2008.12.17.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MPD%20Graf\A&#241;o%202010\Junio%202010\Injection%20Ecuador%20MPD%20Graf%20Junio%20201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A:\Documents%20and%20Settings\alexfonseca\Configura&#231;&#245;es%20locais\Temporary%20Internet%20Files\OLK6\Planilla%20para%20calculo%20MKI%20(20-6-02)%20Rev%202.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MPD%20Graf\A&#241;o%202012\Diciembre\Injection%20Ecuador%20MPD%20Graf%20Diciembre%202012.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PET%20Common\Global-Reporting\FY%202006%2007\03%202006%20Sep\Reporting%20Packages\BG_NA%20-%20Capex%20Report%20060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G:\Controllers\1_Actual\Mths0607\08%20February%2007\13%20Capex%20Reporting\AMCOR%20-%20Capex%20Report%20-%200207%20final.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Equipo%20Amcor\Estados%20Financieros%20Amcor\P&amp;L.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Documents%20and%20Settings\dcordova\Configuraci&#243;n%20local\Archivos%20temporales%20de%20Internet\Content.IE5\KR0CLNDF\Master%20Costos.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PRLIM\USERS\Planificacion%20y%20Desarrollo\Comun\VENTAS\Stream\99\Octubre\Vt10peru.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mannt06\hysoft\Apps\CarsNew\Statutory\SLUSStatFiles\StatTemplateSLUSA_1220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Principal"/>
      <sheetName val="RESUMEN DIARIO"/>
      <sheetName val="Hoja5"/>
      <sheetName val="Hoja2"/>
      <sheetName val="PRODUCTO x MAQ"/>
      <sheetName val="CONSOLIDADO"/>
      <sheetName val="PROD Y CONSUMOS"/>
      <sheetName val="Resumen"/>
      <sheetName val="Transf. Sidel "/>
      <sheetName val="Transf. Mag"/>
      <sheetName val="Inv Pre"/>
      <sheetName val="CUADRES"/>
      <sheetName val="BE"/>
      <sheetName val="Mag 1"/>
      <sheetName val="Graf. Mag 1"/>
      <sheetName val="Mag 2"/>
      <sheetName val="Graf. Mag 2"/>
      <sheetName val="Mag 3"/>
      <sheetName val="Graf. Mag 3"/>
      <sheetName val="Mag 4"/>
      <sheetName val="Graf. Mag 4"/>
      <sheetName val="Sidel 1032"/>
      <sheetName val="Graf. Sidel 1032"/>
      <sheetName val="Sidel 302"/>
      <sheetName val="Graf. Sidel 302"/>
      <sheetName val="Sidel 1014"/>
      <sheetName val="Graf. Sidel 14"/>
      <sheetName val="Materiales"/>
      <sheetName val="Soplado general"/>
      <sheetName val="Hoja4"/>
      <sheetName val=" ME Operadores"/>
      <sheetName val="Plan accion"/>
      <sheetName val="Paros"/>
      <sheetName val="Hoja1"/>
      <sheetName val="Gráfico2"/>
      <sheetName val="Gráfico1"/>
      <sheetName val="REP PAROS"/>
      <sheetName val="Hoja3"/>
      <sheetName val="Scrap vs maquina"/>
      <sheetName val="REPORTE SCRAP"/>
      <sheetName val="scrap"/>
      <sheetName val="scrap por causa"/>
      <sheetName val="Menu_Principal"/>
      <sheetName val="RESUMEN_DIARIO"/>
      <sheetName val="PRODUCTO_x_MAQ"/>
      <sheetName val="PROD_Y_CONSUMOS"/>
      <sheetName val="Transf__Sidel_"/>
      <sheetName val="Transf__Mag"/>
      <sheetName val="Inv_Pre"/>
      <sheetName val="Mag_1"/>
      <sheetName val="Graf__Mag_1"/>
      <sheetName val="Mag_2"/>
      <sheetName val="Graf__Mag_2"/>
      <sheetName val="Mag_3"/>
      <sheetName val="Graf__Mag_3"/>
      <sheetName val="Mag_4"/>
      <sheetName val="Graf__Mag_4"/>
      <sheetName val="Sidel_1032"/>
      <sheetName val="Graf__Sidel_1032"/>
      <sheetName val="Sidel_302"/>
      <sheetName val="Graf__Sidel_302"/>
      <sheetName val="Sidel_1014"/>
      <sheetName val="Graf__Sidel_14"/>
      <sheetName val="Soplado_general"/>
      <sheetName val="_ME_Operadores"/>
      <sheetName val="Plan_accion"/>
      <sheetName val="REP_PAROS"/>
      <sheetName val="Scrap_vs_maquina"/>
      <sheetName val="REPORTE_SCRAP"/>
      <sheetName val="scrap_por_causa"/>
      <sheetName val="Menu_Principal1"/>
      <sheetName val="RESUMEN_DIARIO1"/>
      <sheetName val="PRODUCTO_x_MAQ1"/>
      <sheetName val="PROD_Y_CONSUMOS1"/>
      <sheetName val="Transf__Sidel_1"/>
      <sheetName val="Transf__Mag1"/>
      <sheetName val="Inv_Pre1"/>
      <sheetName val="Mag_11"/>
      <sheetName val="Graf__Mag_11"/>
      <sheetName val="Mag_21"/>
      <sheetName val="Graf__Mag_21"/>
      <sheetName val="Mag_31"/>
      <sheetName val="Graf__Mag_31"/>
      <sheetName val="Mag_41"/>
      <sheetName val="Graf__Mag_41"/>
      <sheetName val="Sidel_10321"/>
      <sheetName val="Graf__Sidel_10321"/>
      <sheetName val="Sidel_3021"/>
      <sheetName val="Graf__Sidel_3021"/>
      <sheetName val="Sidel_10141"/>
      <sheetName val="Graf__Sidel_141"/>
      <sheetName val="Soplado_general1"/>
      <sheetName val="_ME_Operadores1"/>
      <sheetName val="Plan_accion1"/>
      <sheetName val="REP_PAROS1"/>
      <sheetName val="Scrap_vs_maquina1"/>
      <sheetName val="REPORTE_SCRAP1"/>
      <sheetName val="scrap_por_caus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3">
          <cell r="E3" t="str">
            <v>Producto</v>
          </cell>
        </row>
        <row r="4">
          <cell r="E4" t="str">
            <v>Tampico 350 cc</v>
          </cell>
        </row>
        <row r="5">
          <cell r="E5" t="str">
            <v>Tampico 350 cc</v>
          </cell>
        </row>
        <row r="11">
          <cell r="E11" t="str">
            <v>Tampico 350 cc</v>
          </cell>
        </row>
        <row r="12">
          <cell r="E12" t="str">
            <v>Tampico 350 cc</v>
          </cell>
        </row>
        <row r="18">
          <cell r="E18" t="str">
            <v>Tampico 350 cc</v>
          </cell>
        </row>
        <row r="19">
          <cell r="E19" t="str">
            <v>Tampico 350 cc</v>
          </cell>
        </row>
        <row r="25">
          <cell r="E25" t="str">
            <v>Tampico 350 cc</v>
          </cell>
        </row>
        <row r="26">
          <cell r="E26" t="str">
            <v>Tampico 350 cc</v>
          </cell>
        </row>
        <row r="32">
          <cell r="E32" t="str">
            <v>Tampico 350 cc</v>
          </cell>
        </row>
        <row r="33">
          <cell r="E33" t="str">
            <v>Profit 350 cc UV</v>
          </cell>
        </row>
        <row r="34">
          <cell r="E34" t="str">
            <v>Profit 350 cc UV</v>
          </cell>
        </row>
        <row r="39">
          <cell r="E39" t="str">
            <v>Profit 350 cc UV</v>
          </cell>
        </row>
        <row r="40">
          <cell r="E40" t="str">
            <v>Profit 350 cc UV</v>
          </cell>
        </row>
        <row r="46">
          <cell r="E46" t="str">
            <v>Profit 350 cc UV</v>
          </cell>
        </row>
        <row r="47">
          <cell r="E47" t="str">
            <v>Profit 350 cc UV</v>
          </cell>
        </row>
        <row r="53">
          <cell r="E53" t="str">
            <v>Profit 350 cc UV</v>
          </cell>
        </row>
        <row r="54">
          <cell r="E54" t="str">
            <v>Profit 350 cc UV</v>
          </cell>
        </row>
        <row r="60">
          <cell r="E60" t="str">
            <v>Profit 350 cc UV</v>
          </cell>
        </row>
        <row r="61">
          <cell r="E61" t="str">
            <v>Profit 350 cc UV</v>
          </cell>
        </row>
        <row r="67">
          <cell r="E67" t="str">
            <v xml:space="preserve">NO PROGRAMADA </v>
          </cell>
        </row>
        <row r="68">
          <cell r="E68" t="str">
            <v xml:space="preserve">NO PROGRAMADA </v>
          </cell>
        </row>
        <row r="74">
          <cell r="E74" t="str">
            <v xml:space="preserve">NO PROGRAMADA </v>
          </cell>
        </row>
        <row r="75">
          <cell r="E75" t="str">
            <v xml:space="preserve">NO PROGRAMADA </v>
          </cell>
        </row>
        <row r="81">
          <cell r="E81" t="str">
            <v>Profit 350 cc UV</v>
          </cell>
        </row>
        <row r="82">
          <cell r="E82" t="str">
            <v>Profit 350 cc UV</v>
          </cell>
        </row>
        <row r="88">
          <cell r="E88" t="str">
            <v>Profit 350 cc UV</v>
          </cell>
        </row>
        <row r="89">
          <cell r="E89" t="str">
            <v>Profit 350 cc UV</v>
          </cell>
        </row>
        <row r="95">
          <cell r="E95" t="str">
            <v>Profit 350 cc UV</v>
          </cell>
        </row>
        <row r="96">
          <cell r="E96" t="str">
            <v>Profit 350 cc UV</v>
          </cell>
        </row>
        <row r="102">
          <cell r="E102" t="str">
            <v>Profit 350 cc UV</v>
          </cell>
        </row>
        <row r="103">
          <cell r="E103" t="str">
            <v>Profit 350 cc UV</v>
          </cell>
        </row>
        <row r="109">
          <cell r="E109" t="str">
            <v>Profit 350 cc UV</v>
          </cell>
        </row>
        <row r="110">
          <cell r="E110" t="str">
            <v>Profit 350 cc UV</v>
          </cell>
        </row>
        <row r="111">
          <cell r="E111" t="str">
            <v>Tampico 350 cc</v>
          </cell>
        </row>
        <row r="116">
          <cell r="E116" t="str">
            <v>Tampico 350 cc</v>
          </cell>
        </row>
        <row r="117">
          <cell r="E117" t="str">
            <v>Tampico 350 cc</v>
          </cell>
        </row>
        <row r="123">
          <cell r="E123" t="str">
            <v>Tampico 350 cc</v>
          </cell>
        </row>
        <row r="124">
          <cell r="E124" t="str">
            <v>Tampico 350 cc</v>
          </cell>
        </row>
        <row r="130">
          <cell r="E130" t="str">
            <v>Tampico 350 cc</v>
          </cell>
        </row>
        <row r="131">
          <cell r="E131" t="str">
            <v>Tampico 350 cc</v>
          </cell>
        </row>
        <row r="137">
          <cell r="E137" t="str">
            <v>Tampico 350 cc</v>
          </cell>
        </row>
        <row r="138">
          <cell r="E138" t="str">
            <v>Tampico 350 cc</v>
          </cell>
        </row>
        <row r="144">
          <cell r="E144" t="str">
            <v>Tampico 350 cc</v>
          </cell>
        </row>
        <row r="145">
          <cell r="E145" t="str">
            <v>Tampico 350 cc</v>
          </cell>
        </row>
        <row r="151">
          <cell r="E151" t="str">
            <v>Tampico 350 cc</v>
          </cell>
        </row>
        <row r="152">
          <cell r="E152" t="str">
            <v>Tampico 350 cc</v>
          </cell>
        </row>
        <row r="158">
          <cell r="E158" t="str">
            <v>Tampico 350 cc</v>
          </cell>
        </row>
        <row r="159">
          <cell r="E159" t="str">
            <v>Tampico 350 cc</v>
          </cell>
        </row>
        <row r="165">
          <cell r="E165" t="str">
            <v>Profit 350 cc UV</v>
          </cell>
        </row>
        <row r="166">
          <cell r="E166" t="str">
            <v>Profit 350 cc UV</v>
          </cell>
        </row>
        <row r="172">
          <cell r="E172" t="str">
            <v>Profit 350 cc UV</v>
          </cell>
        </row>
        <row r="173">
          <cell r="E173" t="str">
            <v>Profit 350 cc UV</v>
          </cell>
        </row>
        <row r="179">
          <cell r="E179" t="str">
            <v xml:space="preserve">NO PROGRAMADA </v>
          </cell>
        </row>
        <row r="180">
          <cell r="E180" t="str">
            <v xml:space="preserve">NO PROGRAMADA </v>
          </cell>
        </row>
        <row r="186">
          <cell r="E186" t="str">
            <v>Profit 350 cc UV</v>
          </cell>
        </row>
        <row r="187">
          <cell r="E187" t="str">
            <v>Profit 350 cc UV</v>
          </cell>
        </row>
        <row r="193">
          <cell r="E193" t="str">
            <v>Profit 350 cc UV</v>
          </cell>
        </row>
        <row r="194">
          <cell r="E194" t="str">
            <v>Profit 350 cc UV</v>
          </cell>
        </row>
        <row r="200">
          <cell r="E200" t="str">
            <v>Profit 350 cc UV</v>
          </cell>
        </row>
        <row r="201">
          <cell r="E201" t="str">
            <v xml:space="preserve">NO PROGRAMADA </v>
          </cell>
        </row>
        <row r="207">
          <cell r="E207" t="str">
            <v xml:space="preserve">NO PROGRAMADA </v>
          </cell>
        </row>
        <row r="208">
          <cell r="E208" t="str">
            <v>Gota Rosada 600 cc</v>
          </cell>
        </row>
      </sheetData>
      <sheetData sheetId="14" refreshError="1"/>
      <sheetData sheetId="15" refreshError="1">
        <row r="82">
          <cell r="E82" t="str">
            <v>Profit 600 cc UV</v>
          </cell>
        </row>
        <row r="88">
          <cell r="E88" t="str">
            <v>Profit 600 cc UV</v>
          </cell>
        </row>
        <row r="89">
          <cell r="E89" t="str">
            <v>Profit 600 cc UV</v>
          </cell>
        </row>
        <row r="95">
          <cell r="E95" t="str">
            <v>Profit 600 cc UV</v>
          </cell>
        </row>
        <row r="96">
          <cell r="E96" t="str">
            <v>Profit 600 cc UV</v>
          </cell>
        </row>
        <row r="102">
          <cell r="E102" t="str">
            <v>Profit 600 cc UV</v>
          </cell>
        </row>
        <row r="103">
          <cell r="E103" t="str">
            <v>Profit 600 cc UV</v>
          </cell>
        </row>
        <row r="109">
          <cell r="E109" t="str">
            <v>Profit 600 cc UV</v>
          </cell>
        </row>
        <row r="110">
          <cell r="E110" t="str">
            <v>Profit 600 cc UV</v>
          </cell>
        </row>
        <row r="116">
          <cell r="E116" t="str">
            <v xml:space="preserve">NO PROGRAMADA </v>
          </cell>
        </row>
        <row r="117">
          <cell r="E117" t="str">
            <v xml:space="preserve">NO PROGRAMADA </v>
          </cell>
        </row>
        <row r="123">
          <cell r="E123" t="str">
            <v xml:space="preserve">NO PROGRAMADA </v>
          </cell>
        </row>
        <row r="124">
          <cell r="E124" t="str">
            <v xml:space="preserve">NO PROGRAMADA </v>
          </cell>
        </row>
        <row r="130">
          <cell r="E130" t="str">
            <v xml:space="preserve">NO PROGRAMADA </v>
          </cell>
        </row>
        <row r="131">
          <cell r="E131" t="str">
            <v>Generica 355 cc</v>
          </cell>
        </row>
        <row r="137">
          <cell r="E137" t="str">
            <v>Generica 355 cc</v>
          </cell>
        </row>
        <row r="138">
          <cell r="E138" t="str">
            <v>Generica 355 cc</v>
          </cell>
        </row>
        <row r="144">
          <cell r="E144" t="str">
            <v>Generica 355 cc</v>
          </cell>
        </row>
        <row r="145">
          <cell r="E145" t="str">
            <v>Generica 355 cc</v>
          </cell>
        </row>
        <row r="151">
          <cell r="E151" t="str">
            <v>Generica 355 cc</v>
          </cell>
        </row>
        <row r="152">
          <cell r="E152" t="str">
            <v xml:space="preserve">NO PROGRAMADA </v>
          </cell>
        </row>
        <row r="158">
          <cell r="E158" t="str">
            <v xml:space="preserve">NO PROGRAMADA </v>
          </cell>
        </row>
        <row r="159">
          <cell r="E159" t="str">
            <v xml:space="preserve">NO PROGRAMADA </v>
          </cell>
        </row>
        <row r="165">
          <cell r="E165" t="str">
            <v xml:space="preserve">NO PROGRAMADA </v>
          </cell>
        </row>
        <row r="166">
          <cell r="E166" t="str">
            <v xml:space="preserve">NO PROGRAMADA </v>
          </cell>
        </row>
        <row r="172">
          <cell r="E172" t="str">
            <v>Limonada 330 cc</v>
          </cell>
        </row>
        <row r="173">
          <cell r="E173" t="str">
            <v>Limonada 330 cc</v>
          </cell>
        </row>
        <row r="179">
          <cell r="E179" t="str">
            <v xml:space="preserve">NO PROGRAMADA </v>
          </cell>
        </row>
        <row r="180">
          <cell r="E180" t="str">
            <v xml:space="preserve">NO PROGRAMADA </v>
          </cell>
        </row>
        <row r="186">
          <cell r="E186" t="str">
            <v>Limonada 330 cc</v>
          </cell>
        </row>
        <row r="187">
          <cell r="E187" t="str">
            <v>Limonada 330 cc</v>
          </cell>
        </row>
        <row r="193">
          <cell r="E193" t="str">
            <v>Limonada 330 cc</v>
          </cell>
        </row>
        <row r="194">
          <cell r="E194" t="str">
            <v>Limonada 330 cc</v>
          </cell>
        </row>
        <row r="200">
          <cell r="E200" t="str">
            <v>Limonada 330 cc</v>
          </cell>
        </row>
        <row r="201">
          <cell r="E201" t="str">
            <v>Limonada 330 cc</v>
          </cell>
        </row>
        <row r="207">
          <cell r="E207" t="str">
            <v>Naranja 330 cc</v>
          </cell>
        </row>
        <row r="208">
          <cell r="E208" t="str">
            <v>Naranja 330 cc</v>
          </cell>
        </row>
      </sheetData>
      <sheetData sheetId="16" refreshError="1"/>
      <sheetData sheetId="17" refreshError="1">
        <row r="4">
          <cell r="E4" t="str">
            <v>Champ Cuad 2000 cc</v>
          </cell>
        </row>
        <row r="5">
          <cell r="E5" t="str">
            <v>Champ Cuad 2000 cc</v>
          </cell>
        </row>
        <row r="11">
          <cell r="E11" t="str">
            <v>Champ Cuad 2000 cc</v>
          </cell>
        </row>
        <row r="12">
          <cell r="E12" t="str">
            <v>Champ Cuad 2000 cc</v>
          </cell>
        </row>
        <row r="18">
          <cell r="E18" t="str">
            <v>Champ Cuad 2000 cc</v>
          </cell>
        </row>
        <row r="19">
          <cell r="E19" t="str">
            <v>Champ Cuad 2000 cc</v>
          </cell>
        </row>
        <row r="25">
          <cell r="E25" t="str">
            <v>Champ Cuad 2000 cc</v>
          </cell>
        </row>
        <row r="26">
          <cell r="E26" t="str">
            <v>Champ Cuad 2000 cc</v>
          </cell>
        </row>
        <row r="32">
          <cell r="E32" t="str">
            <v>Champ Cuad 2000 cc</v>
          </cell>
        </row>
        <row r="33">
          <cell r="E33" t="str">
            <v>Champ Cuad 2000 cc</v>
          </cell>
        </row>
        <row r="39">
          <cell r="E39" t="str">
            <v xml:space="preserve">NO PROGRAMADA </v>
          </cell>
        </row>
        <row r="40">
          <cell r="E40" t="str">
            <v xml:space="preserve">NO PROGRAMADA </v>
          </cell>
        </row>
        <row r="46">
          <cell r="E46" t="str">
            <v xml:space="preserve">NO PROGRAMADA </v>
          </cell>
        </row>
        <row r="47">
          <cell r="E47" t="str">
            <v xml:space="preserve">NO PROGRAMADA </v>
          </cell>
        </row>
        <row r="53">
          <cell r="E53" t="str">
            <v xml:space="preserve">NO PROGRAMADA </v>
          </cell>
        </row>
        <row r="54">
          <cell r="E54" t="str">
            <v xml:space="preserve">NO PROGRAMADA </v>
          </cell>
        </row>
        <row r="60">
          <cell r="E60" t="str">
            <v xml:space="preserve">NO PROGRAMADA </v>
          </cell>
        </row>
        <row r="61">
          <cell r="E61" t="str">
            <v xml:space="preserve">NO PROGRAMADA </v>
          </cell>
        </row>
        <row r="67">
          <cell r="E67" t="str">
            <v>Gota UV 600 Ccc</v>
          </cell>
        </row>
        <row r="68">
          <cell r="E68" t="str">
            <v>Gota UV 600 Ccc</v>
          </cell>
        </row>
        <row r="74">
          <cell r="E74" t="str">
            <v>Gota UV 600 Ccc</v>
          </cell>
        </row>
        <row r="75">
          <cell r="E75" t="str">
            <v>Gota UV 600 Ccc</v>
          </cell>
        </row>
        <row r="81">
          <cell r="E81" t="str">
            <v>Gota UV 600 Ccc</v>
          </cell>
        </row>
        <row r="82">
          <cell r="E82" t="str">
            <v>Gota UV 600 Ccc</v>
          </cell>
        </row>
        <row r="88">
          <cell r="E88" t="str">
            <v>Gota UV 600 Ccc</v>
          </cell>
        </row>
        <row r="89">
          <cell r="E89" t="str">
            <v>Gota UV 600 Ccc</v>
          </cell>
        </row>
        <row r="95">
          <cell r="E95" t="str">
            <v>Gota UV 600 Ccc</v>
          </cell>
        </row>
        <row r="96">
          <cell r="E96" t="str">
            <v>Gota UV 600 Ccc</v>
          </cell>
        </row>
        <row r="102">
          <cell r="E102" t="str">
            <v>Gota UV 600 Ccc</v>
          </cell>
        </row>
        <row r="103">
          <cell r="E103" t="str">
            <v>Gota UV 600 Ccc</v>
          </cell>
        </row>
        <row r="109">
          <cell r="E109" t="str">
            <v>Gota UV 600 Ccc</v>
          </cell>
        </row>
        <row r="110">
          <cell r="E110" t="str">
            <v>Gota UV 600 Ccc</v>
          </cell>
        </row>
        <row r="116">
          <cell r="E116" t="str">
            <v>Gota UV 600 Ccc</v>
          </cell>
        </row>
        <row r="117">
          <cell r="E117" t="str">
            <v>Gota UV 600 Ccc</v>
          </cell>
        </row>
        <row r="123">
          <cell r="E123" t="str">
            <v>Gota UV 600 Ccc</v>
          </cell>
        </row>
        <row r="124">
          <cell r="E124" t="str">
            <v>Gota UV 600 Ccc</v>
          </cell>
        </row>
        <row r="130">
          <cell r="E130" t="str">
            <v xml:space="preserve">NO PROGRAMADA </v>
          </cell>
        </row>
        <row r="131">
          <cell r="E131" t="str">
            <v xml:space="preserve">NO PROGRAMADA </v>
          </cell>
        </row>
        <row r="137">
          <cell r="E137" t="str">
            <v xml:space="preserve">NO PROGRAMADA </v>
          </cell>
        </row>
        <row r="138">
          <cell r="E138" t="str">
            <v xml:space="preserve">NO PROGRAMADA </v>
          </cell>
        </row>
        <row r="144">
          <cell r="E144" t="str">
            <v xml:space="preserve">NO PROGRAMADA </v>
          </cell>
        </row>
        <row r="145">
          <cell r="E145" t="str">
            <v>Gota Cel 600 cc</v>
          </cell>
        </row>
        <row r="151">
          <cell r="E151" t="str">
            <v>Gota Cel 600 cc</v>
          </cell>
        </row>
        <row r="152">
          <cell r="E152" t="str">
            <v>Gota UV 600 Ccc</v>
          </cell>
        </row>
        <row r="158">
          <cell r="E158" t="str">
            <v>Gota UV 600 Ccc</v>
          </cell>
        </row>
        <row r="159">
          <cell r="E159" t="str">
            <v>Gota UV 600 Ccc</v>
          </cell>
        </row>
        <row r="165">
          <cell r="E165" t="str">
            <v>Gota UV 600 Ccc</v>
          </cell>
        </row>
        <row r="166">
          <cell r="E166" t="str">
            <v>Gota UV 600 Ccc</v>
          </cell>
        </row>
        <row r="172">
          <cell r="E172" t="str">
            <v>Gota UV 600 Ccc</v>
          </cell>
        </row>
        <row r="173">
          <cell r="E173" t="str">
            <v>Gota UV 600 Ccc</v>
          </cell>
        </row>
        <row r="174">
          <cell r="E174" t="str">
            <v>Gota Cel 600 cc</v>
          </cell>
        </row>
        <row r="179">
          <cell r="E179" t="str">
            <v xml:space="preserve">NO PROGRAMADA </v>
          </cell>
        </row>
        <row r="180">
          <cell r="E180" t="str">
            <v xml:space="preserve">NO PROGRAMADA </v>
          </cell>
        </row>
        <row r="186">
          <cell r="E186" t="str">
            <v>Gota Cel 600 cc</v>
          </cell>
        </row>
        <row r="187">
          <cell r="E187" t="str">
            <v>Gota Cel 600 cc</v>
          </cell>
        </row>
        <row r="193">
          <cell r="E193" t="str">
            <v>Gota Cel 600 cc</v>
          </cell>
        </row>
        <row r="194">
          <cell r="E194" t="str">
            <v>Gota Rosada 600 cc</v>
          </cell>
        </row>
        <row r="195">
          <cell r="E195" t="str">
            <v>Gota Rosada 600 cc</v>
          </cell>
        </row>
        <row r="200">
          <cell r="E200" t="str">
            <v>Gota Rosada 600 cc</v>
          </cell>
        </row>
        <row r="201">
          <cell r="E201" t="str">
            <v>Gota Rosada 600 cc</v>
          </cell>
        </row>
        <row r="207">
          <cell r="E207" t="str">
            <v>Gota Rosada 600 cc</v>
          </cell>
        </row>
        <row r="208">
          <cell r="E208" t="str">
            <v>Limonada 1000 cc</v>
          </cell>
        </row>
      </sheetData>
      <sheetData sheetId="18" refreshError="1"/>
      <sheetData sheetId="19" refreshError="1">
        <row r="4">
          <cell r="E4" t="str">
            <v>Tampico 500 cc</v>
          </cell>
        </row>
        <row r="5">
          <cell r="E5" t="str">
            <v>Tampico 500 cc</v>
          </cell>
        </row>
        <row r="11">
          <cell r="E11" t="str">
            <v>Tampico 500 cc</v>
          </cell>
        </row>
        <row r="12">
          <cell r="E12" t="str">
            <v>Tampico 500 cc</v>
          </cell>
        </row>
        <row r="18">
          <cell r="E18" t="str">
            <v>Tampico 500 cc</v>
          </cell>
        </row>
        <row r="19">
          <cell r="E19" t="str">
            <v>Tampico 500 cc</v>
          </cell>
        </row>
        <row r="25">
          <cell r="E25" t="str">
            <v>Tampico 500 cc</v>
          </cell>
        </row>
        <row r="26">
          <cell r="E26" t="str">
            <v>Tampico 500 cc</v>
          </cell>
        </row>
        <row r="32">
          <cell r="E32" t="str">
            <v>Tampico 500 cc</v>
          </cell>
        </row>
        <row r="33">
          <cell r="E33" t="str">
            <v>Tampico 500 cc</v>
          </cell>
        </row>
        <row r="39">
          <cell r="E39" t="str">
            <v xml:space="preserve">NO PROGRAMADA </v>
          </cell>
        </row>
        <row r="40">
          <cell r="E40" t="str">
            <v xml:space="preserve">NO PROGRAMADA </v>
          </cell>
        </row>
        <row r="46">
          <cell r="E46" t="str">
            <v xml:space="preserve">NO PROGRAMADA </v>
          </cell>
        </row>
        <row r="47">
          <cell r="E47" t="str">
            <v xml:space="preserve">NO PROGRAMADA </v>
          </cell>
        </row>
        <row r="53">
          <cell r="E53" t="str">
            <v xml:space="preserve">NO PROGRAMADA </v>
          </cell>
        </row>
        <row r="54">
          <cell r="E54" t="str">
            <v xml:space="preserve">NO PROGRAMADA </v>
          </cell>
        </row>
        <row r="60">
          <cell r="E60" t="str">
            <v xml:space="preserve">NO PROGRAMADA </v>
          </cell>
        </row>
        <row r="61">
          <cell r="E61" t="str">
            <v>Limonada 330 cc</v>
          </cell>
        </row>
        <row r="67">
          <cell r="E67" t="str">
            <v>Limonada 330 cc</v>
          </cell>
        </row>
        <row r="68">
          <cell r="E68" t="str">
            <v>Limonada 330 cc</v>
          </cell>
        </row>
        <row r="74">
          <cell r="E74" t="str">
            <v>Limonada 330 cc</v>
          </cell>
        </row>
        <row r="75">
          <cell r="E75" t="str">
            <v>Limonada 330 cc</v>
          </cell>
        </row>
        <row r="81">
          <cell r="E81" t="str">
            <v>Limonada 330 cc</v>
          </cell>
        </row>
        <row r="82">
          <cell r="E82" t="str">
            <v xml:space="preserve">NO PROGRAMADA </v>
          </cell>
        </row>
        <row r="88">
          <cell r="E88" t="str">
            <v xml:space="preserve">NO PROGRAMADA </v>
          </cell>
        </row>
        <row r="89">
          <cell r="E89" t="str">
            <v>Generica V 500 cc</v>
          </cell>
        </row>
        <row r="95">
          <cell r="E95" t="str">
            <v>Generica V 500 cc</v>
          </cell>
        </row>
        <row r="96">
          <cell r="E96" t="str">
            <v>Generica V 500 cc</v>
          </cell>
        </row>
        <row r="102">
          <cell r="E102" t="str">
            <v>Limonada 330 cc</v>
          </cell>
        </row>
        <row r="103">
          <cell r="E103" t="str">
            <v>Limonada 330 cc</v>
          </cell>
        </row>
        <row r="109">
          <cell r="E109" t="str">
            <v>Limonada 330 cc</v>
          </cell>
        </row>
        <row r="110">
          <cell r="E110" t="str">
            <v>Limonada 330 cc</v>
          </cell>
        </row>
        <row r="116">
          <cell r="E116" t="str">
            <v>Limonada 330 cc</v>
          </cell>
        </row>
        <row r="117">
          <cell r="E117" t="str">
            <v>Limonada 330 cc</v>
          </cell>
        </row>
        <row r="123">
          <cell r="E123" t="str">
            <v>Limonada 330 cc</v>
          </cell>
        </row>
        <row r="124">
          <cell r="E124" t="str">
            <v>Limonada 330 cc</v>
          </cell>
        </row>
        <row r="130">
          <cell r="E130" t="str">
            <v>Limonada 330 cc</v>
          </cell>
        </row>
        <row r="131">
          <cell r="E131" t="str">
            <v>Limonada CR 330 cc</v>
          </cell>
        </row>
        <row r="132">
          <cell r="E132" t="str">
            <v>Limonada CR 330 cc</v>
          </cell>
        </row>
        <row r="137">
          <cell r="E137" t="str">
            <v xml:space="preserve">NO PROGRAMADA </v>
          </cell>
        </row>
        <row r="138">
          <cell r="E138" t="str">
            <v xml:space="preserve">NO PROGRAMADA </v>
          </cell>
        </row>
        <row r="144">
          <cell r="E144" t="str">
            <v xml:space="preserve">NO PROGRAMADA </v>
          </cell>
        </row>
        <row r="145">
          <cell r="E145" t="str">
            <v xml:space="preserve">NO PROGRAMADA </v>
          </cell>
        </row>
        <row r="151">
          <cell r="E151" t="str">
            <v xml:space="preserve">NO PROGRAMADA </v>
          </cell>
        </row>
        <row r="152">
          <cell r="E152" t="str">
            <v>Naranja 330 cc</v>
          </cell>
        </row>
        <row r="158">
          <cell r="E158" t="str">
            <v>Naranja 330 cc</v>
          </cell>
        </row>
        <row r="159">
          <cell r="E159" t="str">
            <v>Swirl 600 cc</v>
          </cell>
        </row>
        <row r="165">
          <cell r="E165" t="str">
            <v>Swirl 600 cc</v>
          </cell>
        </row>
        <row r="166">
          <cell r="E166" t="str">
            <v>Swirl 600 cc</v>
          </cell>
        </row>
        <row r="167">
          <cell r="E167" t="str">
            <v xml:space="preserve">Swirl 25 Gr 600 cc  </v>
          </cell>
        </row>
        <row r="168">
          <cell r="E168" t="str">
            <v>Swirl 600 cc</v>
          </cell>
        </row>
        <row r="172">
          <cell r="E172" t="str">
            <v xml:space="preserve">Swirl 25 Gr 600 cc  </v>
          </cell>
        </row>
        <row r="173">
          <cell r="E173" t="str">
            <v xml:space="preserve">Swirl 25 Gr 600 cc  </v>
          </cell>
        </row>
        <row r="179">
          <cell r="E179" t="str">
            <v xml:space="preserve">NO PROGRAMADA </v>
          </cell>
        </row>
        <row r="180">
          <cell r="E180" t="str">
            <v xml:space="preserve">NO PROGRAMADA </v>
          </cell>
        </row>
        <row r="186">
          <cell r="E186" t="str">
            <v xml:space="preserve">Swirl 25 Gr 600 cc  </v>
          </cell>
        </row>
        <row r="187">
          <cell r="E187" t="str">
            <v xml:space="preserve">Swirl 25 Gr 600 cc  </v>
          </cell>
        </row>
        <row r="193">
          <cell r="E193" t="str">
            <v xml:space="preserve">NO PROGRAMADA </v>
          </cell>
        </row>
        <row r="194">
          <cell r="E194" t="str">
            <v xml:space="preserve">NO PROGRAMADA </v>
          </cell>
        </row>
        <row r="200">
          <cell r="E200" t="str">
            <v xml:space="preserve">NO PROGRAMADA </v>
          </cell>
        </row>
        <row r="201">
          <cell r="E201" t="str">
            <v>Champ Cuad 375 cc</v>
          </cell>
        </row>
        <row r="207">
          <cell r="E207" t="str">
            <v>Champ Cuad 375 cc</v>
          </cell>
        </row>
        <row r="208">
          <cell r="E208" t="str">
            <v>Champ Cuad 375 cc</v>
          </cell>
        </row>
      </sheetData>
      <sheetData sheetId="20" refreshError="1"/>
      <sheetData sheetId="21" refreshError="1">
        <row r="4">
          <cell r="E4" t="str">
            <v>Generica 1500 cc</v>
          </cell>
        </row>
        <row r="5">
          <cell r="E5" t="str">
            <v>Generica 1500 cc</v>
          </cell>
        </row>
        <row r="11">
          <cell r="E11" t="str">
            <v>Generica 1500 cc</v>
          </cell>
        </row>
        <row r="12">
          <cell r="E12" t="str">
            <v>Generica 1500 cc</v>
          </cell>
        </row>
        <row r="18">
          <cell r="E18" t="str">
            <v>Generica 1500 cc</v>
          </cell>
        </row>
        <row r="19">
          <cell r="E19" t="str">
            <v>Generica 1500 cc</v>
          </cell>
        </row>
        <row r="25">
          <cell r="E25" t="str">
            <v>Generica 1500 cc</v>
          </cell>
        </row>
        <row r="26">
          <cell r="E26" t="str">
            <v>Generica 1500 cc</v>
          </cell>
        </row>
        <row r="32">
          <cell r="E32" t="str">
            <v>Generica 1500 cc</v>
          </cell>
        </row>
        <row r="33">
          <cell r="E33" t="str">
            <v>Generica 1500 cc</v>
          </cell>
        </row>
        <row r="39">
          <cell r="E39" t="str">
            <v>Generica 1500 cc</v>
          </cell>
        </row>
        <row r="40">
          <cell r="E40" t="str">
            <v>Generica 625 cc</v>
          </cell>
        </row>
        <row r="41">
          <cell r="E41" t="str">
            <v>Generica 625 cc</v>
          </cell>
        </row>
        <row r="46">
          <cell r="E46" t="str">
            <v>Generica 625 cc</v>
          </cell>
        </row>
        <row r="47">
          <cell r="E47" t="str">
            <v>Generica 625 cc</v>
          </cell>
        </row>
        <row r="53">
          <cell r="E53" t="str">
            <v>Generica 625 cc</v>
          </cell>
        </row>
        <row r="54">
          <cell r="E54" t="str">
            <v>Generica V 625 cc</v>
          </cell>
        </row>
        <row r="60">
          <cell r="E60" t="str">
            <v xml:space="preserve">Swirl 355 cc  </v>
          </cell>
        </row>
        <row r="61">
          <cell r="E61" t="str">
            <v xml:space="preserve">Swirl 355 cc  </v>
          </cell>
        </row>
        <row r="62">
          <cell r="E62" t="str">
            <v xml:space="preserve">Swirl 355 cc  </v>
          </cell>
        </row>
        <row r="67">
          <cell r="E67" t="str">
            <v xml:space="preserve">Swirl 355 cc  </v>
          </cell>
        </row>
        <row r="68">
          <cell r="E68" t="str">
            <v xml:space="preserve">Swirl 355 cc  </v>
          </cell>
        </row>
        <row r="74">
          <cell r="E74" t="str">
            <v xml:space="preserve">Swirl 355 cc  </v>
          </cell>
        </row>
        <row r="75">
          <cell r="E75" t="str">
            <v xml:space="preserve">Swirl 355 cc  </v>
          </cell>
        </row>
        <row r="81">
          <cell r="E81" t="str">
            <v xml:space="preserve">Swirl 355 cc  </v>
          </cell>
        </row>
        <row r="82">
          <cell r="E82" t="str">
            <v xml:space="preserve">Swirl 355 cc  </v>
          </cell>
        </row>
        <row r="88">
          <cell r="E88" t="str">
            <v>Generica 2500 cc</v>
          </cell>
        </row>
        <row r="89">
          <cell r="E89" t="str">
            <v>Generica 2500 cc</v>
          </cell>
        </row>
        <row r="95">
          <cell r="E95" t="str">
            <v>Generica 2500 cc</v>
          </cell>
        </row>
        <row r="96">
          <cell r="E96" t="str">
            <v xml:space="preserve">Swirl 355 cc  </v>
          </cell>
        </row>
        <row r="97">
          <cell r="E97" t="str">
            <v xml:space="preserve">Swirl 355 cc  </v>
          </cell>
        </row>
        <row r="102">
          <cell r="E102" t="str">
            <v xml:space="preserve">Swirl 355 cc  </v>
          </cell>
        </row>
        <row r="103">
          <cell r="E103" t="str">
            <v xml:space="preserve">Swirl 355 cc  </v>
          </cell>
        </row>
        <row r="109">
          <cell r="E109" t="str">
            <v xml:space="preserve">Swirl 355 cc  </v>
          </cell>
        </row>
        <row r="110">
          <cell r="E110" t="str">
            <v xml:space="preserve">Swirl 355 cc  </v>
          </cell>
        </row>
        <row r="116">
          <cell r="E116" t="str">
            <v xml:space="preserve">Swirl 355 cc  </v>
          </cell>
        </row>
        <row r="117">
          <cell r="E117" t="str">
            <v xml:space="preserve">Swirl 355 cc  </v>
          </cell>
        </row>
        <row r="123">
          <cell r="E123" t="str">
            <v xml:space="preserve">Swirl 355 cc  </v>
          </cell>
        </row>
        <row r="124">
          <cell r="E124" t="str">
            <v>Generica 1500 cc</v>
          </cell>
        </row>
        <row r="130">
          <cell r="E130" t="str">
            <v>Generica 1500 cc</v>
          </cell>
        </row>
        <row r="131">
          <cell r="E131" t="str">
            <v>Generica 1500 cc</v>
          </cell>
        </row>
        <row r="137">
          <cell r="E137" t="str">
            <v>Generica 1500 cc</v>
          </cell>
        </row>
        <row r="138">
          <cell r="E138" t="str">
            <v>Generica 1500 cc</v>
          </cell>
        </row>
        <row r="144">
          <cell r="E144" t="str">
            <v>Generica 1500 cc</v>
          </cell>
        </row>
        <row r="145">
          <cell r="E145" t="str">
            <v>Generica 1500 cc</v>
          </cell>
        </row>
        <row r="151">
          <cell r="E151" t="str">
            <v>Generica 1500 cc</v>
          </cell>
        </row>
        <row r="152">
          <cell r="E152" t="str">
            <v>Generica 1500 cc</v>
          </cell>
        </row>
        <row r="158">
          <cell r="E158" t="str">
            <v>Generica 1500 cc</v>
          </cell>
        </row>
        <row r="159">
          <cell r="E159" t="str">
            <v>Generica 625 cc</v>
          </cell>
        </row>
        <row r="165">
          <cell r="E165" t="str">
            <v>Generica 625 cc</v>
          </cell>
        </row>
        <row r="166">
          <cell r="E166" t="str">
            <v>Generica 625 cc</v>
          </cell>
        </row>
        <row r="172">
          <cell r="E172" t="str">
            <v>Generica 625 cc</v>
          </cell>
        </row>
        <row r="173">
          <cell r="E173" t="str">
            <v>Generica 625 cc</v>
          </cell>
        </row>
        <row r="179">
          <cell r="E179" t="str">
            <v>NO PROGRAMADA</v>
          </cell>
        </row>
        <row r="180">
          <cell r="E180" t="str">
            <v>NO PROGRAMADA</v>
          </cell>
        </row>
        <row r="186">
          <cell r="E186" t="str">
            <v>Generica 625 cc</v>
          </cell>
        </row>
        <row r="187">
          <cell r="E187" t="str">
            <v>Generica 625 cc</v>
          </cell>
        </row>
        <row r="193">
          <cell r="E193" t="str">
            <v>Generica 625 cc</v>
          </cell>
        </row>
        <row r="194">
          <cell r="E194" t="str">
            <v>NO PROGRAMADA</v>
          </cell>
        </row>
        <row r="200">
          <cell r="E200" t="str">
            <v>Generica 2000 cc</v>
          </cell>
        </row>
        <row r="201">
          <cell r="E201" t="str">
            <v>Generica 2000 cc</v>
          </cell>
        </row>
        <row r="207">
          <cell r="E207" t="str">
            <v>Generica 1750 cc</v>
          </cell>
        </row>
        <row r="208">
          <cell r="E208" t="str">
            <v>Dasani s/g 450 cc</v>
          </cell>
        </row>
        <row r="209">
          <cell r="E209" t="str">
            <v>Generica 2000 cc</v>
          </cell>
        </row>
        <row r="210">
          <cell r="E210" t="str">
            <v>Generica 2000 cc</v>
          </cell>
        </row>
      </sheetData>
      <sheetData sheetId="22" refreshError="1"/>
      <sheetData sheetId="23" refreshError="1">
        <row r="4">
          <cell r="E4" t="str">
            <v>Generica 60 3000 cc</v>
          </cell>
        </row>
        <row r="5">
          <cell r="E5" t="str">
            <v>Generica 1750 cc</v>
          </cell>
        </row>
        <row r="10">
          <cell r="E10" t="str">
            <v>Generica 1750 cc</v>
          </cell>
        </row>
        <row r="11">
          <cell r="E11" t="str">
            <v>Generica 1750 cc</v>
          </cell>
        </row>
        <row r="17">
          <cell r="E17" t="str">
            <v>Generica 1750 cc</v>
          </cell>
        </row>
        <row r="18">
          <cell r="E18" t="str">
            <v>Generica 1750 cc</v>
          </cell>
        </row>
        <row r="24">
          <cell r="E24" t="str">
            <v>Generica 1750 cc</v>
          </cell>
        </row>
        <row r="25">
          <cell r="E25" t="str">
            <v>Generica 1750 cc</v>
          </cell>
        </row>
        <row r="31">
          <cell r="E31" t="str">
            <v>Generica 1750 cc</v>
          </cell>
        </row>
        <row r="32">
          <cell r="E32" t="str">
            <v>Generica 1750 cc</v>
          </cell>
        </row>
        <row r="38">
          <cell r="E38" t="str">
            <v>Ovit 500 cc</v>
          </cell>
        </row>
        <row r="39">
          <cell r="E39" t="str">
            <v>Ovit 500 cc</v>
          </cell>
        </row>
        <row r="40">
          <cell r="E40" t="str">
            <v>Ovit 500 cc</v>
          </cell>
        </row>
        <row r="45">
          <cell r="E45" t="str">
            <v>Ovit 500 cc</v>
          </cell>
        </row>
        <row r="46">
          <cell r="E46" t="str">
            <v>Ovit 500 cc</v>
          </cell>
        </row>
        <row r="47">
          <cell r="E47" t="str">
            <v>Ovit 500 cc</v>
          </cell>
        </row>
        <row r="52">
          <cell r="E52" t="str">
            <v>Ovit 500 cc</v>
          </cell>
        </row>
        <row r="53">
          <cell r="E53" t="str">
            <v>Ovit 500 cc</v>
          </cell>
        </row>
        <row r="59">
          <cell r="E59" t="str">
            <v>Manten. Preventivo</v>
          </cell>
        </row>
        <row r="60">
          <cell r="E60" t="str">
            <v>Dasani s/g 450 cc</v>
          </cell>
        </row>
        <row r="66">
          <cell r="E66" t="str">
            <v>Dasani s/g 450 cc</v>
          </cell>
        </row>
        <row r="67">
          <cell r="E67" t="str">
            <v>Dasani s/g 450 cc</v>
          </cell>
        </row>
        <row r="73">
          <cell r="E73" t="str">
            <v>Dasani s/g 450 cc</v>
          </cell>
        </row>
        <row r="74">
          <cell r="E74" t="str">
            <v>Dasani s/g 450 cc</v>
          </cell>
        </row>
        <row r="80">
          <cell r="E80" t="str">
            <v>Dasani s/g 450 cc</v>
          </cell>
        </row>
        <row r="81">
          <cell r="E81" t="str">
            <v xml:space="preserve">Swirl 355 cc  </v>
          </cell>
        </row>
        <row r="83">
          <cell r="E83" t="str">
            <v xml:space="preserve">   Ovit 500 cc</v>
          </cell>
        </row>
        <row r="87">
          <cell r="E87" t="str">
            <v xml:space="preserve">Swirl 355 cc  </v>
          </cell>
        </row>
        <row r="88">
          <cell r="E88" t="str">
            <v xml:space="preserve">Swirl 355 cc  </v>
          </cell>
        </row>
        <row r="89">
          <cell r="E89" t="str">
            <v>Dasani s/g 450 cc</v>
          </cell>
        </row>
        <row r="93">
          <cell r="E93" t="str">
            <v xml:space="preserve">Swirl 355 cc  </v>
          </cell>
        </row>
        <row r="94">
          <cell r="E94" t="str">
            <v xml:space="preserve">Swirl 355 cc  </v>
          </cell>
        </row>
        <row r="95">
          <cell r="E95" t="str">
            <v xml:space="preserve">Swirl 355 cc  </v>
          </cell>
        </row>
        <row r="100">
          <cell r="E100" t="str">
            <v xml:space="preserve">Swirl 355 cc  </v>
          </cell>
        </row>
        <row r="101">
          <cell r="E101" t="str">
            <v xml:space="preserve">Swirl 355 cc  </v>
          </cell>
        </row>
        <row r="107">
          <cell r="E107" t="str">
            <v xml:space="preserve">Swirl 355 cc  </v>
          </cell>
        </row>
        <row r="108">
          <cell r="E108" t="str">
            <v xml:space="preserve">Swirl 355 cc  </v>
          </cell>
        </row>
        <row r="114">
          <cell r="E114" t="str">
            <v>Dasani s/g 450 cc</v>
          </cell>
        </row>
        <row r="115">
          <cell r="E115" t="str">
            <v>Generica 1750 cc</v>
          </cell>
        </row>
        <row r="116">
          <cell r="E116" t="str">
            <v>Generica 1750 cc</v>
          </cell>
        </row>
        <row r="121">
          <cell r="E121" t="str">
            <v>Generica 1750 cc</v>
          </cell>
        </row>
        <row r="122">
          <cell r="E122" t="str">
            <v>Generica 1750 cc</v>
          </cell>
        </row>
        <row r="128">
          <cell r="E128" t="str">
            <v>Generica 1750 cc</v>
          </cell>
        </row>
        <row r="129">
          <cell r="E129" t="str">
            <v>Generica 1750 cc</v>
          </cell>
        </row>
        <row r="135">
          <cell r="E135" t="str">
            <v xml:space="preserve">NO PROGRAMADA </v>
          </cell>
        </row>
        <row r="136">
          <cell r="E136" t="str">
            <v xml:space="preserve">NO PROGRAMADA </v>
          </cell>
        </row>
        <row r="142">
          <cell r="E142" t="str">
            <v>Fontana s/g 625 cc</v>
          </cell>
        </row>
        <row r="143">
          <cell r="E143" t="str">
            <v>Fontana s/g 625 cc</v>
          </cell>
        </row>
        <row r="149">
          <cell r="E149" t="str">
            <v>Fontana s/g 625 cc</v>
          </cell>
        </row>
        <row r="150">
          <cell r="E150" t="str">
            <v>Fontana s/g 625 cc</v>
          </cell>
        </row>
        <row r="156">
          <cell r="E156" t="str">
            <v>Fontana s/g 625 cc</v>
          </cell>
        </row>
        <row r="157">
          <cell r="E157" t="str">
            <v>Fontana s/g 625 cc</v>
          </cell>
        </row>
        <row r="163">
          <cell r="E163" t="str">
            <v>Fontana s/g 625 cc</v>
          </cell>
        </row>
        <row r="164">
          <cell r="E164" t="str">
            <v>Fontana s/g 625 cc</v>
          </cell>
        </row>
        <row r="170">
          <cell r="E170" t="str">
            <v>Fontana s/g 625 cc</v>
          </cell>
        </row>
        <row r="171">
          <cell r="E171" t="str">
            <v>Swirl 600 cc</v>
          </cell>
        </row>
        <row r="172">
          <cell r="E172" t="str">
            <v>Swirl 600 cc</v>
          </cell>
        </row>
        <row r="177">
          <cell r="E177" t="str">
            <v xml:space="preserve">NO PROGRAMADA </v>
          </cell>
        </row>
        <row r="178">
          <cell r="E178" t="str">
            <v xml:space="preserve">NO PROGRAMADA </v>
          </cell>
        </row>
        <row r="179">
          <cell r="E179" t="str">
            <v>Fontana s/g 625 cc</v>
          </cell>
        </row>
        <row r="184">
          <cell r="E184" t="str">
            <v>Swirl 600 cc</v>
          </cell>
        </row>
        <row r="185">
          <cell r="E185" t="str">
            <v>Swirl 600 cc</v>
          </cell>
        </row>
      </sheetData>
      <sheetData sheetId="24" refreshError="1"/>
      <sheetData sheetId="25" refreshError="1">
        <row r="4">
          <cell r="E4" t="str">
            <v>Generica 1350 cc CR</v>
          </cell>
        </row>
        <row r="5">
          <cell r="E5" t="str">
            <v>Generica 1350 cc CR</v>
          </cell>
        </row>
        <row r="6">
          <cell r="E6" t="str">
            <v>Generica 1350 cc CR</v>
          </cell>
        </row>
        <row r="7">
          <cell r="E7" t="str">
            <v>Generica 1350 cc CR</v>
          </cell>
        </row>
        <row r="8">
          <cell r="E8" t="str">
            <v>Generica 1350 cc CR</v>
          </cell>
        </row>
        <row r="9">
          <cell r="E9" t="str">
            <v>Generica 1350 cc CR</v>
          </cell>
        </row>
        <row r="10">
          <cell r="E10" t="str">
            <v>Generica 1350 cc CR</v>
          </cell>
        </row>
        <row r="12">
          <cell r="E12" t="str">
            <v>Generica 1350 cc CR</v>
          </cell>
        </row>
        <row r="13">
          <cell r="E13" t="str">
            <v>Generica 1350 cc CR</v>
          </cell>
        </row>
        <row r="19">
          <cell r="E19" t="str">
            <v>Generica 1350 cc CR</v>
          </cell>
        </row>
        <row r="20">
          <cell r="E20" t="str">
            <v>Generica 1350 cc CR</v>
          </cell>
        </row>
        <row r="21">
          <cell r="E21" t="str">
            <v>Generica 1350 cc CR</v>
          </cell>
        </row>
        <row r="26">
          <cell r="E26" t="str">
            <v>Generica 1350 cc CR</v>
          </cell>
        </row>
        <row r="27">
          <cell r="E27" t="str">
            <v>Generica 1350 cc CR</v>
          </cell>
        </row>
        <row r="28">
          <cell r="E28" t="str">
            <v>Generica 1350 cc CR</v>
          </cell>
        </row>
        <row r="33">
          <cell r="E33" t="str">
            <v>Generica 1350 cc CR</v>
          </cell>
        </row>
        <row r="34">
          <cell r="E34" t="str">
            <v>Generica 1350 cc CR</v>
          </cell>
        </row>
        <row r="35">
          <cell r="E35" t="str">
            <v>Generica 1350 cc CR</v>
          </cell>
        </row>
        <row r="40">
          <cell r="E40" t="str">
            <v>Generica 1350 cc CR</v>
          </cell>
        </row>
        <row r="41">
          <cell r="E41" t="str">
            <v>Generica 1350 cc CR</v>
          </cell>
        </row>
        <row r="42">
          <cell r="E42" t="str">
            <v>Generica 1350 cc CR</v>
          </cell>
        </row>
        <row r="43">
          <cell r="E43" t="str">
            <v>Generica 1350 cc CR</v>
          </cell>
        </row>
        <row r="44">
          <cell r="E44" t="str">
            <v>Generica 1350 cc CR</v>
          </cell>
        </row>
        <row r="47">
          <cell r="E47" t="str">
            <v>Generica 1350 cc CR</v>
          </cell>
        </row>
        <row r="48">
          <cell r="E48" t="str">
            <v>Generica 1350 cc CR</v>
          </cell>
        </row>
        <row r="49">
          <cell r="E49" t="str">
            <v>Generica 1350 cc CR</v>
          </cell>
        </row>
        <row r="50">
          <cell r="E50" t="str">
            <v>Generica 1350 cc CR</v>
          </cell>
        </row>
        <row r="51">
          <cell r="E51" t="str">
            <v>Generica 1350 cc CR</v>
          </cell>
        </row>
        <row r="52">
          <cell r="E52" t="str">
            <v>Generica 1350 cc CR</v>
          </cell>
        </row>
        <row r="53">
          <cell r="E53" t="str">
            <v>Generica 1350 cc CR</v>
          </cell>
        </row>
        <row r="55">
          <cell r="E55" t="str">
            <v>Generica 1350 cc CR</v>
          </cell>
        </row>
        <row r="56">
          <cell r="E56" t="str">
            <v>Generica 1350 cc CR</v>
          </cell>
        </row>
        <row r="57">
          <cell r="E57" t="str">
            <v>Generica 1350 cc CR</v>
          </cell>
        </row>
        <row r="62">
          <cell r="E62" t="str">
            <v>Generica 1350 cc CR</v>
          </cell>
        </row>
        <row r="63">
          <cell r="E63" t="str">
            <v>Generica 1350 cc CR</v>
          </cell>
        </row>
        <row r="64">
          <cell r="E64" t="str">
            <v>Generica 1350 cc VE</v>
          </cell>
        </row>
        <row r="65">
          <cell r="E65" t="str">
            <v>Generica 1350 cc VE</v>
          </cell>
        </row>
        <row r="66">
          <cell r="E66" t="str">
            <v>Generica 1350 cc VE</v>
          </cell>
        </row>
        <row r="67">
          <cell r="E67" t="str">
            <v>Generica 1350 cc CR</v>
          </cell>
        </row>
        <row r="69">
          <cell r="E69" t="str">
            <v>Generica 1350 cc CR</v>
          </cell>
        </row>
        <row r="70">
          <cell r="E70" t="str">
            <v>Generica 1350 cc CR</v>
          </cell>
        </row>
        <row r="71">
          <cell r="E71" t="str">
            <v>Generica 1350 cc CR</v>
          </cell>
        </row>
        <row r="76">
          <cell r="E76" t="str">
            <v>Generica 1350 cc CR</v>
          </cell>
        </row>
        <row r="77">
          <cell r="E77" t="str">
            <v>Generica 1350 cc CR</v>
          </cell>
        </row>
        <row r="78">
          <cell r="E78" t="str">
            <v>Generica 1350 cc CR</v>
          </cell>
        </row>
        <row r="79">
          <cell r="E79" t="str">
            <v>Generica 1350 cc CR</v>
          </cell>
        </row>
        <row r="80">
          <cell r="E80" t="str">
            <v>Generica 1350 cc VE</v>
          </cell>
        </row>
        <row r="83">
          <cell r="E83" t="str">
            <v>Generica 1350 cc VE</v>
          </cell>
        </row>
        <row r="84">
          <cell r="E84" t="str">
            <v>Generica 1350 cc CR</v>
          </cell>
        </row>
        <row r="85">
          <cell r="E85" t="str">
            <v>Generica 1350 cc CR</v>
          </cell>
        </row>
        <row r="86">
          <cell r="E86" t="str">
            <v>Generica 1350 cc VE</v>
          </cell>
        </row>
        <row r="87">
          <cell r="E87" t="str">
            <v>Generica 1350 cc CR</v>
          </cell>
        </row>
        <row r="88">
          <cell r="E88" t="str">
            <v>Generica 1350 cc CR</v>
          </cell>
        </row>
        <row r="90">
          <cell r="E90" t="str">
            <v>Generica 1350 cc CR</v>
          </cell>
        </row>
        <row r="91">
          <cell r="E91" t="str">
            <v>Generica 1350 cc CR</v>
          </cell>
        </row>
        <row r="92">
          <cell r="E92" t="str">
            <v>Generica 1350 cc CR</v>
          </cell>
        </row>
        <row r="93">
          <cell r="E93" t="str">
            <v>Generica 1350 cc CR</v>
          </cell>
        </row>
        <row r="97">
          <cell r="E97" t="str">
            <v>Generica 1350 cc CR</v>
          </cell>
        </row>
        <row r="99">
          <cell r="E99" t="str">
            <v>Generica 1350 cc CR</v>
          </cell>
        </row>
        <row r="100">
          <cell r="E100" t="str">
            <v>Generica 1350 cc CR</v>
          </cell>
        </row>
        <row r="101">
          <cell r="E101" t="str">
            <v>Generica 1350 cc CR</v>
          </cell>
        </row>
        <row r="104">
          <cell r="E104" t="str">
            <v>Generica 1350 cc CR</v>
          </cell>
        </row>
        <row r="105">
          <cell r="E105" t="str">
            <v>Generica 1350 cc CR</v>
          </cell>
        </row>
        <row r="106">
          <cell r="E106" t="str">
            <v>Generica 1350 cc CR</v>
          </cell>
        </row>
        <row r="107">
          <cell r="E107" t="str">
            <v>Generica 1350 cc CR</v>
          </cell>
        </row>
        <row r="111">
          <cell r="E111" t="str">
            <v>Generica 1350 cc CR</v>
          </cell>
        </row>
        <row r="112">
          <cell r="E112" t="str">
            <v>Generica 1350 cc VF</v>
          </cell>
        </row>
        <row r="113">
          <cell r="E113" t="str">
            <v>Generica 1350 cc VE</v>
          </cell>
        </row>
        <row r="114">
          <cell r="E114" t="str">
            <v>Generica 1350 cc VE</v>
          </cell>
        </row>
        <row r="115">
          <cell r="E115" t="str">
            <v>Generica 1350 cc CR</v>
          </cell>
        </row>
        <row r="118">
          <cell r="E118" t="str">
            <v>Generica 1350 cc CR</v>
          </cell>
        </row>
        <row r="119">
          <cell r="E119" t="str">
            <v>Generica 1350 cc CR</v>
          </cell>
        </row>
        <row r="120">
          <cell r="E120" t="str">
            <v>Generica 1350 cc CR</v>
          </cell>
        </row>
        <row r="121">
          <cell r="E121" t="str">
            <v>Generica 1350 cc CR</v>
          </cell>
        </row>
        <row r="125">
          <cell r="E125" t="str">
            <v>Generica 1350 cc CR</v>
          </cell>
        </row>
        <row r="126">
          <cell r="E126" t="str">
            <v>Generica 1350 cc CR</v>
          </cell>
        </row>
        <row r="127">
          <cell r="E127" t="str">
            <v>Generica 1350 cc CR</v>
          </cell>
        </row>
        <row r="132">
          <cell r="E132" t="str">
            <v>Generica 1350 cc CR</v>
          </cell>
        </row>
        <row r="133">
          <cell r="E133" t="str">
            <v>Generica 1350 cc CR</v>
          </cell>
        </row>
        <row r="134">
          <cell r="E134" t="str">
            <v>Generica 1350 cc CR</v>
          </cell>
        </row>
        <row r="135">
          <cell r="E135" t="str">
            <v>Generica 1350 cc CR</v>
          </cell>
        </row>
        <row r="136">
          <cell r="E136" t="str">
            <v>Generica 1350 cc CR</v>
          </cell>
        </row>
        <row r="139">
          <cell r="E139" t="str">
            <v>Generica 1350 cc CR</v>
          </cell>
        </row>
        <row r="140">
          <cell r="E140" t="str">
            <v>Generica 1350 cc CR</v>
          </cell>
        </row>
        <row r="141">
          <cell r="E141" t="str">
            <v>Generica 1350 cc CR</v>
          </cell>
        </row>
        <row r="142">
          <cell r="E142" t="str">
            <v>Generica 1350 cc CR</v>
          </cell>
        </row>
        <row r="143">
          <cell r="E143" t="str">
            <v>Generica 1350 cc CR</v>
          </cell>
        </row>
        <row r="146">
          <cell r="E146" t="str">
            <v>Generica 1350 cc CR</v>
          </cell>
        </row>
        <row r="147">
          <cell r="E147" t="str">
            <v>Generica 1350 cc CR</v>
          </cell>
        </row>
        <row r="148">
          <cell r="E148" t="str">
            <v>Generica 1350 cc CR</v>
          </cell>
        </row>
        <row r="149">
          <cell r="E149" t="str">
            <v>Generica 1350 cc CR</v>
          </cell>
        </row>
        <row r="153">
          <cell r="E153" t="str">
            <v>Generica 1350 cc CR</v>
          </cell>
        </row>
        <row r="154">
          <cell r="E154" t="str">
            <v>Generica 1350 cc CR</v>
          </cell>
        </row>
        <row r="155">
          <cell r="E155" t="str">
            <v>Generica 1350 cc VE</v>
          </cell>
        </row>
        <row r="160">
          <cell r="E160" t="str">
            <v>Generica 1350 cc VE</v>
          </cell>
        </row>
        <row r="161">
          <cell r="E161" t="str">
            <v>Generica 1350 cc VE</v>
          </cell>
        </row>
        <row r="162">
          <cell r="E162" t="str">
            <v>Generica 1350 cc CR</v>
          </cell>
        </row>
        <row r="167">
          <cell r="E167" t="str">
            <v>Generica 1350 cc VE</v>
          </cell>
        </row>
        <row r="168">
          <cell r="E168" t="str">
            <v>Generica 1350 cc CR</v>
          </cell>
        </row>
        <row r="169">
          <cell r="E169" t="str">
            <v>Generica 1350 cc CR</v>
          </cell>
        </row>
        <row r="174">
          <cell r="E174" t="str">
            <v>Generica 1350 cc CR</v>
          </cell>
        </row>
        <row r="175">
          <cell r="E175" t="str">
            <v>Generica 1350 cc CR</v>
          </cell>
        </row>
        <row r="181">
          <cell r="E181" t="str">
            <v>NO PROGRAMADA</v>
          </cell>
        </row>
        <row r="182">
          <cell r="E182" t="str">
            <v>NO PROGRAMADA</v>
          </cell>
        </row>
        <row r="183">
          <cell r="E183" t="str">
            <v>Generica 1350 cc VE</v>
          </cell>
        </row>
        <row r="188">
          <cell r="E188" t="str">
            <v>Generica 1350 cc CR</v>
          </cell>
        </row>
        <row r="189">
          <cell r="E189" t="str">
            <v>Generica 1350 cc VE</v>
          </cell>
        </row>
        <row r="190">
          <cell r="E190" t="str">
            <v>Generica 1350 cc CR</v>
          </cell>
        </row>
        <row r="195">
          <cell r="E195" t="str">
            <v>Generica 1350 cc CR</v>
          </cell>
        </row>
        <row r="196">
          <cell r="E196" t="str">
            <v>Generica 1350 cc CR</v>
          </cell>
        </row>
        <row r="197">
          <cell r="E197" t="str">
            <v>Generica 1350 cc CR</v>
          </cell>
        </row>
        <row r="202">
          <cell r="E202" t="str">
            <v>Generica 1350 cc CR</v>
          </cell>
        </row>
        <row r="203">
          <cell r="E203" t="str">
            <v>Generica 1350 cc VE</v>
          </cell>
        </row>
        <row r="204">
          <cell r="E204" t="str">
            <v>Generica 1350 cc CR</v>
          </cell>
        </row>
        <row r="205">
          <cell r="E205" t="str">
            <v>Generica 1350 cc VE</v>
          </cell>
        </row>
        <row r="206">
          <cell r="E206" t="str">
            <v>Generica 1350 cc CR</v>
          </cell>
        </row>
        <row r="207">
          <cell r="E207" t="str">
            <v>Generica 1350 cc CR</v>
          </cell>
        </row>
        <row r="209">
          <cell r="E209" t="str">
            <v>Generica 1350 cc CR</v>
          </cell>
        </row>
        <row r="210">
          <cell r="E210" t="str">
            <v>Generica 1350 cc CR</v>
          </cell>
        </row>
        <row r="211">
          <cell r="E211" t="str">
            <v>Generica 1350 cc CR</v>
          </cell>
        </row>
        <row r="212">
          <cell r="E212" t="str">
            <v>Generica 1350 cc CR</v>
          </cell>
        </row>
        <row r="213">
          <cell r="E213" t="str">
            <v>Generica 1350 cc CR</v>
          </cell>
        </row>
      </sheetData>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ld Halves"/>
      <sheetName val="Hot Runners"/>
      <sheetName val="Hoja1"/>
      <sheetName val="CTP Analysis"/>
      <sheetName val="Cold_Halves"/>
      <sheetName val="Hot_Runners"/>
      <sheetName val="CTP_Analysis"/>
    </sheetNames>
    <sheetDataSet>
      <sheetData sheetId="0"/>
      <sheetData sheetId="1"/>
      <sheetData sheetId="2" refreshError="1">
        <row r="2">
          <cell r="B2" t="str">
            <v xml:space="preserve">Argentina </v>
          </cell>
          <cell r="D2" t="str">
            <v>Itagüí</v>
          </cell>
          <cell r="F2" t="str">
            <v>CSD</v>
          </cell>
          <cell r="H2" t="str">
            <v xml:space="preserve">Operativo </v>
          </cell>
          <cell r="L2">
            <v>1990</v>
          </cell>
        </row>
        <row r="3">
          <cell r="B3" t="str">
            <v>Brasil</v>
          </cell>
          <cell r="D3" t="str">
            <v>Los Olivos</v>
          </cell>
          <cell r="F3" t="str">
            <v>DRS</v>
          </cell>
          <cell r="H3" t="str">
            <v>Idle</v>
          </cell>
          <cell r="L3">
            <v>1991</v>
          </cell>
        </row>
        <row r="4">
          <cell r="B4" t="str">
            <v xml:space="preserve">Colombia </v>
          </cell>
          <cell r="D4" t="str">
            <v>Manaus</v>
          </cell>
          <cell r="F4" t="str">
            <v>HS</v>
          </cell>
          <cell r="H4" t="str">
            <v>Leasing</v>
          </cell>
          <cell r="L4">
            <v>1992</v>
          </cell>
        </row>
        <row r="5">
          <cell r="B5" t="str">
            <v xml:space="preserve">Ecuador </v>
          </cell>
          <cell r="D5" t="str">
            <v>Pascuales</v>
          </cell>
          <cell r="F5" t="str">
            <v>LIQ</v>
          </cell>
          <cell r="L5">
            <v>1993</v>
          </cell>
        </row>
        <row r="6">
          <cell r="B6" t="str">
            <v>Perú</v>
          </cell>
          <cell r="D6" t="str">
            <v>Pilar</v>
          </cell>
          <cell r="F6" t="str">
            <v>OIL</v>
          </cell>
          <cell r="L6">
            <v>1994</v>
          </cell>
        </row>
        <row r="7">
          <cell r="B7" t="str">
            <v>Venezuela</v>
          </cell>
          <cell r="D7" t="str">
            <v>Poços de Caldas</v>
          </cell>
          <cell r="F7" t="str">
            <v>WTR</v>
          </cell>
          <cell r="L7">
            <v>1995</v>
          </cell>
        </row>
        <row r="8">
          <cell r="D8" t="str">
            <v>T - Jundiaí Femsa</v>
          </cell>
          <cell r="L8">
            <v>1996</v>
          </cell>
        </row>
        <row r="9">
          <cell r="D9" t="str">
            <v>T - Queimados</v>
          </cell>
          <cell r="L9">
            <v>1997</v>
          </cell>
        </row>
        <row r="10">
          <cell r="D10" t="str">
            <v>Ushuaia</v>
          </cell>
          <cell r="L10">
            <v>1998</v>
          </cell>
        </row>
        <row r="11">
          <cell r="D11" t="str">
            <v>Valencia</v>
          </cell>
          <cell r="L11">
            <v>1999</v>
          </cell>
        </row>
        <row r="12">
          <cell r="L12">
            <v>2000</v>
          </cell>
        </row>
        <row r="13">
          <cell r="L13">
            <v>2001</v>
          </cell>
        </row>
        <row r="14">
          <cell r="L14">
            <v>2002</v>
          </cell>
        </row>
        <row r="15">
          <cell r="L15">
            <v>2003</v>
          </cell>
        </row>
        <row r="16">
          <cell r="L16">
            <v>2004</v>
          </cell>
        </row>
        <row r="17">
          <cell r="L17">
            <v>2005</v>
          </cell>
        </row>
        <row r="18">
          <cell r="L18">
            <v>2006</v>
          </cell>
        </row>
        <row r="19">
          <cell r="L19">
            <v>2007</v>
          </cell>
        </row>
        <row r="20">
          <cell r="L20">
            <v>2008</v>
          </cell>
        </row>
        <row r="21">
          <cell r="L21">
            <v>2009</v>
          </cell>
        </row>
        <row r="22">
          <cell r="L22">
            <v>2010</v>
          </cell>
        </row>
        <row r="23">
          <cell r="L23">
            <v>2011</v>
          </cell>
        </row>
        <row r="24">
          <cell r="L24">
            <v>2012</v>
          </cell>
        </row>
        <row r="25">
          <cell r="L25">
            <v>2013</v>
          </cell>
        </row>
        <row r="26">
          <cell r="L26">
            <v>2014</v>
          </cell>
        </row>
        <row r="27">
          <cell r="L27">
            <v>2015</v>
          </cell>
        </row>
        <row r="28">
          <cell r="L28">
            <v>2016</v>
          </cell>
        </row>
        <row r="29">
          <cell r="L29">
            <v>2017</v>
          </cell>
        </row>
        <row r="30">
          <cell r="L30">
            <v>2018</v>
          </cell>
        </row>
        <row r="31">
          <cell r="L31">
            <v>2019</v>
          </cell>
        </row>
        <row r="32">
          <cell r="L32">
            <v>2020</v>
          </cell>
        </row>
        <row r="33">
          <cell r="L33">
            <v>2021</v>
          </cell>
        </row>
        <row r="34">
          <cell r="L34">
            <v>2022</v>
          </cell>
        </row>
        <row r="35">
          <cell r="L35">
            <v>2023</v>
          </cell>
        </row>
        <row r="36">
          <cell r="L36">
            <v>2024</v>
          </cell>
        </row>
        <row r="37">
          <cell r="L37">
            <v>2025</v>
          </cell>
        </row>
        <row r="38">
          <cell r="L38">
            <v>2026</v>
          </cell>
        </row>
        <row r="39">
          <cell r="L39">
            <v>2027</v>
          </cell>
        </row>
        <row r="40">
          <cell r="L40">
            <v>2028</v>
          </cell>
        </row>
        <row r="41">
          <cell r="L41">
            <v>2029</v>
          </cell>
        </row>
        <row r="42">
          <cell r="L42">
            <v>2030</v>
          </cell>
        </row>
      </sheetData>
      <sheetData sheetId="3" refreshError="1"/>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min"/>
      <sheetName val="BSP Instr"/>
      <sheetName val="P&amp;L"/>
      <sheetName val="BS"/>
      <sheetName val="SI"/>
      <sheetName val="TAX"/>
      <sheetName val="CAPEX"/>
      <sheetName val="CAPEX Instr"/>
      <sheetName val="PLI"/>
      <sheetName val="CUST"/>
      <sheetName val="PROFIT SUMMARY"/>
      <sheetName val="P.P.P."/>
      <sheetName val="PROFIT BRIDGE"/>
      <sheetName val="B+3+OVERLAYS"/>
      <sheetName val="Cost Analysis - Corp Ent Only"/>
      <sheetName val="REF"/>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ry"/>
      <sheetName val="Consol Report"/>
      <sheetName val="BG Report"/>
      <sheetName val="Data sheet"/>
      <sheetName val="Data Validation"/>
      <sheetName val="Instructions User"/>
      <sheetName val="Instructions"/>
      <sheetName val="HQ Control"/>
      <sheetName val="Control"/>
      <sheetName val="Consol_Report"/>
      <sheetName val="BG_Report"/>
      <sheetName val="Data_sheet"/>
      <sheetName val="Data_Validation"/>
      <sheetName val="Instructions_User"/>
      <sheetName val="HQ_Control"/>
      <sheetName val="Peru Real"/>
      <sheetName val="Paramet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5">
          <cell r="D25" t="str">
            <v>A</v>
          </cell>
        </row>
        <row r="26">
          <cell r="D26" t="str">
            <v>U</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 98"/>
      <sheetName val="CONSOL 99"/>
      <sheetName val="COMP CONSOL"/>
      <sheetName val="ICA 98"/>
      <sheetName val="ICA 99"/>
      <sheetName val="COMP ICA"/>
      <sheetName val="AQP 98"/>
      <sheetName val="AQP 99"/>
      <sheetName val="COMP AQP"/>
      <sheetName val="TAC 98"/>
      <sheetName val="TAC 99"/>
      <sheetName val="COMP TAC"/>
      <sheetName val="CUS 98"/>
      <sheetName val="CUS 99"/>
      <sheetName val="COMP CUS"/>
      <sheetName val="JUL 98"/>
      <sheetName val="JUL 99"/>
      <sheetName val="COMP JUL"/>
      <sheetName val="Verificacion"/>
      <sheetName val="CONSOL 97 "/>
      <sheetName val="CUS 97"/>
      <sheetName val="ICA 97 "/>
      <sheetName val="JUL 97"/>
      <sheetName val="AQP 97"/>
      <sheetName val="TAC 97"/>
      <sheetName val="CONSOL_98"/>
      <sheetName val="CONSOL_99"/>
      <sheetName val="COMP_CONSOL"/>
      <sheetName val="ICA_98"/>
      <sheetName val="ICA_99"/>
      <sheetName val="COMP_ICA"/>
      <sheetName val="AQP_98"/>
      <sheetName val="AQP_99"/>
      <sheetName val="COMP_AQP"/>
      <sheetName val="TAC_98"/>
      <sheetName val="TAC_99"/>
      <sheetName val="COMP_TAC"/>
      <sheetName val="CUS_98"/>
      <sheetName val="CUS_99"/>
      <sheetName val="COMP_CUS"/>
      <sheetName val="JUL_98"/>
      <sheetName val="JUL_99"/>
      <sheetName val="COMP_JUL"/>
      <sheetName val="CONSOL_97_"/>
      <sheetName val="CUS_97"/>
      <sheetName val="ICA_97_"/>
      <sheetName val="JUL_97"/>
      <sheetName val="AQP_97"/>
      <sheetName val="TAC_97"/>
      <sheetName val="VALIDACION DATOS"/>
      <sheetName val="CONSOL_981"/>
      <sheetName val="CONSOL_991"/>
      <sheetName val="COMP_CONSOL1"/>
      <sheetName val="ICA_981"/>
      <sheetName val="ICA_991"/>
      <sheetName val="COMP_ICA1"/>
      <sheetName val="AQP_981"/>
      <sheetName val="AQP_991"/>
      <sheetName val="COMP_AQP1"/>
      <sheetName val="TAC_981"/>
      <sheetName val="TAC_991"/>
      <sheetName val="COMP_TAC1"/>
      <sheetName val="CUS_981"/>
      <sheetName val="CUS_991"/>
      <sheetName val="COMP_CUS1"/>
      <sheetName val="JUL_981"/>
      <sheetName val="JUL_991"/>
      <sheetName val="COMP_JUL1"/>
      <sheetName val="CONSOL_97_1"/>
      <sheetName val="CUS_971"/>
      <sheetName val="ICA_97_1"/>
      <sheetName val="JUL_971"/>
      <sheetName val="AQP_971"/>
      <sheetName val="TAC_971"/>
      <sheetName val="VALIDACION_DATOS"/>
      <sheetName val="CONSOL_982"/>
      <sheetName val="CONSOL_992"/>
      <sheetName val="COMP_CONSOL2"/>
      <sheetName val="ICA_982"/>
      <sheetName val="ICA_992"/>
      <sheetName val="COMP_ICA2"/>
      <sheetName val="AQP_982"/>
      <sheetName val="AQP_992"/>
      <sheetName val="COMP_AQP2"/>
      <sheetName val="TAC_982"/>
      <sheetName val="TAC_992"/>
      <sheetName val="COMP_TAC2"/>
      <sheetName val="CUS_982"/>
      <sheetName val="CUS_992"/>
      <sheetName val="COMP_CUS2"/>
      <sheetName val="JUL_982"/>
      <sheetName val="JUL_992"/>
      <sheetName val="COMP_JUL2"/>
      <sheetName val="CONSOL_97_2"/>
      <sheetName val="CUS_972"/>
      <sheetName val="ICA_97_2"/>
      <sheetName val="JUL_972"/>
      <sheetName val="AQP_972"/>
      <sheetName val="TAC_972"/>
      <sheetName val="VALIDACION_DATOS1"/>
      <sheetName val="CONSOL_983"/>
      <sheetName val="CONSOL_993"/>
      <sheetName val="COMP_CONSOL3"/>
      <sheetName val="ICA_983"/>
      <sheetName val="ICA_993"/>
      <sheetName val="COMP_ICA3"/>
      <sheetName val="AQP_983"/>
      <sheetName val="AQP_993"/>
      <sheetName val="COMP_AQP3"/>
      <sheetName val="TAC_983"/>
      <sheetName val="TAC_993"/>
      <sheetName val="COMP_TAC3"/>
      <sheetName val="CUS_983"/>
      <sheetName val="CUS_993"/>
      <sheetName val="COMP_CUS3"/>
      <sheetName val="JUL_983"/>
      <sheetName val="JUL_993"/>
      <sheetName val="COMP_JUL3"/>
      <sheetName val="CONSOL_97_3"/>
      <sheetName val="CUS_973"/>
      <sheetName val="ICA_97_3"/>
      <sheetName val="JUL_973"/>
      <sheetName val="AQP_973"/>
      <sheetName val="TAC_973"/>
      <sheetName val="VALIDACION_DATOS2"/>
      <sheetName val="CONSOL_984"/>
      <sheetName val="CONSOL_994"/>
      <sheetName val="COMP_CONSOL4"/>
      <sheetName val="ICA_984"/>
      <sheetName val="ICA_994"/>
      <sheetName val="COMP_ICA4"/>
      <sheetName val="AQP_984"/>
      <sheetName val="AQP_994"/>
      <sheetName val="COMP_AQP4"/>
      <sheetName val="TAC_984"/>
      <sheetName val="TAC_994"/>
      <sheetName val="COMP_TAC4"/>
      <sheetName val="CUS_984"/>
      <sheetName val="CUS_994"/>
      <sheetName val="COMP_CUS4"/>
      <sheetName val="JUL_984"/>
      <sheetName val="JUL_994"/>
      <sheetName val="COMP_JUL4"/>
      <sheetName val="CONSOL_97_4"/>
      <sheetName val="CUS_974"/>
      <sheetName val="ICA_97_4"/>
      <sheetName val="JUL_974"/>
      <sheetName val="AQP_974"/>
      <sheetName val="TAC_974"/>
      <sheetName val="VALIDACION_DATOS3"/>
      <sheetName val="CONSOL_985"/>
      <sheetName val="CONSOL_995"/>
      <sheetName val="COMP_CONSOL5"/>
      <sheetName val="ICA_985"/>
      <sheetName val="ICA_995"/>
      <sheetName val="COMP_ICA5"/>
      <sheetName val="AQP_985"/>
      <sheetName val="AQP_995"/>
      <sheetName val="COMP_AQP5"/>
      <sheetName val="TAC_985"/>
      <sheetName val="TAC_995"/>
      <sheetName val="COMP_TAC5"/>
      <sheetName val="CUS_985"/>
      <sheetName val="CUS_995"/>
      <sheetName val="COMP_CUS5"/>
      <sheetName val="JUL_985"/>
      <sheetName val="JUL_995"/>
      <sheetName val="COMP_JUL5"/>
      <sheetName val="CONSOL_97_5"/>
      <sheetName val="CUS_975"/>
      <sheetName val="ICA_97_5"/>
      <sheetName val="JUL_975"/>
      <sheetName val="AQP_975"/>
      <sheetName val="TAC_975"/>
      <sheetName val="VALIDACION_DATOS4"/>
      <sheetName val="CONSOL_986"/>
      <sheetName val="CONSOL_996"/>
      <sheetName val="COMP_CONSOL6"/>
      <sheetName val="ICA_986"/>
      <sheetName val="ICA_996"/>
      <sheetName val="COMP_ICA6"/>
      <sheetName val="AQP_986"/>
      <sheetName val="AQP_996"/>
      <sheetName val="COMP_AQP6"/>
      <sheetName val="TAC_986"/>
      <sheetName val="TAC_996"/>
      <sheetName val="COMP_TAC6"/>
      <sheetName val="CUS_986"/>
      <sheetName val="CUS_996"/>
      <sheetName val="COMP_CUS6"/>
      <sheetName val="JUL_986"/>
      <sheetName val="JUL_996"/>
      <sheetName val="COMP_JUL6"/>
      <sheetName val="CONSOL_97_6"/>
      <sheetName val="CUS_976"/>
      <sheetName val="ICA_97_6"/>
      <sheetName val="JUL_976"/>
      <sheetName val="AQP_976"/>
      <sheetName val="TAC_976"/>
      <sheetName val="VALIDACION_DATO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C 2012-2013"/>
      <sheetName val="Listado Febrero 2012"/>
      <sheetName val="Sheet3"/>
    </sheetNames>
    <sheetDataSet>
      <sheetData sheetId="0" refreshError="1"/>
      <sheetData sheetId="1" refreshError="1"/>
      <sheetData sheetId="2" refreshError="1">
        <row r="4">
          <cell r="C4" t="str">
            <v>Operaciones</v>
          </cell>
          <cell r="D4" t="str">
            <v>Mano de Obra Directa</v>
          </cell>
          <cell r="F4" t="str">
            <v>Inyección</v>
          </cell>
          <cell r="G4" t="str">
            <v>Operadores De Máquina</v>
          </cell>
        </row>
        <row r="5">
          <cell r="C5" t="str">
            <v>Supply Chain</v>
          </cell>
          <cell r="D5" t="str">
            <v>Mano de Obra Indirecta</v>
          </cell>
          <cell r="F5" t="str">
            <v>Soplado</v>
          </cell>
          <cell r="G5" t="str">
            <v>Líderes De Equipo</v>
          </cell>
        </row>
        <row r="6">
          <cell r="C6" t="str">
            <v>Comercial</v>
          </cell>
          <cell r="D6" t="str">
            <v>SG&amp;A</v>
          </cell>
          <cell r="F6" t="str">
            <v>Inyecto-Soplado</v>
          </cell>
          <cell r="G6" t="str">
            <v>Manejo De Materiales</v>
          </cell>
        </row>
        <row r="7">
          <cell r="C7" t="str">
            <v>RRHH</v>
          </cell>
          <cell r="F7" t="str">
            <v>General</v>
          </cell>
          <cell r="G7" t="str">
            <v>Selección</v>
          </cell>
        </row>
        <row r="8">
          <cell r="C8" t="str">
            <v>Finanzas</v>
          </cell>
          <cell r="G8" t="str">
            <v>Depósito</v>
          </cell>
        </row>
        <row r="9">
          <cell r="C9" t="str">
            <v>IT</v>
          </cell>
          <cell r="G9" t="str">
            <v>Mantenimiento</v>
          </cell>
        </row>
        <row r="10">
          <cell r="C10" t="str">
            <v>Gerencia General</v>
          </cell>
          <cell r="G10" t="str">
            <v>Calidad</v>
          </cell>
        </row>
        <row r="11">
          <cell r="G11" t="str">
            <v>Limpieza</v>
          </cell>
        </row>
        <row r="12">
          <cell r="G12" t="str">
            <v>Tercerizados afectados a producción</v>
          </cell>
        </row>
        <row r="13">
          <cell r="G13" t="str">
            <v>Otros/Mano de Obra Directa o Indirecta</v>
          </cell>
        </row>
        <row r="14">
          <cell r="G14" t="str">
            <v>SG&amp;A</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ry"/>
      <sheetName val="Consol Report"/>
      <sheetName val="BG Report"/>
      <sheetName val="Data sheet"/>
      <sheetName val="Data Validation"/>
      <sheetName val="Instructions User"/>
      <sheetName val="Instructions"/>
      <sheetName val="HQ Control"/>
      <sheetName val="Control"/>
      <sheetName val="Consol_Report"/>
      <sheetName val="BG_Report"/>
      <sheetName val="Data_sheet"/>
      <sheetName val="Data_Validation"/>
      <sheetName val="Instructions_User"/>
      <sheetName val="HQ_Control"/>
      <sheetName val="Consol_Report1"/>
      <sheetName val="BG_Report1"/>
      <sheetName val="Data_sheet1"/>
      <sheetName val="Data_Validation1"/>
      <sheetName val="Instructions_User1"/>
      <sheetName val="HQ_Control1"/>
      <sheetName val="Consol_Report2"/>
      <sheetName val="BG_Report2"/>
      <sheetName val="Data_sheet2"/>
      <sheetName val="Data_Validation2"/>
      <sheetName val="Instructions_User2"/>
      <sheetName val="HQ_Control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32">
          <cell r="B32">
            <v>2</v>
          </cell>
        </row>
        <row r="55">
          <cell r="B55" t="e">
            <v>#VALUE!</v>
          </cell>
        </row>
        <row r="57">
          <cell r="B57" t="e">
            <v>#VALUE!</v>
          </cell>
        </row>
        <row r="58">
          <cell r="B58" t="e">
            <v>#VALUE!</v>
          </cell>
        </row>
        <row r="70">
          <cell r="B70">
            <v>0.82</v>
          </cell>
        </row>
      </sheetData>
      <sheetData sheetId="8" refreshError="1">
        <row r="3">
          <cell r="K3" t="str">
            <v>PET</v>
          </cell>
        </row>
        <row r="6">
          <cell r="K6" t="str">
            <v>USD</v>
          </cell>
        </row>
        <row r="7">
          <cell r="K7">
            <v>1</v>
          </cell>
        </row>
        <row r="11">
          <cell r="B11" t="b">
            <v>0</v>
          </cell>
          <cell r="D11" t="str">
            <v>M</v>
          </cell>
          <cell r="H11" t="str">
            <v>Jul</v>
          </cell>
          <cell r="K11" t="str">
            <v>NORTH AMERICA</v>
          </cell>
          <cell r="X11">
            <v>0</v>
          </cell>
        </row>
        <row r="12">
          <cell r="D12" t="str">
            <v>HSE</v>
          </cell>
          <cell r="H12" t="str">
            <v>Aug</v>
          </cell>
          <cell r="K12" t="str">
            <v>LATIN AMERICA</v>
          </cell>
          <cell r="X12" t="str">
            <v>NA - CSD/WATER</v>
          </cell>
        </row>
        <row r="13">
          <cell r="D13" t="str">
            <v>GB</v>
          </cell>
          <cell r="H13" t="str">
            <v>Sep</v>
          </cell>
          <cell r="K13" t="str">
            <v>EUROPE</v>
          </cell>
          <cell r="X13" t="str">
            <v>NA - CUSTOM</v>
          </cell>
        </row>
        <row r="14">
          <cell r="D14" t="str">
            <v>C</v>
          </cell>
          <cell r="H14" t="str">
            <v>Oct</v>
          </cell>
          <cell r="K14" t="str">
            <v>BERICAP</v>
          </cell>
          <cell r="X14" t="str">
            <v>NA - DPD</v>
          </cell>
        </row>
        <row r="15">
          <cell r="D15" t="str">
            <v>R</v>
          </cell>
          <cell r="H15" t="str">
            <v>Nov</v>
          </cell>
          <cell r="K15" t="str">
            <v>CORPORATE</v>
          </cell>
          <cell r="X15" t="str">
            <v>LA - CSD/WATER</v>
          </cell>
        </row>
        <row r="16">
          <cell r="D16" t="str">
            <v>D</v>
          </cell>
          <cell r="H16" t="str">
            <v>Dec</v>
          </cell>
          <cell r="X16" t="str">
            <v>LA - CUSTOM</v>
          </cell>
        </row>
        <row r="17">
          <cell r="D17" t="str">
            <v>IT</v>
          </cell>
          <cell r="H17" t="str">
            <v>Jan</v>
          </cell>
          <cell r="X17" t="str">
            <v>CORPORATE</v>
          </cell>
        </row>
        <row r="18">
          <cell r="D18" t="str">
            <v>GP</v>
          </cell>
          <cell r="H18" t="str">
            <v>Feb</v>
          </cell>
        </row>
        <row r="19">
          <cell r="D19" t="str">
            <v>SO</v>
          </cell>
          <cell r="H19" t="str">
            <v>Mar</v>
          </cell>
        </row>
        <row r="20">
          <cell r="D20" t="str">
            <v>DIV</v>
          </cell>
          <cell r="H20" t="str">
            <v>Apr</v>
          </cell>
        </row>
        <row r="21">
          <cell r="D21" t="str">
            <v>ACQ</v>
          </cell>
          <cell r="H21" t="str">
            <v>May</v>
          </cell>
        </row>
        <row r="22">
          <cell r="H22" t="str">
            <v>Jun</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Datos (AGUA)"/>
      <sheetName val="Lecturas (AGUA)"/>
      <sheetName val="Lecturas"/>
      <sheetName val="Base Datos"/>
      <sheetName val="ESQUEMA CONSUMO"/>
    </sheetNames>
    <sheetDataSet>
      <sheetData sheetId="0"/>
      <sheetData sheetId="1">
        <row r="29">
          <cell r="G29">
            <v>4161</v>
          </cell>
        </row>
      </sheetData>
      <sheetData sheetId="2">
        <row r="79">
          <cell r="C79">
            <v>113997</v>
          </cell>
        </row>
      </sheetData>
      <sheetData sheetId="3">
        <row r="2">
          <cell r="B2" t="str">
            <v>FECHA</v>
          </cell>
          <cell r="C2" t="str">
            <v>LUGAR DE MEDICIÓN</v>
          </cell>
          <cell r="D2" t="str">
            <v>CONSUMO M3</v>
          </cell>
          <cell r="E2" t="str">
            <v>$</v>
          </cell>
          <cell r="F2" t="str">
            <v>CONSUMO M3</v>
          </cell>
          <cell r="G2" t="str">
            <v>$</v>
          </cell>
          <cell r="H2" t="str">
            <v>CONSUMO M3</v>
          </cell>
          <cell r="I2" t="str">
            <v>$</v>
          </cell>
          <cell r="J2" t="str">
            <v>DIAS FACT.</v>
          </cell>
        </row>
        <row r="3">
          <cell r="B3">
            <v>41305</v>
          </cell>
        </row>
        <row r="4">
          <cell r="B4">
            <v>41305</v>
          </cell>
        </row>
        <row r="5">
          <cell r="B5">
            <v>41305</v>
          </cell>
        </row>
        <row r="6">
          <cell r="B6">
            <v>41305</v>
          </cell>
        </row>
        <row r="7">
          <cell r="B7">
            <v>41305</v>
          </cell>
        </row>
        <row r="8">
          <cell r="B8">
            <v>41305</v>
          </cell>
        </row>
        <row r="9">
          <cell r="B9">
            <v>41305</v>
          </cell>
        </row>
        <row r="10">
          <cell r="B10">
            <v>41305</v>
          </cell>
        </row>
        <row r="11">
          <cell r="B11">
            <v>41305</v>
          </cell>
        </row>
        <row r="12">
          <cell r="B12">
            <v>41305</v>
          </cell>
        </row>
        <row r="13">
          <cell r="B13">
            <v>41305</v>
          </cell>
        </row>
        <row r="14">
          <cell r="B14">
            <v>41305</v>
          </cell>
        </row>
        <row r="15">
          <cell r="B15">
            <v>41305</v>
          </cell>
        </row>
        <row r="16">
          <cell r="B16">
            <v>41305</v>
          </cell>
        </row>
        <row r="17">
          <cell r="B17">
            <v>41305</v>
          </cell>
        </row>
        <row r="18">
          <cell r="B18">
            <v>41332</v>
          </cell>
        </row>
        <row r="19">
          <cell r="B19">
            <v>41332</v>
          </cell>
        </row>
        <row r="20">
          <cell r="B20">
            <v>41332</v>
          </cell>
        </row>
        <row r="21">
          <cell r="B21">
            <v>41332</v>
          </cell>
        </row>
        <row r="22">
          <cell r="B22">
            <v>41332</v>
          </cell>
        </row>
        <row r="23">
          <cell r="B23">
            <v>41332</v>
          </cell>
        </row>
        <row r="24">
          <cell r="B24">
            <v>41332</v>
          </cell>
        </row>
        <row r="25">
          <cell r="B25">
            <v>41332</v>
          </cell>
        </row>
        <row r="26">
          <cell r="B26">
            <v>41332</v>
          </cell>
        </row>
        <row r="27">
          <cell r="B27">
            <v>41332</v>
          </cell>
        </row>
        <row r="28">
          <cell r="B28">
            <v>41332</v>
          </cell>
        </row>
        <row r="29">
          <cell r="B29">
            <v>41332</v>
          </cell>
        </row>
        <row r="30">
          <cell r="B30">
            <v>41332</v>
          </cell>
        </row>
        <row r="31">
          <cell r="B31">
            <v>41332</v>
          </cell>
        </row>
        <row r="32">
          <cell r="B32">
            <v>41332</v>
          </cell>
        </row>
        <row r="33">
          <cell r="B33">
            <v>41360</v>
          </cell>
        </row>
        <row r="34">
          <cell r="B34">
            <v>41360</v>
          </cell>
        </row>
        <row r="35">
          <cell r="B35">
            <v>41360</v>
          </cell>
        </row>
        <row r="36">
          <cell r="B36">
            <v>41360</v>
          </cell>
        </row>
        <row r="37">
          <cell r="B37">
            <v>41360</v>
          </cell>
        </row>
        <row r="38">
          <cell r="B38">
            <v>41360</v>
          </cell>
        </row>
        <row r="39">
          <cell r="B39">
            <v>41360</v>
          </cell>
        </row>
        <row r="40">
          <cell r="B40">
            <v>41360</v>
          </cell>
        </row>
        <row r="41">
          <cell r="B41">
            <v>41360</v>
          </cell>
        </row>
        <row r="42">
          <cell r="B42">
            <v>41360</v>
          </cell>
        </row>
        <row r="43">
          <cell r="B43">
            <v>41360</v>
          </cell>
        </row>
        <row r="44">
          <cell r="B44">
            <v>41360</v>
          </cell>
        </row>
        <row r="45">
          <cell r="B45">
            <v>41360</v>
          </cell>
        </row>
        <row r="46">
          <cell r="B46">
            <v>41360</v>
          </cell>
        </row>
        <row r="47">
          <cell r="B47">
            <v>41360</v>
          </cell>
        </row>
        <row r="48">
          <cell r="B48">
            <v>41393</v>
          </cell>
        </row>
        <row r="49">
          <cell r="B49">
            <v>41393</v>
          </cell>
        </row>
        <row r="50">
          <cell r="B50">
            <v>41393</v>
          </cell>
        </row>
        <row r="51">
          <cell r="B51">
            <v>41393</v>
          </cell>
        </row>
        <row r="52">
          <cell r="B52">
            <v>41393</v>
          </cell>
        </row>
        <row r="53">
          <cell r="B53">
            <v>41393</v>
          </cell>
        </row>
        <row r="54">
          <cell r="B54">
            <v>41393</v>
          </cell>
        </row>
        <row r="55">
          <cell r="B55">
            <v>41393</v>
          </cell>
        </row>
        <row r="56">
          <cell r="B56">
            <v>41393</v>
          </cell>
        </row>
        <row r="57">
          <cell r="B57">
            <v>41393</v>
          </cell>
        </row>
        <row r="58">
          <cell r="B58">
            <v>41393</v>
          </cell>
        </row>
        <row r="59">
          <cell r="B59">
            <v>41393</v>
          </cell>
        </row>
        <row r="60">
          <cell r="B60">
            <v>41393</v>
          </cell>
        </row>
        <row r="61">
          <cell r="B61">
            <v>41393</v>
          </cell>
        </row>
        <row r="62">
          <cell r="B62">
            <v>41393</v>
          </cell>
        </row>
        <row r="63">
          <cell r="B63">
            <v>41424</v>
          </cell>
        </row>
        <row r="64">
          <cell r="B64">
            <v>41424</v>
          </cell>
        </row>
        <row r="65">
          <cell r="B65">
            <v>41424</v>
          </cell>
        </row>
        <row r="66">
          <cell r="B66">
            <v>41424</v>
          </cell>
        </row>
        <row r="67">
          <cell r="B67">
            <v>41424</v>
          </cell>
        </row>
        <row r="68">
          <cell r="B68">
            <v>41424</v>
          </cell>
        </row>
        <row r="69">
          <cell r="B69">
            <v>41424</v>
          </cell>
        </row>
        <row r="70">
          <cell r="B70">
            <v>41424</v>
          </cell>
        </row>
        <row r="71">
          <cell r="B71">
            <v>41424</v>
          </cell>
        </row>
        <row r="72">
          <cell r="B72">
            <v>41424</v>
          </cell>
        </row>
        <row r="73">
          <cell r="B73">
            <v>41424</v>
          </cell>
        </row>
        <row r="74">
          <cell r="B74">
            <v>41424</v>
          </cell>
        </row>
        <row r="75">
          <cell r="B75">
            <v>41424</v>
          </cell>
        </row>
        <row r="76">
          <cell r="B76">
            <v>41424</v>
          </cell>
        </row>
        <row r="77">
          <cell r="B77">
            <v>41424</v>
          </cell>
        </row>
        <row r="78">
          <cell r="B78">
            <v>41453</v>
          </cell>
        </row>
        <row r="79">
          <cell r="B79">
            <v>41453</v>
          </cell>
        </row>
        <row r="80">
          <cell r="B80">
            <v>41453</v>
          </cell>
        </row>
        <row r="81">
          <cell r="B81">
            <v>41453</v>
          </cell>
        </row>
        <row r="82">
          <cell r="B82">
            <v>41453</v>
          </cell>
        </row>
        <row r="83">
          <cell r="B83">
            <v>41453</v>
          </cell>
        </row>
        <row r="84">
          <cell r="B84">
            <v>41453</v>
          </cell>
        </row>
        <row r="85">
          <cell r="B85">
            <v>41453</v>
          </cell>
        </row>
        <row r="86">
          <cell r="B86">
            <v>41453</v>
          </cell>
        </row>
        <row r="87">
          <cell r="B87">
            <v>41453</v>
          </cell>
        </row>
        <row r="88">
          <cell r="B88">
            <v>41453</v>
          </cell>
        </row>
        <row r="89">
          <cell r="B89">
            <v>41453</v>
          </cell>
        </row>
        <row r="90">
          <cell r="B90">
            <v>41453</v>
          </cell>
        </row>
        <row r="91">
          <cell r="B91">
            <v>41453</v>
          </cell>
        </row>
        <row r="92">
          <cell r="B92">
            <v>41453</v>
          </cell>
        </row>
        <row r="93">
          <cell r="B93">
            <v>41485</v>
          </cell>
        </row>
        <row r="94">
          <cell r="B94">
            <v>41485</v>
          </cell>
        </row>
        <row r="95">
          <cell r="B95">
            <v>41485</v>
          </cell>
        </row>
        <row r="96">
          <cell r="B96">
            <v>41485</v>
          </cell>
        </row>
        <row r="97">
          <cell r="B97">
            <v>41485</v>
          </cell>
        </row>
        <row r="98">
          <cell r="B98">
            <v>41485</v>
          </cell>
        </row>
        <row r="99">
          <cell r="B99">
            <v>41485</v>
          </cell>
        </row>
        <row r="100">
          <cell r="B100">
            <v>41485</v>
          </cell>
        </row>
        <row r="101">
          <cell r="B101">
            <v>41485</v>
          </cell>
        </row>
        <row r="102">
          <cell r="B102">
            <v>41485</v>
          </cell>
        </row>
        <row r="103">
          <cell r="B103">
            <v>41485</v>
          </cell>
        </row>
        <row r="104">
          <cell r="B104">
            <v>41485</v>
          </cell>
        </row>
        <row r="105">
          <cell r="B105">
            <v>41485</v>
          </cell>
        </row>
        <row r="106">
          <cell r="B106">
            <v>41485</v>
          </cell>
        </row>
        <row r="107">
          <cell r="B107">
            <v>41485</v>
          </cell>
        </row>
        <row r="108">
          <cell r="B108">
            <v>41516</v>
          </cell>
        </row>
        <row r="109">
          <cell r="B109">
            <v>41516</v>
          </cell>
        </row>
        <row r="110">
          <cell r="B110">
            <v>41516</v>
          </cell>
        </row>
        <row r="111">
          <cell r="B111">
            <v>41516</v>
          </cell>
        </row>
        <row r="112">
          <cell r="B112">
            <v>41516</v>
          </cell>
        </row>
        <row r="113">
          <cell r="B113">
            <v>41516</v>
          </cell>
        </row>
        <row r="114">
          <cell r="B114">
            <v>41516</v>
          </cell>
        </row>
        <row r="115">
          <cell r="B115">
            <v>41516</v>
          </cell>
        </row>
        <row r="116">
          <cell r="B116">
            <v>41516</v>
          </cell>
        </row>
        <row r="117">
          <cell r="B117">
            <v>41516</v>
          </cell>
        </row>
        <row r="118">
          <cell r="B118">
            <v>41516</v>
          </cell>
        </row>
        <row r="119">
          <cell r="B119">
            <v>41516</v>
          </cell>
        </row>
        <row r="120">
          <cell r="B120">
            <v>41516</v>
          </cell>
        </row>
        <row r="121">
          <cell r="B121">
            <v>41516</v>
          </cell>
        </row>
        <row r="122">
          <cell r="B122">
            <v>41516</v>
          </cell>
        </row>
        <row r="123">
          <cell r="B123">
            <v>41543</v>
          </cell>
        </row>
        <row r="124">
          <cell r="B124">
            <v>41543</v>
          </cell>
        </row>
        <row r="125">
          <cell r="B125">
            <v>41543</v>
          </cell>
        </row>
        <row r="126">
          <cell r="B126">
            <v>41543</v>
          </cell>
        </row>
        <row r="127">
          <cell r="B127">
            <v>41543</v>
          </cell>
        </row>
        <row r="128">
          <cell r="B128">
            <v>41543</v>
          </cell>
        </row>
        <row r="129">
          <cell r="B129">
            <v>41543</v>
          </cell>
        </row>
        <row r="130">
          <cell r="B130">
            <v>41543</v>
          </cell>
        </row>
        <row r="131">
          <cell r="B131">
            <v>41543</v>
          </cell>
        </row>
        <row r="132">
          <cell r="B132">
            <v>41543</v>
          </cell>
        </row>
        <row r="133">
          <cell r="B133">
            <v>41543</v>
          </cell>
        </row>
        <row r="134">
          <cell r="B134">
            <v>41543</v>
          </cell>
        </row>
        <row r="135">
          <cell r="B135">
            <v>41543</v>
          </cell>
        </row>
        <row r="136">
          <cell r="B136">
            <v>41543</v>
          </cell>
        </row>
        <row r="137">
          <cell r="B137">
            <v>41543</v>
          </cell>
        </row>
        <row r="138">
          <cell r="B138">
            <v>41569</v>
          </cell>
        </row>
        <row r="139">
          <cell r="B139">
            <v>41569</v>
          </cell>
        </row>
        <row r="140">
          <cell r="B140">
            <v>41569</v>
          </cell>
        </row>
        <row r="141">
          <cell r="B141">
            <v>41569</v>
          </cell>
        </row>
      </sheetData>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page"/>
      <sheetName val="BOM"/>
      <sheetName val="Project Assumptions &amp; Scope"/>
      <sheetName val="Cash Flow"/>
      <sheetName val="P&amp;L"/>
      <sheetName val="PF &amp; BM Assump"/>
      <sheetName val="Opportunity Investment &amp; Refurb"/>
      <sheetName val="Prod Vs Deman"/>
      <sheetName val="Overrun form"/>
      <sheetName val="NBA"/>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IT_Budget 12_13"/>
      <sheetName val="Hoja3"/>
    </sheetNames>
    <sheetDataSet>
      <sheetData sheetId="0">
        <row r="3">
          <cell r="F3">
            <v>6131100420</v>
          </cell>
        </row>
        <row r="4">
          <cell r="F4">
            <v>6131100418</v>
          </cell>
        </row>
        <row r="5">
          <cell r="F5">
            <v>6131100438</v>
          </cell>
        </row>
        <row r="6">
          <cell r="F6">
            <v>6132000488</v>
          </cell>
        </row>
        <row r="7">
          <cell r="F7" t="str">
            <v>MGTSAL</v>
          </cell>
        </row>
        <row r="8">
          <cell r="F8" t="str">
            <v>MGTSALARY</v>
          </cell>
        </row>
        <row r="9">
          <cell r="F9">
            <v>6132000437</v>
          </cell>
        </row>
        <row r="10">
          <cell r="F10">
            <v>6132000439</v>
          </cell>
        </row>
        <row r="11">
          <cell r="F11">
            <v>6132000443</v>
          </cell>
        </row>
        <row r="12">
          <cell r="F12">
            <v>6132000448</v>
          </cell>
        </row>
        <row r="13">
          <cell r="F13">
            <v>6132000457</v>
          </cell>
        </row>
        <row r="14">
          <cell r="F14">
            <v>6132000458</v>
          </cell>
        </row>
        <row r="15">
          <cell r="F15">
            <v>6132000461</v>
          </cell>
        </row>
        <row r="16">
          <cell r="F16">
            <v>6132000486</v>
          </cell>
        </row>
        <row r="17">
          <cell r="F17">
            <v>6132000519</v>
          </cell>
        </row>
        <row r="18">
          <cell r="F18" t="str">
            <v>OTHBEN</v>
          </cell>
        </row>
        <row r="19">
          <cell r="F19" t="str">
            <v>BENEF</v>
          </cell>
        </row>
        <row r="20">
          <cell r="F20" t="str">
            <v>LABOR</v>
          </cell>
        </row>
        <row r="21">
          <cell r="F21">
            <v>6151100407</v>
          </cell>
        </row>
        <row r="22">
          <cell r="F22">
            <v>6151100402</v>
          </cell>
        </row>
        <row r="23">
          <cell r="F23">
            <v>6151100408</v>
          </cell>
        </row>
        <row r="24">
          <cell r="F24">
            <v>6151100411</v>
          </cell>
        </row>
        <row r="25">
          <cell r="F25">
            <v>6151100409</v>
          </cell>
        </row>
        <row r="26">
          <cell r="F26" t="str">
            <v>MAINTRPR</v>
          </cell>
        </row>
        <row r="27">
          <cell r="F27">
            <v>6122000401</v>
          </cell>
        </row>
        <row r="28">
          <cell r="F28">
            <v>6122000403</v>
          </cell>
        </row>
        <row r="29">
          <cell r="F29">
            <v>6122000406</v>
          </cell>
        </row>
        <row r="30">
          <cell r="F30" t="str">
            <v>SUPPLIES</v>
          </cell>
        </row>
        <row r="31">
          <cell r="F31">
            <v>6158110401</v>
          </cell>
        </row>
        <row r="32">
          <cell r="F32">
            <v>6158120401</v>
          </cell>
        </row>
        <row r="33">
          <cell r="F33">
            <v>6158190401</v>
          </cell>
        </row>
        <row r="34">
          <cell r="F34">
            <v>6158130401</v>
          </cell>
        </row>
        <row r="35">
          <cell r="F35">
            <v>6158900448</v>
          </cell>
        </row>
        <row r="36">
          <cell r="F36" t="str">
            <v>TRAVEL</v>
          </cell>
        </row>
        <row r="37">
          <cell r="F37">
            <v>6153120401</v>
          </cell>
        </row>
        <row r="38">
          <cell r="F38" t="str">
            <v>RENTSLEASE</v>
          </cell>
        </row>
        <row r="39">
          <cell r="F39">
            <v>6152100401</v>
          </cell>
        </row>
        <row r="40">
          <cell r="F40" t="str">
            <v>PROFFEES</v>
          </cell>
        </row>
        <row r="41">
          <cell r="F41">
            <v>6152400402</v>
          </cell>
        </row>
        <row r="42">
          <cell r="F42">
            <v>6152400407</v>
          </cell>
        </row>
        <row r="43">
          <cell r="F43">
            <v>6152400418</v>
          </cell>
        </row>
        <row r="44">
          <cell r="F44" t="str">
            <v>OTHOUTSERV</v>
          </cell>
        </row>
        <row r="45">
          <cell r="F45" t="str">
            <v>OUTSIDESERV</v>
          </cell>
        </row>
        <row r="46">
          <cell r="F46">
            <v>6158200401</v>
          </cell>
        </row>
        <row r="47">
          <cell r="F47">
            <v>6158200403</v>
          </cell>
        </row>
        <row r="48">
          <cell r="F48" t="str">
            <v>COMM</v>
          </cell>
        </row>
        <row r="49">
          <cell r="F49">
            <v>6158900405</v>
          </cell>
        </row>
        <row r="50">
          <cell r="F50">
            <v>6152400414</v>
          </cell>
        </row>
        <row r="51">
          <cell r="F51">
            <v>6158900408</v>
          </cell>
        </row>
        <row r="52">
          <cell r="F52" t="str">
            <v>EMPLOY</v>
          </cell>
        </row>
        <row r="53">
          <cell r="F53">
            <v>6158900418</v>
          </cell>
        </row>
        <row r="54">
          <cell r="F54">
            <v>6158900449</v>
          </cell>
        </row>
        <row r="55">
          <cell r="F55" t="str">
            <v>OTHEXP</v>
          </cell>
        </row>
        <row r="56">
          <cell r="F56">
            <v>6142300000</v>
          </cell>
        </row>
        <row r="57">
          <cell r="F57">
            <v>6142300007</v>
          </cell>
        </row>
        <row r="58">
          <cell r="F58" t="str">
            <v>DEPRFA</v>
          </cell>
        </row>
        <row r="59">
          <cell r="F59">
            <v>6141100010</v>
          </cell>
        </row>
        <row r="60">
          <cell r="F60" t="str">
            <v>AMORTINT</v>
          </cell>
        </row>
        <row r="61">
          <cell r="F61" t="str">
            <v>DEPR</v>
          </cell>
        </row>
        <row r="62">
          <cell r="F62" t="str">
            <v>EXP</v>
          </cell>
        </row>
      </sheetData>
      <sheetData sheetId="1"/>
      <sheetData sheetId="2">
        <row r="2">
          <cell r="B2" t="str">
            <v>Account</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ex Summary"/>
      <sheetName val="Instructions"/>
      <sheetName val="Entry"/>
      <sheetName val="Summary"/>
      <sheetName val="Key Charts"/>
      <sheetName val="Profit Bridge"/>
      <sheetName val="Overall-Master"/>
      <sheetName val="Profit Bridge-Master"/>
      <sheetName val="Capex-Master"/>
      <sheetName val="Start"/>
      <sheetName val="Overall-PET"/>
      <sheetName val="Profit Bridge-PET"/>
      <sheetName val="Capex-PET"/>
      <sheetName val="Control"/>
      <sheetName val="Selector"/>
      <sheetName val="AllData"/>
      <sheetName val="Profit Bridge Data"/>
      <sheetName val="Assumptions"/>
      <sheetName val="BG_PET - Forecast (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sheetData sheetId="17"/>
      <sheetData sheetId="1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GA PRODUCC"/>
      <sheetName val="CARGA SCRAP"/>
      <sheetName val="CARGA PARADAS"/>
      <sheetName val="CARGA RECLAMOS"/>
      <sheetName val="MKI"/>
      <sheetName val="Reporte Produccion"/>
      <sheetName val="CRITERIOS PRODUCC"/>
      <sheetName val="CRITERIOS PARADA"/>
      <sheetName val="Grafico Scrap"/>
      <sheetName val="Grafico Paradas"/>
      <sheetName val="DATA"/>
      <sheetName val="HQ Control"/>
      <sheetName val="HP BG Mapping"/>
      <sheetName val="Control"/>
      <sheetName val="Assumptions"/>
      <sheetName val="CARGA_PRODUCC"/>
      <sheetName val="CARGA_SCRAP"/>
      <sheetName val="CARGA_PARADAS"/>
      <sheetName val="CARGA_RECLAMOS"/>
      <sheetName val="Reporte_Produccion"/>
      <sheetName val="CRITERIOS_PRODUCC"/>
      <sheetName val="CRITERIOS_PARADA"/>
      <sheetName val="Grafico_Scrap"/>
      <sheetName val="Grafico_Paradas"/>
      <sheetName val="HQ_Control"/>
      <sheetName val="HP_BG_Mapp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2">
          <cell r="A2" t="str">
            <v>Clear</v>
          </cell>
          <cell r="C2" t="str">
            <v>A01-Inyección Corta</v>
          </cell>
          <cell r="N2">
            <v>37408</v>
          </cell>
        </row>
        <row r="3">
          <cell r="A3" t="str">
            <v>Blue</v>
          </cell>
          <cell r="C3" t="str">
            <v>A02-Rebaba en L.de Cierre</v>
          </cell>
          <cell r="N3">
            <v>37409</v>
          </cell>
        </row>
        <row r="4">
          <cell r="A4" t="str">
            <v>VCC</v>
          </cell>
          <cell r="C4" t="str">
            <v>A03-Daño Crítico TSS/Rosca/Anillo</v>
          </cell>
          <cell r="N4">
            <v>37410</v>
          </cell>
        </row>
        <row r="5">
          <cell r="A5" t="str">
            <v>VSS</v>
          </cell>
          <cell r="C5" t="str">
            <v>A04-Pellets sin fundir</v>
          </cell>
          <cell r="N5">
            <v>37411</v>
          </cell>
        </row>
        <row r="6">
          <cell r="A6" t="str">
            <v>Green</v>
          </cell>
          <cell r="C6" t="str">
            <v>A05-Contaminación Externa</v>
          </cell>
          <cell r="N6">
            <v>37412</v>
          </cell>
        </row>
        <row r="7">
          <cell r="A7" t="str">
            <v>Blue ECO</v>
          </cell>
          <cell r="C7" t="str">
            <v>A06-Pto.Inyección Cristalizado</v>
          </cell>
          <cell r="N7">
            <v>37413</v>
          </cell>
        </row>
        <row r="8">
          <cell r="C8" t="str">
            <v>A07-Material Degradado</v>
          </cell>
          <cell r="N8">
            <v>37414</v>
          </cell>
        </row>
        <row r="9">
          <cell r="C9" t="str">
            <v>A08-Pto.Inyección Perforado</v>
          </cell>
          <cell r="N9">
            <v>37415</v>
          </cell>
        </row>
        <row r="10">
          <cell r="C10" t="str">
            <v>A09-Anillo de Humedad</v>
          </cell>
          <cell r="N10">
            <v>37416</v>
          </cell>
        </row>
        <row r="11">
          <cell r="C11" t="str">
            <v>A10-Inclusiones</v>
          </cell>
          <cell r="N11">
            <v>37417</v>
          </cell>
        </row>
        <row r="12">
          <cell r="C12" t="str">
            <v>A11-Endcap Deformado</v>
          </cell>
          <cell r="N12">
            <v>37418</v>
          </cell>
        </row>
        <row r="13">
          <cell r="C13" t="str">
            <v>A12-Preformas Pegadas</v>
          </cell>
          <cell r="N13">
            <v>37419</v>
          </cell>
        </row>
        <row r="14">
          <cell r="C14" t="str">
            <v>A13 Cristalización gate crítico</v>
          </cell>
          <cell r="N14">
            <v>37420</v>
          </cell>
        </row>
        <row r="15">
          <cell r="C15" t="str">
            <v>A14-Doble línea de cierre</v>
          </cell>
          <cell r="N15">
            <v>37421</v>
          </cell>
        </row>
        <row r="16">
          <cell r="C16" t="str">
            <v>A15-Preforma Banana</v>
          </cell>
          <cell r="N16">
            <v>37422</v>
          </cell>
        </row>
        <row r="17">
          <cell r="C17" t="str">
            <v>A16-Burbujas &gt; 1 mm</v>
          </cell>
          <cell r="N17">
            <v>37423</v>
          </cell>
        </row>
        <row r="18">
          <cell r="C18" t="str">
            <v>A17-Espina de Pescado</v>
          </cell>
          <cell r="N18">
            <v>37424</v>
          </cell>
        </row>
        <row r="19">
          <cell r="C19" t="str">
            <v>A18-Preforma Colapsada</v>
          </cell>
          <cell r="N19">
            <v>37425</v>
          </cell>
        </row>
        <row r="20">
          <cell r="C20" t="str">
            <v>A19-Humedad Polarizada</v>
          </cell>
          <cell r="N20">
            <v>37426</v>
          </cell>
        </row>
        <row r="21">
          <cell r="C21" t="str">
            <v>A20-Finish Ovalado</v>
          </cell>
          <cell r="N21">
            <v>37427</v>
          </cell>
        </row>
        <row r="22">
          <cell r="C22" t="str">
            <v>A21-Preformas Mezcladas</v>
          </cell>
          <cell r="N22">
            <v>37428</v>
          </cell>
        </row>
        <row r="23">
          <cell r="C23" t="str">
            <v>B01-Daño Mayor TSS/Rosca/Anillo</v>
          </cell>
          <cell r="N23">
            <v>37429</v>
          </cell>
        </row>
        <row r="24">
          <cell r="C24" t="str">
            <v>B02-Pto.Inyección Largo &gt; 3 mm</v>
          </cell>
          <cell r="N24">
            <v>37430</v>
          </cell>
        </row>
        <row r="25">
          <cell r="C25" t="str">
            <v>B03-Rebaba Línea de Cierre Mayor</v>
          </cell>
          <cell r="N25">
            <v>37431</v>
          </cell>
        </row>
        <row r="26">
          <cell r="C26" t="str">
            <v>B04-Marcas/Rayas en Cuerpo</v>
          </cell>
          <cell r="N26">
            <v>37432</v>
          </cell>
        </row>
        <row r="27">
          <cell r="C27" t="str">
            <v>B05-Espina de Pescado Mayor</v>
          </cell>
          <cell r="N27">
            <v>37433</v>
          </cell>
        </row>
        <row r="28">
          <cell r="C28" t="str">
            <v>B06-Líneas de Arrastre Cristalino</v>
          </cell>
          <cell r="N28">
            <v>37434</v>
          </cell>
        </row>
        <row r="29">
          <cell r="C29" t="str">
            <v>B07-Opalescencia</v>
          </cell>
          <cell r="N29">
            <v>37435</v>
          </cell>
        </row>
        <row r="30">
          <cell r="C30" t="str">
            <v>B08-Burbujas &lt; 1 mm</v>
          </cell>
          <cell r="N30">
            <v>37436</v>
          </cell>
        </row>
        <row r="31">
          <cell r="C31" t="str">
            <v>B09-Cristalización Gate Mayor</v>
          </cell>
          <cell r="N31">
            <v>37437</v>
          </cell>
        </row>
        <row r="32">
          <cell r="C32" t="str">
            <v>B10-Pto.Inyección Arrancado</v>
          </cell>
          <cell r="N32">
            <v>37438</v>
          </cell>
        </row>
        <row r="33">
          <cell r="C33" t="str">
            <v>B11-Fuera de Color</v>
          </cell>
        </row>
        <row r="34">
          <cell r="C34" t="str">
            <v>B12-Inclusiones &lt; 0.5 mm</v>
          </cell>
        </row>
        <row r="35">
          <cell r="C35" t="str">
            <v>B13-Rechupes Mayores</v>
          </cell>
        </row>
        <row r="36">
          <cell r="C36" t="str">
            <v>C01-Molde Sucio</v>
          </cell>
        </row>
        <row r="37">
          <cell r="C37" t="str">
            <v>C02-Marcas/Rayas Superfic.</v>
          </cell>
        </row>
        <row r="38">
          <cell r="C38" t="str">
            <v>C03-Hilos &gt; 13 mm</v>
          </cell>
        </row>
        <row r="39">
          <cell r="C39" t="str">
            <v>C04-Delaminación</v>
          </cell>
        </row>
        <row r="40">
          <cell r="C40" t="str">
            <v>C05-Rebaba Línea de Cierre Menor</v>
          </cell>
        </row>
        <row r="41">
          <cell r="C41" t="str">
            <v>C06-Rechupes Menores</v>
          </cell>
        </row>
        <row r="42">
          <cell r="C42" t="str">
            <v>C07-Aureola alrededor del Gate</v>
          </cell>
        </row>
        <row r="43">
          <cell r="C43" t="str">
            <v>C08-Daño estético TSS</v>
          </cell>
        </row>
        <row r="44">
          <cell r="C44" t="str">
            <v>L1-AA fuera de especific.</v>
          </cell>
        </row>
        <row r="45">
          <cell r="C45" t="str">
            <v>L2-Caída en Depósito</v>
          </cell>
        </row>
        <row r="46">
          <cell r="C46" t="str">
            <v>L3-Mezcla de Resina</v>
          </cell>
        </row>
        <row r="47">
          <cell r="C47" t="str">
            <v>L4-Devolución de Cliente</v>
          </cell>
        </row>
        <row r="48">
          <cell r="C48" t="str">
            <v>L5-Exceso de Inventario</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
      <sheetName val="SOLO 1 SBO"/>
      <sheetName val="NORTE"/>
      <sheetName val="Ventas"/>
      <sheetName val="Inca Kola"/>
      <sheetName val="Kola Inglesa"/>
      <sheetName val="San Antonio"/>
      <sheetName val="CALC COMISSAO VENDAS - VARIAVEL"/>
      <sheetName val="Dados"/>
      <sheetName val="#REF"/>
      <sheetName val="Preço Deposito"/>
      <sheetName val="SOLO_1_SBO"/>
      <sheetName val="Inca_Kola"/>
      <sheetName val="Kola_Inglesa"/>
      <sheetName val="San_Antonio"/>
      <sheetName val="CALC_COMISSAO_VENDAS_-_VARIAVEL"/>
      <sheetName val="Preço_Deposito"/>
      <sheetName val="SOLO_1_SBO1"/>
      <sheetName val="Inca_Kola1"/>
      <sheetName val="Kola_Inglesa1"/>
      <sheetName val="San_Antonio1"/>
      <sheetName val="CALC_COMISSAO_VENDAS_-_VARIAVE1"/>
      <sheetName val="Preço_Deposito1"/>
      <sheetName val="SOLO_1_SBO2"/>
      <sheetName val="Inca_Kola2"/>
      <sheetName val="Kola_Inglesa2"/>
      <sheetName val="San_Antonio2"/>
      <sheetName val="CALC_COMISSAO_VENDAS_-_VARIAVE2"/>
      <sheetName val="Preço_Deposito2"/>
      <sheetName val="SOLO_1_SBO3"/>
      <sheetName val="Inca_Kola3"/>
      <sheetName val="Kola_Inglesa3"/>
      <sheetName val="San_Antonio3"/>
      <sheetName val="CALC_COMISSAO_VENDAS_-_VARIAVE3"/>
      <sheetName val="Preço_Deposito3"/>
      <sheetName val="SOLO_1_SBO4"/>
      <sheetName val="Inca_Kola4"/>
      <sheetName val="Kola_Inglesa4"/>
      <sheetName val="San_Antonio4"/>
      <sheetName val="CALC_COMISSAO_VENDAS_-_VARIAVE4"/>
      <sheetName val="Preço_Deposito4"/>
      <sheetName val="SOLO_1_SBO5"/>
      <sheetName val="Inca_Kola5"/>
      <sheetName val="Kola_Inglesa5"/>
      <sheetName val="San_Antonio5"/>
      <sheetName val="CALC_COMISSAO_VENDAS_-_VARIAVE5"/>
      <sheetName val="Preço_Deposito5"/>
      <sheetName val="SOLO_1_SBO6"/>
      <sheetName val="Inca_Kola6"/>
      <sheetName val="Kola_Inglesa6"/>
      <sheetName val="San_Antonio6"/>
      <sheetName val="CALC_COMISSAO_VENDAS_-_VARIAVE6"/>
      <sheetName val="Preço_Deposito6"/>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XRates"/>
      <sheetName val="P&amp;L"/>
      <sheetName val="BS"/>
      <sheetName val="Fixed Assets"/>
      <sheetName val="CAPX"/>
      <sheetName val="Volumes"/>
      <sheetName val="Other Stats"/>
      <sheetName val="Contact List"/>
      <sheetName val="Module1"/>
      <sheetName val="Module2"/>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es "/>
      <sheetName val="Varios"/>
      <sheetName val="Hoja3"/>
    </sheetNames>
    <sheetDataSet>
      <sheetData sheetId="0"/>
      <sheetData sheetId="1">
        <row r="2">
          <cell r="B2" t="str">
            <v>F,1000CC,1014,TAMP,CR,28PCO,28</v>
          </cell>
        </row>
        <row r="3">
          <cell r="B3" t="str">
            <v>F,500CC,3078,DASA,CR,28PCO,15G,HT</v>
          </cell>
        </row>
        <row r="4">
          <cell r="B4" t="str">
            <v>F,500CC,3078,DASAET,CR,28PCO,15G,HT</v>
          </cell>
        </row>
        <row r="5">
          <cell r="B5" t="str">
            <v>F,400CC,4158,NEST,CR,28PCO,15G,HT</v>
          </cell>
        </row>
        <row r="6">
          <cell r="B6" t="str">
            <v>F,500CC,3591,NEST,CR,28PCO,15G,HT</v>
          </cell>
        </row>
        <row r="7">
          <cell r="B7" t="str">
            <v>F,500CC,2048,GOTA,CL,28PCO,18G</v>
          </cell>
        </row>
        <row r="8">
          <cell r="B8" t="str">
            <v>F,375CC,400,CH C,CR,28PCO,18G</v>
          </cell>
        </row>
        <row r="9">
          <cell r="B9" t="str">
            <v>F,500CC,300,CH C,CR,28PCO,18G</v>
          </cell>
        </row>
        <row r="10">
          <cell r="B10" t="str">
            <v>F,250CC,500,COCO,CR,28PCO,18G</v>
          </cell>
        </row>
        <row r="11">
          <cell r="B11" t="str">
            <v>F,250CC,300,GEN,CR,28PCO,18G</v>
          </cell>
        </row>
        <row r="12">
          <cell r="B12" t="str">
            <v>F,355CC,3366,GEN,CR,28PCO,18G</v>
          </cell>
        </row>
        <row r="13">
          <cell r="B13" t="str">
            <v>F,355CC,300,GEN,CR,28PCO,18G</v>
          </cell>
        </row>
        <row r="14">
          <cell r="B14" t="str">
            <v>F,500CC,2312,GEN,CR,28PCO,18G</v>
          </cell>
        </row>
        <row r="15">
          <cell r="B15" t="str">
            <v>F,500CC,3240,GEN,CR,28PCO,18G</v>
          </cell>
        </row>
        <row r="16">
          <cell r="B16" t="str">
            <v>F,400CC,4158,NEST,CR,28PCO,18G,HT</v>
          </cell>
        </row>
        <row r="17">
          <cell r="B17" t="str">
            <v>F,350CC,3600,POWER,CR,28PCO,18G,HT</v>
          </cell>
        </row>
        <row r="18">
          <cell r="B18" t="str">
            <v>F,350CC,2754,TAMP,CR,28PCO,18G</v>
          </cell>
        </row>
        <row r="19">
          <cell r="B19" t="str">
            <v>F,500CC,2248,TAMP,CR,28PCO,18G</v>
          </cell>
        </row>
        <row r="20">
          <cell r="B20" t="str">
            <v>F,330CC,400,NAR,OR,28PCO,18G</v>
          </cell>
        </row>
        <row r="21">
          <cell r="B21" t="str">
            <v>F,355CC,300,GEN,VL,28PCO,18G</v>
          </cell>
        </row>
        <row r="22">
          <cell r="B22" t="str">
            <v>F,330CC,400,LIM,VL,28PCO,18G</v>
          </cell>
        </row>
        <row r="23">
          <cell r="B23" t="str">
            <v>F,500CC,2048,GOTA,UV,28PCO,18G</v>
          </cell>
        </row>
        <row r="24">
          <cell r="B24" t="str">
            <v>F,350CC,2754,PROF,UV,28PCO,18G</v>
          </cell>
        </row>
        <row r="25">
          <cell r="B25" t="str">
            <v>F,500CC,2048,GOTA,RS,28PCO,18G</v>
          </cell>
        </row>
        <row r="26">
          <cell r="B26" t="str">
            <v>F,500CC,2142,OVIT,CL,28PCO,22G</v>
          </cell>
        </row>
        <row r="27">
          <cell r="B27" t="str">
            <v>F,355CC,300,GEN,CR,28PCO,22G</v>
          </cell>
        </row>
        <row r="28">
          <cell r="B28" t="str">
            <v>F,500CC,300,GEN,CR,28PCO,22G</v>
          </cell>
        </row>
        <row r="29">
          <cell r="B29" t="str">
            <v>F,330CC,400,LIM,CR,28PCO,22G</v>
          </cell>
        </row>
        <row r="30">
          <cell r="B30" t="str">
            <v>F,500CC,2142,OVIT,CR,28PCO,22G</v>
          </cell>
        </row>
        <row r="31">
          <cell r="B31" t="str">
            <v>F,500CC,250,JEFF,UV,28PCO,22G</v>
          </cell>
        </row>
        <row r="32">
          <cell r="B32" t="str">
            <v>F,625CC,250,GEN,CR,28PCO,25G</v>
          </cell>
        </row>
        <row r="33">
          <cell r="B33" t="str">
            <v>F,625CC,2023,MNZ,CR,28PCO,25G</v>
          </cell>
        </row>
        <row r="34">
          <cell r="B34" t="str">
            <v>F,625CC,2023,MNZD,CR,28PCO,25G</v>
          </cell>
        </row>
        <row r="35">
          <cell r="B35" t="str">
            <v>F,625CC,2023,TROP,CR,28PCO,25G</v>
          </cell>
        </row>
        <row r="36">
          <cell r="B36" t="str">
            <v>F,625CC,2023,TRPD,CR,28PCO,25G</v>
          </cell>
        </row>
        <row r="37">
          <cell r="B37" t="str">
            <v>F,500CC,2142,PROF,UV,28PCO,25G</v>
          </cell>
        </row>
        <row r="38">
          <cell r="B38" t="str">
            <v>F,300CC,5280,SUN,CR,38PCO,26.7</v>
          </cell>
        </row>
        <row r="39">
          <cell r="B39" t="str">
            <v>F,500CC,3040,FANT,CR,28PCO,28G,HT</v>
          </cell>
        </row>
        <row r="40">
          <cell r="B40" t="str">
            <v>F,250CC,5750,COCA,CR,28PCO,28G,HT</v>
          </cell>
        </row>
        <row r="41">
          <cell r="B41" t="str">
            <v>F,410CC,3591,COCA,CR,28PCO,28G,HT</v>
          </cell>
        </row>
        <row r="42">
          <cell r="B42" t="str">
            <v>F,500CC,3192,COCA,CR,28PCO,28G,HT</v>
          </cell>
        </row>
        <row r="43">
          <cell r="B43" t="str">
            <v>F,500CC,3192,COCALG,CR,28PCO,28G,HT</v>
          </cell>
        </row>
        <row r="44">
          <cell r="B44" t="str">
            <v>F,500CC,3192,ZERO,CR,28PCO,28G,HT</v>
          </cell>
        </row>
        <row r="45">
          <cell r="B45" t="str">
            <v>F,410C,3591,FANT,CR,28PCO,28G,HT</v>
          </cell>
        </row>
        <row r="46">
          <cell r="B46" t="str">
            <v>F,410CC,3591,FRES,CR,28PCO,28G,HT</v>
          </cell>
        </row>
        <row r="47">
          <cell r="B47" t="str">
            <v>F,410CC,3591,INC,CR,28PCO,28G,HT</v>
          </cell>
        </row>
        <row r="48">
          <cell r="B48" t="str">
            <v>F,410CC,3591,MNZ,CR,28PCO,28G,HT</v>
          </cell>
        </row>
        <row r="49">
          <cell r="B49" t="str">
            <v>F,410CC,3591,SPRIT,VE,28PCO,28G,HT</v>
          </cell>
        </row>
        <row r="50">
          <cell r="B50" t="str">
            <v>F,1500CC,130,GEN,CR,28PCO,37G</v>
          </cell>
        </row>
        <row r="51">
          <cell r="B51" t="str">
            <v>F,1500CC,815,MNZ,CR,28PCO,37G</v>
          </cell>
        </row>
        <row r="52">
          <cell r="B52" t="str">
            <v>F,1500CC,815,TROP,CR,28PCO,37G</v>
          </cell>
        </row>
        <row r="53">
          <cell r="B53" t="str">
            <v>F,1500CC,815,MNZ,CR,28PCO,40G</v>
          </cell>
        </row>
        <row r="54">
          <cell r="B54" t="str">
            <v>F,1500CC,815,TROP,CR,28PCO,40G</v>
          </cell>
        </row>
        <row r="55">
          <cell r="B55" t="str">
            <v>F,1500CC,130,GEN,VE,28PCO,44G</v>
          </cell>
        </row>
        <row r="56">
          <cell r="B56" t="str">
            <v>F,1000CC,180,LIM,VL,28PCO,44G</v>
          </cell>
        </row>
        <row r="57">
          <cell r="B57" t="str">
            <v>F,2000CC,635,GEN,CR,28PCO,47G</v>
          </cell>
        </row>
        <row r="58">
          <cell r="B58" t="str">
            <v>F,2000CC,100,GEN,CR,28PCO,47G</v>
          </cell>
        </row>
        <row r="59">
          <cell r="B59" t="str">
            <v>F,2000CC,635,MNZ,CR,28PCO,47G</v>
          </cell>
        </row>
        <row r="60">
          <cell r="B60" t="str">
            <v>F,2000CC,635,MNZD,CR,28PCO,47G</v>
          </cell>
        </row>
        <row r="61">
          <cell r="B61" t="str">
            <v>F,2000CC,635,TROPD,CR,28PCO,47G</v>
          </cell>
        </row>
        <row r="62">
          <cell r="B62" t="str">
            <v>F,2000CC,635,TROP,CR,28PCO,47G</v>
          </cell>
        </row>
        <row r="63">
          <cell r="B63" t="str">
            <v>F,2000CC,100,CH C,CR,28PCO,53G</v>
          </cell>
        </row>
        <row r="64">
          <cell r="B64" t="str">
            <v>F,2000CC,635,GEN,CR,28PCO,53G</v>
          </cell>
        </row>
        <row r="65">
          <cell r="B65" t="str">
            <v>F,2000CC,100,GEN,CR,28PCO,53G</v>
          </cell>
        </row>
        <row r="66">
          <cell r="B66" t="str">
            <v>F,2000CC,635,MNZ,CR,28PCO,53G</v>
          </cell>
        </row>
        <row r="67">
          <cell r="B67" t="str">
            <v>F,2000CC,635,MNZD,CR,28PCO,53G</v>
          </cell>
        </row>
        <row r="68">
          <cell r="B68" t="str">
            <v>F,2000CC,635,TROPD,CR,28PCO,53G</v>
          </cell>
        </row>
        <row r="69">
          <cell r="B69" t="str">
            <v>F,2000CC,635,TROP,CR,28PCO,53G</v>
          </cell>
        </row>
        <row r="70">
          <cell r="B70" t="str">
            <v>F,2000CC,100,GEN,AC,28PCO,56G</v>
          </cell>
        </row>
        <row r="71">
          <cell r="B71" t="str">
            <v>F,3000CC,80,GEN,AC,28PCO,56G</v>
          </cell>
        </row>
        <row r="72">
          <cell r="B72" t="str">
            <v>F,2000CC,100,CH C,CR,28PCO,56G</v>
          </cell>
        </row>
        <row r="73">
          <cell r="B73" t="str">
            <v>F,3000CC,475,GEN,CR,28PCO,56G</v>
          </cell>
        </row>
        <row r="74">
          <cell r="B74" t="str">
            <v>F,3000CC,80,GEN,CR,28PCO,56G</v>
          </cell>
        </row>
        <row r="75">
          <cell r="B75" t="str">
            <v>F,2000CC,100,GEN,VE,28PCO,56G</v>
          </cell>
        </row>
        <row r="76">
          <cell r="B76" t="str">
            <v>F,3000CC,80,GEN,VE,28PCO,56G</v>
          </cell>
        </row>
        <row r="77">
          <cell r="B77" t="str">
            <v>F,3000CC,475,GEN,CR,28PCO,60G</v>
          </cell>
        </row>
        <row r="78">
          <cell r="B78" t="str">
            <v>F,3000CC,80,GEN,CR,28PCO,60G</v>
          </cell>
        </row>
        <row r="79">
          <cell r="B79" t="str">
            <v>F,3000CC,80,GEN,VE,28PCO,60G</v>
          </cell>
        </row>
        <row r="80">
          <cell r="B80" t="str">
            <v>F,1500CC,120,GRRFA,CR,28PCO,62G</v>
          </cell>
        </row>
        <row r="81">
          <cell r="B81" t="str">
            <v>F,500CC,3420,CIEL,CR,28PCO,15G,HT</v>
          </cell>
        </row>
        <row r="82">
          <cell r="B82" t="str">
            <v>F,500CC,300,CH C,CR,28PCO,15G</v>
          </cell>
        </row>
        <row r="83">
          <cell r="B83" t="str">
            <v>F,350CC,2754,OVIT,28PCO,15G</v>
          </cell>
        </row>
        <row r="84">
          <cell r="B84" t="str">
            <v>F,500CC,3591,NEST,CR,28PCO,18G,HT</v>
          </cell>
        </row>
        <row r="85">
          <cell r="B85" t="str">
            <v>F,500CC,250,GOTA,CL,28PCO,18G</v>
          </cell>
        </row>
        <row r="86">
          <cell r="B86" t="str">
            <v>F,625CC,2023,GEN,CR,28PCO,25G</v>
          </cell>
        </row>
        <row r="87">
          <cell r="B87" t="str">
            <v>F,410CC,3420,ZERO,CR,28PCO,28G,HT</v>
          </cell>
        </row>
        <row r="88">
          <cell r="B88" t="str">
            <v>F,500CC,2304,DASA,CR,28PCO,15G,HT</v>
          </cell>
        </row>
        <row r="89">
          <cell r="B89" t="str">
            <v>F,625CC,2023,AJECIE,CR,28PCO,18G</v>
          </cell>
        </row>
        <row r="90">
          <cell r="B90" t="str">
            <v>F,600CC,250,GOTA,CL,28PCO,22G</v>
          </cell>
        </row>
        <row r="91">
          <cell r="B91" t="str">
            <v>F,500CC,2431,FANT,CR,28PCO,28G,HT</v>
          </cell>
        </row>
        <row r="92">
          <cell r="B92" t="str">
            <v>F,1500CC,815,GEN,CR,28PCO,37G</v>
          </cell>
        </row>
        <row r="93">
          <cell r="B93" t="str">
            <v>F,2000CC,635,MNZ,CR,28PCO,53G</v>
          </cell>
        </row>
        <row r="94">
          <cell r="B94" t="str">
            <v>F,2000CC,508,TROP,CR,28PCO,53G</v>
          </cell>
        </row>
        <row r="95">
          <cell r="B95" t="str">
            <v>F,500CC,3420,CIETOR,CR,28PCO,15G,HT</v>
          </cell>
        </row>
        <row r="96">
          <cell r="B96" t="str">
            <v>F,500CC,3420,CIEJAM,CR,28PCO,15G,HT</v>
          </cell>
        </row>
        <row r="97">
          <cell r="B97" t="str">
            <v>F,500CC,3192,FANT,CR,28PCO,28G,HT</v>
          </cell>
        </row>
        <row r="98">
          <cell r="B98" t="str">
            <v>F,500CC,2048,GOTA,CL,28PCO,18G, HT</v>
          </cell>
        </row>
        <row r="99">
          <cell r="B99" t="str">
            <v>F,500CC,2304,DASA,CR,28PCO,18G,HT</v>
          </cell>
        </row>
        <row r="100">
          <cell r="B100" t="str">
            <v>F,500CC,2312,GEN,CR,28PCO,25G</v>
          </cell>
        </row>
        <row r="101">
          <cell r="B101" t="str">
            <v>F,550CC,3240,VALL,CR,28PCO,15G,HT</v>
          </cell>
        </row>
        <row r="102">
          <cell r="B102" t="str">
            <v>F,500CC,3420,GEN,CR,28PCO,18G</v>
          </cell>
        </row>
        <row r="103">
          <cell r="B103" t="str">
            <v>F,330CC,3360,LIM,VL,28PCO,18G</v>
          </cell>
        </row>
        <row r="104">
          <cell r="B104" t="str">
            <v>F,1500CC,815,GEN,VE,28PCO,37G</v>
          </cell>
        </row>
        <row r="105">
          <cell r="B105" t="str">
            <v>F,410CC,3591,SPRIT,CR,28PCO,28G,HT</v>
          </cell>
        </row>
        <row r="106">
          <cell r="B106" t="str">
            <v>F,3000CC,475,GEN,CR,28PCO,56G,PA</v>
          </cell>
        </row>
        <row r="107">
          <cell r="B107" t="str">
            <v>F,450CC,3762,VALLE,CR,28PCO,15G,HT</v>
          </cell>
        </row>
        <row r="108">
          <cell r="B108" t="str">
            <v>F,3000CC,475,GEN,AC,28PCO,56G,PA</v>
          </cell>
        </row>
        <row r="109">
          <cell r="B109" t="str">
            <v>F,3000CC,475,GEN,CR,28PCO,56G,PA</v>
          </cell>
        </row>
        <row r="110">
          <cell r="B110" t="str">
            <v>F,3000CC,80,GEN,CR,28PCO,56G,PA</v>
          </cell>
        </row>
        <row r="111">
          <cell r="B111" t="str">
            <v>F,500CC,3591,NESVER,CR,28PCO,15G,HT</v>
          </cell>
        </row>
        <row r="112">
          <cell r="B112" t="str">
            <v>F,1500CC,120,GRRFA,UV,28PCO,56G,PA</v>
          </cell>
        </row>
        <row r="113">
          <cell r="B113" t="str">
            <v>F,500CC,2142,PROF,UV,28PCO,28G</v>
          </cell>
        </row>
        <row r="114">
          <cell r="B114" t="str">
            <v xml:space="preserve">NO PROGRAMADA </v>
          </cell>
        </row>
        <row r="115">
          <cell r="B115" t="str">
            <v>MANTENIMIENTO PREVENTIVO</v>
          </cell>
        </row>
        <row r="116">
          <cell r="B116" t="str">
            <v>FALTA DE MATERIAL</v>
          </cell>
        </row>
      </sheetData>
      <sheetData sheetId="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PSA Machines &amp; Utilities"/>
      <sheetName val="Pet Injection Machines"/>
      <sheetName val="listas"/>
    </sheetNames>
    <sheetDataSet>
      <sheetData sheetId="0" refreshError="1"/>
      <sheetData sheetId="1" refreshError="1"/>
      <sheetData sheetId="2"/>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L06"/>
      <sheetName val="AGO06"/>
      <sheetName val="SEP06"/>
      <sheetName val="OCT06"/>
      <sheetName val="NOV06"/>
      <sheetName val="DIC06"/>
      <sheetName val="RESUMEN ENE07"/>
      <sheetName val="ACUMJUN06"/>
      <sheetName val="RESUMEN FEB07"/>
      <sheetName val="ENE07"/>
      <sheetName val="FEB07"/>
      <sheetName val="Table"/>
    </sheetNames>
    <sheetDataSet>
      <sheetData sheetId="0"/>
      <sheetData sheetId="1"/>
      <sheetData sheetId="2"/>
      <sheetData sheetId="3"/>
      <sheetData sheetId="4"/>
      <sheetData sheetId="5"/>
      <sheetData sheetId="6"/>
      <sheetData sheetId="7"/>
      <sheetData sheetId="8"/>
      <sheetData sheetId="9">
        <row r="1">
          <cell r="A1" t="str">
            <v>ACTNUMST</v>
          </cell>
          <cell r="B1" t="str">
            <v>ACTDESCR</v>
          </cell>
          <cell r="C1">
            <v>0</v>
          </cell>
        </row>
        <row r="2">
          <cell r="A2" t="str">
            <v>00-11101-01-01</v>
          </cell>
          <cell r="B2" t="str">
            <v>Caja General</v>
          </cell>
          <cell r="C2">
            <v>0</v>
          </cell>
        </row>
        <row r="3">
          <cell r="A3" t="str">
            <v>00-11102-01-01</v>
          </cell>
          <cell r="B3" t="str">
            <v>Caja Chica Administrativa Guayaquil (Tesoreria)</v>
          </cell>
          <cell r="C3">
            <v>0</v>
          </cell>
        </row>
        <row r="4">
          <cell r="A4" t="str">
            <v>00-11102-02-01</v>
          </cell>
          <cell r="B4" t="str">
            <v>Caja Chica Planta Pascuales (Compras)</v>
          </cell>
          <cell r="C4">
            <v>0</v>
          </cell>
        </row>
        <row r="5">
          <cell r="A5" t="str">
            <v>00-11102-03-01</v>
          </cell>
          <cell r="B5" t="str">
            <v>Caja Chica Administrativa Quito</v>
          </cell>
          <cell r="C5">
            <v>0</v>
          </cell>
        </row>
        <row r="6">
          <cell r="A6" t="str">
            <v>00-11102-99-01</v>
          </cell>
          <cell r="B6" t="str">
            <v>Caja en Tránsito</v>
          </cell>
          <cell r="C6">
            <v>0</v>
          </cell>
        </row>
        <row r="7">
          <cell r="A7" t="str">
            <v>00-11201-02-01</v>
          </cell>
          <cell r="B7" t="str">
            <v>Banco Bolivariano Cta.Cte.# 5155759</v>
          </cell>
          <cell r="C7">
            <v>-1350064.77</v>
          </cell>
        </row>
        <row r="8">
          <cell r="A8" t="str">
            <v>00-11201-03-01</v>
          </cell>
          <cell r="B8" t="str">
            <v>Banco de Guayaquil Cta.Cte.# 148727-2</v>
          </cell>
          <cell r="C8">
            <v>-3826.14</v>
          </cell>
        </row>
        <row r="9">
          <cell r="A9" t="str">
            <v>00-11201-04-01</v>
          </cell>
          <cell r="B9" t="str">
            <v>Banco International Cta.Cte.# 100010011-8</v>
          </cell>
          <cell r="C9">
            <v>-1013.52</v>
          </cell>
        </row>
        <row r="10">
          <cell r="A10" t="str">
            <v>00-11201-05-01</v>
          </cell>
          <cell r="B10" t="str">
            <v>Banco Produbanco Cta.Cte.# 0200604829-1</v>
          </cell>
          <cell r="C10">
            <v>-524546.24</v>
          </cell>
        </row>
        <row r="11">
          <cell r="A11" t="str">
            <v>00-11401-01-01</v>
          </cell>
          <cell r="B11" t="str">
            <v>Cuentas por Cobrar Clientes Locales</v>
          </cell>
          <cell r="C11">
            <v>-659990.01</v>
          </cell>
        </row>
        <row r="12">
          <cell r="A12" t="str">
            <v>00-11402-01-01</v>
          </cell>
          <cell r="B12" t="str">
            <v>Otras Cuentas por Cobrar</v>
          </cell>
          <cell r="C12">
            <v>-13501.3</v>
          </cell>
        </row>
        <row r="13">
          <cell r="A13" t="str">
            <v>00-11501-01-01</v>
          </cell>
          <cell r="B13" t="str">
            <v>Ctas.por Cobrar Accion.G.Menéndez R.</v>
          </cell>
          <cell r="C13">
            <v>-3000</v>
          </cell>
        </row>
        <row r="14">
          <cell r="A14" t="str">
            <v>00-11502-01-01</v>
          </cell>
          <cell r="B14" t="str">
            <v>Ctas.por Cobrar Cías.Relac.Milantop</v>
          </cell>
          <cell r="C14">
            <v>43.16</v>
          </cell>
        </row>
        <row r="15">
          <cell r="A15" t="str">
            <v>00-11502-09-01</v>
          </cell>
          <cell r="B15" t="str">
            <v>Ctas.por Cobrar Cias. Relac .Amcor Venezuela</v>
          </cell>
          <cell r="C15">
            <v>-249227.59</v>
          </cell>
        </row>
        <row r="16">
          <cell r="A16" t="str">
            <v>00-11503-01-01</v>
          </cell>
          <cell r="B16" t="str">
            <v>Ctas.por Cobrar Empleados Administ.</v>
          </cell>
          <cell r="C16">
            <v>-779.34</v>
          </cell>
        </row>
        <row r="17">
          <cell r="A17" t="str">
            <v>00-11504-01-01</v>
          </cell>
          <cell r="B17" t="str">
            <v>Ctas.por Cobrar Empleados Planta</v>
          </cell>
          <cell r="C17">
            <v>-104.8</v>
          </cell>
        </row>
        <row r="18">
          <cell r="A18" t="str">
            <v>00-11505-05-01</v>
          </cell>
          <cell r="B18" t="str">
            <v>Iva Pagado</v>
          </cell>
          <cell r="C18">
            <v>-66773.119999999995</v>
          </cell>
        </row>
        <row r="19">
          <cell r="A19" t="str">
            <v>00-11506-01-01</v>
          </cell>
          <cell r="B19" t="str">
            <v>Retención en La Fuente</v>
          </cell>
          <cell r="C19">
            <v>38644.620000000003</v>
          </cell>
        </row>
        <row r="20">
          <cell r="A20" t="str">
            <v>00-11506-03-01</v>
          </cell>
          <cell r="B20" t="str">
            <v>Credito Tributario</v>
          </cell>
          <cell r="C20">
            <v>-68847.289999999994</v>
          </cell>
        </row>
        <row r="21">
          <cell r="A21" t="str">
            <v>00-11507-01-01</v>
          </cell>
          <cell r="B21" t="str">
            <v>Reclamos por Cobrar</v>
          </cell>
          <cell r="C21">
            <v>-6946.36</v>
          </cell>
        </row>
        <row r="22">
          <cell r="A22" t="str">
            <v>00-11509-01-01</v>
          </cell>
          <cell r="B22" t="str">
            <v>Anticipo Proveedores</v>
          </cell>
          <cell r="C22">
            <v>-143.71</v>
          </cell>
        </row>
        <row r="23">
          <cell r="A23" t="str">
            <v>00-11509-03-01</v>
          </cell>
          <cell r="B23" t="str">
            <v>Otros Anticipos</v>
          </cell>
          <cell r="C23">
            <v>-1373.76</v>
          </cell>
        </row>
        <row r="24">
          <cell r="A24" t="str">
            <v>00-11514-01-01</v>
          </cell>
          <cell r="B24" t="str">
            <v>Anticipos Prov. Locales - Compras</v>
          </cell>
          <cell r="C24">
            <v>-1742.79</v>
          </cell>
        </row>
        <row r="25">
          <cell r="A25" t="str">
            <v>00-11515-01-01</v>
          </cell>
          <cell r="B25" t="str">
            <v>Anticipo Prov. Exterior - Compras</v>
          </cell>
          <cell r="C25">
            <v>-31393.3</v>
          </cell>
        </row>
        <row r="26">
          <cell r="A26" t="str">
            <v>00-11601-01-01</v>
          </cell>
          <cell r="B26" t="str">
            <v>Invent.Prod.Termin. Preformas Nacional</v>
          </cell>
          <cell r="C26">
            <v>-99102.94</v>
          </cell>
        </row>
        <row r="27">
          <cell r="A27" t="str">
            <v>00-11601-02-01</v>
          </cell>
          <cell r="B27" t="str">
            <v>Invent.Prod.Term. Preformas Importadas</v>
          </cell>
          <cell r="C27">
            <v>0</v>
          </cell>
        </row>
        <row r="28">
          <cell r="A28" t="str">
            <v>00-11601-03-01</v>
          </cell>
          <cell r="B28" t="str">
            <v>Invent.Prod.Termin. Envases Nacional</v>
          </cell>
          <cell r="C28">
            <v>106284.54</v>
          </cell>
        </row>
        <row r="29">
          <cell r="A29" t="str">
            <v>00-11601-03-02</v>
          </cell>
          <cell r="B29" t="str">
            <v>Invent.Prod.Term.Envases Import.</v>
          </cell>
          <cell r="C29">
            <v>0</v>
          </cell>
        </row>
        <row r="30">
          <cell r="A30" t="str">
            <v>00-11603-01-01</v>
          </cell>
          <cell r="B30" t="str">
            <v>Invent.Mater.Prima Resina</v>
          </cell>
          <cell r="C30">
            <v>-1649841.3</v>
          </cell>
        </row>
        <row r="31">
          <cell r="A31" t="str">
            <v>00-11603-02-01</v>
          </cell>
          <cell r="B31" t="str">
            <v>Invent.Mater.Prima Pigmentos</v>
          </cell>
          <cell r="C31">
            <v>-3237.16</v>
          </cell>
        </row>
        <row r="32">
          <cell r="A32" t="str">
            <v>00-11604-01-01</v>
          </cell>
          <cell r="B32" t="str">
            <v>Invent.Material de Embalaje</v>
          </cell>
          <cell r="C32">
            <v>66103.09</v>
          </cell>
        </row>
        <row r="33">
          <cell r="A33" t="str">
            <v>00-11609-06-01</v>
          </cell>
          <cell r="B33" t="str">
            <v>Importac. en transito Varios</v>
          </cell>
          <cell r="C33">
            <v>-141783.04999999999</v>
          </cell>
        </row>
        <row r="34">
          <cell r="A34" t="str">
            <v>00-11610-01-01</v>
          </cell>
          <cell r="B34" t="str">
            <v>Amortización Inventarios Obsoletos</v>
          </cell>
          <cell r="C34">
            <v>-82.12</v>
          </cell>
        </row>
        <row r="35">
          <cell r="A35" t="str">
            <v>00-11701-11-01</v>
          </cell>
          <cell r="B35" t="str">
            <v>Seguro Amcor</v>
          </cell>
          <cell r="C35">
            <v>-4196.6000000000004</v>
          </cell>
        </row>
        <row r="36">
          <cell r="A36" t="str">
            <v>00-11701-11-02</v>
          </cell>
          <cell r="B36" t="str">
            <v>Amortiz.Acum.Seguros Amcor</v>
          </cell>
          <cell r="C36">
            <v>-4144.9399999999996</v>
          </cell>
        </row>
        <row r="37">
          <cell r="A37" t="str">
            <v>00-11801-01-01</v>
          </cell>
          <cell r="B37" t="str">
            <v>Resina y Pigmentos</v>
          </cell>
          <cell r="C37">
            <v>1814866.48</v>
          </cell>
        </row>
        <row r="38">
          <cell r="A38" t="str">
            <v>00-11901-01-01</v>
          </cell>
          <cell r="B38" t="str">
            <v>Preforma</v>
          </cell>
          <cell r="C38">
            <v>115527.33</v>
          </cell>
        </row>
        <row r="39">
          <cell r="A39" t="str">
            <v>00-12001-01-01</v>
          </cell>
          <cell r="B39" t="str">
            <v>Importaciones en trámite (R)</v>
          </cell>
          <cell r="C39">
            <v>22594.2</v>
          </cell>
        </row>
        <row r="40">
          <cell r="A40" t="str">
            <v>00-12201-02-01</v>
          </cell>
          <cell r="B40" t="str">
            <v>Depreciac.Acumul.Edificio</v>
          </cell>
          <cell r="C40">
            <v>-37.17</v>
          </cell>
        </row>
        <row r="41">
          <cell r="A41" t="str">
            <v>00-12202-01-01</v>
          </cell>
          <cell r="B41" t="str">
            <v>Instalaciones</v>
          </cell>
          <cell r="C41">
            <v>0</v>
          </cell>
        </row>
        <row r="42">
          <cell r="A42" t="str">
            <v>00-12202-02-01</v>
          </cell>
          <cell r="B42" t="str">
            <v>Depreciac.Acumul.Instalaciones</v>
          </cell>
          <cell r="C42">
            <v>-9084.08</v>
          </cell>
        </row>
        <row r="43">
          <cell r="A43" t="str">
            <v>00-12203-01-01</v>
          </cell>
          <cell r="B43" t="str">
            <v>Maquinarias y Equipos</v>
          </cell>
          <cell r="C43">
            <v>0</v>
          </cell>
        </row>
        <row r="44">
          <cell r="A44" t="str">
            <v>00-12203-02-01</v>
          </cell>
          <cell r="B44" t="str">
            <v>Depreciac.Acumul.Maquinarias y Equipos</v>
          </cell>
          <cell r="C44">
            <v>-45890.23</v>
          </cell>
        </row>
        <row r="45">
          <cell r="A45" t="str">
            <v>00-12203-02-02</v>
          </cell>
          <cell r="B45" t="str">
            <v>Depreciac.Acumul.Moldes</v>
          </cell>
          <cell r="C45">
            <v>-58684.55</v>
          </cell>
        </row>
        <row r="46">
          <cell r="A46" t="str">
            <v>00-12204-01-01</v>
          </cell>
          <cell r="B46" t="str">
            <v>Equipos de Oficina</v>
          </cell>
          <cell r="C46">
            <v>0</v>
          </cell>
        </row>
        <row r="47">
          <cell r="A47" t="str">
            <v>00-12204-02-01</v>
          </cell>
          <cell r="B47" t="str">
            <v>Depreciac.Acumul.Equipos de Oficina</v>
          </cell>
          <cell r="C47">
            <v>-700.57</v>
          </cell>
        </row>
        <row r="48">
          <cell r="A48" t="str">
            <v>00-12205-01-01</v>
          </cell>
          <cell r="B48" t="str">
            <v>Muebles y Enseres</v>
          </cell>
          <cell r="C48">
            <v>0</v>
          </cell>
        </row>
        <row r="49">
          <cell r="A49" t="str">
            <v>00-12205-02-01</v>
          </cell>
          <cell r="B49" t="str">
            <v>Depreciac.Acumul.Muebles y Enseres</v>
          </cell>
          <cell r="C49">
            <v>-632.79</v>
          </cell>
        </row>
        <row r="50">
          <cell r="A50" t="str">
            <v>00-12206-01-01</v>
          </cell>
          <cell r="B50" t="str">
            <v>Equipos de Computación</v>
          </cell>
          <cell r="C50">
            <v>0</v>
          </cell>
        </row>
        <row r="51">
          <cell r="A51" t="str">
            <v>00-12206-02-01</v>
          </cell>
          <cell r="B51" t="str">
            <v>Depreciac.Acumul.Equipos de Computación</v>
          </cell>
          <cell r="C51">
            <v>-4356.63</v>
          </cell>
        </row>
        <row r="52">
          <cell r="A52" t="str">
            <v>00-12207-02-01</v>
          </cell>
          <cell r="B52" t="str">
            <v>Depreciac.Acumul.Vehiculos</v>
          </cell>
          <cell r="C52">
            <v>-1112.48</v>
          </cell>
        </row>
        <row r="53">
          <cell r="A53" t="str">
            <v>00-12208-01-01</v>
          </cell>
          <cell r="B53" t="str">
            <v>Equipos de Laboratorio</v>
          </cell>
          <cell r="C53">
            <v>0</v>
          </cell>
        </row>
        <row r="54">
          <cell r="A54" t="str">
            <v>00-12208-02-01</v>
          </cell>
          <cell r="B54" t="str">
            <v>Depreciac.Acumul.Equipos de Laboratorio</v>
          </cell>
          <cell r="C54">
            <v>-3626.09</v>
          </cell>
        </row>
        <row r="55">
          <cell r="A55" t="str">
            <v>00-12209-02-02</v>
          </cell>
          <cell r="B55" t="str">
            <v>Depreciac.Acumul.Equipos Varios</v>
          </cell>
          <cell r="C55">
            <v>-7328.27</v>
          </cell>
        </row>
        <row r="56">
          <cell r="A56" t="str">
            <v>00-12210-18-01</v>
          </cell>
          <cell r="B56" t="str">
            <v>CEAV 05/06 ECU#04 Sidel-Peru-hr</v>
          </cell>
          <cell r="C56">
            <v>-292.94</v>
          </cell>
        </row>
        <row r="57">
          <cell r="A57" t="str">
            <v>00-12210-23-01</v>
          </cell>
          <cell r="B57" t="str">
            <v>CEAV 05/06 ECU#09 Sidel Pascuales</v>
          </cell>
          <cell r="C57">
            <v>1418.63</v>
          </cell>
        </row>
        <row r="58">
          <cell r="A58" t="str">
            <v>00-12210-33-01</v>
          </cell>
          <cell r="B58" t="str">
            <v>CEAV 05/06 ECU#19 Sistema enfriamiento inyección</v>
          </cell>
          <cell r="C58">
            <v>1322</v>
          </cell>
        </row>
        <row r="59">
          <cell r="A59" t="str">
            <v>00-12210-34-01</v>
          </cell>
          <cell r="B59" t="str">
            <v>CEAV 05/06 ECU#20 Sistema telefónico</v>
          </cell>
          <cell r="C59">
            <v>9000</v>
          </cell>
        </row>
        <row r="60">
          <cell r="A60" t="str">
            <v>00-12210-42-01</v>
          </cell>
          <cell r="B60" t="str">
            <v>CEAV 06/07 ECU#01</v>
          </cell>
          <cell r="C60">
            <v>2928.86</v>
          </cell>
        </row>
        <row r="61">
          <cell r="A61" t="str">
            <v>00-12210-43-01</v>
          </cell>
          <cell r="B61" t="str">
            <v>CEAV 06/07 ECU#04 Transfer SBO-10 Quito</v>
          </cell>
          <cell r="C61">
            <v>8312.5300000000007</v>
          </cell>
        </row>
        <row r="62">
          <cell r="A62" t="str">
            <v>00-12211-01-01</v>
          </cell>
          <cell r="B62" t="str">
            <v>Moldes</v>
          </cell>
          <cell r="C62">
            <v>0</v>
          </cell>
        </row>
        <row r="63">
          <cell r="A63" t="str">
            <v>00-12212-01-01</v>
          </cell>
          <cell r="B63" t="str">
            <v>Equipos Varios</v>
          </cell>
          <cell r="C63">
            <v>0</v>
          </cell>
        </row>
        <row r="64">
          <cell r="A64" t="str">
            <v>00-13102-01-01</v>
          </cell>
          <cell r="B64" t="str">
            <v>Otros Cargos Diferidos</v>
          </cell>
          <cell r="C64">
            <v>23500</v>
          </cell>
        </row>
        <row r="65">
          <cell r="A65" t="str">
            <v>00-13102-01-02</v>
          </cell>
          <cell r="B65" t="str">
            <v>Amortizac.Acum.OO.Cargos Diferidos</v>
          </cell>
          <cell r="C65">
            <v>-7666.67</v>
          </cell>
        </row>
        <row r="66">
          <cell r="A66" t="str">
            <v>00-14111-01-01</v>
          </cell>
          <cell r="B66" t="str">
            <v>Valores por Liquidar</v>
          </cell>
          <cell r="C66">
            <v>12433.86</v>
          </cell>
        </row>
        <row r="67">
          <cell r="A67" t="str">
            <v>00-21202-01-01</v>
          </cell>
          <cell r="B67" t="str">
            <v>Obligac. Bco.Guayaquil</v>
          </cell>
          <cell r="C67">
            <v>3474.63</v>
          </cell>
        </row>
        <row r="68">
          <cell r="A68" t="str">
            <v>00-21202-02-01</v>
          </cell>
          <cell r="B68" t="str">
            <v>Oblig. Bco Internac.Cont.# 100304385</v>
          </cell>
          <cell r="C68">
            <v>905.92</v>
          </cell>
        </row>
        <row r="69">
          <cell r="A69" t="str">
            <v>00-21202-06-01</v>
          </cell>
          <cell r="B69" t="str">
            <v>Oblig. Bco. Produbanco</v>
          </cell>
          <cell r="C69">
            <v>2683.55</v>
          </cell>
        </row>
        <row r="70">
          <cell r="A70" t="str">
            <v>00-21205-01-01</v>
          </cell>
          <cell r="B70" t="str">
            <v>Intereses por Pagar</v>
          </cell>
          <cell r="C70">
            <v>-3678.18</v>
          </cell>
        </row>
        <row r="71">
          <cell r="A71" t="str">
            <v>00-21205-02-01</v>
          </cell>
          <cell r="B71" t="str">
            <v>INTERESES POR PAGAR AMCOR</v>
          </cell>
          <cell r="C71">
            <v>-105259.6</v>
          </cell>
        </row>
        <row r="72">
          <cell r="A72" t="str">
            <v>00-21301-01-01</v>
          </cell>
          <cell r="B72" t="str">
            <v>Proveedores Locales</v>
          </cell>
          <cell r="C72">
            <v>225296.23</v>
          </cell>
        </row>
        <row r="73">
          <cell r="A73" t="str">
            <v>00-21301-20-02</v>
          </cell>
          <cell r="B73" t="str">
            <v>Provisión Auditoria Fiscal Local</v>
          </cell>
          <cell r="C73">
            <v>-23500</v>
          </cell>
        </row>
        <row r="74">
          <cell r="A74" t="str">
            <v>00-21301-21-01</v>
          </cell>
          <cell r="B74" t="str">
            <v>Compolan S.A.</v>
          </cell>
          <cell r="C74">
            <v>-9.25</v>
          </cell>
        </row>
        <row r="75">
          <cell r="A75" t="str">
            <v>00-21302-01-01</v>
          </cell>
          <cell r="B75" t="str">
            <v>Proveedores del Exterior</v>
          </cell>
          <cell r="C75">
            <v>-275426.2</v>
          </cell>
        </row>
        <row r="76">
          <cell r="A76" t="str">
            <v>00-21402-11-01</v>
          </cell>
          <cell r="B76" t="str">
            <v>AMCOR PERU</v>
          </cell>
          <cell r="C76">
            <v>-119082.18</v>
          </cell>
        </row>
        <row r="77">
          <cell r="A77" t="str">
            <v>00-21402-14-01</v>
          </cell>
          <cell r="B77" t="str">
            <v>AMCOR USA</v>
          </cell>
          <cell r="C77">
            <v>2837931.85</v>
          </cell>
        </row>
        <row r="78">
          <cell r="A78" t="str">
            <v>00-21402-15-01</v>
          </cell>
          <cell r="B78" t="str">
            <v>AMCOR COLOMBIA</v>
          </cell>
          <cell r="C78">
            <v>-17528.7</v>
          </cell>
        </row>
        <row r="79">
          <cell r="A79" t="str">
            <v>00-21402-16-01</v>
          </cell>
          <cell r="B79" t="str">
            <v>AMCOR MANCHESTER</v>
          </cell>
          <cell r="C79">
            <v>27543.07</v>
          </cell>
        </row>
        <row r="80">
          <cell r="A80" t="str">
            <v>00-21402-18-01</v>
          </cell>
          <cell r="B80" t="str">
            <v>AMCOR CANADA</v>
          </cell>
          <cell r="C80">
            <v>80487.460000000006</v>
          </cell>
        </row>
        <row r="81">
          <cell r="A81" t="str">
            <v>00-21404-01-01</v>
          </cell>
          <cell r="B81" t="str">
            <v>Cuentas por Liquidar</v>
          </cell>
          <cell r="C81">
            <v>292661.3</v>
          </cell>
        </row>
        <row r="82">
          <cell r="A82" t="str">
            <v>00-21405-01-01</v>
          </cell>
          <cell r="B82" t="str">
            <v>Acreedores Varios</v>
          </cell>
          <cell r="C82">
            <v>68590.600000000006</v>
          </cell>
        </row>
        <row r="83">
          <cell r="A83" t="str">
            <v>00-21405-02-01</v>
          </cell>
          <cell r="B83" t="str">
            <v>Anticipo de Clientes</v>
          </cell>
          <cell r="C83">
            <v>0</v>
          </cell>
        </row>
        <row r="84">
          <cell r="A84" t="str">
            <v>00-21405-05-01</v>
          </cell>
          <cell r="B84" t="str">
            <v>REBATE EBC</v>
          </cell>
          <cell r="C84">
            <v>-55470.96</v>
          </cell>
        </row>
        <row r="85">
          <cell r="A85" t="str">
            <v>00-21501-01-01</v>
          </cell>
          <cell r="B85" t="str">
            <v>I.V.A. Cobrado</v>
          </cell>
          <cell r="C85">
            <v>-9777.4</v>
          </cell>
        </row>
        <row r="86">
          <cell r="A86" t="str">
            <v>00-21501-03-01</v>
          </cell>
          <cell r="B86" t="str">
            <v>30% I.V.A. Retenido</v>
          </cell>
          <cell r="C86">
            <v>-413.24</v>
          </cell>
        </row>
        <row r="87">
          <cell r="A87" t="str">
            <v>00-21501-04-01</v>
          </cell>
          <cell r="B87" t="str">
            <v>70% I.V.A. Retenido</v>
          </cell>
          <cell r="C87">
            <v>-5814.51</v>
          </cell>
        </row>
        <row r="88">
          <cell r="A88" t="str">
            <v>00-21501-05-01</v>
          </cell>
          <cell r="B88" t="str">
            <v>100% I.V.A. Retenido</v>
          </cell>
          <cell r="C88">
            <v>1304.21</v>
          </cell>
        </row>
        <row r="89">
          <cell r="A89" t="str">
            <v>00-21502-01-01</v>
          </cell>
          <cell r="B89" t="str">
            <v>Retencion del 1% compra</v>
          </cell>
          <cell r="C89">
            <v>105.57</v>
          </cell>
        </row>
        <row r="90">
          <cell r="A90" t="str">
            <v>00-21502-02-01</v>
          </cell>
          <cell r="B90" t="str">
            <v>Retencion del 5% compra</v>
          </cell>
          <cell r="C90">
            <v>-654.33000000000004</v>
          </cell>
        </row>
        <row r="91">
          <cell r="A91" t="str">
            <v>00-21502-03-01</v>
          </cell>
          <cell r="B91" t="str">
            <v>Retencion del 8% compra</v>
          </cell>
          <cell r="C91">
            <v>1722.94</v>
          </cell>
        </row>
        <row r="92">
          <cell r="A92" t="str">
            <v>00-21502-05-01</v>
          </cell>
          <cell r="B92" t="str">
            <v>Retención del 0,1% compra</v>
          </cell>
          <cell r="C92">
            <v>42.09</v>
          </cell>
        </row>
        <row r="93">
          <cell r="A93" t="str">
            <v>00-21502-06-01</v>
          </cell>
          <cell r="B93" t="str">
            <v>Retención Impto.Renta Sueldos</v>
          </cell>
          <cell r="C93">
            <v>-734.94</v>
          </cell>
        </row>
        <row r="94">
          <cell r="A94" t="str">
            <v>00-21503-09-01</v>
          </cell>
          <cell r="B94" t="str">
            <v>Impuesto a la Renta de Cía.</v>
          </cell>
          <cell r="C94">
            <v>-80936</v>
          </cell>
        </row>
        <row r="95">
          <cell r="A95" t="str">
            <v>00-21601-01-01</v>
          </cell>
          <cell r="B95" t="str">
            <v>Aporte Individual</v>
          </cell>
          <cell r="C95">
            <v>-1198.6600000000001</v>
          </cell>
        </row>
        <row r="96">
          <cell r="A96" t="str">
            <v>00-21601-02-01</v>
          </cell>
          <cell r="B96" t="str">
            <v>Prestamos al Iess</v>
          </cell>
          <cell r="C96">
            <v>-91.94</v>
          </cell>
        </row>
        <row r="97">
          <cell r="A97" t="str">
            <v>00-21602-01-01</v>
          </cell>
          <cell r="B97" t="str">
            <v>Nominas por pagar</v>
          </cell>
          <cell r="C97">
            <v>-68.02</v>
          </cell>
        </row>
        <row r="98">
          <cell r="A98" t="str">
            <v>00-21602-02-01</v>
          </cell>
          <cell r="B98" t="str">
            <v>Aporte Patronal</v>
          </cell>
          <cell r="C98">
            <v>-1557.22</v>
          </cell>
        </row>
        <row r="99">
          <cell r="A99" t="str">
            <v>00-21602-03-01</v>
          </cell>
          <cell r="B99" t="str">
            <v>Décimo Tercer Sueldo</v>
          </cell>
          <cell r="C99">
            <v>-8777.4599999999991</v>
          </cell>
        </row>
        <row r="100">
          <cell r="A100" t="str">
            <v>00-21602-04-01</v>
          </cell>
          <cell r="B100" t="str">
            <v>Décimo Cuarto Sueldo</v>
          </cell>
          <cell r="C100">
            <v>-2644.11</v>
          </cell>
        </row>
        <row r="101">
          <cell r="A101" t="str">
            <v>00-21602-07-01</v>
          </cell>
          <cell r="B101" t="str">
            <v>Fondo de Reserva</v>
          </cell>
          <cell r="C101">
            <v>-109.66</v>
          </cell>
        </row>
        <row r="102">
          <cell r="A102" t="str">
            <v>00-21602-08-01</v>
          </cell>
          <cell r="B102" t="str">
            <v>Vacaciones</v>
          </cell>
          <cell r="C102">
            <v>-4388.7700000000004</v>
          </cell>
        </row>
        <row r="103">
          <cell r="A103" t="str">
            <v>00-21602-16-01</v>
          </cell>
          <cell r="B103" t="str">
            <v>Bonos Ejecutivos Por Pagar</v>
          </cell>
          <cell r="C103">
            <v>-2700</v>
          </cell>
        </row>
        <row r="104">
          <cell r="A104" t="str">
            <v>00-21701-01-01</v>
          </cell>
          <cell r="B104" t="str">
            <v>15% Participación de Utilidades</v>
          </cell>
          <cell r="C104">
            <v>-10554.99</v>
          </cell>
        </row>
        <row r="105">
          <cell r="A105" t="str">
            <v>00-22301-07-01</v>
          </cell>
          <cell r="B105" t="str">
            <v>Doctos.por Pagar L.Plazo - Amcor  USA</v>
          </cell>
          <cell r="C105">
            <v>37140.019999999997</v>
          </cell>
        </row>
        <row r="106">
          <cell r="A106" t="str">
            <v>00-41101-01-01</v>
          </cell>
          <cell r="B106" t="str">
            <v>Venta de Envases Retornables P.E.T</v>
          </cell>
          <cell r="C106">
            <v>-2439646.4</v>
          </cell>
        </row>
        <row r="107">
          <cell r="A107" t="str">
            <v>00-41101-02-01</v>
          </cell>
          <cell r="B107" t="str">
            <v>Venta de Envases No Retornables P.R.B</v>
          </cell>
          <cell r="C107">
            <v>-381362.53</v>
          </cell>
        </row>
        <row r="108">
          <cell r="A108" t="str">
            <v>00-41102-01-01</v>
          </cell>
          <cell r="B108" t="str">
            <v>Venta de Preformas Nacionales</v>
          </cell>
          <cell r="C108">
            <v>-682283.76</v>
          </cell>
        </row>
        <row r="109">
          <cell r="A109" t="str">
            <v>00-41102-02-01</v>
          </cell>
          <cell r="B109" t="str">
            <v>Venta de Preformas Importadas</v>
          </cell>
          <cell r="C109">
            <v>-19466.64</v>
          </cell>
        </row>
        <row r="110">
          <cell r="A110" t="str">
            <v>00-41106-01-01</v>
          </cell>
          <cell r="B110" t="str">
            <v>Venta de Material Reciclaje</v>
          </cell>
          <cell r="C110">
            <v>-23262.99</v>
          </cell>
        </row>
        <row r="111">
          <cell r="A111" t="str">
            <v>00-41201-01-01</v>
          </cell>
          <cell r="B111" t="str">
            <v>Venta por Servicio de Fajillado</v>
          </cell>
          <cell r="C111">
            <v>-191.2</v>
          </cell>
        </row>
        <row r="112">
          <cell r="A112" t="str">
            <v>00-42101-01-01</v>
          </cell>
          <cell r="B112" t="str">
            <v>Descuentos y devoluciones sobre Ventas</v>
          </cell>
          <cell r="C112">
            <v>13220.83</v>
          </cell>
        </row>
        <row r="113">
          <cell r="A113" t="str">
            <v>00-42101-02-01</v>
          </cell>
          <cell r="B113" t="str">
            <v>Descuentos y devoluciones sobre ventas Envases</v>
          </cell>
          <cell r="C113">
            <v>183.38</v>
          </cell>
        </row>
        <row r="114">
          <cell r="A114" t="str">
            <v>00-42101-03-01</v>
          </cell>
          <cell r="B114" t="str">
            <v>Descuentos y devoluciones sobre ventas Preformas</v>
          </cell>
          <cell r="C114">
            <v>10683.98</v>
          </cell>
        </row>
        <row r="115">
          <cell r="A115" t="str">
            <v>00-42101-05-01</v>
          </cell>
          <cell r="B115" t="str">
            <v>Descuentos y devoluciones sobre ventas Reciclado</v>
          </cell>
          <cell r="C115">
            <v>330</v>
          </cell>
        </row>
        <row r="116">
          <cell r="A116" t="str">
            <v>00-42101-06-01</v>
          </cell>
          <cell r="B116" t="str">
            <v>Descuentos EBC</v>
          </cell>
          <cell r="C116">
            <v>55470.96</v>
          </cell>
        </row>
        <row r="117">
          <cell r="A117" t="str">
            <v>00-43401-01-06</v>
          </cell>
          <cell r="B117" t="str">
            <v>Venta de Maquinarias y Equipos (GW)</v>
          </cell>
          <cell r="C117">
            <v>-9500</v>
          </cell>
        </row>
        <row r="118">
          <cell r="A118" t="str">
            <v>00-51101-01-01</v>
          </cell>
          <cell r="B118" t="str">
            <v>Costo de Venta  Envases Nacionales</v>
          </cell>
          <cell r="C118">
            <v>1500476.63</v>
          </cell>
        </row>
        <row r="119">
          <cell r="A119" t="str">
            <v>00-51101-02-01</v>
          </cell>
          <cell r="B119" t="str">
            <v>Costo de Venta  Envases Importados</v>
          </cell>
          <cell r="C119">
            <v>101605.94</v>
          </cell>
        </row>
        <row r="120">
          <cell r="A120" t="str">
            <v>00-51102-01-01</v>
          </cell>
          <cell r="B120" t="str">
            <v>Costo de Venta Preformas Nacionales</v>
          </cell>
          <cell r="C120">
            <v>466997.98</v>
          </cell>
        </row>
        <row r="121">
          <cell r="A121" t="str">
            <v>00-51102-02-01</v>
          </cell>
          <cell r="B121" t="str">
            <v>Costo de Venta Preformas Importadas</v>
          </cell>
          <cell r="C121">
            <v>19342.96</v>
          </cell>
        </row>
        <row r="122">
          <cell r="A122" t="str">
            <v>00-51104-01-01</v>
          </cell>
          <cell r="B122" t="str">
            <v>Subcontract- Variance</v>
          </cell>
          <cell r="C122">
            <v>84833.34</v>
          </cell>
        </row>
        <row r="123">
          <cell r="A123" t="str">
            <v>00-51110-01-01</v>
          </cell>
          <cell r="B123" t="str">
            <v>Costo de  Pigmento</v>
          </cell>
          <cell r="C123">
            <v>8999.6200000000008</v>
          </cell>
        </row>
        <row r="124">
          <cell r="A124" t="str">
            <v>00-52102-03-01</v>
          </cell>
          <cell r="B124" t="str">
            <v>Inv. Producto Obsoleto</v>
          </cell>
          <cell r="C124">
            <v>82.12</v>
          </cell>
        </row>
        <row r="125">
          <cell r="A125" t="str">
            <v>00-52103-01-01</v>
          </cell>
          <cell r="B125" t="str">
            <v>Plástico Pascuales</v>
          </cell>
          <cell r="C125">
            <v>5628.21</v>
          </cell>
        </row>
        <row r="126">
          <cell r="A126" t="str">
            <v>00-52103-02-01</v>
          </cell>
          <cell r="B126" t="str">
            <v>Expandible Pascuales</v>
          </cell>
          <cell r="C126">
            <v>3644.24</v>
          </cell>
        </row>
        <row r="127">
          <cell r="A127" t="str">
            <v>00-52103-02-02</v>
          </cell>
          <cell r="B127" t="str">
            <v>Expandible EBC Gquil</v>
          </cell>
          <cell r="C127">
            <v>7969.28</v>
          </cell>
        </row>
        <row r="128">
          <cell r="A128" t="str">
            <v>00-52103-02-03</v>
          </cell>
          <cell r="B128" t="str">
            <v>Expandible EBC Quito</v>
          </cell>
          <cell r="C128">
            <v>1860.88</v>
          </cell>
        </row>
        <row r="129">
          <cell r="A129" t="str">
            <v>00-52103-03-01</v>
          </cell>
          <cell r="B129" t="str">
            <v>Cinta de embalaje Pascuales</v>
          </cell>
          <cell r="C129">
            <v>1215.19</v>
          </cell>
        </row>
        <row r="130">
          <cell r="A130" t="str">
            <v>00-52103-03-02</v>
          </cell>
          <cell r="B130" t="str">
            <v>Cinta de embalaje EBC Gquil</v>
          </cell>
          <cell r="C130">
            <v>58.33</v>
          </cell>
        </row>
        <row r="131">
          <cell r="A131" t="str">
            <v>00-52103-03-03</v>
          </cell>
          <cell r="B131" t="str">
            <v>Cinta de embalaje EBC Quito</v>
          </cell>
          <cell r="C131">
            <v>174.99</v>
          </cell>
        </row>
        <row r="132">
          <cell r="A132" t="str">
            <v>00-52103-04-01</v>
          </cell>
          <cell r="B132" t="str">
            <v>Zunchos Pascuales</v>
          </cell>
          <cell r="C132">
            <v>977.97</v>
          </cell>
        </row>
        <row r="133">
          <cell r="A133" t="str">
            <v>00-52103-05-01</v>
          </cell>
          <cell r="B133" t="str">
            <v>Grapas para zuncho Pascuales</v>
          </cell>
          <cell r="C133">
            <v>200.52</v>
          </cell>
        </row>
        <row r="134">
          <cell r="A134" t="str">
            <v>00-52103-06-01</v>
          </cell>
          <cell r="B134" t="str">
            <v>Pallets Pascuales</v>
          </cell>
          <cell r="C134">
            <v>11395</v>
          </cell>
        </row>
        <row r="135">
          <cell r="A135" t="str">
            <v>00-52103-06-02</v>
          </cell>
          <cell r="B135" t="str">
            <v>Pallets EBC Gquil</v>
          </cell>
          <cell r="C135">
            <v>300</v>
          </cell>
        </row>
        <row r="136">
          <cell r="A136" t="str">
            <v>00-52103-07-01</v>
          </cell>
          <cell r="B136" t="str">
            <v>Cajas para preformas Pascuales</v>
          </cell>
          <cell r="C136">
            <v>14801.96</v>
          </cell>
        </row>
        <row r="137">
          <cell r="A137" t="str">
            <v>00-52103-10-01</v>
          </cell>
          <cell r="B137" t="str">
            <v>Tapas para Cartón Pascuales</v>
          </cell>
          <cell r="C137">
            <v>2229.98</v>
          </cell>
        </row>
        <row r="138">
          <cell r="A138" t="str">
            <v>00-52103-14-01</v>
          </cell>
          <cell r="B138" t="str">
            <v>Láminas de Cartón Pascuales</v>
          </cell>
          <cell r="C138">
            <v>2640.7</v>
          </cell>
        </row>
        <row r="139">
          <cell r="A139" t="str">
            <v>00-52103-14-02</v>
          </cell>
          <cell r="B139" t="str">
            <v>Láminas de Cartón EBC Gquil</v>
          </cell>
          <cell r="C139">
            <v>360.66</v>
          </cell>
        </row>
        <row r="140">
          <cell r="A140" t="str">
            <v>00-52103-15-01</v>
          </cell>
          <cell r="B140" t="str">
            <v>Marco de madera Pascuales</v>
          </cell>
          <cell r="C140">
            <v>1488</v>
          </cell>
        </row>
        <row r="141">
          <cell r="A141" t="str">
            <v>00-52103-18-01</v>
          </cell>
          <cell r="B141" t="str">
            <v>Bandejas Pascuales</v>
          </cell>
          <cell r="C141">
            <v>12920.72</v>
          </cell>
        </row>
        <row r="142">
          <cell r="A142" t="str">
            <v>00-52103-18-02</v>
          </cell>
          <cell r="B142" t="str">
            <v>Bandejas EBC Gquil</v>
          </cell>
          <cell r="C142">
            <v>414</v>
          </cell>
        </row>
        <row r="143">
          <cell r="A143" t="str">
            <v>00-52103-18-03</v>
          </cell>
          <cell r="B143" t="str">
            <v>Bandejas EBC Quito</v>
          </cell>
          <cell r="C143">
            <v>3357.77</v>
          </cell>
        </row>
        <row r="144">
          <cell r="A144" t="str">
            <v>00-52103-27-01</v>
          </cell>
          <cell r="B144" t="str">
            <v>Pegamento Fuller Pascuales</v>
          </cell>
          <cell r="C144">
            <v>45.1</v>
          </cell>
        </row>
        <row r="145">
          <cell r="A145" t="str">
            <v>00-52103-27-02</v>
          </cell>
          <cell r="B145" t="str">
            <v>Pegamento Fuller EBC Gquil</v>
          </cell>
          <cell r="C145">
            <v>1250.5</v>
          </cell>
        </row>
        <row r="146">
          <cell r="A146" t="str">
            <v>00-52103-27-03</v>
          </cell>
          <cell r="B146" t="str">
            <v>Pegamento Fuller EBC Qto</v>
          </cell>
          <cell r="C146">
            <v>1267.75</v>
          </cell>
        </row>
        <row r="147">
          <cell r="A147" t="str">
            <v>00-52103-28-01</v>
          </cell>
          <cell r="B147" t="str">
            <v>Fundas Amcor #1 Pascuales</v>
          </cell>
          <cell r="C147">
            <v>4103.47</v>
          </cell>
        </row>
        <row r="148">
          <cell r="A148" t="str">
            <v>00-52103-29-01</v>
          </cell>
          <cell r="B148" t="str">
            <v>Fundas Amcor #2 Pascuales</v>
          </cell>
          <cell r="C148">
            <v>2525.4</v>
          </cell>
        </row>
        <row r="149">
          <cell r="A149" t="str">
            <v>00-52103-30-01</v>
          </cell>
          <cell r="B149" t="str">
            <v>Fundas Amcor #3 Pascuales</v>
          </cell>
          <cell r="C149">
            <v>1106.69</v>
          </cell>
        </row>
        <row r="150">
          <cell r="A150" t="str">
            <v>00-52103-30-02</v>
          </cell>
          <cell r="B150" t="str">
            <v>Fundas Amcor #3 EBC Gquil</v>
          </cell>
          <cell r="C150">
            <v>137.86000000000001</v>
          </cell>
        </row>
        <row r="151">
          <cell r="A151" t="str">
            <v>00-52103-31-01</v>
          </cell>
          <cell r="B151" t="str">
            <v>Fundas Amcor #4 Pascuales</v>
          </cell>
          <cell r="C151">
            <v>2602.9</v>
          </cell>
        </row>
        <row r="152">
          <cell r="A152" t="str">
            <v>00-52103-32-01</v>
          </cell>
          <cell r="B152" t="str">
            <v>Fundas Amcor #5 Pascuales</v>
          </cell>
          <cell r="C152">
            <v>1076</v>
          </cell>
        </row>
        <row r="153">
          <cell r="A153" t="str">
            <v>00-52103-32-02</v>
          </cell>
          <cell r="B153" t="str">
            <v>Fundas Amcor #5 EBC Gquil</v>
          </cell>
          <cell r="C153">
            <v>174.85</v>
          </cell>
        </row>
        <row r="154">
          <cell r="A154" t="str">
            <v>00-52103-33-01</v>
          </cell>
          <cell r="B154" t="str">
            <v>Fundas Amcor #6 Pascuales</v>
          </cell>
          <cell r="C154">
            <v>1002.99</v>
          </cell>
        </row>
        <row r="155">
          <cell r="A155" t="str">
            <v>00-52107-01-01</v>
          </cell>
          <cell r="B155" t="str">
            <v>Merma Inyección</v>
          </cell>
          <cell r="C155">
            <v>19681.23</v>
          </cell>
        </row>
        <row r="156">
          <cell r="A156" t="str">
            <v>00-52107-02-01</v>
          </cell>
          <cell r="B156" t="str">
            <v>Merma Soplado APPE Gquil</v>
          </cell>
          <cell r="C156">
            <v>8981.1299999999992</v>
          </cell>
        </row>
        <row r="157">
          <cell r="A157" t="str">
            <v>00-52107-04-01</v>
          </cell>
          <cell r="B157" t="str">
            <v>Merma Soplado EBC Gquil</v>
          </cell>
          <cell r="C157">
            <v>8333.11</v>
          </cell>
        </row>
        <row r="158">
          <cell r="A158" t="str">
            <v>00-52107-05-01</v>
          </cell>
          <cell r="B158" t="str">
            <v>Merma Soplado EBC Quito</v>
          </cell>
          <cell r="C158">
            <v>17985.759999999998</v>
          </cell>
        </row>
        <row r="159">
          <cell r="A159" t="str">
            <v>00-52107-07-01</v>
          </cell>
          <cell r="B159" t="str">
            <v>HFI</v>
          </cell>
          <cell r="C159">
            <v>12458.68</v>
          </cell>
        </row>
        <row r="160">
          <cell r="A160" t="str">
            <v>00-52107-08-01</v>
          </cell>
          <cell r="B160" t="str">
            <v>Muestras</v>
          </cell>
          <cell r="C160">
            <v>64</v>
          </cell>
        </row>
        <row r="161">
          <cell r="A161" t="str">
            <v>00-71101-01-01</v>
          </cell>
          <cell r="B161" t="str">
            <v>Intereses Ganados de Bancos</v>
          </cell>
          <cell r="C161">
            <v>-111.92</v>
          </cell>
        </row>
        <row r="162">
          <cell r="A162" t="str">
            <v>00-71101-03-01</v>
          </cell>
          <cell r="B162" t="str">
            <v>Intereses Ganados de Terceros</v>
          </cell>
          <cell r="C162">
            <v>-7701.23</v>
          </cell>
        </row>
        <row r="163">
          <cell r="A163" t="str">
            <v>00-71401-01-01</v>
          </cell>
          <cell r="B163" t="str">
            <v>Otros Ingresos</v>
          </cell>
          <cell r="C163">
            <v>-21259.72</v>
          </cell>
        </row>
        <row r="164">
          <cell r="A164" t="str">
            <v>00-71401-02-01</v>
          </cell>
          <cell r="B164" t="str">
            <v>Ajuste Costo Inventario</v>
          </cell>
          <cell r="C164">
            <v>42078.53</v>
          </cell>
        </row>
        <row r="165">
          <cell r="A165" t="str">
            <v>00-81101-02-01</v>
          </cell>
          <cell r="B165" t="str">
            <v>Intereses y Comisiones Pagadas Amcor</v>
          </cell>
          <cell r="C165">
            <v>105259.6</v>
          </cell>
        </row>
        <row r="166">
          <cell r="A166" t="str">
            <v>00-81101-03-01</v>
          </cell>
          <cell r="B166" t="str">
            <v>Intereses y Comisiones Pagadas a Terceros</v>
          </cell>
          <cell r="C166">
            <v>7183.5</v>
          </cell>
        </row>
        <row r="167">
          <cell r="A167" t="str">
            <v>00-81201-01-01</v>
          </cell>
          <cell r="B167" t="str">
            <v>Asistencia Tecnica Amcor</v>
          </cell>
          <cell r="C167">
            <v>17000</v>
          </cell>
        </row>
        <row r="168">
          <cell r="A168" t="str">
            <v>00-81401-01-01</v>
          </cell>
          <cell r="B168" t="str">
            <v>Gastos de Impuestos  Bancos</v>
          </cell>
          <cell r="C168">
            <v>2</v>
          </cell>
        </row>
        <row r="169">
          <cell r="A169" t="str">
            <v>00-81601-01-01</v>
          </cell>
          <cell r="B169" t="str">
            <v>Egresos Varios</v>
          </cell>
          <cell r="C169">
            <v>7339.53</v>
          </cell>
        </row>
        <row r="170">
          <cell r="A170" t="str">
            <v>00-81601-01-02</v>
          </cell>
          <cell r="B170" t="str">
            <v>Egresos Ejercicios Anteriores</v>
          </cell>
          <cell r="C170">
            <v>-12433.86</v>
          </cell>
        </row>
        <row r="171">
          <cell r="A171" t="str">
            <v>00-81602-01-01</v>
          </cell>
          <cell r="B171" t="str">
            <v>Ajuste Costo de Inventario</v>
          </cell>
          <cell r="C171">
            <v>-3.24</v>
          </cell>
        </row>
        <row r="172">
          <cell r="A172" t="str">
            <v>10-61101-01-01</v>
          </cell>
          <cell r="B172" t="str">
            <v>Sueldos y Salarios Pascuales</v>
          </cell>
          <cell r="C172">
            <v>12172.86</v>
          </cell>
        </row>
        <row r="173">
          <cell r="A173" t="str">
            <v>10-61101-01-02</v>
          </cell>
          <cell r="B173" t="str">
            <v>Sueldos y Salarios EBC Gquil</v>
          </cell>
          <cell r="C173">
            <v>7981.94</v>
          </cell>
        </row>
        <row r="174">
          <cell r="A174" t="str">
            <v>10-61101-01-03</v>
          </cell>
          <cell r="B174" t="str">
            <v>Sueldos y Salarios EBC Quito</v>
          </cell>
          <cell r="C174">
            <v>6610.42</v>
          </cell>
        </row>
        <row r="175">
          <cell r="A175" t="str">
            <v>10-61101-01-05</v>
          </cell>
          <cell r="B175" t="str">
            <v>Sueldos y Salarios Indirectos Pascuales</v>
          </cell>
          <cell r="C175">
            <v>28630.01</v>
          </cell>
        </row>
        <row r="176">
          <cell r="A176" t="str">
            <v>10-61101-01-06</v>
          </cell>
          <cell r="B176" t="str">
            <v>Sueldos y Salarios Indirectos EBC Guayaquil</v>
          </cell>
          <cell r="C176">
            <v>5641.39</v>
          </cell>
        </row>
        <row r="177">
          <cell r="A177" t="str">
            <v>10-61101-01-07</v>
          </cell>
          <cell r="B177" t="str">
            <v>Sueldos y Salarios Indirectos EBC Quito</v>
          </cell>
          <cell r="C177">
            <v>4295.16</v>
          </cell>
        </row>
        <row r="178">
          <cell r="A178" t="str">
            <v>10-61101-02-01</v>
          </cell>
          <cell r="B178" t="str">
            <v>Sobretiempos Sueldos Pascuales</v>
          </cell>
          <cell r="C178">
            <v>6372.17</v>
          </cell>
        </row>
        <row r="179">
          <cell r="A179" t="str">
            <v>10-61101-02-02</v>
          </cell>
          <cell r="B179" t="str">
            <v>Sobretiempos Sueldos EBC Gquil</v>
          </cell>
          <cell r="C179">
            <v>4878.96</v>
          </cell>
        </row>
        <row r="180">
          <cell r="A180" t="str">
            <v>10-61101-02-03</v>
          </cell>
          <cell r="B180" t="str">
            <v>Sobretiempos Sueldos EBC Quito</v>
          </cell>
          <cell r="C180">
            <v>3847.52</v>
          </cell>
        </row>
        <row r="181">
          <cell r="A181" t="str">
            <v>10-61101-02-05</v>
          </cell>
          <cell r="B181" t="str">
            <v>Sobretiempos Sueldos Indirectos Pascuales</v>
          </cell>
          <cell r="C181">
            <v>4326.03</v>
          </cell>
        </row>
        <row r="182">
          <cell r="A182" t="str">
            <v>10-61101-02-06</v>
          </cell>
          <cell r="B182" t="str">
            <v>Sobretiempo Sueldos Indirectos EBC Guayaquil</v>
          </cell>
          <cell r="C182">
            <v>1762.11</v>
          </cell>
        </row>
        <row r="183">
          <cell r="A183" t="str">
            <v>10-61101-02-07</v>
          </cell>
          <cell r="B183" t="str">
            <v>Sobretiempo Sueldos Indirectos EBC Quito</v>
          </cell>
          <cell r="C183">
            <v>2320.27</v>
          </cell>
        </row>
        <row r="184">
          <cell r="A184" t="str">
            <v>10-61101-04-01</v>
          </cell>
          <cell r="B184" t="str">
            <v>Vacaciones Pascuales</v>
          </cell>
          <cell r="C184">
            <v>774</v>
          </cell>
        </row>
        <row r="185">
          <cell r="A185" t="str">
            <v>10-61101-04-02</v>
          </cell>
          <cell r="B185" t="str">
            <v>Vacaciones EBC Gquil</v>
          </cell>
          <cell r="C185">
            <v>529.41999999999996</v>
          </cell>
        </row>
        <row r="186">
          <cell r="A186" t="str">
            <v>10-61101-04-03</v>
          </cell>
          <cell r="B186" t="str">
            <v>Vacaciones EBC Quito</v>
          </cell>
          <cell r="C186">
            <v>440.92</v>
          </cell>
        </row>
        <row r="187">
          <cell r="A187" t="str">
            <v>10-61101-04-05</v>
          </cell>
          <cell r="B187" t="str">
            <v>Vacaciones Indirectos Pascuales</v>
          </cell>
          <cell r="C187">
            <v>1191.6600000000001</v>
          </cell>
        </row>
        <row r="188">
          <cell r="A188" t="str">
            <v>10-61101-04-06</v>
          </cell>
          <cell r="B188" t="str">
            <v>Vacaciones Indirectos EBC Guayaquil</v>
          </cell>
          <cell r="C188">
            <v>266.18</v>
          </cell>
        </row>
        <row r="189">
          <cell r="A189" t="str">
            <v>10-61101-04-07</v>
          </cell>
          <cell r="B189" t="str">
            <v>Vacaciones Indirectos EBC Quito</v>
          </cell>
          <cell r="C189">
            <v>274.23</v>
          </cell>
        </row>
        <row r="190">
          <cell r="A190" t="str">
            <v>10-61101-05-01</v>
          </cell>
          <cell r="B190" t="str">
            <v>Decimo Tercer Sueldo Pascuales</v>
          </cell>
          <cell r="C190">
            <v>1548.05</v>
          </cell>
        </row>
        <row r="191">
          <cell r="A191" t="str">
            <v>10-61101-05-02</v>
          </cell>
          <cell r="B191" t="str">
            <v>Decimo Tercer Sueldo EBC Gquil</v>
          </cell>
          <cell r="C191">
            <v>1058.83</v>
          </cell>
        </row>
        <row r="192">
          <cell r="A192" t="str">
            <v>10-61101-05-03</v>
          </cell>
          <cell r="B192" t="str">
            <v>Decimo Tercer Sueldo EBC Quito</v>
          </cell>
          <cell r="C192">
            <v>881.84</v>
          </cell>
        </row>
        <row r="193">
          <cell r="A193" t="str">
            <v>10-61101-05-05</v>
          </cell>
          <cell r="B193" t="str">
            <v>Decimo Tercer Sueldo Indirectos Pascuales</v>
          </cell>
          <cell r="C193">
            <v>2383.2800000000002</v>
          </cell>
        </row>
        <row r="194">
          <cell r="A194" t="str">
            <v>10-61101-05-06</v>
          </cell>
          <cell r="B194" t="str">
            <v>Decimo Tercer Sueldo Indirectos EBC Guayaquil</v>
          </cell>
          <cell r="C194">
            <v>532.36</v>
          </cell>
        </row>
        <row r="195">
          <cell r="A195" t="str">
            <v>10-61101-05-07</v>
          </cell>
          <cell r="B195" t="str">
            <v>Decimo Tercer Sueldo Indirectos EBC Quito</v>
          </cell>
          <cell r="C195">
            <v>548.45000000000005</v>
          </cell>
        </row>
        <row r="196">
          <cell r="A196" t="str">
            <v>10-61101-06-01</v>
          </cell>
          <cell r="B196" t="str">
            <v>Decimo Cuarto Sueldo Pascuales</v>
          </cell>
          <cell r="C196">
            <v>678.74</v>
          </cell>
        </row>
        <row r="197">
          <cell r="A197" t="str">
            <v>10-61101-06-02</v>
          </cell>
          <cell r="B197" t="str">
            <v>Decimo Cuarto Sueldo EBC Gquil</v>
          </cell>
          <cell r="C197">
            <v>481.78</v>
          </cell>
        </row>
        <row r="198">
          <cell r="A198" t="str">
            <v>10-61101-06-03</v>
          </cell>
          <cell r="B198" t="str">
            <v>Decimo Cuarto Sueldo EBC Quito</v>
          </cell>
          <cell r="C198">
            <v>420.85</v>
          </cell>
        </row>
        <row r="199">
          <cell r="A199" t="str">
            <v>10-61101-06-05</v>
          </cell>
          <cell r="B199" t="str">
            <v>Decimo Cuarto Sueldo Indirectos Pascuales</v>
          </cell>
          <cell r="C199">
            <v>655.59</v>
          </cell>
        </row>
        <row r="200">
          <cell r="A200" t="str">
            <v>10-61101-06-06</v>
          </cell>
          <cell r="B200" t="str">
            <v>Decimo Cuarto Sueldo Indirectos EBC Guayaquil</v>
          </cell>
          <cell r="C200">
            <v>155.87</v>
          </cell>
        </row>
        <row r="201">
          <cell r="A201" t="str">
            <v>10-61101-06-07</v>
          </cell>
          <cell r="B201" t="str">
            <v>Decimo Cuarto Sueldo Indirectos EBC Quito</v>
          </cell>
          <cell r="C201">
            <v>141.69999999999999</v>
          </cell>
        </row>
        <row r="202">
          <cell r="A202" t="str">
            <v>10-61101-11-01</v>
          </cell>
          <cell r="B202" t="str">
            <v>Fondo de Reserva Pascuales</v>
          </cell>
          <cell r="C202">
            <v>36.29</v>
          </cell>
        </row>
        <row r="203">
          <cell r="A203" t="str">
            <v>10-61101-11-03</v>
          </cell>
          <cell r="B203" t="str">
            <v>Fondo de Reserva EBC Quito</v>
          </cell>
          <cell r="C203">
            <v>3.17</v>
          </cell>
        </row>
        <row r="204">
          <cell r="A204" t="str">
            <v>10-61101-11-05</v>
          </cell>
          <cell r="B204" t="str">
            <v>Fondo de Reserva Indirectos Pascuales</v>
          </cell>
          <cell r="C204">
            <v>19.559999999999999</v>
          </cell>
        </row>
        <row r="205">
          <cell r="A205" t="str">
            <v>10-61101-11-06</v>
          </cell>
          <cell r="B205" t="str">
            <v>Fondo de Reserva Indirectos EBC Guayaquil</v>
          </cell>
          <cell r="C205">
            <v>6.13</v>
          </cell>
        </row>
        <row r="206">
          <cell r="A206" t="str">
            <v>10-61101-11-07</v>
          </cell>
          <cell r="B206" t="str">
            <v>Fondo de Reserva Indirectos EBC Quito</v>
          </cell>
          <cell r="C206">
            <v>2.2400000000000002</v>
          </cell>
        </row>
        <row r="207">
          <cell r="A207" t="str">
            <v>10-61101-12-01</v>
          </cell>
          <cell r="B207" t="str">
            <v>Movilización Pascuales</v>
          </cell>
          <cell r="C207">
            <v>1515</v>
          </cell>
        </row>
        <row r="208">
          <cell r="A208" t="str">
            <v>10-61101-12-02</v>
          </cell>
          <cell r="B208" t="str">
            <v>Movilización EBC Gquil</v>
          </cell>
          <cell r="C208">
            <v>82</v>
          </cell>
        </row>
        <row r="209">
          <cell r="A209" t="str">
            <v>10-61101-12-03</v>
          </cell>
          <cell r="B209" t="str">
            <v>Movilización EBC Quito</v>
          </cell>
          <cell r="C209">
            <v>391.57</v>
          </cell>
        </row>
        <row r="210">
          <cell r="A210" t="str">
            <v>10-61101-12-05</v>
          </cell>
          <cell r="B210" t="str">
            <v>Movilización Indirectos Pascuales</v>
          </cell>
          <cell r="C210">
            <v>1674.5</v>
          </cell>
        </row>
        <row r="211">
          <cell r="A211" t="str">
            <v>10-61101-12-06</v>
          </cell>
          <cell r="B211" t="str">
            <v>Movilización Indirectos EBC Guayaquil</v>
          </cell>
          <cell r="C211">
            <v>178.5</v>
          </cell>
        </row>
        <row r="212">
          <cell r="A212" t="str">
            <v>10-61101-12-07</v>
          </cell>
          <cell r="B212" t="str">
            <v>Movilización Indirectos EBC Quito</v>
          </cell>
          <cell r="C212">
            <v>33</v>
          </cell>
        </row>
        <row r="213">
          <cell r="A213" t="str">
            <v>10-61101-13-01</v>
          </cell>
          <cell r="B213" t="str">
            <v>Alimentación Pascuales</v>
          </cell>
          <cell r="C213">
            <v>1887.8</v>
          </cell>
        </row>
        <row r="214">
          <cell r="A214" t="str">
            <v>10-61101-13-02</v>
          </cell>
          <cell r="B214" t="str">
            <v>Alimentación EBC Gquil</v>
          </cell>
          <cell r="C214">
            <v>1581.06</v>
          </cell>
        </row>
        <row r="215">
          <cell r="A215" t="str">
            <v>10-61101-13-03</v>
          </cell>
          <cell r="B215" t="str">
            <v>Alimentación EBC Quito</v>
          </cell>
          <cell r="C215">
            <v>1968.4</v>
          </cell>
        </row>
        <row r="216">
          <cell r="A216" t="str">
            <v>10-61101-13-05</v>
          </cell>
          <cell r="B216" t="str">
            <v>Alimentación Indirectos Pascuales</v>
          </cell>
          <cell r="C216">
            <v>1941.5</v>
          </cell>
        </row>
        <row r="217">
          <cell r="A217" t="str">
            <v>10-61101-13-06</v>
          </cell>
          <cell r="B217" t="str">
            <v>Alimentación Indirectos EBC Guayaquil</v>
          </cell>
          <cell r="C217">
            <v>526.36</v>
          </cell>
        </row>
        <row r="218">
          <cell r="A218" t="str">
            <v>10-61101-13-07</v>
          </cell>
          <cell r="B218" t="str">
            <v>Alimentación Indirectos EBC Quito</v>
          </cell>
          <cell r="C218">
            <v>731.9</v>
          </cell>
        </row>
        <row r="219">
          <cell r="A219" t="str">
            <v>10-61101-14-01</v>
          </cell>
          <cell r="B219" t="str">
            <v>Aporte Patronal, SECAP e IECE Pascuales</v>
          </cell>
          <cell r="C219">
            <v>2257.06</v>
          </cell>
        </row>
        <row r="220">
          <cell r="A220" t="str">
            <v>10-61101-14-02</v>
          </cell>
          <cell r="B220" t="str">
            <v>Aporte Patronal, SECAP e IECE EBC Gquil</v>
          </cell>
          <cell r="C220">
            <v>1543.79</v>
          </cell>
        </row>
        <row r="221">
          <cell r="A221" t="str">
            <v>10-61101-14-03</v>
          </cell>
          <cell r="B221" t="str">
            <v>Aporte Patronal, SECAP e IECE EBC Quito</v>
          </cell>
          <cell r="C221">
            <v>1285.69</v>
          </cell>
        </row>
        <row r="222">
          <cell r="A222" t="str">
            <v>10-61101-14-05</v>
          </cell>
          <cell r="B222" t="str">
            <v>Aporte Patronal, SECAP e IECE Indirectos Pascuales</v>
          </cell>
          <cell r="C222">
            <v>3474.87</v>
          </cell>
        </row>
        <row r="223">
          <cell r="A223" t="str">
            <v>10-61101-14-06</v>
          </cell>
          <cell r="B223" t="str">
            <v>Aporte Patronal SECAP e IECE Indirectos EBC Guayaq</v>
          </cell>
          <cell r="C223">
            <v>776.17</v>
          </cell>
        </row>
        <row r="224">
          <cell r="A224" t="str">
            <v>10-61101-14-07</v>
          </cell>
          <cell r="B224" t="str">
            <v>Aporte Patronal SECAP e IECE Indirectos EBC Quito</v>
          </cell>
          <cell r="C224">
            <v>799.62</v>
          </cell>
        </row>
        <row r="225">
          <cell r="A225" t="str">
            <v>10-61101-15-01</v>
          </cell>
          <cell r="B225" t="str">
            <v>Comisariato Pascuales</v>
          </cell>
          <cell r="C225">
            <v>48.93</v>
          </cell>
        </row>
        <row r="226">
          <cell r="A226" t="str">
            <v>10-61101-18-03</v>
          </cell>
          <cell r="B226" t="str">
            <v>Fiestas y Agasajos EBC Quito</v>
          </cell>
          <cell r="C226">
            <v>33.799999999999997</v>
          </cell>
        </row>
        <row r="227">
          <cell r="A227" t="str">
            <v>10-61101-20-01</v>
          </cell>
          <cell r="B227" t="str">
            <v>Bonificación Pascuales</v>
          </cell>
          <cell r="C227">
            <v>6192.98</v>
          </cell>
        </row>
        <row r="228">
          <cell r="A228" t="str">
            <v>10-61101-20-05</v>
          </cell>
          <cell r="B228" t="str">
            <v>Bonificación Indirectos Pascuales</v>
          </cell>
          <cell r="C228">
            <v>3015.71</v>
          </cell>
        </row>
        <row r="229">
          <cell r="A229" t="str">
            <v>10-61101-20-09</v>
          </cell>
          <cell r="B229" t="str">
            <v>Bonificaciones Ejecutivos MIP</v>
          </cell>
          <cell r="C229">
            <v>855</v>
          </cell>
        </row>
        <row r="230">
          <cell r="A230" t="str">
            <v>10-61101-25-01</v>
          </cell>
          <cell r="B230" t="str">
            <v>Alimentacion Pascuales</v>
          </cell>
          <cell r="C230">
            <v>303.82</v>
          </cell>
        </row>
        <row r="231">
          <cell r="A231" t="str">
            <v>10-61201-01-01</v>
          </cell>
          <cell r="B231" t="str">
            <v>Mantenimiento de Maquinaria Pascuales</v>
          </cell>
          <cell r="C231">
            <v>35261.379999999997</v>
          </cell>
        </row>
        <row r="232">
          <cell r="A232" t="str">
            <v>10-61201-01-02</v>
          </cell>
          <cell r="B232" t="str">
            <v>Mantenimiento de Maquinarias EBC Gquil</v>
          </cell>
          <cell r="C232">
            <v>3910.18</v>
          </cell>
        </row>
        <row r="233">
          <cell r="A233" t="str">
            <v>10-61201-01-03</v>
          </cell>
          <cell r="B233" t="str">
            <v>Mantenimiento de Maquinarias EBC Quito</v>
          </cell>
          <cell r="C233">
            <v>15907.41</v>
          </cell>
        </row>
        <row r="234">
          <cell r="A234" t="str">
            <v>10-61201-01-05</v>
          </cell>
          <cell r="B234" t="str">
            <v>Mantenimiento de Moldes Pascuales</v>
          </cell>
          <cell r="C234">
            <v>5428.27</v>
          </cell>
        </row>
        <row r="235">
          <cell r="A235" t="str">
            <v>10-61201-02-01</v>
          </cell>
          <cell r="B235" t="str">
            <v>Mantenimiento Edificios Pascuales</v>
          </cell>
          <cell r="C235">
            <v>4240</v>
          </cell>
        </row>
        <row r="236">
          <cell r="A236" t="str">
            <v>10-61201-03-01</v>
          </cell>
          <cell r="B236" t="str">
            <v>Combustible y Lubricantes Pascuales</v>
          </cell>
          <cell r="C236">
            <v>4129.08</v>
          </cell>
        </row>
        <row r="237">
          <cell r="A237" t="str">
            <v>10-61201-03-03</v>
          </cell>
          <cell r="B237" t="str">
            <v>Combustible y Lubricantes EBC Quito</v>
          </cell>
          <cell r="C237">
            <v>546.01</v>
          </cell>
        </row>
        <row r="238">
          <cell r="A238" t="str">
            <v>10-61201-04-01</v>
          </cell>
          <cell r="B238" t="str">
            <v>Energía Eléctrica Pascuales</v>
          </cell>
          <cell r="C238">
            <v>125668.78</v>
          </cell>
        </row>
        <row r="239">
          <cell r="A239" t="str">
            <v>10-61201-05-01</v>
          </cell>
          <cell r="B239" t="str">
            <v>Agua Potable Pascuales</v>
          </cell>
          <cell r="C239">
            <v>5388.7</v>
          </cell>
        </row>
        <row r="240">
          <cell r="A240" t="str">
            <v>10-61201-07-01</v>
          </cell>
          <cell r="B240" t="str">
            <v>Depreciaciones Maquinaria</v>
          </cell>
          <cell r="C240">
            <v>45890.23</v>
          </cell>
        </row>
        <row r="241">
          <cell r="A241" t="str">
            <v>10-61201-07-03</v>
          </cell>
          <cell r="B241" t="str">
            <v>Depreciaciones Equipos Varios</v>
          </cell>
          <cell r="C241">
            <v>7328.27</v>
          </cell>
        </row>
        <row r="242">
          <cell r="A242" t="str">
            <v>10-61201-07-04</v>
          </cell>
          <cell r="B242" t="str">
            <v>Depreciaciones Instalaciones</v>
          </cell>
          <cell r="C242">
            <v>9084.08</v>
          </cell>
        </row>
        <row r="243">
          <cell r="A243" t="str">
            <v>10-61201-07-06</v>
          </cell>
          <cell r="B243" t="str">
            <v>Depreciación Edificio</v>
          </cell>
          <cell r="C243">
            <v>37.17</v>
          </cell>
        </row>
        <row r="244">
          <cell r="A244" t="str">
            <v>10-61201-07-07</v>
          </cell>
          <cell r="B244" t="str">
            <v>Depreciacion Equipos de Laboratorio</v>
          </cell>
          <cell r="C244">
            <v>3626.09</v>
          </cell>
        </row>
        <row r="245">
          <cell r="A245" t="str">
            <v>10-61201-07-09</v>
          </cell>
          <cell r="B245" t="str">
            <v>Depreciacion Moldes</v>
          </cell>
          <cell r="C245">
            <v>58684.55</v>
          </cell>
        </row>
        <row r="246">
          <cell r="A246" t="str">
            <v>10-61201-07-10</v>
          </cell>
          <cell r="B246" t="str">
            <v>Depreciacion Vehiculos</v>
          </cell>
          <cell r="C246">
            <v>1112.48</v>
          </cell>
        </row>
        <row r="247">
          <cell r="A247" t="str">
            <v>10-61201-09-01</v>
          </cell>
          <cell r="B247" t="str">
            <v>Transporte Botellas y Resina Pascuales</v>
          </cell>
          <cell r="C247">
            <v>11933.75</v>
          </cell>
        </row>
        <row r="248">
          <cell r="A248" t="str">
            <v>10-61201-10-01</v>
          </cell>
          <cell r="B248" t="str">
            <v>Repuestos  y Herramientas Pascuales</v>
          </cell>
          <cell r="C248">
            <v>5450.81</v>
          </cell>
        </row>
        <row r="249">
          <cell r="A249" t="str">
            <v>10-61201-10-02</v>
          </cell>
          <cell r="B249" t="str">
            <v>Repuestos  y Herramientas EBC Gquil</v>
          </cell>
          <cell r="C249">
            <v>919.23</v>
          </cell>
        </row>
        <row r="250">
          <cell r="A250" t="str">
            <v>10-61201-10-03</v>
          </cell>
          <cell r="B250" t="str">
            <v>Repuestos  y Herramientas EBC Quito</v>
          </cell>
          <cell r="C250">
            <v>1769.92</v>
          </cell>
        </row>
        <row r="251">
          <cell r="A251" t="str">
            <v>10-61201-10-04</v>
          </cell>
          <cell r="B251" t="str">
            <v>Repuestos  y Herramientas APPE Quito</v>
          </cell>
          <cell r="C251">
            <v>230</v>
          </cell>
        </row>
        <row r="252">
          <cell r="A252" t="str">
            <v>10-61201-11-01</v>
          </cell>
          <cell r="B252" t="str">
            <v>Mantenimiento Equipo de Transporte Pascuales</v>
          </cell>
          <cell r="C252">
            <v>439</v>
          </cell>
        </row>
        <row r="253">
          <cell r="A253" t="str">
            <v>10-61201-11-02</v>
          </cell>
          <cell r="B253" t="str">
            <v>Mantenimiento Equipo de Transporte EBC Gquil</v>
          </cell>
          <cell r="C253">
            <v>97</v>
          </cell>
        </row>
        <row r="254">
          <cell r="A254" t="str">
            <v>10-61201-11-03</v>
          </cell>
          <cell r="B254" t="str">
            <v>Mantenimiento Equipo de Transporte EBC Quito</v>
          </cell>
          <cell r="C254">
            <v>585</v>
          </cell>
        </row>
        <row r="255">
          <cell r="A255" t="str">
            <v>10-61201-12-02</v>
          </cell>
          <cell r="B255" t="str">
            <v>Mantenimiento Equipo de Oficina EBC Gquil</v>
          </cell>
          <cell r="C255">
            <v>39</v>
          </cell>
        </row>
        <row r="256">
          <cell r="A256" t="str">
            <v>10-61201-12-03</v>
          </cell>
          <cell r="B256" t="str">
            <v>Mantenimiento Equipo de Oficina EBC Quito</v>
          </cell>
          <cell r="C256">
            <v>453.28</v>
          </cell>
        </row>
        <row r="257">
          <cell r="A257" t="str">
            <v>10-61201-13-01</v>
          </cell>
          <cell r="B257" t="str">
            <v>Manten. Maquinaria Krupp</v>
          </cell>
          <cell r="C257">
            <v>3059.86</v>
          </cell>
        </row>
        <row r="258">
          <cell r="A258" t="str">
            <v>10-61201-14-01</v>
          </cell>
          <cell r="B258" t="str">
            <v>Manten. Maquinaria Krauss</v>
          </cell>
          <cell r="C258">
            <v>20726.990000000002</v>
          </cell>
        </row>
        <row r="259">
          <cell r="A259" t="str">
            <v>10-61201-15-01</v>
          </cell>
          <cell r="B259" t="str">
            <v>Mante. Maquinaria Husky</v>
          </cell>
          <cell r="C259">
            <v>715.4</v>
          </cell>
        </row>
        <row r="260">
          <cell r="A260" t="str">
            <v>10-61201-16-01</v>
          </cell>
          <cell r="B260" t="str">
            <v>Manten. Maquinaria Mag Plastic</v>
          </cell>
          <cell r="C260">
            <v>3848.35</v>
          </cell>
        </row>
        <row r="261">
          <cell r="A261" t="str">
            <v>10-61201-17-01</v>
          </cell>
          <cell r="B261" t="str">
            <v>Otros Gastos Operacionales</v>
          </cell>
          <cell r="C261">
            <v>2059.4</v>
          </cell>
        </row>
        <row r="262">
          <cell r="A262" t="str">
            <v>10-61201-17-02</v>
          </cell>
          <cell r="B262" t="str">
            <v>Otros Gastos Operacionales EBC GYE</v>
          </cell>
          <cell r="C262">
            <v>480</v>
          </cell>
        </row>
        <row r="263">
          <cell r="A263" t="str">
            <v>10-61201-17-03</v>
          </cell>
          <cell r="B263" t="str">
            <v>Otros Gastos Operacionales EBC Quito</v>
          </cell>
          <cell r="C263">
            <v>70</v>
          </cell>
        </row>
        <row r="264">
          <cell r="A264" t="str">
            <v>10-61201-17-04</v>
          </cell>
          <cell r="B264" t="str">
            <v>Otros Gastos Operac. - Empaqplast</v>
          </cell>
          <cell r="C264">
            <v>114</v>
          </cell>
        </row>
        <row r="265">
          <cell r="A265" t="str">
            <v>10-61201-17-05</v>
          </cell>
          <cell r="B265" t="str">
            <v>Otros Gastos Operac. - Graham</v>
          </cell>
          <cell r="C265">
            <v>5826.96</v>
          </cell>
        </row>
        <row r="266">
          <cell r="A266" t="str">
            <v>10-61201-17-06</v>
          </cell>
          <cell r="B266" t="str">
            <v>Otros Gastos Oper.-Fajillado</v>
          </cell>
          <cell r="C266">
            <v>21523.06</v>
          </cell>
        </row>
        <row r="267">
          <cell r="A267" t="str">
            <v>10-61201-17-07</v>
          </cell>
          <cell r="B267" t="str">
            <v>Gastos de  Exportacion Intercias.</v>
          </cell>
          <cell r="C267">
            <v>907.98</v>
          </cell>
        </row>
        <row r="268">
          <cell r="A268" t="str">
            <v>10-61201-18-01</v>
          </cell>
          <cell r="B268" t="str">
            <v>Manten. Maquinaria Serv.Auxiliares</v>
          </cell>
          <cell r="C268">
            <v>9367.2000000000007</v>
          </cell>
        </row>
        <row r="269">
          <cell r="A269" t="str">
            <v>10-61201-18-02</v>
          </cell>
          <cell r="B269" t="str">
            <v>Mant. Servicios Auxiliares EBC Gquil</v>
          </cell>
          <cell r="C269">
            <v>7521.42</v>
          </cell>
        </row>
        <row r="270">
          <cell r="A270" t="str">
            <v>10-61201-18-03</v>
          </cell>
          <cell r="B270" t="str">
            <v>Mant. Servicios Auxiliares EBC Quito</v>
          </cell>
          <cell r="C270">
            <v>4116.46</v>
          </cell>
        </row>
        <row r="271">
          <cell r="A271" t="str">
            <v>10-61201-19-01</v>
          </cell>
          <cell r="B271" t="str">
            <v>Seguridad Industrial Pascuales</v>
          </cell>
          <cell r="C271">
            <v>199.94</v>
          </cell>
        </row>
        <row r="272">
          <cell r="A272" t="str">
            <v>10-61201-19-03</v>
          </cell>
          <cell r="B272" t="str">
            <v>Seguridad Industrial EBC UIO</v>
          </cell>
          <cell r="C272">
            <v>345.34</v>
          </cell>
        </row>
        <row r="273">
          <cell r="A273" t="str">
            <v>10-61201-20-01</v>
          </cell>
          <cell r="B273" t="str">
            <v>Mantenimiento Maq. Sidel Pascuales</v>
          </cell>
          <cell r="C273">
            <v>3216.14</v>
          </cell>
        </row>
        <row r="274">
          <cell r="A274" t="str">
            <v>10-61201-20-02</v>
          </cell>
          <cell r="B274" t="str">
            <v>Mantenimiento Maq. Sidel EBC Gquil</v>
          </cell>
          <cell r="C274">
            <v>9733.64</v>
          </cell>
        </row>
        <row r="275">
          <cell r="A275" t="str">
            <v>10-61201-20-03</v>
          </cell>
          <cell r="B275" t="str">
            <v>Mantenimiento Maq. Sidel EBC Quito</v>
          </cell>
          <cell r="C275">
            <v>260.24</v>
          </cell>
        </row>
        <row r="276">
          <cell r="A276" t="str">
            <v>10-61201-21-01</v>
          </cell>
          <cell r="B276" t="str">
            <v>Transporte de Materia Prima entre Plantas</v>
          </cell>
          <cell r="C276">
            <v>21983.62</v>
          </cell>
        </row>
        <row r="277">
          <cell r="A277" t="str">
            <v>10-61201-22-01</v>
          </cell>
          <cell r="B277" t="str">
            <v>Serv. Auxiliares en Edificios Pascuales</v>
          </cell>
          <cell r="C277">
            <v>7177.67</v>
          </cell>
        </row>
        <row r="278">
          <cell r="A278" t="str">
            <v>10-61201-22-02</v>
          </cell>
          <cell r="B278" t="str">
            <v>Serv. Auxiliares en Edificios EBC Gquil</v>
          </cell>
          <cell r="C278">
            <v>902.6</v>
          </cell>
        </row>
        <row r="279">
          <cell r="A279" t="str">
            <v>10-61201-22-03</v>
          </cell>
          <cell r="B279" t="str">
            <v>Serv. Auxiliares en Edificios EBC Quito</v>
          </cell>
          <cell r="C279">
            <v>1531.36</v>
          </cell>
        </row>
        <row r="280">
          <cell r="A280" t="str">
            <v>10-61201-23-01</v>
          </cell>
          <cell r="B280" t="str">
            <v>Suministros Area de Calidad Pascuales</v>
          </cell>
          <cell r="C280">
            <v>1991.46</v>
          </cell>
        </row>
        <row r="281">
          <cell r="A281" t="str">
            <v>10-61301-01-01</v>
          </cell>
          <cell r="B281" t="str">
            <v>Suministros de Oficina Pascuales</v>
          </cell>
          <cell r="C281">
            <v>2138.25</v>
          </cell>
        </row>
        <row r="282">
          <cell r="A282" t="str">
            <v>10-61301-01-03</v>
          </cell>
          <cell r="B282" t="str">
            <v>Suministros de Oficina EBC Quito</v>
          </cell>
          <cell r="C282">
            <v>165.07</v>
          </cell>
        </row>
        <row r="283">
          <cell r="A283" t="str">
            <v>10-61301-01-05</v>
          </cell>
          <cell r="B283" t="str">
            <v>Suministros de Computacion</v>
          </cell>
          <cell r="C283">
            <v>20148.689999999999</v>
          </cell>
        </row>
        <row r="284">
          <cell r="A284" t="str">
            <v>10-61301-02-01</v>
          </cell>
          <cell r="B284" t="str">
            <v>Comunicaciones Pascuales</v>
          </cell>
          <cell r="C284">
            <v>5940.08</v>
          </cell>
        </row>
        <row r="285">
          <cell r="A285" t="str">
            <v>10-61301-02-02</v>
          </cell>
          <cell r="B285" t="str">
            <v>Comunicaciones EBC Guayaquil</v>
          </cell>
          <cell r="C285">
            <v>258.43</v>
          </cell>
        </row>
        <row r="286">
          <cell r="A286" t="str">
            <v>10-61301-02-03</v>
          </cell>
          <cell r="B286" t="str">
            <v>Comunicaciones EBC Quito</v>
          </cell>
          <cell r="C286">
            <v>1878.72</v>
          </cell>
        </row>
        <row r="287">
          <cell r="A287" t="str">
            <v>10-61301-03-01</v>
          </cell>
          <cell r="B287" t="str">
            <v>Suscripciones y Contribuciones Pascuales</v>
          </cell>
          <cell r="C287">
            <v>642.86</v>
          </cell>
        </row>
        <row r="288">
          <cell r="A288" t="str">
            <v>10-61301-05-03</v>
          </cell>
          <cell r="B288" t="str">
            <v>Impuestos Municipales EBC Quito</v>
          </cell>
          <cell r="C288">
            <v>800</v>
          </cell>
        </row>
        <row r="289">
          <cell r="A289" t="str">
            <v>10-61301-07-01</v>
          </cell>
          <cell r="B289" t="str">
            <v>Fotocopias y Planos Pascuales</v>
          </cell>
          <cell r="C289">
            <v>20.350000000000001</v>
          </cell>
        </row>
        <row r="290">
          <cell r="A290" t="str">
            <v>10-61301-07-03</v>
          </cell>
          <cell r="B290" t="str">
            <v>Fotocopias y Planos EBC Quito</v>
          </cell>
          <cell r="C290">
            <v>10.039999999999999</v>
          </cell>
        </row>
        <row r="291">
          <cell r="A291" t="str">
            <v>10-61301-08-01</v>
          </cell>
          <cell r="B291" t="str">
            <v>Gastos De Viajes Pascuales</v>
          </cell>
          <cell r="C291">
            <v>5843.57</v>
          </cell>
        </row>
        <row r="292">
          <cell r="A292" t="str">
            <v>10-61301-08-02</v>
          </cell>
          <cell r="B292" t="str">
            <v>Gastos De Viajes EBC Guayaquil</v>
          </cell>
          <cell r="C292">
            <v>209.34</v>
          </cell>
        </row>
        <row r="293">
          <cell r="A293" t="str">
            <v>10-61301-08-03</v>
          </cell>
          <cell r="B293" t="str">
            <v>Gastos De Viajes EBC Quito</v>
          </cell>
          <cell r="C293">
            <v>143.71</v>
          </cell>
        </row>
        <row r="294">
          <cell r="A294" t="str">
            <v>10-61301-11-01</v>
          </cell>
          <cell r="B294" t="str">
            <v>Honorarios Profesionales Pascuales</v>
          </cell>
          <cell r="C294">
            <v>652</v>
          </cell>
        </row>
        <row r="295">
          <cell r="A295" t="str">
            <v>10-61301-11-03</v>
          </cell>
          <cell r="B295" t="str">
            <v>Honorarios Profesionales EBC Quito</v>
          </cell>
          <cell r="C295">
            <v>1087.5</v>
          </cell>
        </row>
        <row r="296">
          <cell r="A296" t="str">
            <v>10-61301-12-01</v>
          </cell>
          <cell r="B296" t="str">
            <v>Seguros Pascuales</v>
          </cell>
          <cell r="C296">
            <v>4144.9399999999996</v>
          </cell>
        </row>
        <row r="297">
          <cell r="A297" t="str">
            <v>10-61301-13-01</v>
          </cell>
          <cell r="B297" t="str">
            <v>Obsequios y Muestras Pascuales</v>
          </cell>
          <cell r="C297">
            <v>15.81</v>
          </cell>
        </row>
        <row r="298">
          <cell r="A298" t="str">
            <v>10-61301-18-01</v>
          </cell>
          <cell r="B298" t="str">
            <v>Arrendamiento de Bodegas Pascuales</v>
          </cell>
          <cell r="C298">
            <v>44566.64</v>
          </cell>
        </row>
        <row r="299">
          <cell r="A299" t="str">
            <v>10-61301-23-03</v>
          </cell>
          <cell r="B299" t="str">
            <v>Movilizaciones EBC Quito</v>
          </cell>
          <cell r="C299">
            <v>14.27</v>
          </cell>
        </row>
        <row r="300">
          <cell r="A300" t="str">
            <v>10-61301-27-01</v>
          </cell>
          <cell r="B300" t="str">
            <v>Otros Gastos Pascuales</v>
          </cell>
          <cell r="C300">
            <v>7.92</v>
          </cell>
        </row>
        <row r="301">
          <cell r="A301" t="str">
            <v>10-61301-27-03</v>
          </cell>
          <cell r="B301" t="str">
            <v>Otros Gastos EBC Quito</v>
          </cell>
          <cell r="C301">
            <v>48.79</v>
          </cell>
        </row>
        <row r="302">
          <cell r="A302" t="str">
            <v>10-61301-27-04</v>
          </cell>
          <cell r="B302" t="str">
            <v>Otros Gastos APPE Quito</v>
          </cell>
          <cell r="C302">
            <v>27760.3</v>
          </cell>
        </row>
        <row r="303">
          <cell r="A303" t="str">
            <v>10-69901-01-01</v>
          </cell>
          <cell r="B303" t="str">
            <v>Transferencia a Inv. de Prod. Terminado</v>
          </cell>
          <cell r="C303">
            <v>-42198.64</v>
          </cell>
        </row>
        <row r="304">
          <cell r="A304" t="str">
            <v>20-61101-01-01</v>
          </cell>
          <cell r="B304" t="str">
            <v>Sueldos y Salarios</v>
          </cell>
          <cell r="C304">
            <v>35106.51</v>
          </cell>
        </row>
        <row r="305">
          <cell r="A305" t="str">
            <v>20-61101-02-01</v>
          </cell>
          <cell r="B305" t="str">
            <v>Sobretiempos Sueldos</v>
          </cell>
          <cell r="C305">
            <v>63.29</v>
          </cell>
        </row>
        <row r="306">
          <cell r="A306" t="str">
            <v>20-61101-04-01</v>
          </cell>
          <cell r="B306" t="str">
            <v>Vacaciones</v>
          </cell>
          <cell r="C306">
            <v>1096.17</v>
          </cell>
        </row>
        <row r="307">
          <cell r="A307" t="str">
            <v>20-61101-05-01</v>
          </cell>
          <cell r="B307" t="str">
            <v>Décimo Tercer Sueldo</v>
          </cell>
          <cell r="C307">
            <v>2192.2399999999998</v>
          </cell>
        </row>
        <row r="308">
          <cell r="A308" t="str">
            <v>20-61101-06-01</v>
          </cell>
          <cell r="B308" t="str">
            <v>Décimo Cuarto Sueldo</v>
          </cell>
          <cell r="C308">
            <v>354.72</v>
          </cell>
        </row>
        <row r="309">
          <cell r="A309" t="str">
            <v>20-61101-11-01</v>
          </cell>
          <cell r="B309" t="str">
            <v>Fondo de Reserva</v>
          </cell>
          <cell r="C309">
            <v>42.27</v>
          </cell>
        </row>
        <row r="310">
          <cell r="A310" t="str">
            <v>20-61101-12-01</v>
          </cell>
          <cell r="B310" t="str">
            <v>Movilización</v>
          </cell>
          <cell r="C310">
            <v>1509.73</v>
          </cell>
        </row>
        <row r="311">
          <cell r="A311" t="str">
            <v>20-61101-13-01</v>
          </cell>
          <cell r="B311" t="str">
            <v>Alimentación</v>
          </cell>
          <cell r="C311">
            <v>1375.82</v>
          </cell>
        </row>
        <row r="312">
          <cell r="A312" t="str">
            <v>20-61101-14-01</v>
          </cell>
          <cell r="B312" t="str">
            <v>Aporte Patronal, SECAP E IECE</v>
          </cell>
          <cell r="C312">
            <v>3196.38</v>
          </cell>
        </row>
        <row r="313">
          <cell r="A313" t="str">
            <v>20-61101-20-01</v>
          </cell>
          <cell r="B313" t="str">
            <v>Bonificaciones</v>
          </cell>
          <cell r="C313">
            <v>8659.06</v>
          </cell>
        </row>
        <row r="314">
          <cell r="A314" t="str">
            <v>20-61101-20-09</v>
          </cell>
          <cell r="B314" t="str">
            <v>Bonificaciones Ejecutivos MIP</v>
          </cell>
          <cell r="C314">
            <v>1245</v>
          </cell>
        </row>
        <row r="315">
          <cell r="A315" t="str">
            <v>20-61101-26-01</v>
          </cell>
          <cell r="B315" t="str">
            <v>Otros Gastos Generales</v>
          </cell>
          <cell r="C315">
            <v>431.92</v>
          </cell>
        </row>
        <row r="316">
          <cell r="A316" t="str">
            <v>20-61101-99-99</v>
          </cell>
          <cell r="B316" t="str">
            <v>Reestructuraciòn Operativa</v>
          </cell>
          <cell r="C316">
            <v>15739.32</v>
          </cell>
        </row>
        <row r="317">
          <cell r="A317" t="str">
            <v>20-61201-07-01</v>
          </cell>
          <cell r="B317" t="str">
            <v>Depreciacion Muebles y Enseres de Oficina</v>
          </cell>
          <cell r="C317">
            <v>632.79</v>
          </cell>
        </row>
        <row r="318">
          <cell r="A318" t="str">
            <v>20-61201-07-02</v>
          </cell>
          <cell r="B318" t="str">
            <v>Depreciacion Equipos de Computación</v>
          </cell>
          <cell r="C318">
            <v>4356.63</v>
          </cell>
        </row>
        <row r="319">
          <cell r="A319" t="str">
            <v>20-61201-07-03</v>
          </cell>
          <cell r="B319" t="str">
            <v>Depreciacion Equipos de Oficina</v>
          </cell>
          <cell r="C319">
            <v>700.57</v>
          </cell>
        </row>
        <row r="320">
          <cell r="A320" t="str">
            <v>20-61301-01-01</v>
          </cell>
          <cell r="B320" t="str">
            <v>Suministros de Oficina</v>
          </cell>
          <cell r="C320">
            <v>1192.5999999999999</v>
          </cell>
        </row>
        <row r="321">
          <cell r="A321" t="str">
            <v>20-61301-01-02</v>
          </cell>
          <cell r="B321" t="str">
            <v>Suministros de Computación</v>
          </cell>
          <cell r="C321">
            <v>1653.57</v>
          </cell>
        </row>
        <row r="322">
          <cell r="A322" t="str">
            <v>20-61301-02-01</v>
          </cell>
          <cell r="B322" t="str">
            <v>Comunicaciones</v>
          </cell>
          <cell r="C322">
            <v>3259.7</v>
          </cell>
        </row>
        <row r="323">
          <cell r="A323" t="str">
            <v>20-61301-06-02</v>
          </cell>
          <cell r="B323" t="str">
            <v>Impuesto a la Renta</v>
          </cell>
          <cell r="C323">
            <v>80936</v>
          </cell>
        </row>
        <row r="324">
          <cell r="A324" t="str">
            <v>20-61301-08-01</v>
          </cell>
          <cell r="B324" t="str">
            <v>Gastos de Viajes</v>
          </cell>
          <cell r="C324">
            <v>4139.71</v>
          </cell>
        </row>
        <row r="325">
          <cell r="A325" t="str">
            <v>20-61301-13-01</v>
          </cell>
          <cell r="B325" t="str">
            <v>Obsequios y Muestras</v>
          </cell>
          <cell r="C325">
            <v>159.44</v>
          </cell>
        </row>
        <row r="326">
          <cell r="A326" t="str">
            <v>20-61301-15-01</v>
          </cell>
          <cell r="B326" t="str">
            <v>Servicio De Guardianía</v>
          </cell>
          <cell r="C326">
            <v>3280.88</v>
          </cell>
        </row>
        <row r="327">
          <cell r="A327" t="str">
            <v>20-61301-18-01</v>
          </cell>
          <cell r="B327" t="str">
            <v>Arrendamientos Inmuebles</v>
          </cell>
          <cell r="C327">
            <v>1195.6600000000001</v>
          </cell>
        </row>
        <row r="328">
          <cell r="A328" t="str">
            <v>20-61301-20-01</v>
          </cell>
          <cell r="B328" t="str">
            <v>Servicios Bancarios</v>
          </cell>
          <cell r="C328">
            <v>1284.18</v>
          </cell>
        </row>
        <row r="329">
          <cell r="A329" t="str">
            <v>20-61301-22-01</v>
          </cell>
          <cell r="B329" t="str">
            <v>Gastos Legales</v>
          </cell>
          <cell r="C329">
            <v>2393.48</v>
          </cell>
        </row>
        <row r="330">
          <cell r="A330" t="str">
            <v>20-61301-23-01</v>
          </cell>
          <cell r="B330" t="str">
            <v>Movilizaciones</v>
          </cell>
          <cell r="C330">
            <v>0</v>
          </cell>
        </row>
        <row r="331">
          <cell r="A331" t="str">
            <v>20-61301-25-01</v>
          </cell>
          <cell r="B331" t="str">
            <v>Multas E Intereses</v>
          </cell>
          <cell r="C331">
            <v>12.95</v>
          </cell>
        </row>
        <row r="332">
          <cell r="A332" t="str">
            <v>20-61301-27-01</v>
          </cell>
          <cell r="B332" t="str">
            <v>Otros Gastos</v>
          </cell>
          <cell r="C332">
            <v>793.61</v>
          </cell>
        </row>
        <row r="333">
          <cell r="A333" t="str">
            <v>20-61301-28-01</v>
          </cell>
          <cell r="B333" t="str">
            <v>Honorarios de Auditoria</v>
          </cell>
          <cell r="C333">
            <v>2500</v>
          </cell>
        </row>
        <row r="334">
          <cell r="A334" t="str">
            <v>20-61301-28-02</v>
          </cell>
          <cell r="B334" t="str">
            <v>Honorarios Contables</v>
          </cell>
          <cell r="C334">
            <v>4800</v>
          </cell>
        </row>
        <row r="335">
          <cell r="A335" t="str">
            <v>20-61301-28-03</v>
          </cell>
          <cell r="B335" t="str">
            <v>Honorarios Auditoria Fiscal Local</v>
          </cell>
          <cell r="C335">
            <v>8566.67</v>
          </cell>
        </row>
        <row r="336">
          <cell r="A336" t="str">
            <v>20-61301-29-02</v>
          </cell>
          <cell r="B336" t="str">
            <v>Retenciones Asumidas</v>
          </cell>
          <cell r="C336">
            <v>339.13</v>
          </cell>
        </row>
        <row r="337">
          <cell r="A337" t="str">
            <v>20-61301-30-01</v>
          </cell>
          <cell r="B337" t="str">
            <v>Gastos en Software Pascuales</v>
          </cell>
          <cell r="C337">
            <v>60000</v>
          </cell>
        </row>
        <row r="338">
          <cell r="A338" t="str">
            <v>20-61301-31-01</v>
          </cell>
          <cell r="B338" t="str">
            <v>Honorarios de Sistemas</v>
          </cell>
          <cell r="C338">
            <v>2936.75</v>
          </cell>
        </row>
        <row r="339">
          <cell r="A339" t="str">
            <v>30-61101-01-01</v>
          </cell>
          <cell r="B339" t="str">
            <v>Sueldos Y Salarios</v>
          </cell>
          <cell r="C339">
            <v>6383.27</v>
          </cell>
        </row>
        <row r="340">
          <cell r="A340" t="str">
            <v>30-61101-04-01</v>
          </cell>
          <cell r="B340" t="str">
            <v>Vacaciones</v>
          </cell>
          <cell r="C340">
            <v>54.34</v>
          </cell>
        </row>
        <row r="341">
          <cell r="A341" t="str">
            <v>30-61101-05-01</v>
          </cell>
          <cell r="B341" t="str">
            <v>Décimo Tercer Sueldo</v>
          </cell>
          <cell r="C341">
            <v>108.67</v>
          </cell>
        </row>
        <row r="342">
          <cell r="A342" t="str">
            <v>30-61101-06-01</v>
          </cell>
          <cell r="B342" t="str">
            <v>Décimo Cuarto Sueldo</v>
          </cell>
          <cell r="C342">
            <v>28.34</v>
          </cell>
        </row>
        <row r="343">
          <cell r="A343" t="str">
            <v>30-61101-12-01</v>
          </cell>
          <cell r="B343" t="str">
            <v>Movilización</v>
          </cell>
          <cell r="C343">
            <v>487.61</v>
          </cell>
        </row>
        <row r="344">
          <cell r="A344" t="str">
            <v>30-61101-13-01</v>
          </cell>
          <cell r="B344" t="str">
            <v>Alimentación</v>
          </cell>
          <cell r="C344">
            <v>66.5</v>
          </cell>
        </row>
        <row r="345">
          <cell r="A345" t="str">
            <v>30-61101-14-01</v>
          </cell>
          <cell r="B345" t="str">
            <v>Aporte Patronal, SECAP E IECE</v>
          </cell>
          <cell r="C345">
            <v>158.44</v>
          </cell>
        </row>
        <row r="346">
          <cell r="A346" t="str">
            <v>30-61101-20-01</v>
          </cell>
          <cell r="B346" t="str">
            <v>Bonificación</v>
          </cell>
          <cell r="C346">
            <v>161.56</v>
          </cell>
        </row>
        <row r="347">
          <cell r="A347" t="str">
            <v>30-61101-20-09</v>
          </cell>
          <cell r="B347" t="str">
            <v>Bonificaciones Ejecutivos MIP</v>
          </cell>
          <cell r="C347">
            <v>600</v>
          </cell>
        </row>
        <row r="348">
          <cell r="A348" t="str">
            <v>30-61301-01-02</v>
          </cell>
          <cell r="B348" t="str">
            <v>Suministros de Computacion</v>
          </cell>
          <cell r="C348">
            <v>53.39</v>
          </cell>
        </row>
        <row r="349">
          <cell r="A349" t="str">
            <v>30-61301-02-01</v>
          </cell>
          <cell r="B349" t="str">
            <v>Comunicaciones</v>
          </cell>
          <cell r="C349">
            <v>124</v>
          </cell>
        </row>
        <row r="350">
          <cell r="A350" t="str">
            <v>30-61301-11-01</v>
          </cell>
          <cell r="B350" t="str">
            <v>Honorarios Profesionales</v>
          </cell>
          <cell r="C350">
            <v>4400</v>
          </cell>
        </row>
        <row r="351">
          <cell r="A351" t="str">
            <v>30-61301-13-01</v>
          </cell>
          <cell r="B351" t="str">
            <v>Obsequios y Muestras</v>
          </cell>
          <cell r="C351">
            <v>14.24</v>
          </cell>
        </row>
        <row r="352">
          <cell r="A352" t="str">
            <v>30-61301-23-01</v>
          </cell>
          <cell r="B352" t="str">
            <v>Movilizaciones</v>
          </cell>
          <cell r="C352">
            <v>100</v>
          </cell>
        </row>
        <row r="353">
          <cell r="A353" t="str">
            <v>30-61301-27-01</v>
          </cell>
          <cell r="B353" t="str">
            <v>Otros Gastos</v>
          </cell>
          <cell r="C353">
            <v>285.45</v>
          </cell>
        </row>
        <row r="354">
          <cell r="A354" t="str">
            <v>98-99999-01-01</v>
          </cell>
          <cell r="B354" t="str">
            <v>Proceso de Inyección Pascuales</v>
          </cell>
          <cell r="C354">
            <v>0</v>
          </cell>
        </row>
        <row r="355">
          <cell r="A355" t="str">
            <v>98-99999-02-01</v>
          </cell>
          <cell r="B355" t="str">
            <v>Proceso de Soplado Pascuales</v>
          </cell>
          <cell r="C355">
            <v>0</v>
          </cell>
        </row>
        <row r="356">
          <cell r="A356" t="str">
            <v>99-99999-99-99</v>
          </cell>
          <cell r="B356" t="str">
            <v>Cuenta Puente</v>
          </cell>
          <cell r="C356">
            <v>0</v>
          </cell>
        </row>
      </sheetData>
      <sheetData sheetId="10"/>
      <sheetData sheetId="1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EX"/>
      <sheetName val="CAPEX Instr"/>
      <sheetName val="XA"/>
      <sheetName val="CUENTAS POR COBRAR NO COMERCIAL"/>
      <sheetName val="BG_NA - Capex Report 0607"/>
      <sheetName val="SKU Todo FINAL"/>
      <sheetName val="CAPEX_Instr"/>
      <sheetName val="CUENTAS_POR_COBRAR_NO_COMERCIAL"/>
      <sheetName val="BG_NA_-_Capex_Report_0607"/>
      <sheetName val="SKU_Todo_FINAL"/>
      <sheetName val="General"/>
      <sheetName val="Net Sales"/>
      <sheetName val="COGS "/>
      <sheetName val="AR"/>
      <sheetName val="INV"/>
      <sheetName val="AP"/>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 Stmt"/>
      <sheetName val="Bal Sheet"/>
      <sheetName val="Bal Sheet Movement Accts"/>
      <sheetName val="Stat Accounts"/>
      <sheetName val="LC Income Statement"/>
      <sheetName val="LC Balance Sheet"/>
    </sheetNames>
    <sheetDataSet>
      <sheetData sheetId="0"/>
      <sheetData sheetId="1"/>
      <sheetData sheetId="2"/>
      <sheetData sheetId="3" refreshError="1"/>
      <sheetData sheetId="4" refreshError="1"/>
      <sheetData sheetId="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NTRO + RP IK CON AD, CON 2S4"/>
      <sheetName val="CENTRO + RP IK CON ADELANTO"/>
      <sheetName val="CENTRO + RP IK"/>
      <sheetName val="CENTRO"/>
      <sheetName val="Ventas"/>
      <sheetName val="Kola Inglesa"/>
      <sheetName val="Agua Bot."/>
      <sheetName val="Despesas"/>
      <sheetName val="CENTRO_+_RP_IK_CON_AD,_CON_2S4"/>
      <sheetName val="CENTRO_+_RP_IK_CON_ADELANTO"/>
      <sheetName val="CENTRO_+_RP_IK"/>
      <sheetName val="Kola_Inglesa"/>
      <sheetName val="Agua_Bot_"/>
      <sheetName val="CENTRO_+_RP_IK_CON_AD,_CON_2S41"/>
      <sheetName val="CENTRO_+_RP_IK_CON_ADELANTO1"/>
      <sheetName val="CENTRO_+_RP_IK1"/>
      <sheetName val="Kola_Inglesa1"/>
      <sheetName val="Agua_Bot_1"/>
      <sheetName val="CENTRO_+_RP_IK_CON_AD,_CON_2S42"/>
      <sheetName val="CENTRO_+_RP_IK_CON_ADELANTO2"/>
      <sheetName val="CENTRO_+_RP_IK2"/>
      <sheetName val="Kola_Inglesa2"/>
      <sheetName val="Agua_Bot_2"/>
      <sheetName val="CENTRO_+_RP_IK_CON_AD,_CON_2S43"/>
      <sheetName val="CENTRO_+_RP_IK_CON_ADELANTO3"/>
      <sheetName val="CENTRO_+_RP_IK3"/>
      <sheetName val="Kola_Inglesa3"/>
      <sheetName val="Agua_Bot_3"/>
      <sheetName val="Bal Sheet"/>
      <sheetName val="CENTRO_+_RP_IK_CON_AD,_CON_2S44"/>
      <sheetName val="CENTRO_+_RP_IK_CON_ADELANTO4"/>
      <sheetName val="CENTRO_+_RP_IK4"/>
      <sheetName val="Kola_Inglesa4"/>
      <sheetName val="Agua_Bot_4"/>
      <sheetName val="CENTRO_+_RP_IK_CON_AD,_CON_2S45"/>
      <sheetName val="CENTRO_+_RP_IK_CON_ADELANTO5"/>
      <sheetName val="CENTRO_+_RP_IK5"/>
      <sheetName val="Kola_Inglesa5"/>
      <sheetName val="Agua_Bot_5"/>
      <sheetName val="CENTRO_+_RP_IK_CON_AD,_CON_2S46"/>
      <sheetName val="CENTRO_+_RP_IK_CON_ADELANTO6"/>
      <sheetName val="CENTRO_+_RP_IK6"/>
      <sheetName val="Kola_Inglesa6"/>
      <sheetName val="Agua_Bot_6"/>
      <sheetName val="Bal_Sheet"/>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principal "/>
      <sheetName val="KPI"/>
      <sheetName val="RESUMEN DIARIO"/>
      <sheetName val="Reporte diario"/>
      <sheetName val="cuadres"/>
      <sheetName val="KARDEX "/>
      <sheetName val="CONCILIACION"/>
      <sheetName val="Resina"/>
      <sheetName val="CONSUMO DE RESINA DIARIO"/>
      <sheetName val="Produccion codigos SAP"/>
      <sheetName val="KPI`S-BPC"/>
      <sheetName val="Krauss M"/>
      <sheetName val="Graf. Krauss M"/>
      <sheetName val="Krupp 1"/>
      <sheetName val="Graf. Krupp 1"/>
      <sheetName val="HUSKY 1"/>
      <sheetName val="Graf. Husky 1"/>
      <sheetName val="HUSKY 2"/>
      <sheetName val="Graf. HUSKY 2"/>
      <sheetName val="HUSKY 3"/>
      <sheetName val="Graf. HUSKY 3"/>
      <sheetName val="HUSKY 4"/>
      <sheetName val="Graf.HUSKY 4"/>
      <sheetName val="HUSKY 5"/>
      <sheetName val="Graf.HUSKY 5"/>
      <sheetName val="HUSKY 6"/>
      <sheetName val="Graf. HUSKY 6"/>
      <sheetName val="HUSKY 7"/>
      <sheetName val="Graf. HUSKY 7"/>
      <sheetName val="HUSKY-8"/>
      <sheetName val="Graf. HUSKY-8"/>
      <sheetName val="HFI-DIARIO"/>
      <sheetName val="Inyeccion general"/>
      <sheetName val="CAV_ BLOCK"/>
      <sheetName val="Resumen"/>
      <sheetName val="ME Operadores"/>
      <sheetName val="HUSKY 8"/>
      <sheetName val="Graf. HUSKY 8"/>
      <sheetName val="HUSKY 9"/>
      <sheetName val="Graf. HUSKY 9"/>
      <sheetName val="SCRAP"/>
      <sheetName val="Paros"/>
      <sheetName val="Scrap diario"/>
      <sheetName val="HFI"/>
      <sheetName val="Analisis de tiempo"/>
      <sheetName val="dim scrap"/>
      <sheetName val="GRAF SCRAP"/>
      <sheetName val="dim bd"/>
      <sheetName val="GRAF BD"/>
      <sheetName val="Base GGGR"/>
    </sheetNames>
    <sheetDataSet>
      <sheetData sheetId="0" refreshError="1"/>
      <sheetData sheetId="1" refreshError="1"/>
      <sheetData sheetId="2">
        <row r="5">
          <cell r="A5">
            <v>41671</v>
          </cell>
        </row>
      </sheetData>
      <sheetData sheetId="3" refreshError="1"/>
      <sheetData sheetId="4" refreshError="1"/>
      <sheetData sheetId="5" refreshError="1"/>
      <sheetData sheetId="6" refreshError="1"/>
      <sheetData sheetId="7">
        <row r="5">
          <cell r="A5" t="str">
            <v>KRAUSS MAFFEI</v>
          </cell>
        </row>
      </sheetData>
      <sheetData sheetId="8" refreshError="1"/>
      <sheetData sheetId="9">
        <row r="3">
          <cell r="EZ3" t="str">
            <v>P,CSD,CR,22G,EA,28PCO,C,IMP</v>
          </cell>
        </row>
      </sheetData>
      <sheetData sheetId="10" refreshError="1"/>
      <sheetData sheetId="11">
        <row r="3">
          <cell r="A3" t="str">
            <v>Fecha</v>
          </cell>
        </row>
      </sheetData>
      <sheetData sheetId="12" refreshError="1"/>
      <sheetData sheetId="13">
        <row r="3">
          <cell r="A3" t="str">
            <v>Fecha</v>
          </cell>
        </row>
      </sheetData>
      <sheetData sheetId="14" refreshError="1"/>
      <sheetData sheetId="15" refreshError="1"/>
      <sheetData sheetId="16" refreshError="1"/>
      <sheetData sheetId="17">
        <row r="3">
          <cell r="A3" t="str">
            <v>Fecha</v>
          </cell>
        </row>
      </sheetData>
      <sheetData sheetId="18" refreshError="1"/>
      <sheetData sheetId="19">
        <row r="3">
          <cell r="A3" t="str">
            <v>Fecha</v>
          </cell>
        </row>
      </sheetData>
      <sheetData sheetId="20" refreshError="1"/>
      <sheetData sheetId="21">
        <row r="3">
          <cell r="A3" t="str">
            <v>Fecha</v>
          </cell>
        </row>
      </sheetData>
      <sheetData sheetId="22" refreshError="1"/>
      <sheetData sheetId="23">
        <row r="3">
          <cell r="A3" t="str">
            <v>Fecha</v>
          </cell>
        </row>
      </sheetData>
      <sheetData sheetId="24" refreshError="1"/>
      <sheetData sheetId="25">
        <row r="3">
          <cell r="A3" t="str">
            <v>Fecha</v>
          </cell>
        </row>
      </sheetData>
      <sheetData sheetId="26" refreshError="1"/>
      <sheetData sheetId="27">
        <row r="3">
          <cell r="A3" t="str">
            <v>Fecha</v>
          </cell>
        </row>
      </sheetData>
      <sheetData sheetId="28" refreshError="1"/>
      <sheetData sheetId="29">
        <row r="3">
          <cell r="A3" t="str">
            <v>Fecha</v>
          </cell>
        </row>
      </sheetData>
      <sheetData sheetId="30" refreshError="1"/>
      <sheetData sheetId="31" refreshError="1"/>
      <sheetData sheetId="32" refreshError="1"/>
      <sheetData sheetId="33" refreshError="1"/>
      <sheetData sheetId="34">
        <row r="96">
          <cell r="M96">
            <v>1.3959560554372476E-2</v>
          </cell>
        </row>
      </sheetData>
      <sheetData sheetId="35" refreshError="1"/>
      <sheetData sheetId="36" refreshError="1"/>
      <sheetData sheetId="37" refreshError="1"/>
      <sheetData sheetId="38" refreshError="1"/>
      <sheetData sheetId="39" refreshError="1"/>
      <sheetData sheetId="40">
        <row r="1">
          <cell r="B1" t="str">
            <v>REPORTE DE SCRAP POR CAUSA</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ow r="1">
          <cell r="A1" t="str">
            <v>P,CSD,VE,20.5G,JA,1881,M,HT,H</v>
          </cell>
          <cell r="E1" t="str">
            <v>WM</v>
          </cell>
        </row>
        <row r="2">
          <cell r="E2" t="str">
            <v>MP</v>
          </cell>
        </row>
        <row r="3">
          <cell r="E3" t="str">
            <v>PG</v>
          </cell>
        </row>
        <row r="4">
          <cell r="E4" t="str">
            <v>DV</v>
          </cell>
        </row>
        <row r="5">
          <cell r="E5" t="str">
            <v>FR</v>
          </cell>
        </row>
        <row r="6">
          <cell r="E6" t="str">
            <v>LE</v>
          </cell>
        </row>
        <row r="7">
          <cell r="E7" t="str">
            <v>GG</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to Feb"/>
      <sheetName val="RESUMEN FEB"/>
      <sheetName val="RESUMEN MARZO"/>
      <sheetName val="Historico"/>
      <sheetName val="RESUMEN ABRIL"/>
      <sheetName val="RESUMEN MAYO"/>
      <sheetName val="RESUMEN JUN"/>
      <sheetName val="RESUMEN JUL"/>
      <sheetName val="RESUMEN AGO"/>
      <sheetName val="RESUMEN SEP"/>
      <sheetName val="ENE"/>
      <sheetName val="FEB"/>
      <sheetName val="MAR"/>
      <sheetName val="ABR"/>
      <sheetName val="MAY"/>
      <sheetName val="JUN"/>
      <sheetName val="JUL"/>
      <sheetName val="AGO"/>
      <sheetName val="RESUMEN OCT"/>
      <sheetName val="SEP"/>
      <sheetName val="OCT"/>
      <sheetName val="RESUMEN NOV"/>
      <sheetName val="RESUMEN DIC"/>
      <sheetName val="NOV"/>
      <sheetName val="DIC"/>
      <sheetName val="inventarios"/>
      <sheetName val="CEAV"/>
      <sheetName val="nomina"/>
      <sheetName val="Vent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1">
          <cell r="A1" t="str">
            <v>ACTNUMST</v>
          </cell>
          <cell r="B1" t="str">
            <v>ACTDESCR</v>
          </cell>
          <cell r="C1">
            <v>0</v>
          </cell>
        </row>
        <row r="2">
          <cell r="A2" t="str">
            <v>00-11101-01-01</v>
          </cell>
          <cell r="B2" t="str">
            <v>Caja General</v>
          </cell>
          <cell r="C2">
            <v>0</v>
          </cell>
        </row>
        <row r="3">
          <cell r="A3" t="str">
            <v>00-11102-01-01</v>
          </cell>
          <cell r="B3" t="str">
            <v>Caja Chica Administrativa Guayaquil (Tesoreria)</v>
          </cell>
          <cell r="C3">
            <v>0</v>
          </cell>
        </row>
        <row r="4">
          <cell r="A4" t="str">
            <v>00-11102-02-01</v>
          </cell>
          <cell r="B4" t="str">
            <v>Caja Chica Planta Pascuales (Compras)</v>
          </cell>
          <cell r="C4">
            <v>0</v>
          </cell>
        </row>
        <row r="5">
          <cell r="A5" t="str">
            <v>00-11102-03-01</v>
          </cell>
          <cell r="B5" t="str">
            <v>Caja Chica Administrativa Quito</v>
          </cell>
          <cell r="C5">
            <v>0</v>
          </cell>
        </row>
        <row r="6">
          <cell r="A6" t="str">
            <v>00-11102-06-01</v>
          </cell>
          <cell r="B6" t="str">
            <v>Caja Chica Planta EBC GQUIL.</v>
          </cell>
          <cell r="C6">
            <v>0</v>
          </cell>
        </row>
        <row r="7">
          <cell r="A7" t="str">
            <v>00-11102-99-01</v>
          </cell>
          <cell r="B7" t="str">
            <v>Caja en Tránsito</v>
          </cell>
          <cell r="C7">
            <v>0</v>
          </cell>
        </row>
        <row r="8">
          <cell r="A8" t="str">
            <v>00-11201-02-01</v>
          </cell>
          <cell r="B8" t="str">
            <v>Banco Bolivariano Cta.Cte.# 5155759</v>
          </cell>
          <cell r="C8">
            <v>-28084.21</v>
          </cell>
        </row>
        <row r="9">
          <cell r="A9" t="str">
            <v>00-11201-03-01</v>
          </cell>
          <cell r="B9" t="str">
            <v>Banco de Guayaquil Cta.Cte.# 148727-2</v>
          </cell>
          <cell r="C9">
            <v>4482.9399999999996</v>
          </cell>
        </row>
        <row r="10">
          <cell r="A10" t="str">
            <v>00-11201-04-01</v>
          </cell>
          <cell r="B10" t="str">
            <v>Banco International Cta.Cte.# 100010011-8</v>
          </cell>
          <cell r="C10">
            <v>-1800.71</v>
          </cell>
        </row>
        <row r="11">
          <cell r="A11" t="str">
            <v>00-11201-05-01</v>
          </cell>
          <cell r="B11" t="str">
            <v>Banco Produbanco Cta.Cte.# 0200604829-1</v>
          </cell>
          <cell r="C11">
            <v>749718.95</v>
          </cell>
        </row>
        <row r="12">
          <cell r="A12" t="str">
            <v>00-11401-01-01</v>
          </cell>
          <cell r="B12" t="str">
            <v>Cuentas por Cobrar Clientes Locales</v>
          </cell>
          <cell r="C12">
            <v>780024.29</v>
          </cell>
        </row>
        <row r="13">
          <cell r="A13" t="str">
            <v>00-11402-01-01</v>
          </cell>
          <cell r="B13" t="str">
            <v>Otras Cuentas por Cobrar</v>
          </cell>
          <cell r="C13">
            <v>21602.77</v>
          </cell>
        </row>
        <row r="14">
          <cell r="A14" t="str">
            <v>00-11501-01-01</v>
          </cell>
          <cell r="B14" t="str">
            <v>Ctas.por Cobrar Accion.G.Menéndez R.</v>
          </cell>
          <cell r="C14">
            <v>-69185</v>
          </cell>
        </row>
        <row r="15">
          <cell r="A15" t="str">
            <v>00-11502-01-01</v>
          </cell>
          <cell r="B15" t="str">
            <v>Ctas.por Cobrar Cías.Relac.Milantop</v>
          </cell>
          <cell r="C15">
            <v>23047.21</v>
          </cell>
        </row>
        <row r="16">
          <cell r="A16" t="str">
            <v>00-11502-09-01</v>
          </cell>
          <cell r="B16" t="str">
            <v>Ctas.por Cobrar Cias. Relac .Amcor Venezuela</v>
          </cell>
          <cell r="C16">
            <v>-191769.49</v>
          </cell>
        </row>
        <row r="17">
          <cell r="A17" t="str">
            <v>00-11503-01-01</v>
          </cell>
          <cell r="B17" t="str">
            <v>Ctas.por Cobrar Empleados Administ.</v>
          </cell>
          <cell r="C17">
            <v>2195.67</v>
          </cell>
        </row>
        <row r="18">
          <cell r="A18" t="str">
            <v>00-11504-01-01</v>
          </cell>
          <cell r="B18" t="str">
            <v>Ctas.por Cobrar Empleados Planta</v>
          </cell>
          <cell r="C18">
            <v>663.01</v>
          </cell>
        </row>
        <row r="19">
          <cell r="A19" t="str">
            <v>00-11505-05-01</v>
          </cell>
          <cell r="B19" t="str">
            <v>Iva Pagado</v>
          </cell>
          <cell r="C19">
            <v>151851.62</v>
          </cell>
        </row>
        <row r="20">
          <cell r="A20" t="str">
            <v>00-11506-01-01</v>
          </cell>
          <cell r="B20" t="str">
            <v>Retención en La Fuente</v>
          </cell>
          <cell r="C20">
            <v>34818.06</v>
          </cell>
        </row>
        <row r="21">
          <cell r="A21" t="str">
            <v>00-11506-02-01</v>
          </cell>
          <cell r="B21" t="str">
            <v>Retención en la Fuente años anteriores</v>
          </cell>
          <cell r="C21">
            <v>-41489.46</v>
          </cell>
        </row>
        <row r="22">
          <cell r="A22" t="str">
            <v>00-11506-03-01</v>
          </cell>
          <cell r="B22" t="str">
            <v>Credito Tributario</v>
          </cell>
          <cell r="C22">
            <v>-212279.18</v>
          </cell>
        </row>
        <row r="23">
          <cell r="A23" t="str">
            <v>00-11507-01-01</v>
          </cell>
          <cell r="B23" t="str">
            <v>Reclamos por Cobrar</v>
          </cell>
          <cell r="C23">
            <v>-5885.23</v>
          </cell>
        </row>
        <row r="24">
          <cell r="A24" t="str">
            <v>00-11508-01-01</v>
          </cell>
          <cell r="B24" t="str">
            <v>Depósitos en Garantía</v>
          </cell>
          <cell r="C24">
            <v>-2641.89</v>
          </cell>
        </row>
        <row r="25">
          <cell r="A25" t="str">
            <v>00-11509-01-01</v>
          </cell>
          <cell r="B25" t="str">
            <v>Anticipo Proveedores</v>
          </cell>
          <cell r="C25">
            <v>4013.69</v>
          </cell>
        </row>
        <row r="26">
          <cell r="A26" t="str">
            <v>00-11509-03-01</v>
          </cell>
          <cell r="B26" t="str">
            <v>Otros Anticipos</v>
          </cell>
          <cell r="C26">
            <v>-400</v>
          </cell>
        </row>
        <row r="27">
          <cell r="A27" t="str">
            <v>00-11509-04-01</v>
          </cell>
          <cell r="B27" t="str">
            <v>Anticipo Proveedores del Exterior</v>
          </cell>
          <cell r="C27">
            <v>-23758.55</v>
          </cell>
        </row>
        <row r="28">
          <cell r="A28" t="str">
            <v>00-11514-01-01</v>
          </cell>
          <cell r="B28" t="str">
            <v>Anticipos Prov. Locales - Compras</v>
          </cell>
          <cell r="C28">
            <v>-4396.33</v>
          </cell>
        </row>
        <row r="29">
          <cell r="A29" t="str">
            <v>00-11515-01-01</v>
          </cell>
          <cell r="B29" t="str">
            <v>Anticipo Prov. Exterior - Compras</v>
          </cell>
          <cell r="C29">
            <v>-140830.6</v>
          </cell>
        </row>
        <row r="30">
          <cell r="A30" t="str">
            <v>00-11601-01-01</v>
          </cell>
          <cell r="B30" t="str">
            <v>Invent.Prod.Termin. Preformas Nacional</v>
          </cell>
          <cell r="C30">
            <v>-81988.639999999999</v>
          </cell>
        </row>
        <row r="31">
          <cell r="A31" t="str">
            <v>00-11601-02-01</v>
          </cell>
          <cell r="B31" t="str">
            <v>Invent.Prod.Term. Preformas Importadas</v>
          </cell>
          <cell r="C31">
            <v>-131259.60999999999</v>
          </cell>
        </row>
        <row r="32">
          <cell r="A32" t="str">
            <v>00-11601-03-01</v>
          </cell>
          <cell r="B32" t="str">
            <v>Invent.Prod.Termin. Envases Nacional</v>
          </cell>
          <cell r="C32">
            <v>-38107.300000000003</v>
          </cell>
        </row>
        <row r="33">
          <cell r="A33" t="str">
            <v>00-11601-03-02</v>
          </cell>
          <cell r="B33" t="str">
            <v>Invent.Prod.Term.Envases Import.</v>
          </cell>
          <cell r="C33">
            <v>-21487.360000000001</v>
          </cell>
        </row>
        <row r="34">
          <cell r="A34" t="str">
            <v>00-11601-03-03</v>
          </cell>
          <cell r="B34" t="str">
            <v>Invent.Prod.Termin. Envases EBC GYE.</v>
          </cell>
          <cell r="C34">
            <v>31569.22</v>
          </cell>
        </row>
        <row r="35">
          <cell r="A35" t="str">
            <v>00-11601-03-04</v>
          </cell>
          <cell r="B35" t="str">
            <v>Invent.Prod.Termin. Envases EBC UIO</v>
          </cell>
          <cell r="C35">
            <v>-16584.169999999998</v>
          </cell>
        </row>
        <row r="36">
          <cell r="A36" t="str">
            <v>00-11601-03-05</v>
          </cell>
          <cell r="B36" t="str">
            <v>Invent. Prod. Termin. Envases Delta</v>
          </cell>
          <cell r="C36">
            <v>7031.76</v>
          </cell>
        </row>
        <row r="37">
          <cell r="A37" t="str">
            <v>00-11601-04-01</v>
          </cell>
          <cell r="B37" t="str">
            <v>Invent.Prod.Term. Preformas Ebc Guayaquil</v>
          </cell>
          <cell r="C37">
            <v>720999.98</v>
          </cell>
        </row>
        <row r="38">
          <cell r="A38" t="str">
            <v>00-11601-04-02</v>
          </cell>
          <cell r="B38" t="str">
            <v>Invent.Prod.Term. Preformas EBC Quito</v>
          </cell>
          <cell r="C38">
            <v>-472936.86</v>
          </cell>
        </row>
        <row r="39">
          <cell r="A39" t="str">
            <v>00-11602-01-01</v>
          </cell>
          <cell r="B39" t="str">
            <v>Invent.Prod.Inyecc.en Proceso Preformas</v>
          </cell>
          <cell r="C39">
            <v>4429.04</v>
          </cell>
        </row>
        <row r="40">
          <cell r="A40" t="str">
            <v>00-11602-01-02</v>
          </cell>
          <cell r="B40" t="str">
            <v>Invent.Prod.Inyecc.en Proceso - Resina</v>
          </cell>
          <cell r="C40">
            <v>-45433.67</v>
          </cell>
        </row>
        <row r="41">
          <cell r="A41" t="str">
            <v>00-11602-02-01</v>
          </cell>
          <cell r="B41" t="str">
            <v>Invent.Prod.Soplado en Proceso Envases</v>
          </cell>
          <cell r="C41">
            <v>-2982.24</v>
          </cell>
        </row>
        <row r="42">
          <cell r="A42" t="str">
            <v>00-11602-02-02</v>
          </cell>
          <cell r="B42" t="str">
            <v>Invent.Prod.Soplado en Proceso - Preformas</v>
          </cell>
          <cell r="C42">
            <v>17260.45</v>
          </cell>
        </row>
        <row r="43">
          <cell r="A43" t="str">
            <v>00-11603-01-01</v>
          </cell>
          <cell r="B43" t="str">
            <v>Invent.Mater.Prima Resina</v>
          </cell>
          <cell r="C43">
            <v>84182.8</v>
          </cell>
        </row>
        <row r="44">
          <cell r="A44" t="str">
            <v>00-11603-02-01</v>
          </cell>
          <cell r="B44" t="str">
            <v>Invent.Mater.Prima Pigmentos</v>
          </cell>
          <cell r="C44">
            <v>21230.93</v>
          </cell>
        </row>
        <row r="45">
          <cell r="A45" t="str">
            <v>00-11604-01-01</v>
          </cell>
          <cell r="B45" t="str">
            <v>Invent.Material de Embalaje</v>
          </cell>
          <cell r="C45">
            <v>-7466.5</v>
          </cell>
        </row>
        <row r="46">
          <cell r="A46" t="str">
            <v>00-11610-01-01</v>
          </cell>
          <cell r="B46" t="str">
            <v>Amortización Inventarios Obsoletos</v>
          </cell>
          <cell r="C46">
            <v>-9555.9</v>
          </cell>
        </row>
        <row r="47">
          <cell r="A47" t="str">
            <v>00-11701-11-01</v>
          </cell>
          <cell r="B47" t="str">
            <v>Seguro Amcor</v>
          </cell>
          <cell r="C47">
            <v>60000</v>
          </cell>
        </row>
        <row r="48">
          <cell r="A48" t="str">
            <v>00-11701-11-02</v>
          </cell>
          <cell r="B48" t="str">
            <v>Amortiz.Acum.Seguros Amcor</v>
          </cell>
          <cell r="C48">
            <v>-5000</v>
          </cell>
        </row>
        <row r="49">
          <cell r="A49" t="str">
            <v>00-11801-01-01</v>
          </cell>
          <cell r="B49" t="str">
            <v>Resina y Pigmentos</v>
          </cell>
          <cell r="C49">
            <v>-314585.12</v>
          </cell>
        </row>
        <row r="50">
          <cell r="A50" t="str">
            <v>00-11901-01-01</v>
          </cell>
          <cell r="B50" t="str">
            <v>Preforma</v>
          </cell>
          <cell r="C50">
            <v>10683.39</v>
          </cell>
        </row>
        <row r="51">
          <cell r="A51" t="str">
            <v>00-12001-01-01</v>
          </cell>
          <cell r="B51" t="str">
            <v>Repuestos</v>
          </cell>
          <cell r="C51">
            <v>68747.460000000006</v>
          </cell>
        </row>
        <row r="52">
          <cell r="A52" t="str">
            <v>00-12201-02-01</v>
          </cell>
          <cell r="B52" t="str">
            <v>Depreciac.Acumul.Edificio</v>
          </cell>
          <cell r="C52">
            <v>-74.33</v>
          </cell>
        </row>
        <row r="53">
          <cell r="A53" t="str">
            <v>00-12202-02-01</v>
          </cell>
          <cell r="B53" t="str">
            <v>Depreciac.Acumul.Instalaciones</v>
          </cell>
          <cell r="C53">
            <v>-17787.580000000002</v>
          </cell>
        </row>
        <row r="54">
          <cell r="A54" t="str">
            <v>00-12203-01-01</v>
          </cell>
          <cell r="B54" t="str">
            <v>Maquinarias y Equipos</v>
          </cell>
          <cell r="C54">
            <v>0</v>
          </cell>
        </row>
        <row r="55">
          <cell r="A55" t="str">
            <v>00-12203-02-01</v>
          </cell>
          <cell r="B55" t="str">
            <v>Depreciac.Acumul.Maquinarias y Equipos</v>
          </cell>
          <cell r="C55">
            <v>-189534.77</v>
          </cell>
        </row>
        <row r="56">
          <cell r="A56" t="str">
            <v>00-12204-02-01</v>
          </cell>
          <cell r="B56" t="str">
            <v>Depreciac.Acumul.Equipos de Oficina</v>
          </cell>
          <cell r="C56">
            <v>-2030.25</v>
          </cell>
        </row>
        <row r="57">
          <cell r="A57" t="str">
            <v>00-12205-02-01</v>
          </cell>
          <cell r="B57" t="str">
            <v>Depreciac.Acumul.Muebles y Enseres</v>
          </cell>
          <cell r="C57">
            <v>-524.89</v>
          </cell>
        </row>
        <row r="58">
          <cell r="A58" t="str">
            <v>00-12206-02-01</v>
          </cell>
          <cell r="B58" t="str">
            <v>Depreciac.Acumul.Equipos de Computación</v>
          </cell>
          <cell r="C58">
            <v>-5638.52</v>
          </cell>
        </row>
        <row r="59">
          <cell r="A59" t="str">
            <v>00-12207-01-01</v>
          </cell>
          <cell r="B59" t="str">
            <v>Vehiculos</v>
          </cell>
          <cell r="C59">
            <v>-91431.73</v>
          </cell>
        </row>
        <row r="60">
          <cell r="A60" t="str">
            <v>00-12207-02-01</v>
          </cell>
          <cell r="B60" t="str">
            <v>Depreciac.Acumul.Vehiculos</v>
          </cell>
          <cell r="C60">
            <v>42214.96</v>
          </cell>
        </row>
        <row r="61">
          <cell r="A61" t="str">
            <v>00-12208-02-01</v>
          </cell>
          <cell r="B61" t="str">
            <v>Depreciac.Acumul.Equipos de Laboratorio</v>
          </cell>
          <cell r="C61">
            <v>-2417.14</v>
          </cell>
        </row>
        <row r="62">
          <cell r="A62" t="str">
            <v>00-12209-02-01</v>
          </cell>
          <cell r="B62" t="str">
            <v>Depreciac.Acumul.Herramientas</v>
          </cell>
          <cell r="C62">
            <v>-3114.04</v>
          </cell>
        </row>
        <row r="63">
          <cell r="A63" t="str">
            <v>00-12210-18-01</v>
          </cell>
          <cell r="B63" t="str">
            <v>CEAV 05/06 ECU#04 Sidel-Peru-hr</v>
          </cell>
          <cell r="C63">
            <v>768.8</v>
          </cell>
        </row>
        <row r="64">
          <cell r="A64" t="str">
            <v>00-12210-22-01</v>
          </cell>
          <cell r="B64" t="str">
            <v>CEAV 05/06 ECU#08 Sidel EBC-Gyq.</v>
          </cell>
          <cell r="C64">
            <v>0</v>
          </cell>
        </row>
        <row r="65">
          <cell r="A65" t="str">
            <v>00-12210-23-01</v>
          </cell>
          <cell r="B65" t="str">
            <v>CEAV 05/06 ECU#09 Sidel Pascuales</v>
          </cell>
          <cell r="C65">
            <v>79716.160000000003</v>
          </cell>
        </row>
        <row r="66">
          <cell r="A66" t="str">
            <v>00-12210-29-01</v>
          </cell>
          <cell r="B66" t="str">
            <v>CEAV 05/06 ECU#15 Improve Injection machines condi</v>
          </cell>
          <cell r="C66">
            <v>29882.58</v>
          </cell>
        </row>
        <row r="67">
          <cell r="A67" t="str">
            <v>00-12210-42-01</v>
          </cell>
          <cell r="B67" t="str">
            <v>CEAV 06/07 ECU#01</v>
          </cell>
          <cell r="C67">
            <v>14477.96</v>
          </cell>
        </row>
        <row r="68">
          <cell r="A68" t="str">
            <v>00-12210-43-01</v>
          </cell>
          <cell r="B68" t="str">
            <v>CEAV 06/07 ECU#04 Transfer SBO-10 Quito</v>
          </cell>
          <cell r="C68">
            <v>252058.79</v>
          </cell>
        </row>
        <row r="69">
          <cell r="A69" t="str">
            <v>00-13102-01-01</v>
          </cell>
          <cell r="B69" t="str">
            <v>Otros Cargos Diferidos</v>
          </cell>
          <cell r="C69">
            <v>20000</v>
          </cell>
        </row>
        <row r="70">
          <cell r="A70" t="str">
            <v>00-13102-01-02</v>
          </cell>
          <cell r="B70" t="str">
            <v>Amortizac.Acum.OO.Cargos Diferidos</v>
          </cell>
          <cell r="C70">
            <v>-5201.57</v>
          </cell>
        </row>
        <row r="71">
          <cell r="A71" t="str">
            <v>00-13103-05-02</v>
          </cell>
          <cell r="B71" t="str">
            <v>Amort. Gastos en Software</v>
          </cell>
          <cell r="C71">
            <v>-663.82</v>
          </cell>
        </row>
        <row r="72">
          <cell r="A72" t="str">
            <v>00-21202-01-01</v>
          </cell>
          <cell r="B72" t="str">
            <v>Obligac. Bco.Guayaquil</v>
          </cell>
          <cell r="C72">
            <v>3438.71</v>
          </cell>
        </row>
        <row r="73">
          <cell r="A73" t="str">
            <v>00-21202-02-01</v>
          </cell>
          <cell r="B73" t="str">
            <v>Oblig. Bco Internac.Cont.# 100304385</v>
          </cell>
          <cell r="C73">
            <v>905.92</v>
          </cell>
        </row>
        <row r="74">
          <cell r="A74" t="str">
            <v>00-21202-06-01</v>
          </cell>
          <cell r="B74" t="str">
            <v>Oblig. Bco. Produbanco</v>
          </cell>
          <cell r="C74">
            <v>2679.83</v>
          </cell>
        </row>
        <row r="75">
          <cell r="A75" t="str">
            <v>00-21205-01-01</v>
          </cell>
          <cell r="B75" t="str">
            <v>Intereses por Pagar</v>
          </cell>
          <cell r="C75">
            <v>-3678.18</v>
          </cell>
        </row>
        <row r="76">
          <cell r="A76" t="str">
            <v>00-21205-02-01</v>
          </cell>
          <cell r="B76" t="str">
            <v>INTERESES POR PAGAR AMCOR</v>
          </cell>
          <cell r="C76">
            <v>-105259.6</v>
          </cell>
        </row>
        <row r="77">
          <cell r="A77" t="str">
            <v>00-21301-01-01</v>
          </cell>
          <cell r="B77" t="str">
            <v>Proveedores Locales</v>
          </cell>
          <cell r="C77">
            <v>-48733.05</v>
          </cell>
        </row>
        <row r="78">
          <cell r="A78" t="str">
            <v>00-21301-20-01</v>
          </cell>
          <cell r="B78" t="str">
            <v>Provisión Auditoría Regional KPMG</v>
          </cell>
          <cell r="C78">
            <v>-20000</v>
          </cell>
        </row>
        <row r="79">
          <cell r="A79" t="str">
            <v>00-21301-21-01</v>
          </cell>
          <cell r="B79" t="str">
            <v>Compolan S.A.</v>
          </cell>
          <cell r="C79">
            <v>-0.05</v>
          </cell>
        </row>
        <row r="80">
          <cell r="A80" t="str">
            <v>00-21302-01-01</v>
          </cell>
          <cell r="B80" t="str">
            <v>Proveedores del Exterior</v>
          </cell>
          <cell r="C80">
            <v>-388570.97</v>
          </cell>
        </row>
        <row r="81">
          <cell r="A81" t="str">
            <v>00-21402-14-01</v>
          </cell>
          <cell r="B81" t="str">
            <v>AMCOR USA</v>
          </cell>
          <cell r="C81">
            <v>-273275</v>
          </cell>
        </row>
        <row r="82">
          <cell r="A82" t="str">
            <v>00-21402-15-01</v>
          </cell>
          <cell r="B82" t="str">
            <v>AMCOR COLOMBIA</v>
          </cell>
          <cell r="C82">
            <v>-19375.04</v>
          </cell>
        </row>
        <row r="83">
          <cell r="A83" t="str">
            <v>00-21402-16-01</v>
          </cell>
          <cell r="B83" t="str">
            <v>AMCOR MANCHESTER</v>
          </cell>
          <cell r="C83">
            <v>-17848.990000000002</v>
          </cell>
        </row>
        <row r="84">
          <cell r="A84" t="str">
            <v>00-21402-19-01</v>
          </cell>
          <cell r="B84" t="str">
            <v>AMCOR EL SALVADOR</v>
          </cell>
          <cell r="C84">
            <v>-4886.7700000000004</v>
          </cell>
        </row>
        <row r="85">
          <cell r="A85" t="str">
            <v>00-21404-01-01</v>
          </cell>
          <cell r="B85" t="str">
            <v>Cuentas por Liquidar</v>
          </cell>
          <cell r="C85">
            <v>-10961.21</v>
          </cell>
        </row>
        <row r="86">
          <cell r="A86" t="str">
            <v>00-21405-01-01</v>
          </cell>
          <cell r="B86" t="str">
            <v>Acreedores Varios</v>
          </cell>
          <cell r="C86">
            <v>8619.0400000000009</v>
          </cell>
        </row>
        <row r="87">
          <cell r="A87" t="str">
            <v>00-21405-02-01</v>
          </cell>
          <cell r="B87" t="str">
            <v>Anticipo de Clientes</v>
          </cell>
          <cell r="C87">
            <v>54045</v>
          </cell>
        </row>
        <row r="88">
          <cell r="A88" t="str">
            <v>00-21405-05-01</v>
          </cell>
          <cell r="B88" t="str">
            <v>REBATE EBC</v>
          </cell>
          <cell r="C88">
            <v>-63871</v>
          </cell>
        </row>
        <row r="89">
          <cell r="A89" t="str">
            <v>00-21501-01-01</v>
          </cell>
          <cell r="B89" t="str">
            <v>I.V.A. Cobrado</v>
          </cell>
          <cell r="C89">
            <v>-52916.06</v>
          </cell>
        </row>
        <row r="90">
          <cell r="A90" t="str">
            <v>00-21501-03-01</v>
          </cell>
          <cell r="B90" t="str">
            <v>30% I.V.A. Retenido</v>
          </cell>
          <cell r="C90">
            <v>585.17999999999995</v>
          </cell>
        </row>
        <row r="91">
          <cell r="A91" t="str">
            <v>00-21501-04-01</v>
          </cell>
          <cell r="B91" t="str">
            <v>70% I.V.A. Retenido</v>
          </cell>
          <cell r="C91">
            <v>3138.23</v>
          </cell>
        </row>
        <row r="92">
          <cell r="A92" t="str">
            <v>00-21501-05-01</v>
          </cell>
          <cell r="B92" t="str">
            <v>100% I.V.A. Retenido</v>
          </cell>
          <cell r="C92">
            <v>1756.93</v>
          </cell>
        </row>
        <row r="93">
          <cell r="A93" t="str">
            <v>00-21502-01-01</v>
          </cell>
          <cell r="B93" t="str">
            <v>Retencion del 1% compra</v>
          </cell>
          <cell r="C93">
            <v>-2117.11</v>
          </cell>
        </row>
        <row r="94">
          <cell r="A94" t="str">
            <v>00-21502-02-01</v>
          </cell>
          <cell r="B94" t="str">
            <v>Retencion del 5% compra</v>
          </cell>
          <cell r="C94">
            <v>0</v>
          </cell>
        </row>
        <row r="95">
          <cell r="A95" t="str">
            <v>00-21502-03-01</v>
          </cell>
          <cell r="B95" t="str">
            <v>Retencion del 8% compra</v>
          </cell>
          <cell r="C95">
            <v>975.47</v>
          </cell>
        </row>
        <row r="96">
          <cell r="A96" t="str">
            <v>00-21502-05-01</v>
          </cell>
          <cell r="B96" t="str">
            <v>Retención del 0,1% compra</v>
          </cell>
          <cell r="C96">
            <v>20</v>
          </cell>
        </row>
        <row r="97">
          <cell r="A97" t="str">
            <v>00-21502-06-01</v>
          </cell>
          <cell r="B97" t="str">
            <v>Retención Impto.Renta Sueldos</v>
          </cell>
          <cell r="C97">
            <v>19.93</v>
          </cell>
        </row>
        <row r="98">
          <cell r="A98" t="str">
            <v>00-21601-01-01</v>
          </cell>
          <cell r="B98" t="str">
            <v>Aporte Individual</v>
          </cell>
          <cell r="C98">
            <v>-1488.23</v>
          </cell>
        </row>
        <row r="99">
          <cell r="A99" t="str">
            <v>00-21601-02-01</v>
          </cell>
          <cell r="B99" t="str">
            <v>Prestamos al Iess</v>
          </cell>
          <cell r="C99">
            <v>-577.73</v>
          </cell>
        </row>
        <row r="100">
          <cell r="A100" t="str">
            <v>00-21601-03-01</v>
          </cell>
          <cell r="B100" t="str">
            <v>Tribunal de Menores</v>
          </cell>
          <cell r="C100">
            <v>192</v>
          </cell>
        </row>
        <row r="101">
          <cell r="A101" t="str">
            <v>00-21601-05-01</v>
          </cell>
          <cell r="B101" t="str">
            <v>Fondo de Empleados</v>
          </cell>
          <cell r="C101">
            <v>10.93</v>
          </cell>
        </row>
        <row r="102">
          <cell r="A102" t="str">
            <v>00-21602-01-01</v>
          </cell>
          <cell r="B102" t="str">
            <v>Nominas por pagar</v>
          </cell>
          <cell r="C102">
            <v>-40.840000000000003</v>
          </cell>
        </row>
        <row r="103">
          <cell r="A103" t="str">
            <v>00-21602-02-01</v>
          </cell>
          <cell r="B103" t="str">
            <v>Aporte Patronal</v>
          </cell>
          <cell r="C103">
            <v>-1765.05</v>
          </cell>
        </row>
        <row r="104">
          <cell r="A104" t="str">
            <v>00-21602-03-01</v>
          </cell>
          <cell r="B104" t="str">
            <v>Décimo Tercer Sueldo</v>
          </cell>
          <cell r="C104">
            <v>-7361.41</v>
          </cell>
        </row>
        <row r="105">
          <cell r="A105" t="str">
            <v>00-21602-04-01</v>
          </cell>
          <cell r="B105" t="str">
            <v>Décimo Cuarto Sueldo</v>
          </cell>
          <cell r="C105">
            <v>-2203.4499999999998</v>
          </cell>
        </row>
        <row r="106">
          <cell r="A106" t="str">
            <v>00-21602-08-01</v>
          </cell>
          <cell r="B106" t="str">
            <v>Vacaciones</v>
          </cell>
          <cell r="C106">
            <v>-3680.75</v>
          </cell>
        </row>
        <row r="107">
          <cell r="A107" t="str">
            <v>00-21602-10-01</v>
          </cell>
          <cell r="B107" t="str">
            <v>Multas</v>
          </cell>
          <cell r="C107">
            <v>-10.93</v>
          </cell>
        </row>
        <row r="108">
          <cell r="A108" t="str">
            <v>00-22301-07-01</v>
          </cell>
          <cell r="B108" t="str">
            <v>Doctos.por Pagar L.Plazo - Amcor  USA</v>
          </cell>
          <cell r="C108">
            <v>-17000</v>
          </cell>
        </row>
        <row r="109">
          <cell r="A109" t="str">
            <v>00-41101-01-01</v>
          </cell>
          <cell r="B109" t="str">
            <v>Venta de Envases Retornables P.E.T</v>
          </cell>
          <cell r="C109">
            <v>-803186.55</v>
          </cell>
        </row>
        <row r="110">
          <cell r="A110" t="str">
            <v>00-41101-02-01</v>
          </cell>
          <cell r="B110" t="str">
            <v>Venta de Envases No Retornables P.R.B</v>
          </cell>
          <cell r="C110">
            <v>-2963510.32</v>
          </cell>
        </row>
        <row r="111">
          <cell r="A111" t="str">
            <v>00-41102-01-01</v>
          </cell>
          <cell r="B111" t="str">
            <v>Venta de Preformas Nacionales</v>
          </cell>
          <cell r="C111">
            <v>-609176.48</v>
          </cell>
        </row>
        <row r="112">
          <cell r="A112" t="str">
            <v>00-41102-02-01</v>
          </cell>
          <cell r="B112" t="str">
            <v>Venta de Preformas Importadas</v>
          </cell>
          <cell r="C112">
            <v>-61001.15</v>
          </cell>
        </row>
        <row r="113">
          <cell r="A113" t="str">
            <v>00-41102-03-01</v>
          </cell>
          <cell r="B113" t="str">
            <v>Ventas de Preformas Nacionales a Intercompañía</v>
          </cell>
          <cell r="C113">
            <v>-341206.77</v>
          </cell>
        </row>
        <row r="114">
          <cell r="A114" t="str">
            <v>00-41106-01-01</v>
          </cell>
          <cell r="B114" t="str">
            <v>Venta de Material Reciclaje</v>
          </cell>
          <cell r="C114">
            <v>-14595.01</v>
          </cell>
        </row>
        <row r="115">
          <cell r="A115" t="str">
            <v>00-42101-01-01</v>
          </cell>
          <cell r="B115" t="str">
            <v>Descuentos y devoluciones sobre Ventas</v>
          </cell>
          <cell r="C115">
            <v>986833.02</v>
          </cell>
        </row>
        <row r="116">
          <cell r="A116" t="str">
            <v>00-42101-05-01</v>
          </cell>
          <cell r="B116" t="str">
            <v>Descuentos y devoluciones sobre ventas Reciclado</v>
          </cell>
          <cell r="C116">
            <v>1016.21</v>
          </cell>
        </row>
        <row r="117">
          <cell r="A117" t="str">
            <v>00-42101-06-01</v>
          </cell>
          <cell r="B117" t="str">
            <v>Descuentos EBC</v>
          </cell>
          <cell r="C117">
            <v>63871</v>
          </cell>
        </row>
        <row r="118">
          <cell r="A118" t="str">
            <v>00-43401-01-06</v>
          </cell>
          <cell r="B118" t="str">
            <v>Venta de Maquinarias y Equipos (GW)</v>
          </cell>
          <cell r="C118">
            <v>-62500</v>
          </cell>
        </row>
        <row r="119">
          <cell r="A119" t="str">
            <v>00-51101-01-01</v>
          </cell>
          <cell r="B119" t="str">
            <v>Costo de Venta  Envases Nacionales</v>
          </cell>
          <cell r="C119">
            <v>1368812.34</v>
          </cell>
        </row>
        <row r="120">
          <cell r="A120" t="str">
            <v>00-51101-02-01</v>
          </cell>
          <cell r="B120" t="str">
            <v>Costo de Venta  Envases Importados</v>
          </cell>
          <cell r="C120">
            <v>233786.19</v>
          </cell>
        </row>
        <row r="121">
          <cell r="A121" t="str">
            <v>00-51102-01-01</v>
          </cell>
          <cell r="B121" t="str">
            <v>Costo de Venta Preformas Nacionales</v>
          </cell>
          <cell r="C121">
            <v>417570.07</v>
          </cell>
        </row>
        <row r="122">
          <cell r="A122" t="str">
            <v>00-51102-02-01</v>
          </cell>
          <cell r="B122" t="str">
            <v>Costo de Venta Preformas Importadas</v>
          </cell>
          <cell r="C122">
            <v>41526.629999999997</v>
          </cell>
        </row>
        <row r="123">
          <cell r="A123" t="str">
            <v>00-51102-03-01</v>
          </cell>
          <cell r="B123" t="str">
            <v>Costo de Ventas Preformas Intercompañía</v>
          </cell>
          <cell r="C123">
            <v>220053.36</v>
          </cell>
        </row>
        <row r="124">
          <cell r="A124" t="str">
            <v>00-51104-01-01</v>
          </cell>
          <cell r="B124" t="str">
            <v>Subcontract- Variance</v>
          </cell>
          <cell r="C124">
            <v>65950.7</v>
          </cell>
        </row>
        <row r="125">
          <cell r="A125" t="str">
            <v>00-51110-01-01</v>
          </cell>
          <cell r="B125" t="str">
            <v>Costo de  Pigmento</v>
          </cell>
          <cell r="C125">
            <v>7469.15</v>
          </cell>
        </row>
        <row r="126">
          <cell r="A126" t="str">
            <v>00-52102-03-01</v>
          </cell>
          <cell r="B126" t="str">
            <v>Inv. Producto Obsoleto</v>
          </cell>
          <cell r="C126">
            <v>9555.9</v>
          </cell>
        </row>
        <row r="127">
          <cell r="A127" t="str">
            <v>00-52103-01-01</v>
          </cell>
          <cell r="B127" t="str">
            <v>Plástico Pascuales</v>
          </cell>
          <cell r="C127">
            <v>7247.19</v>
          </cell>
        </row>
        <row r="128">
          <cell r="A128" t="str">
            <v>00-52103-02-01</v>
          </cell>
          <cell r="B128" t="str">
            <v>Expandible Pascuales</v>
          </cell>
          <cell r="C128">
            <v>5556.6</v>
          </cell>
        </row>
        <row r="129">
          <cell r="A129" t="str">
            <v>00-52103-02-02</v>
          </cell>
          <cell r="B129" t="str">
            <v>Expandible EBC Gquil</v>
          </cell>
          <cell r="C129">
            <v>6977.6</v>
          </cell>
        </row>
        <row r="130">
          <cell r="A130" t="str">
            <v>00-52103-02-03</v>
          </cell>
          <cell r="B130" t="str">
            <v>Expandible EBC Quito</v>
          </cell>
          <cell r="C130">
            <v>2959.6</v>
          </cell>
        </row>
        <row r="131">
          <cell r="A131" t="str">
            <v>00-52103-03-01</v>
          </cell>
          <cell r="B131" t="str">
            <v>Cinta de embalaje Pascuales</v>
          </cell>
          <cell r="C131">
            <v>1108.08</v>
          </cell>
        </row>
        <row r="132">
          <cell r="A132" t="str">
            <v>00-52103-03-03</v>
          </cell>
          <cell r="B132" t="str">
            <v>Cinta de embalaje EBC Quito</v>
          </cell>
          <cell r="C132">
            <v>233.28</v>
          </cell>
        </row>
        <row r="133">
          <cell r="A133" t="str">
            <v>00-52103-04-01</v>
          </cell>
          <cell r="B133" t="str">
            <v>Zunchos Pascuales</v>
          </cell>
          <cell r="C133">
            <v>1180.8</v>
          </cell>
        </row>
        <row r="134">
          <cell r="A134" t="str">
            <v>00-52103-04-02</v>
          </cell>
          <cell r="B134" t="str">
            <v>Zunchos EBC Gquil</v>
          </cell>
          <cell r="C134">
            <v>123</v>
          </cell>
        </row>
        <row r="135">
          <cell r="A135" t="str">
            <v>00-52103-04-03</v>
          </cell>
          <cell r="B135" t="str">
            <v>Zunchos EBC Quito</v>
          </cell>
          <cell r="C135">
            <v>246</v>
          </cell>
        </row>
        <row r="136">
          <cell r="A136" t="str">
            <v>00-52103-05-01</v>
          </cell>
          <cell r="B136" t="str">
            <v>Grapas para zuncho Pascuales</v>
          </cell>
          <cell r="C136">
            <v>212.5</v>
          </cell>
        </row>
        <row r="137">
          <cell r="A137" t="str">
            <v>00-52103-05-03</v>
          </cell>
          <cell r="B137" t="str">
            <v>Grapas para zuncho EBC Quito</v>
          </cell>
          <cell r="C137">
            <v>50</v>
          </cell>
        </row>
        <row r="138">
          <cell r="A138" t="str">
            <v>00-52103-06-01</v>
          </cell>
          <cell r="B138" t="str">
            <v>Pallets Pascuales</v>
          </cell>
          <cell r="C138">
            <v>5936</v>
          </cell>
        </row>
        <row r="139">
          <cell r="A139" t="str">
            <v>00-52103-07-01</v>
          </cell>
          <cell r="B139" t="str">
            <v>Cajas para preformas Pascuales</v>
          </cell>
          <cell r="C139">
            <v>21085.68</v>
          </cell>
        </row>
        <row r="140">
          <cell r="A140" t="str">
            <v>00-52103-10-01</v>
          </cell>
          <cell r="B140" t="str">
            <v>Tapas para Cartón Pascuales</v>
          </cell>
          <cell r="C140">
            <v>2465.62</v>
          </cell>
        </row>
        <row r="141">
          <cell r="A141" t="str">
            <v>00-52103-11-01</v>
          </cell>
          <cell r="B141" t="str">
            <v>Esquineros Pascuales</v>
          </cell>
          <cell r="C141">
            <v>409.5</v>
          </cell>
        </row>
        <row r="142">
          <cell r="A142" t="str">
            <v>00-52103-14-01</v>
          </cell>
          <cell r="B142" t="str">
            <v>Láminas de Cartón Pascuales</v>
          </cell>
          <cell r="C142">
            <v>2200.0700000000002</v>
          </cell>
        </row>
        <row r="143">
          <cell r="A143" t="str">
            <v>00-52103-14-03</v>
          </cell>
          <cell r="B143" t="str">
            <v>Láminas de Cartón EBC Quito</v>
          </cell>
          <cell r="C143">
            <v>418.5</v>
          </cell>
        </row>
        <row r="144">
          <cell r="A144" t="str">
            <v>00-52103-15-01</v>
          </cell>
          <cell r="B144" t="str">
            <v>Marco de madera Pascuales</v>
          </cell>
          <cell r="C144">
            <v>118.4</v>
          </cell>
        </row>
        <row r="145">
          <cell r="A145" t="str">
            <v>00-52103-18-01</v>
          </cell>
          <cell r="B145" t="str">
            <v>Bandejas Pascuales</v>
          </cell>
          <cell r="C145">
            <v>9828</v>
          </cell>
        </row>
        <row r="146">
          <cell r="A146" t="str">
            <v>00-52103-18-03</v>
          </cell>
          <cell r="B146" t="str">
            <v>Bandejas EBC Quito</v>
          </cell>
          <cell r="C146">
            <v>4504.5</v>
          </cell>
        </row>
        <row r="147">
          <cell r="A147" t="str">
            <v>00-52103-27-01</v>
          </cell>
          <cell r="B147" t="str">
            <v>Pegamento Fuller Pascuales</v>
          </cell>
          <cell r="C147">
            <v>295.2</v>
          </cell>
        </row>
        <row r="148">
          <cell r="A148" t="str">
            <v>00-52103-27-02</v>
          </cell>
          <cell r="B148" t="str">
            <v>Pegamento Fuller EBC Gquil</v>
          </cell>
          <cell r="C148">
            <v>639.6</v>
          </cell>
        </row>
        <row r="149">
          <cell r="A149" t="str">
            <v>00-52103-28-01</v>
          </cell>
          <cell r="B149" t="str">
            <v>Fundas Amcor #1 Pascuales</v>
          </cell>
          <cell r="C149">
            <v>3691.7</v>
          </cell>
        </row>
        <row r="150">
          <cell r="A150" t="str">
            <v>00-52103-29-01</v>
          </cell>
          <cell r="B150" t="str">
            <v>Fundas Amcor #2 Pascuales</v>
          </cell>
          <cell r="C150">
            <v>3463.8</v>
          </cell>
        </row>
        <row r="151">
          <cell r="A151" t="str">
            <v>00-52103-30-01</v>
          </cell>
          <cell r="B151" t="str">
            <v>Fundas Amcor #3 Pascuales</v>
          </cell>
          <cell r="C151">
            <v>1858.08</v>
          </cell>
        </row>
        <row r="152">
          <cell r="A152" t="str">
            <v>00-52103-30-02</v>
          </cell>
          <cell r="B152" t="str">
            <v>Fundas Amcor #3 EBC Gquil</v>
          </cell>
          <cell r="C152">
            <v>10.5</v>
          </cell>
        </row>
        <row r="153">
          <cell r="A153" t="str">
            <v>00-52103-31-01</v>
          </cell>
          <cell r="B153" t="str">
            <v>Fundas Amcor #4 Pascuales</v>
          </cell>
          <cell r="C153">
            <v>2226</v>
          </cell>
        </row>
        <row r="154">
          <cell r="A154" t="str">
            <v>00-52103-31-02</v>
          </cell>
          <cell r="B154" t="str">
            <v>Fundas Amcor #4 EBC Gquil</v>
          </cell>
          <cell r="C154">
            <v>212</v>
          </cell>
        </row>
        <row r="155">
          <cell r="A155" t="str">
            <v>00-52103-33-01</v>
          </cell>
          <cell r="B155" t="str">
            <v>Fundas Amcor #6 Pascuales</v>
          </cell>
          <cell r="C155">
            <v>1107</v>
          </cell>
        </row>
        <row r="156">
          <cell r="A156" t="str">
            <v>00-52107-01-01</v>
          </cell>
          <cell r="B156" t="str">
            <v>Merma Inyección</v>
          </cell>
          <cell r="C156">
            <v>20020.13</v>
          </cell>
        </row>
        <row r="157">
          <cell r="A157" t="str">
            <v>00-52107-02-01</v>
          </cell>
          <cell r="B157" t="str">
            <v>Merma Soplado APPE Gquil</v>
          </cell>
          <cell r="C157">
            <v>7001.72</v>
          </cell>
        </row>
        <row r="158">
          <cell r="A158" t="str">
            <v>00-52107-04-01</v>
          </cell>
          <cell r="B158" t="str">
            <v>Merma Soplado EBC Gquil</v>
          </cell>
          <cell r="C158">
            <v>4626.2700000000004</v>
          </cell>
        </row>
        <row r="159">
          <cell r="A159" t="str">
            <v>00-52107-05-01</v>
          </cell>
          <cell r="B159" t="str">
            <v>Merma Soplado EBC Quito</v>
          </cell>
          <cell r="C159">
            <v>13204.45</v>
          </cell>
        </row>
        <row r="160">
          <cell r="A160" t="str">
            <v>00-52107-07-01</v>
          </cell>
          <cell r="B160" t="str">
            <v>HFI</v>
          </cell>
          <cell r="C160">
            <v>7468.84</v>
          </cell>
        </row>
        <row r="161">
          <cell r="A161" t="str">
            <v>00-52107-09-01</v>
          </cell>
          <cell r="B161" t="str">
            <v>Merma por Humedad Resina</v>
          </cell>
          <cell r="C161">
            <v>3963.32</v>
          </cell>
        </row>
        <row r="162">
          <cell r="A162" t="str">
            <v>00-81101-02-01</v>
          </cell>
          <cell r="B162" t="str">
            <v>Intereses y Comisiones Pagadas Amcor</v>
          </cell>
          <cell r="C162">
            <v>105259.6</v>
          </cell>
        </row>
        <row r="163">
          <cell r="A163" t="str">
            <v>00-81101-03-01</v>
          </cell>
          <cell r="B163" t="str">
            <v>Intereses y Comisiones Pagadas a Terceros</v>
          </cell>
          <cell r="C163">
            <v>4483.99</v>
          </cell>
        </row>
        <row r="164">
          <cell r="A164" t="str">
            <v>00-81201-01-01</v>
          </cell>
          <cell r="B164" t="str">
            <v>Asistencia Tecnica Amcor</v>
          </cell>
          <cell r="C164">
            <v>17000</v>
          </cell>
        </row>
        <row r="165">
          <cell r="A165" t="str">
            <v>00-81501-09-01</v>
          </cell>
          <cell r="B165" t="str">
            <v>Perdida en Ventas de Vehiculos</v>
          </cell>
          <cell r="C165">
            <v>44117.08</v>
          </cell>
        </row>
        <row r="166">
          <cell r="A166" t="str">
            <v>00-81601-01-01</v>
          </cell>
          <cell r="B166" t="str">
            <v>Egresos Varios</v>
          </cell>
          <cell r="C166">
            <v>490.89</v>
          </cell>
        </row>
        <row r="167">
          <cell r="A167" t="str">
            <v>00-81601-01-02</v>
          </cell>
          <cell r="B167" t="str">
            <v>Egresos Ejercicios Anteriores</v>
          </cell>
          <cell r="C167">
            <v>31655.16</v>
          </cell>
        </row>
        <row r="168">
          <cell r="A168" t="str">
            <v>10-61101-01-01</v>
          </cell>
          <cell r="B168" t="str">
            <v>Sueldos y Salarios Pascuales</v>
          </cell>
          <cell r="C168">
            <v>12487.61</v>
          </cell>
        </row>
        <row r="169">
          <cell r="A169" t="str">
            <v>10-61101-01-02</v>
          </cell>
          <cell r="B169" t="str">
            <v>Sueldos y Salarios EBC Gquil</v>
          </cell>
          <cell r="C169">
            <v>7815.33</v>
          </cell>
        </row>
        <row r="170">
          <cell r="A170" t="str">
            <v>10-61101-01-03</v>
          </cell>
          <cell r="B170" t="str">
            <v>Sueldos y Salarios EBC Quito</v>
          </cell>
          <cell r="C170">
            <v>7306.15</v>
          </cell>
        </row>
        <row r="171">
          <cell r="A171" t="str">
            <v>10-61101-01-05</v>
          </cell>
          <cell r="B171" t="str">
            <v>Sueldos y Salarios Indirectos Pascuales</v>
          </cell>
          <cell r="C171">
            <v>28603.62</v>
          </cell>
        </row>
        <row r="172">
          <cell r="A172" t="str">
            <v>10-61101-01-06</v>
          </cell>
          <cell r="B172" t="str">
            <v>Sueldos y Salarios Indirectos EBC Guayaquil</v>
          </cell>
          <cell r="C172">
            <v>4633.28</v>
          </cell>
        </row>
        <row r="173">
          <cell r="A173" t="str">
            <v>10-61101-01-07</v>
          </cell>
          <cell r="B173" t="str">
            <v>Sueldos y Salarios Indirectos EBC Quito</v>
          </cell>
          <cell r="C173">
            <v>2514.33</v>
          </cell>
        </row>
        <row r="174">
          <cell r="A174" t="str">
            <v>10-61101-02-01</v>
          </cell>
          <cell r="B174" t="str">
            <v>Sobretiempos Sueldos Pascuales</v>
          </cell>
          <cell r="C174">
            <v>6513.01</v>
          </cell>
        </row>
        <row r="175">
          <cell r="A175" t="str">
            <v>10-61101-02-02</v>
          </cell>
          <cell r="B175" t="str">
            <v>Sobretiempos Sueldos EBC Gquil</v>
          </cell>
          <cell r="C175">
            <v>5163.51</v>
          </cell>
        </row>
        <row r="176">
          <cell r="A176" t="str">
            <v>10-61101-02-03</v>
          </cell>
          <cell r="B176" t="str">
            <v>Sobretiempos Sueldos EBC Quito</v>
          </cell>
          <cell r="C176">
            <v>4096.84</v>
          </cell>
        </row>
        <row r="177">
          <cell r="A177" t="str">
            <v>10-61101-02-05</v>
          </cell>
          <cell r="B177" t="str">
            <v>Sobretiempos Sueldos Indirectos Pascuales</v>
          </cell>
          <cell r="C177">
            <v>4540.8100000000004</v>
          </cell>
        </row>
        <row r="178">
          <cell r="A178" t="str">
            <v>10-61101-02-06</v>
          </cell>
          <cell r="B178" t="str">
            <v>Sobretiempo Sueldos Indirectos EBC Guayaquil</v>
          </cell>
          <cell r="C178">
            <v>1964.08</v>
          </cell>
        </row>
        <row r="179">
          <cell r="A179" t="str">
            <v>10-61101-02-07</v>
          </cell>
          <cell r="B179" t="str">
            <v>Sobretiempo Sueldos Indirectos EBC Quito</v>
          </cell>
          <cell r="C179">
            <v>1852.07</v>
          </cell>
        </row>
        <row r="180">
          <cell r="A180" t="str">
            <v>10-61101-04-01</v>
          </cell>
          <cell r="B180" t="str">
            <v>Vacaciones Pascuales</v>
          </cell>
          <cell r="C180">
            <v>799.54</v>
          </cell>
        </row>
        <row r="181">
          <cell r="A181" t="str">
            <v>10-61101-04-02</v>
          </cell>
          <cell r="B181" t="str">
            <v>Vacaciones EBC Gquil</v>
          </cell>
          <cell r="C181">
            <v>541.27</v>
          </cell>
        </row>
        <row r="182">
          <cell r="A182" t="str">
            <v>10-61101-04-03</v>
          </cell>
          <cell r="B182" t="str">
            <v>Vacaciones EBC Quito</v>
          </cell>
          <cell r="C182">
            <v>460.73</v>
          </cell>
        </row>
        <row r="183">
          <cell r="A183" t="str">
            <v>10-61101-04-05</v>
          </cell>
          <cell r="B183" t="str">
            <v>Vacaciones Indirectos Pascuales</v>
          </cell>
          <cell r="C183">
            <v>1172.68</v>
          </cell>
        </row>
        <row r="184">
          <cell r="A184" t="str">
            <v>10-61101-04-06</v>
          </cell>
          <cell r="B184" t="str">
            <v>Vacaciones Indirectos EBC Guayaquil</v>
          </cell>
          <cell r="C184">
            <v>274.60000000000002</v>
          </cell>
        </row>
        <row r="185">
          <cell r="A185" t="str">
            <v>10-61101-04-07</v>
          </cell>
          <cell r="B185" t="str">
            <v>Vacaciones Indirectos EBC Quito</v>
          </cell>
          <cell r="C185">
            <v>180.98</v>
          </cell>
        </row>
        <row r="186">
          <cell r="A186" t="str">
            <v>10-61101-05-01</v>
          </cell>
          <cell r="B186" t="str">
            <v>Decimo Tercer Sueldo Pascuales</v>
          </cell>
          <cell r="C186">
            <v>1599.1</v>
          </cell>
        </row>
        <row r="187">
          <cell r="A187" t="str">
            <v>10-61101-05-02</v>
          </cell>
          <cell r="B187" t="str">
            <v>Decimo Tercer Sueldo EBC Gquil</v>
          </cell>
          <cell r="C187">
            <v>1082.56</v>
          </cell>
        </row>
        <row r="188">
          <cell r="A188" t="str">
            <v>10-61101-05-03</v>
          </cell>
          <cell r="B188" t="str">
            <v>Decimo Tercer Sueldo EBC Quito</v>
          </cell>
          <cell r="C188">
            <v>921.45</v>
          </cell>
        </row>
        <row r="189">
          <cell r="A189" t="str">
            <v>10-61101-05-05</v>
          </cell>
          <cell r="B189" t="str">
            <v>Decimo Tercer Sueldo Indirectos Pascuales</v>
          </cell>
          <cell r="C189">
            <v>2345.42</v>
          </cell>
        </row>
        <row r="190">
          <cell r="A190" t="str">
            <v>10-61101-05-06</v>
          </cell>
          <cell r="B190" t="str">
            <v>Decimo Tercer Sueldo Indirectos EBC Guayaquil</v>
          </cell>
          <cell r="C190">
            <v>549.16999999999996</v>
          </cell>
        </row>
        <row r="191">
          <cell r="A191" t="str">
            <v>10-61101-05-07</v>
          </cell>
          <cell r="B191" t="str">
            <v>Decimo Tercer Sueldo Indirectos EBC Quito</v>
          </cell>
          <cell r="C191">
            <v>361.95</v>
          </cell>
        </row>
        <row r="192">
          <cell r="A192" t="str">
            <v>10-61101-06-01</v>
          </cell>
          <cell r="B192" t="str">
            <v>Decimo Cuarto Sueldo Pascuales</v>
          </cell>
          <cell r="C192">
            <v>671.83</v>
          </cell>
        </row>
        <row r="193">
          <cell r="A193" t="str">
            <v>10-61101-06-02</v>
          </cell>
          <cell r="B193" t="str">
            <v>Decimo Cuarto Sueldo EBC Gquil</v>
          </cell>
          <cell r="C193">
            <v>453.22</v>
          </cell>
        </row>
        <row r="194">
          <cell r="A194" t="str">
            <v>10-61101-06-03</v>
          </cell>
          <cell r="B194" t="str">
            <v>Decimo Cuarto Sueldo EBC Quito</v>
          </cell>
          <cell r="C194">
            <v>408.34</v>
          </cell>
        </row>
        <row r="195">
          <cell r="A195" t="str">
            <v>10-61101-06-05</v>
          </cell>
          <cell r="B195" t="str">
            <v>Decimo Cuarto Sueldo Indirectos Pascuales</v>
          </cell>
          <cell r="C195">
            <v>604.30999999999995</v>
          </cell>
        </row>
        <row r="196">
          <cell r="A196" t="str">
            <v>10-61101-06-06</v>
          </cell>
          <cell r="B196" t="str">
            <v>Decimo Cuarto Sueldo Indirectos EBC Guayaquil</v>
          </cell>
          <cell r="C196">
            <v>146.63</v>
          </cell>
        </row>
        <row r="197">
          <cell r="A197" t="str">
            <v>10-61101-06-07</v>
          </cell>
          <cell r="B197" t="str">
            <v>Decimo Cuarto Sueldo Indirectos EBC Quito</v>
          </cell>
          <cell r="C197">
            <v>116.86</v>
          </cell>
        </row>
        <row r="198">
          <cell r="A198" t="str">
            <v>10-61101-12-01</v>
          </cell>
          <cell r="B198" t="str">
            <v>Movilización Pascuales</v>
          </cell>
          <cell r="C198">
            <v>1418.41</v>
          </cell>
        </row>
        <row r="199">
          <cell r="A199" t="str">
            <v>10-61101-12-02</v>
          </cell>
          <cell r="B199" t="str">
            <v>Movilización EBC Gquil</v>
          </cell>
          <cell r="C199">
            <v>100</v>
          </cell>
        </row>
        <row r="200">
          <cell r="A200" t="str">
            <v>10-61101-12-03</v>
          </cell>
          <cell r="B200" t="str">
            <v>Movilización EBC Quito</v>
          </cell>
          <cell r="C200">
            <v>416.2</v>
          </cell>
        </row>
        <row r="201">
          <cell r="A201" t="str">
            <v>10-61101-12-05</v>
          </cell>
          <cell r="B201" t="str">
            <v>Movilización Indirectos Pascuales</v>
          </cell>
          <cell r="C201">
            <v>1845.59</v>
          </cell>
        </row>
        <row r="202">
          <cell r="A202" t="str">
            <v>10-61101-12-06</v>
          </cell>
          <cell r="B202" t="str">
            <v>Movilización Indirectos EBC Guayaquil</v>
          </cell>
          <cell r="C202">
            <v>110</v>
          </cell>
        </row>
        <row r="203">
          <cell r="A203" t="str">
            <v>10-61101-12-07</v>
          </cell>
          <cell r="B203" t="str">
            <v>Movilización Indirectos EBC Quito</v>
          </cell>
          <cell r="C203">
            <v>21</v>
          </cell>
        </row>
        <row r="204">
          <cell r="A204" t="str">
            <v>10-61101-13-01</v>
          </cell>
          <cell r="B204" t="str">
            <v>Alimentación Pascuales</v>
          </cell>
          <cell r="C204">
            <v>1914.88</v>
          </cell>
        </row>
        <row r="205">
          <cell r="A205" t="str">
            <v>10-61101-13-02</v>
          </cell>
          <cell r="B205" t="str">
            <v>Alimentación EBC Gquil</v>
          </cell>
          <cell r="C205">
            <v>1312.8</v>
          </cell>
        </row>
        <row r="206">
          <cell r="A206" t="str">
            <v>10-61101-13-03</v>
          </cell>
          <cell r="B206" t="str">
            <v>Alimentación EBC Quito</v>
          </cell>
          <cell r="C206">
            <v>1623.25</v>
          </cell>
        </row>
        <row r="207">
          <cell r="A207" t="str">
            <v>10-61101-13-05</v>
          </cell>
          <cell r="B207" t="str">
            <v>Alimentación Indirectos Pascuales</v>
          </cell>
          <cell r="C207">
            <v>1946.9</v>
          </cell>
        </row>
        <row r="208">
          <cell r="A208" t="str">
            <v>10-61101-13-06</v>
          </cell>
          <cell r="B208" t="str">
            <v>Alimentación Indirectos EBC Guayaquil</v>
          </cell>
          <cell r="C208">
            <v>447.52</v>
          </cell>
        </row>
        <row r="209">
          <cell r="A209" t="str">
            <v>10-61101-13-07</v>
          </cell>
          <cell r="B209" t="str">
            <v>Alimentación Indirectos EBC Quito</v>
          </cell>
          <cell r="C209">
            <v>560.6</v>
          </cell>
        </row>
        <row r="210">
          <cell r="A210" t="str">
            <v>10-61101-14-01</v>
          </cell>
          <cell r="B210" t="str">
            <v>Aporte Patronal, SECAP e IECE Pascuales</v>
          </cell>
          <cell r="C210">
            <v>2312.23</v>
          </cell>
        </row>
        <row r="211">
          <cell r="A211" t="str">
            <v>10-61101-14-02</v>
          </cell>
          <cell r="B211" t="str">
            <v>Aporte Patronal, SECAP e IECE EBC Gquil</v>
          </cell>
          <cell r="C211">
            <v>1578.32</v>
          </cell>
        </row>
        <row r="212">
          <cell r="A212" t="str">
            <v>10-61101-14-03</v>
          </cell>
          <cell r="B212" t="str">
            <v>Aporte Patronal, SECAP e IECE EBC Quito</v>
          </cell>
          <cell r="C212">
            <v>1336.18</v>
          </cell>
        </row>
        <row r="213">
          <cell r="A213" t="str">
            <v>10-61101-14-05</v>
          </cell>
          <cell r="B213" t="str">
            <v>Aporte Patronal, SECAP e IECE Indirectos Pascuales</v>
          </cell>
          <cell r="C213">
            <v>3419.63</v>
          </cell>
        </row>
        <row r="214">
          <cell r="A214" t="str">
            <v>10-61101-14-06</v>
          </cell>
          <cell r="B214" t="str">
            <v>Aporte Patronal SECAP e IECE Indirectos EBC Guayaq</v>
          </cell>
          <cell r="C214">
            <v>800.72</v>
          </cell>
        </row>
        <row r="215">
          <cell r="A215" t="str">
            <v>10-61101-14-07</v>
          </cell>
          <cell r="B215" t="str">
            <v>Aporte Patronal SECAP e IECE Indirectos EBC Quito</v>
          </cell>
          <cell r="C215">
            <v>527.72</v>
          </cell>
        </row>
        <row r="216">
          <cell r="A216" t="str">
            <v>10-61101-15-01</v>
          </cell>
          <cell r="B216" t="str">
            <v>Comisariato Pascuales</v>
          </cell>
          <cell r="C216">
            <v>33.520000000000003</v>
          </cell>
        </row>
        <row r="217">
          <cell r="A217" t="str">
            <v>10-61101-17-01</v>
          </cell>
          <cell r="B217" t="str">
            <v>Atención Médica Pascuales</v>
          </cell>
          <cell r="C217">
            <v>326.12</v>
          </cell>
        </row>
        <row r="218">
          <cell r="A218" t="str">
            <v>10-61101-17-03</v>
          </cell>
          <cell r="B218" t="str">
            <v>Atención Médica EBC Quito</v>
          </cell>
          <cell r="C218">
            <v>-210.01</v>
          </cell>
        </row>
        <row r="219">
          <cell r="A219" t="str">
            <v>10-61101-18-01</v>
          </cell>
          <cell r="B219" t="str">
            <v>Fiestas y Agasajos Pascuales</v>
          </cell>
          <cell r="C219">
            <v>3142.38</v>
          </cell>
        </row>
        <row r="220">
          <cell r="A220" t="str">
            <v>10-61101-18-03</v>
          </cell>
          <cell r="B220" t="str">
            <v>Fiestas y Agasajos EBC Quito</v>
          </cell>
          <cell r="C220">
            <v>904.83</v>
          </cell>
        </row>
        <row r="221">
          <cell r="A221" t="str">
            <v>10-61101-19-01</v>
          </cell>
          <cell r="B221" t="str">
            <v>Capacitación Directos Pascuales</v>
          </cell>
          <cell r="C221">
            <v>200</v>
          </cell>
        </row>
        <row r="222">
          <cell r="A222" t="str">
            <v>10-61101-20-01</v>
          </cell>
          <cell r="B222" t="str">
            <v>Bonificación Pascuales</v>
          </cell>
          <cell r="C222">
            <v>-3493.53</v>
          </cell>
        </row>
        <row r="223">
          <cell r="A223" t="str">
            <v>10-61101-26-03</v>
          </cell>
          <cell r="B223" t="str">
            <v>Otros Gastos Laborales EBC Quito</v>
          </cell>
          <cell r="C223">
            <v>75.599999999999994</v>
          </cell>
        </row>
        <row r="224">
          <cell r="A224" t="str">
            <v>10-61201-01-01</v>
          </cell>
          <cell r="B224" t="str">
            <v>Mantenimiento de Maquinaria Pascuales</v>
          </cell>
          <cell r="C224">
            <v>33213.1</v>
          </cell>
        </row>
        <row r="225">
          <cell r="A225" t="str">
            <v>10-61201-01-02</v>
          </cell>
          <cell r="B225" t="str">
            <v>Mantenimiento de Maquinarias EBC Gquil</v>
          </cell>
          <cell r="C225">
            <v>5301.14</v>
          </cell>
        </row>
        <row r="226">
          <cell r="A226" t="str">
            <v>10-61201-01-03</v>
          </cell>
          <cell r="B226" t="str">
            <v>Mantenimiento de Maquinarias EBC Quito</v>
          </cell>
          <cell r="C226">
            <v>11773.01</v>
          </cell>
        </row>
        <row r="227">
          <cell r="A227" t="str">
            <v>10-61201-02-01</v>
          </cell>
          <cell r="B227" t="str">
            <v>Mantenimiento Edificios Pascuales</v>
          </cell>
          <cell r="C227">
            <v>708</v>
          </cell>
        </row>
        <row r="228">
          <cell r="A228" t="str">
            <v>10-61201-02-03</v>
          </cell>
          <cell r="B228" t="str">
            <v>Mantenimiento Edificios EBC Quito</v>
          </cell>
          <cell r="C228">
            <v>4.4000000000000004</v>
          </cell>
        </row>
        <row r="229">
          <cell r="A229" t="str">
            <v>10-61201-03-01</v>
          </cell>
          <cell r="B229" t="str">
            <v>Combustible y Lubricantes Pascuales</v>
          </cell>
          <cell r="C229">
            <v>5827.6</v>
          </cell>
        </row>
        <row r="230">
          <cell r="A230" t="str">
            <v>10-61201-03-03</v>
          </cell>
          <cell r="B230" t="str">
            <v>Combustible y Lubricantes EBC Quito</v>
          </cell>
          <cell r="C230">
            <v>1173.3499999999999</v>
          </cell>
        </row>
        <row r="231">
          <cell r="A231" t="str">
            <v>10-61201-04-01</v>
          </cell>
          <cell r="B231" t="str">
            <v>Energía Eléctrica Pascuales</v>
          </cell>
          <cell r="C231">
            <v>125383.33</v>
          </cell>
        </row>
        <row r="232">
          <cell r="A232" t="str">
            <v>10-61201-04-04</v>
          </cell>
          <cell r="B232" t="str">
            <v>Energía Eléctrica APPE Quito</v>
          </cell>
          <cell r="C232">
            <v>549.05999999999995</v>
          </cell>
        </row>
        <row r="233">
          <cell r="A233" t="str">
            <v>10-61201-05-01</v>
          </cell>
          <cell r="B233" t="str">
            <v>Agua Potable Pascuales</v>
          </cell>
          <cell r="C233">
            <v>2698.3</v>
          </cell>
        </row>
        <row r="234">
          <cell r="A234" t="str">
            <v>10-61201-07-01</v>
          </cell>
          <cell r="B234" t="str">
            <v>Depreciaciones Maquinaria</v>
          </cell>
          <cell r="C234">
            <v>105625.48</v>
          </cell>
        </row>
        <row r="235">
          <cell r="A235" t="str">
            <v>10-61201-07-02</v>
          </cell>
          <cell r="B235" t="str">
            <v>Depreciacion Moldes</v>
          </cell>
          <cell r="C235">
            <v>34290.1</v>
          </cell>
        </row>
        <row r="236">
          <cell r="A236" t="str">
            <v>10-61201-07-03</v>
          </cell>
          <cell r="B236" t="str">
            <v>Depreciaciones Otros Equipos</v>
          </cell>
          <cell r="C236">
            <v>10630.87</v>
          </cell>
        </row>
        <row r="237">
          <cell r="A237" t="str">
            <v>10-61201-07-04</v>
          </cell>
          <cell r="B237" t="str">
            <v>Depreciaciones Mejora Pacuales</v>
          </cell>
          <cell r="C237">
            <v>17787.580000000002</v>
          </cell>
        </row>
        <row r="238">
          <cell r="A238" t="str">
            <v>10-61201-07-06</v>
          </cell>
          <cell r="B238" t="str">
            <v>Depreciación Edificio</v>
          </cell>
          <cell r="C238">
            <v>74.33</v>
          </cell>
        </row>
        <row r="239">
          <cell r="A239" t="str">
            <v>10-61201-07-08</v>
          </cell>
          <cell r="B239" t="str">
            <v>Depreciaciones Maquinas EBC</v>
          </cell>
          <cell r="C239">
            <v>49619.19</v>
          </cell>
        </row>
        <row r="240">
          <cell r="A240" t="str">
            <v>10-61201-09-01</v>
          </cell>
          <cell r="B240" t="str">
            <v>Transporte Botellas y Resina Pascuales</v>
          </cell>
          <cell r="C240">
            <v>9079.25</v>
          </cell>
        </row>
        <row r="241">
          <cell r="A241" t="str">
            <v>10-61201-10-01</v>
          </cell>
          <cell r="B241" t="str">
            <v>Repuestos  y Herramientas Pascuales</v>
          </cell>
          <cell r="C241">
            <v>1271.27</v>
          </cell>
        </row>
        <row r="242">
          <cell r="A242" t="str">
            <v>10-61201-10-02</v>
          </cell>
          <cell r="B242" t="str">
            <v>Repuestos  y Herramientas EBC Gquil</v>
          </cell>
          <cell r="C242">
            <v>826.21</v>
          </cell>
        </row>
        <row r="243">
          <cell r="A243" t="str">
            <v>10-61201-10-03</v>
          </cell>
          <cell r="B243" t="str">
            <v>Repuestos  y Herramientas EBC Quito</v>
          </cell>
          <cell r="C243">
            <v>72.2</v>
          </cell>
        </row>
        <row r="244">
          <cell r="A244" t="str">
            <v>10-61201-11-01</v>
          </cell>
          <cell r="B244" t="str">
            <v>Mantenimiento Equipo de Transporte Pascuales</v>
          </cell>
          <cell r="C244">
            <v>1354.5</v>
          </cell>
        </row>
        <row r="245">
          <cell r="A245" t="str">
            <v>10-61201-11-02</v>
          </cell>
          <cell r="B245" t="str">
            <v>Mantenimiento Equipo de Transporte EBC Gquil</v>
          </cell>
          <cell r="C245">
            <v>990</v>
          </cell>
        </row>
        <row r="246">
          <cell r="A246" t="str">
            <v>10-61201-11-03</v>
          </cell>
          <cell r="B246" t="str">
            <v>Mantenimiento Equipo de Transporte EBC Quito</v>
          </cell>
          <cell r="C246">
            <v>1206.2</v>
          </cell>
        </row>
        <row r="247">
          <cell r="A247" t="str">
            <v>10-61201-12-01</v>
          </cell>
          <cell r="B247" t="str">
            <v>Mantenimiento Equipo de Oficina Pascuales</v>
          </cell>
          <cell r="C247">
            <v>210.2</v>
          </cell>
        </row>
        <row r="248">
          <cell r="A248" t="str">
            <v>10-61201-12-02</v>
          </cell>
          <cell r="B248" t="str">
            <v>Mantenimiento Equipo de Oficina EBC Gquil</v>
          </cell>
          <cell r="C248">
            <v>633.5</v>
          </cell>
        </row>
        <row r="249">
          <cell r="A249" t="str">
            <v>10-61201-13-01</v>
          </cell>
          <cell r="B249" t="str">
            <v>Manten. Maquinaria Krupp</v>
          </cell>
          <cell r="C249">
            <v>763.25</v>
          </cell>
        </row>
        <row r="250">
          <cell r="A250" t="str">
            <v>10-61201-14-01</v>
          </cell>
          <cell r="B250" t="str">
            <v>Manten. Maquinaria Krauss</v>
          </cell>
          <cell r="C250">
            <v>31834.93</v>
          </cell>
        </row>
        <row r="251">
          <cell r="A251" t="str">
            <v>10-61201-15-01</v>
          </cell>
          <cell r="B251" t="str">
            <v>Mante. Maquinaria Husky</v>
          </cell>
          <cell r="C251">
            <v>13270.57</v>
          </cell>
        </row>
        <row r="252">
          <cell r="A252" t="str">
            <v>10-61201-16-01</v>
          </cell>
          <cell r="B252" t="str">
            <v>Manten. Maquinaria Mag Plastic</v>
          </cell>
          <cell r="C252">
            <v>2241.09</v>
          </cell>
        </row>
        <row r="253">
          <cell r="A253" t="str">
            <v>10-61201-17-01</v>
          </cell>
          <cell r="B253" t="str">
            <v>Otros Gastos Operacionales</v>
          </cell>
          <cell r="C253">
            <v>6167.91</v>
          </cell>
        </row>
        <row r="254">
          <cell r="A254" t="str">
            <v>10-61201-17-02</v>
          </cell>
          <cell r="B254" t="str">
            <v>Otros Gastos Operacionales EBC GYE</v>
          </cell>
          <cell r="C254">
            <v>473.52</v>
          </cell>
        </row>
        <row r="255">
          <cell r="A255" t="str">
            <v>10-61201-17-03</v>
          </cell>
          <cell r="B255" t="str">
            <v>Otros Gastos Operacionales EBC Quito</v>
          </cell>
          <cell r="C255">
            <v>600</v>
          </cell>
        </row>
        <row r="256">
          <cell r="A256" t="str">
            <v>10-61201-17-04</v>
          </cell>
          <cell r="B256" t="str">
            <v>Otros Gastos Operac. - Empaqplast</v>
          </cell>
          <cell r="C256">
            <v>42580.6</v>
          </cell>
        </row>
        <row r="257">
          <cell r="A257" t="str">
            <v>10-61201-17-05</v>
          </cell>
          <cell r="B257" t="str">
            <v>Otros Gastos Operac. - Graham</v>
          </cell>
          <cell r="C257">
            <v>28890.9</v>
          </cell>
        </row>
        <row r="258">
          <cell r="A258" t="str">
            <v>10-61201-17-06</v>
          </cell>
          <cell r="B258" t="str">
            <v>Otros Gastos Oper.-Fajillado</v>
          </cell>
          <cell r="C258">
            <v>2801.74</v>
          </cell>
        </row>
        <row r="259">
          <cell r="A259" t="str">
            <v>10-61201-17-07</v>
          </cell>
          <cell r="B259" t="str">
            <v>Gastos de  Exportacion Intercias.</v>
          </cell>
          <cell r="C259">
            <v>12898.93</v>
          </cell>
        </row>
        <row r="260">
          <cell r="A260" t="str">
            <v>10-61201-17-08</v>
          </cell>
          <cell r="B260" t="str">
            <v>Gastos de Exportaciones</v>
          </cell>
          <cell r="C260">
            <v>2450.4699999999998</v>
          </cell>
        </row>
        <row r="261">
          <cell r="A261" t="str">
            <v>10-61201-18-01</v>
          </cell>
          <cell r="B261" t="str">
            <v>Manten. Maquinaria Serv.Auxiliares</v>
          </cell>
          <cell r="C261">
            <v>4059.58</v>
          </cell>
        </row>
        <row r="262">
          <cell r="A262" t="str">
            <v>10-61201-18-02</v>
          </cell>
          <cell r="B262" t="str">
            <v>Mant. Servicios Auxiliares EBC Gquil</v>
          </cell>
          <cell r="C262">
            <v>2251.7800000000002</v>
          </cell>
        </row>
        <row r="263">
          <cell r="A263" t="str">
            <v>10-61201-18-03</v>
          </cell>
          <cell r="B263" t="str">
            <v>Mant. Servicios Auxiliares EBC Quito</v>
          </cell>
          <cell r="C263">
            <v>314.24</v>
          </cell>
        </row>
        <row r="264">
          <cell r="A264" t="str">
            <v>10-61201-19-03</v>
          </cell>
          <cell r="B264" t="str">
            <v>Seguridad Industrial EBC UIO</v>
          </cell>
          <cell r="C264">
            <v>115.56</v>
          </cell>
        </row>
        <row r="265">
          <cell r="A265" t="str">
            <v>10-61201-20-01</v>
          </cell>
          <cell r="B265" t="str">
            <v>Mantenimiento Maq. Sidel Pascuales</v>
          </cell>
          <cell r="C265">
            <v>4036.75</v>
          </cell>
        </row>
        <row r="266">
          <cell r="A266" t="str">
            <v>10-61201-20-02</v>
          </cell>
          <cell r="B266" t="str">
            <v>Mantenimiento Maq. Sidel EBC Gquil</v>
          </cell>
          <cell r="C266">
            <v>10043.36</v>
          </cell>
        </row>
        <row r="267">
          <cell r="A267" t="str">
            <v>10-61201-20-03</v>
          </cell>
          <cell r="B267" t="str">
            <v>Mantenimiento Maq. Sidel EBC Quito</v>
          </cell>
          <cell r="C267">
            <v>774.88</v>
          </cell>
        </row>
        <row r="268">
          <cell r="A268" t="str">
            <v>10-61201-21-01</v>
          </cell>
          <cell r="B268" t="str">
            <v>Transporte de Materia Prima entre Plantas</v>
          </cell>
          <cell r="C268">
            <v>23502.13</v>
          </cell>
        </row>
        <row r="269">
          <cell r="A269" t="str">
            <v>10-61201-22-01</v>
          </cell>
          <cell r="B269" t="str">
            <v>Serv. Auxiliares en Edificios Pascuales</v>
          </cell>
          <cell r="C269">
            <v>6760.84</v>
          </cell>
        </row>
        <row r="270">
          <cell r="A270" t="str">
            <v>10-61201-22-02</v>
          </cell>
          <cell r="B270" t="str">
            <v>Serv. Auxiliares en Edificios EBC Gquil</v>
          </cell>
          <cell r="C270">
            <v>844.04</v>
          </cell>
        </row>
        <row r="271">
          <cell r="A271" t="str">
            <v>10-61201-22-03</v>
          </cell>
          <cell r="B271" t="str">
            <v>Serv. Auxiliares en Edificios EBC Quito</v>
          </cell>
          <cell r="C271">
            <v>1531.36</v>
          </cell>
        </row>
        <row r="272">
          <cell r="A272" t="str">
            <v>10-61201-22-04</v>
          </cell>
          <cell r="B272" t="str">
            <v>Serv. Auxiliares en Edificios APPE Quito</v>
          </cell>
          <cell r="C272">
            <v>525</v>
          </cell>
        </row>
        <row r="273">
          <cell r="A273" t="str">
            <v>10-61201-23-01</v>
          </cell>
          <cell r="B273" t="str">
            <v>Suministros Area de Calidad Pascuales</v>
          </cell>
          <cell r="C273">
            <v>2812.77</v>
          </cell>
        </row>
        <row r="274">
          <cell r="A274" t="str">
            <v>10-61201-23-03</v>
          </cell>
          <cell r="B274" t="str">
            <v>Suministros Area de Calidad Ebc Quito</v>
          </cell>
          <cell r="C274">
            <v>430</v>
          </cell>
        </row>
        <row r="275">
          <cell r="A275" t="str">
            <v>10-61301-01-01</v>
          </cell>
          <cell r="B275" t="str">
            <v>Suministros de Oficina Pascuales</v>
          </cell>
          <cell r="C275">
            <v>2506.37</v>
          </cell>
        </row>
        <row r="276">
          <cell r="A276" t="str">
            <v>10-61301-01-02</v>
          </cell>
          <cell r="B276" t="str">
            <v>Suministros de Oficina EBC Guayaquil</v>
          </cell>
          <cell r="C276">
            <v>28</v>
          </cell>
        </row>
        <row r="277">
          <cell r="A277" t="str">
            <v>10-61301-01-03</v>
          </cell>
          <cell r="B277" t="str">
            <v>Suministros de Oficina EBC Quito</v>
          </cell>
          <cell r="C277">
            <v>5.04</v>
          </cell>
        </row>
        <row r="278">
          <cell r="A278" t="str">
            <v>10-61301-02-01</v>
          </cell>
          <cell r="B278" t="str">
            <v>Comunicaciones Pascuales</v>
          </cell>
          <cell r="C278">
            <v>6224.2</v>
          </cell>
        </row>
        <row r="279">
          <cell r="A279" t="str">
            <v>10-61301-02-02</v>
          </cell>
          <cell r="B279" t="str">
            <v>Comunicaciones EBC Guayaquil</v>
          </cell>
          <cell r="C279">
            <v>6</v>
          </cell>
        </row>
        <row r="280">
          <cell r="A280" t="str">
            <v>10-61301-02-03</v>
          </cell>
          <cell r="B280" t="str">
            <v>Comunicaciones EBC Quito</v>
          </cell>
          <cell r="C280">
            <v>1037.49</v>
          </cell>
        </row>
        <row r="281">
          <cell r="A281" t="str">
            <v>10-61301-07-01</v>
          </cell>
          <cell r="B281" t="str">
            <v>Fotocopias y Planos Pascuales</v>
          </cell>
          <cell r="C281">
            <v>12.5</v>
          </cell>
        </row>
        <row r="282">
          <cell r="A282" t="str">
            <v>10-61301-07-03</v>
          </cell>
          <cell r="B282" t="str">
            <v>Fotocopias y Planos EBC Quito</v>
          </cell>
          <cell r="C282">
            <v>34.46</v>
          </cell>
        </row>
        <row r="283">
          <cell r="A283" t="str">
            <v>10-61301-08-01</v>
          </cell>
          <cell r="B283" t="str">
            <v>Gastos De Viajes Pascuales</v>
          </cell>
          <cell r="C283">
            <v>8973.17</v>
          </cell>
        </row>
        <row r="284">
          <cell r="A284" t="str">
            <v>10-61301-08-02</v>
          </cell>
          <cell r="B284" t="str">
            <v>Gastos De Viajes EBC Guayaquil</v>
          </cell>
          <cell r="C284">
            <v>172.79</v>
          </cell>
        </row>
        <row r="285">
          <cell r="A285" t="str">
            <v>10-61301-11-01</v>
          </cell>
          <cell r="B285" t="str">
            <v>Honorarios Profesionales Pascuales</v>
          </cell>
          <cell r="C285">
            <v>652</v>
          </cell>
        </row>
        <row r="286">
          <cell r="A286" t="str">
            <v>10-61301-11-03</v>
          </cell>
          <cell r="B286" t="str">
            <v>Honorarios Profesionales EBC Quito</v>
          </cell>
          <cell r="C286">
            <v>1075.05</v>
          </cell>
        </row>
        <row r="287">
          <cell r="A287" t="str">
            <v>10-61301-12-01</v>
          </cell>
          <cell r="B287" t="str">
            <v>Seguros Pascuales</v>
          </cell>
          <cell r="C287">
            <v>5093.6000000000004</v>
          </cell>
        </row>
        <row r="288">
          <cell r="A288" t="str">
            <v>10-61301-16-03</v>
          </cell>
          <cell r="B288" t="str">
            <v>Atención A Terceros EBC Quito</v>
          </cell>
          <cell r="C288">
            <v>440</v>
          </cell>
        </row>
        <row r="289">
          <cell r="A289" t="str">
            <v>10-61301-18-01</v>
          </cell>
          <cell r="B289" t="str">
            <v>Arrendamiento de Bodegas Pascuales</v>
          </cell>
          <cell r="C289">
            <v>44566.64</v>
          </cell>
        </row>
        <row r="290">
          <cell r="A290" t="str">
            <v>10-61301-18-03</v>
          </cell>
          <cell r="B290" t="str">
            <v>Arrendamiento de Bodegas EBC Quito</v>
          </cell>
          <cell r="C290">
            <v>0</v>
          </cell>
        </row>
        <row r="291">
          <cell r="A291" t="str">
            <v>10-61301-18-04</v>
          </cell>
          <cell r="B291" t="str">
            <v>Arrendamiento de Bodegas APPE Quito</v>
          </cell>
          <cell r="C291">
            <v>6552</v>
          </cell>
        </row>
        <row r="292">
          <cell r="A292" t="str">
            <v>10-61301-22-01</v>
          </cell>
          <cell r="B292" t="str">
            <v>Gastos Legales Pascuales</v>
          </cell>
          <cell r="C292">
            <v>500</v>
          </cell>
        </row>
        <row r="293">
          <cell r="A293" t="str">
            <v>10-61301-27-01</v>
          </cell>
          <cell r="B293" t="str">
            <v>Otros Gastos Pascuales</v>
          </cell>
          <cell r="C293">
            <v>39.200000000000003</v>
          </cell>
        </row>
        <row r="294">
          <cell r="A294" t="str">
            <v>10-61301-27-03</v>
          </cell>
          <cell r="B294" t="str">
            <v>Otros Gastos EBC Quito</v>
          </cell>
          <cell r="C294">
            <v>23.07</v>
          </cell>
        </row>
        <row r="295">
          <cell r="A295" t="str">
            <v>10-61301-27-04</v>
          </cell>
          <cell r="B295" t="str">
            <v>Otros Gastos APPE Quito</v>
          </cell>
          <cell r="C295">
            <v>140</v>
          </cell>
        </row>
        <row r="296">
          <cell r="A296" t="str">
            <v>10-69901-01-01</v>
          </cell>
          <cell r="B296" t="str">
            <v>Transferencia a Inv. de Prod. Terminado</v>
          </cell>
          <cell r="C296">
            <v>54302.81</v>
          </cell>
        </row>
        <row r="297">
          <cell r="A297" t="str">
            <v>20-61101-01-01</v>
          </cell>
          <cell r="B297" t="str">
            <v>Sueldos y Salarios</v>
          </cell>
          <cell r="C297">
            <v>26377.4</v>
          </cell>
        </row>
        <row r="298">
          <cell r="A298" t="str">
            <v>20-61101-04-01</v>
          </cell>
          <cell r="B298" t="str">
            <v>Vacaciones</v>
          </cell>
          <cell r="C298">
            <v>735.65</v>
          </cell>
        </row>
        <row r="299">
          <cell r="A299" t="str">
            <v>20-61101-05-01</v>
          </cell>
          <cell r="B299" t="str">
            <v>Décimo Tercer Sueldo</v>
          </cell>
          <cell r="C299">
            <v>1471.22</v>
          </cell>
        </row>
        <row r="300">
          <cell r="A300" t="str">
            <v>20-61101-06-01</v>
          </cell>
          <cell r="B300" t="str">
            <v>Décimo Cuarto Sueldo</v>
          </cell>
          <cell r="C300">
            <v>213.28</v>
          </cell>
        </row>
        <row r="301">
          <cell r="A301" t="str">
            <v>20-61101-12-01</v>
          </cell>
          <cell r="B301" t="str">
            <v>Movilización</v>
          </cell>
          <cell r="C301">
            <v>1462.21</v>
          </cell>
        </row>
        <row r="302">
          <cell r="A302" t="str">
            <v>20-61101-13-01</v>
          </cell>
          <cell r="B302" t="str">
            <v>Alimentación</v>
          </cell>
          <cell r="C302">
            <v>909.9</v>
          </cell>
        </row>
        <row r="303">
          <cell r="A303" t="str">
            <v>20-61101-14-01</v>
          </cell>
          <cell r="B303" t="str">
            <v>Aporte Patronal, SECAP E IECE</v>
          </cell>
          <cell r="C303">
            <v>2145.11</v>
          </cell>
        </row>
        <row r="304">
          <cell r="A304" t="str">
            <v>20-61101-18-01</v>
          </cell>
          <cell r="B304" t="str">
            <v>Fiestas Y Agasajos</v>
          </cell>
          <cell r="C304">
            <v>0</v>
          </cell>
        </row>
        <row r="305">
          <cell r="A305" t="str">
            <v>20-61101-20-01</v>
          </cell>
          <cell r="B305" t="str">
            <v>Bonificaciones</v>
          </cell>
          <cell r="C305">
            <v>2796.69</v>
          </cell>
        </row>
        <row r="306">
          <cell r="A306" t="str">
            <v>20-61101-26-01</v>
          </cell>
          <cell r="B306" t="str">
            <v>Otros Gastos Generales</v>
          </cell>
          <cell r="C306">
            <v>58.17</v>
          </cell>
        </row>
        <row r="307">
          <cell r="A307" t="str">
            <v>20-61101-99-99</v>
          </cell>
          <cell r="B307" t="str">
            <v>Reestructuraciòn Operativa</v>
          </cell>
          <cell r="C307">
            <v>10000</v>
          </cell>
        </row>
        <row r="308">
          <cell r="A308" t="str">
            <v>20-61201-07-01</v>
          </cell>
          <cell r="B308" t="str">
            <v>Depreciaciones Administracion</v>
          </cell>
          <cell r="C308">
            <v>2555.14</v>
          </cell>
        </row>
        <row r="309">
          <cell r="A309" t="str">
            <v>20-61201-07-02</v>
          </cell>
          <cell r="B309" t="str">
            <v>Depreciacion Equipos de Computación</v>
          </cell>
          <cell r="C309">
            <v>5638.52</v>
          </cell>
        </row>
        <row r="310">
          <cell r="A310" t="str">
            <v>20-61301-01-01</v>
          </cell>
          <cell r="B310" t="str">
            <v>Suministros de Oficina</v>
          </cell>
          <cell r="C310">
            <v>322.06</v>
          </cell>
        </row>
        <row r="311">
          <cell r="A311" t="str">
            <v>20-61301-02-01</v>
          </cell>
          <cell r="B311" t="str">
            <v>Comunicaciones</v>
          </cell>
          <cell r="C311">
            <v>1591.56</v>
          </cell>
        </row>
        <row r="312">
          <cell r="A312" t="str">
            <v>20-61301-03-01</v>
          </cell>
          <cell r="B312" t="str">
            <v>Suscripciones y Contribuciones</v>
          </cell>
          <cell r="C312">
            <v>22976.87</v>
          </cell>
        </row>
        <row r="313">
          <cell r="A313" t="str">
            <v>20-61301-04-01</v>
          </cell>
          <cell r="B313" t="str">
            <v>Cuotas y Asociaciones</v>
          </cell>
          <cell r="C313">
            <v>50</v>
          </cell>
        </row>
        <row r="314">
          <cell r="A314" t="str">
            <v>20-61301-06-01</v>
          </cell>
          <cell r="B314" t="str">
            <v>Impuestos Varios</v>
          </cell>
          <cell r="C314">
            <v>1326.57</v>
          </cell>
        </row>
        <row r="315">
          <cell r="A315" t="str">
            <v>20-61301-08-01</v>
          </cell>
          <cell r="B315" t="str">
            <v>Gastos de Viajes</v>
          </cell>
          <cell r="C315">
            <v>9972.49</v>
          </cell>
        </row>
        <row r="316">
          <cell r="A316" t="str">
            <v>20-61301-15-01</v>
          </cell>
          <cell r="B316" t="str">
            <v>Servicio De Guardianía</v>
          </cell>
          <cell r="C316">
            <v>3280.88</v>
          </cell>
        </row>
        <row r="317">
          <cell r="A317" t="str">
            <v>20-61301-18-01</v>
          </cell>
          <cell r="B317" t="str">
            <v>Arrendamientos Inmuebles</v>
          </cell>
          <cell r="C317">
            <v>1195.6600000000001</v>
          </cell>
        </row>
        <row r="318">
          <cell r="A318" t="str">
            <v>20-61301-20-01</v>
          </cell>
          <cell r="B318" t="str">
            <v>Servicios Bancarios</v>
          </cell>
          <cell r="C318">
            <v>866.01</v>
          </cell>
        </row>
        <row r="319">
          <cell r="A319" t="str">
            <v>20-61301-22-01</v>
          </cell>
          <cell r="B319" t="str">
            <v>Gastos Legales</v>
          </cell>
          <cell r="C319">
            <v>11006.14</v>
          </cell>
        </row>
        <row r="320">
          <cell r="A320" t="str">
            <v>20-61301-25-01</v>
          </cell>
          <cell r="B320" t="str">
            <v>Multas E Intereses</v>
          </cell>
          <cell r="C320">
            <v>1036.83</v>
          </cell>
        </row>
        <row r="321">
          <cell r="A321" t="str">
            <v>20-61301-27-01</v>
          </cell>
          <cell r="B321" t="str">
            <v>Otros Gastos</v>
          </cell>
          <cell r="C321">
            <v>203.98</v>
          </cell>
        </row>
        <row r="322">
          <cell r="A322" t="str">
            <v>20-61301-28-01</v>
          </cell>
          <cell r="B322" t="str">
            <v>Honorarios de Auditoria</v>
          </cell>
          <cell r="C322">
            <v>2500</v>
          </cell>
        </row>
        <row r="323">
          <cell r="A323" t="str">
            <v>20-61301-28-02</v>
          </cell>
          <cell r="B323" t="str">
            <v>Honorarios Contables</v>
          </cell>
          <cell r="C323">
            <v>12753.05</v>
          </cell>
        </row>
        <row r="324">
          <cell r="A324" t="str">
            <v>20-61301-28-03</v>
          </cell>
          <cell r="B324" t="str">
            <v>Honorarios Auditoria Fiscal Local</v>
          </cell>
          <cell r="C324">
            <v>1375</v>
          </cell>
        </row>
        <row r="325">
          <cell r="A325" t="str">
            <v>20-61301-30-01</v>
          </cell>
          <cell r="B325" t="str">
            <v>Gastos en Software Pascuales</v>
          </cell>
          <cell r="C325">
            <v>663.82</v>
          </cell>
        </row>
        <row r="326">
          <cell r="A326" t="str">
            <v>20-61301-31-01</v>
          </cell>
          <cell r="B326" t="str">
            <v>Honorarios de Sistemas</v>
          </cell>
          <cell r="C326">
            <v>2561.67</v>
          </cell>
        </row>
        <row r="327">
          <cell r="A327" t="str">
            <v>30-61101-01-01</v>
          </cell>
          <cell r="B327" t="str">
            <v>Sueldos Y Salarios</v>
          </cell>
          <cell r="C327">
            <v>1304</v>
          </cell>
        </row>
        <row r="328">
          <cell r="A328" t="str">
            <v>30-61101-04-01</v>
          </cell>
          <cell r="B328" t="str">
            <v>Vacaciones</v>
          </cell>
          <cell r="C328">
            <v>54.34</v>
          </cell>
        </row>
        <row r="329">
          <cell r="A329" t="str">
            <v>30-61101-05-01</v>
          </cell>
          <cell r="B329" t="str">
            <v>Décimo Tercer Sueldo</v>
          </cell>
          <cell r="C329">
            <v>108.67</v>
          </cell>
        </row>
        <row r="330">
          <cell r="A330" t="str">
            <v>30-61101-06-01</v>
          </cell>
          <cell r="B330" t="str">
            <v>Décimo Cuarto Sueldo</v>
          </cell>
          <cell r="C330">
            <v>26.66</v>
          </cell>
        </row>
        <row r="331">
          <cell r="A331" t="str">
            <v>30-61101-12-01</v>
          </cell>
          <cell r="B331" t="str">
            <v>Movilización</v>
          </cell>
          <cell r="C331">
            <v>273.29000000000002</v>
          </cell>
        </row>
        <row r="332">
          <cell r="A332" t="str">
            <v>30-61101-13-01</v>
          </cell>
          <cell r="B332" t="str">
            <v>Alimentación</v>
          </cell>
          <cell r="C332">
            <v>77.7</v>
          </cell>
        </row>
        <row r="333">
          <cell r="A333" t="str">
            <v>30-61101-14-01</v>
          </cell>
          <cell r="B333" t="str">
            <v>Aporte Patronal, SECAP E IECE</v>
          </cell>
          <cell r="C333">
            <v>158.44</v>
          </cell>
        </row>
        <row r="334">
          <cell r="A334" t="str">
            <v>30-61301-11-01</v>
          </cell>
          <cell r="B334" t="str">
            <v>Honorarios Profesionales</v>
          </cell>
          <cell r="C334">
            <v>4400</v>
          </cell>
        </row>
        <row r="335">
          <cell r="A335" t="str">
            <v>98-99999-01-01</v>
          </cell>
          <cell r="B335" t="str">
            <v>Proceso de Inyección Pascuales</v>
          </cell>
          <cell r="C335">
            <v>0</v>
          </cell>
        </row>
        <row r="336">
          <cell r="A336" t="str">
            <v>99-99999-99-99</v>
          </cell>
          <cell r="B336" t="str">
            <v>Cuenta Puente</v>
          </cell>
          <cell r="C336">
            <v>0</v>
          </cell>
        </row>
      </sheetData>
      <sheetData sheetId="24"/>
      <sheetData sheetId="25"/>
      <sheetData sheetId="26"/>
      <sheetData sheetId="27"/>
      <sheetData sheetId="2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ld Halves"/>
      <sheetName val="Hot Runners"/>
      <sheetName val="Hoja1"/>
    </sheetNames>
    <sheetDataSet>
      <sheetData sheetId="0"/>
      <sheetData sheetId="1"/>
      <sheetData sheetId="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Principal"/>
      <sheetName val="KPI"/>
      <sheetName val="BE"/>
      <sheetName val="ME"/>
      <sheetName val="RESUMEN DIARIO"/>
      <sheetName val="cuadres"/>
      <sheetName val="PRODx MAQUINA"/>
      <sheetName val="CONSOLIDADO"/>
      <sheetName val="PROD Y CONSUMOS"/>
      <sheetName val="CONCILIACION"/>
      <sheetName val="Kardex Pigmentos"/>
      <sheetName val="Resina"/>
      <sheetName val="KARDEX "/>
      <sheetName val="CONSUMO DE RESINA DIARIO"/>
      <sheetName val="cicle"/>
      <sheetName val="Krauss M"/>
      <sheetName val="Graf. Krauss M"/>
      <sheetName val="Krupp 1"/>
      <sheetName val="Graf. Krupp 1"/>
      <sheetName val="Krupp 2"/>
      <sheetName val="Graf. Krupp 2"/>
      <sheetName val="HUSKY 1"/>
      <sheetName val="Graf. Husky 1"/>
      <sheetName val="HUSKY 2"/>
      <sheetName val="Graf. HUSKY 2"/>
      <sheetName val="HUSKY 3"/>
      <sheetName val="Graf. HUSKY 3"/>
      <sheetName val="HUSKY 4"/>
      <sheetName val="Graf.HUSKY 4"/>
      <sheetName val="HUSKY 5"/>
      <sheetName val="Graf.HUSKY 5"/>
      <sheetName val="HUSKY 6"/>
      <sheetName val="Graf. HUSKY 6"/>
      <sheetName val="Materiales"/>
      <sheetName val="Inyeccion general"/>
      <sheetName val="Cajas Incompl."/>
      <sheetName val="Resumen"/>
      <sheetName val="ME Operadores"/>
      <sheetName val="Plan accion"/>
      <sheetName val="HUSKY 8"/>
      <sheetName val="Graf. HUSKY 8"/>
      <sheetName val="HUSKY 9"/>
      <sheetName val="Graf. HUSKY 9"/>
      <sheetName val="Quejas de los clientes"/>
      <sheetName val="CAV_ BLOCK"/>
      <sheetName val="Hoja1"/>
      <sheetName val="Scrap diario"/>
      <sheetName val="REPORTE POR CAUSA"/>
      <sheetName val="SCRAP POR CAUSA"/>
      <sheetName val="Scrap por Maquina"/>
      <sheetName val="scrap"/>
      <sheetName val="HFI"/>
      <sheetName val="Paros"/>
      <sheetName val="Reporte Paros"/>
      <sheetName val="Paros x maq"/>
      <sheetName val="paros causa"/>
      <sheetName val="ind util maq"/>
      <sheetName val="IND. MANTO"/>
      <sheetName val="Base GGG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refreshError="1"/>
      <sheetData sheetId="55" refreshError="1"/>
      <sheetData sheetId="56"/>
      <sheetData sheetId="57"/>
      <sheetData sheetId="58">
        <row r="1">
          <cell r="I1" t="str">
            <v>Eastlon EBC</v>
          </cell>
        </row>
        <row r="2">
          <cell r="I2" t="str">
            <v>Eastlon Local</v>
          </cell>
        </row>
        <row r="3">
          <cell r="I3" t="str">
            <v>Jade EBC</v>
          </cell>
        </row>
        <row r="4">
          <cell r="I4" t="str">
            <v>Jade Local</v>
          </cell>
        </row>
        <row r="5">
          <cell r="I5" t="str">
            <v>Nanya Local</v>
          </cell>
        </row>
        <row r="6">
          <cell r="I6" t="str">
            <v>Papet EBC</v>
          </cell>
        </row>
        <row r="7">
          <cell r="I7" t="str">
            <v>Papet Local</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GA PRODUCC"/>
      <sheetName val="CARGA SCRAP"/>
      <sheetName val="CARGA PARADAS"/>
      <sheetName val="CARGA RECLAMOS"/>
      <sheetName val="MKI"/>
      <sheetName val="Reporte Produccion"/>
      <sheetName val="CRITERIOS PRODUCC"/>
      <sheetName val="CRITERIOS PARADA"/>
      <sheetName val="Grafico Scrap"/>
      <sheetName val="Grafico Paradas"/>
      <sheetName val="DATA"/>
      <sheetName val="CARGA_PRODUCC"/>
      <sheetName val="CARGA_SCRAP"/>
      <sheetName val="CARGA_PARADAS"/>
      <sheetName val="CARGA_RECLAMOS"/>
      <sheetName val="Reporte_Produccion"/>
      <sheetName val="CRITERIOS_PRODUCC"/>
      <sheetName val="CRITERIOS_PARADA"/>
      <sheetName val="Grafico_Scrap"/>
      <sheetName val="Grafico_Paradas"/>
    </sheetNames>
    <sheetDataSet>
      <sheetData sheetId="0" refreshError="1"/>
      <sheetData sheetId="1" refreshError="1"/>
      <sheetData sheetId="2" refreshError="1">
        <row r="8">
          <cell r="B8" t="str">
            <v>Fecha</v>
          </cell>
          <cell r="C8" t="str">
            <v>Tiempo (min)</v>
          </cell>
          <cell r="D8" t="str">
            <v>Máquina</v>
          </cell>
          <cell r="E8" t="str">
            <v>Causa de Parada</v>
          </cell>
        </row>
        <row r="9">
          <cell r="B9">
            <v>37408</v>
          </cell>
          <cell r="C9">
            <v>500</v>
          </cell>
          <cell r="D9">
            <v>1</v>
          </cell>
          <cell r="E9" t="str">
            <v>A01-Inyección Corta</v>
          </cell>
        </row>
        <row r="10">
          <cell r="B10">
            <v>37409</v>
          </cell>
          <cell r="C10">
            <v>300</v>
          </cell>
          <cell r="D10">
            <v>1</v>
          </cell>
          <cell r="E10" t="str">
            <v>A04-Pellets sin fundir</v>
          </cell>
        </row>
        <row r="11">
          <cell r="B11">
            <v>37410</v>
          </cell>
          <cell r="C11">
            <v>200</v>
          </cell>
          <cell r="D11">
            <v>2</v>
          </cell>
          <cell r="E11" t="str">
            <v>A03-Daño Crítico TSS/Rosca/Anillo</v>
          </cell>
        </row>
        <row r="12">
          <cell r="B12">
            <v>37411</v>
          </cell>
          <cell r="C12">
            <v>500</v>
          </cell>
          <cell r="D12">
            <v>1</v>
          </cell>
          <cell r="E12" t="str">
            <v>L5-Exceso de Inventario</v>
          </cell>
        </row>
        <row r="13">
          <cell r="B13">
            <v>37412</v>
          </cell>
          <cell r="C13">
            <v>300</v>
          </cell>
          <cell r="D13">
            <v>2</v>
          </cell>
          <cell r="E13" t="str">
            <v>A02-Rebaba en L.de Cierre</v>
          </cell>
        </row>
        <row r="14">
          <cell r="B14">
            <v>37413</v>
          </cell>
          <cell r="C14">
            <v>200</v>
          </cell>
          <cell r="D14">
            <v>1</v>
          </cell>
          <cell r="E14" t="str">
            <v>A06-Pto.Inyección Cristalizado</v>
          </cell>
        </row>
        <row r="15">
          <cell r="B15">
            <v>37414</v>
          </cell>
          <cell r="C15">
            <v>160</v>
          </cell>
          <cell r="D15">
            <v>1</v>
          </cell>
          <cell r="E15" t="str">
            <v>A08-Pto.Inyección Perforado</v>
          </cell>
        </row>
        <row r="16">
          <cell r="B16">
            <v>37415</v>
          </cell>
          <cell r="C16">
            <v>170</v>
          </cell>
          <cell r="D16">
            <v>1</v>
          </cell>
          <cell r="E16" t="str">
            <v>A03-Daño Crítico TSS/Rosca/Anillo</v>
          </cell>
        </row>
        <row r="17">
          <cell r="B17">
            <v>37416</v>
          </cell>
          <cell r="C17">
            <v>180</v>
          </cell>
          <cell r="D17">
            <v>1</v>
          </cell>
          <cell r="E17" t="str">
            <v>A03-Daño Crítico TSS/Rosca/Anillo</v>
          </cell>
        </row>
        <row r="18">
          <cell r="B18">
            <v>37417</v>
          </cell>
          <cell r="C18">
            <v>190</v>
          </cell>
          <cell r="D18">
            <v>1</v>
          </cell>
          <cell r="E18" t="str">
            <v>A04-Pellets sin fundir</v>
          </cell>
        </row>
        <row r="19">
          <cell r="B19">
            <v>37418</v>
          </cell>
          <cell r="C19">
            <v>200</v>
          </cell>
          <cell r="D19">
            <v>1</v>
          </cell>
          <cell r="E19" t="str">
            <v>B08-Burbujas &lt; 1 mm</v>
          </cell>
        </row>
        <row r="20">
          <cell r="B20">
            <v>37419</v>
          </cell>
          <cell r="C20">
            <v>210</v>
          </cell>
          <cell r="D20">
            <v>1</v>
          </cell>
          <cell r="E20" t="str">
            <v>C01-Molde Sucio</v>
          </cell>
        </row>
        <row r="21">
          <cell r="B21">
            <v>37420</v>
          </cell>
          <cell r="C21">
            <v>220</v>
          </cell>
          <cell r="D21">
            <v>1</v>
          </cell>
          <cell r="E21" t="str">
            <v>A21-Preformas Mezcladas</v>
          </cell>
        </row>
        <row r="22">
          <cell r="B22">
            <v>37421</v>
          </cell>
          <cell r="C22">
            <v>230</v>
          </cell>
          <cell r="D22">
            <v>1</v>
          </cell>
          <cell r="E22" t="str">
            <v>A05-Contaminación Externa</v>
          </cell>
        </row>
        <row r="23">
          <cell r="B23">
            <v>37422</v>
          </cell>
          <cell r="C23">
            <v>240</v>
          </cell>
          <cell r="D23">
            <v>1</v>
          </cell>
          <cell r="E23" t="str">
            <v>A04-Pellets sin fundir</v>
          </cell>
        </row>
        <row r="24">
          <cell r="B24">
            <v>37423</v>
          </cell>
          <cell r="C24">
            <v>250</v>
          </cell>
          <cell r="D24">
            <v>1</v>
          </cell>
          <cell r="E24" t="str">
            <v>A07-Material Degradado</v>
          </cell>
        </row>
        <row r="25">
          <cell r="B25">
            <v>37423</v>
          </cell>
          <cell r="C25">
            <v>260</v>
          </cell>
          <cell r="D25">
            <v>1</v>
          </cell>
          <cell r="E25" t="str">
            <v>A07-Material Degradado</v>
          </cell>
        </row>
        <row r="26">
          <cell r="B26">
            <v>37424</v>
          </cell>
          <cell r="C26">
            <v>100</v>
          </cell>
          <cell r="D26">
            <v>2</v>
          </cell>
          <cell r="E26" t="str">
            <v>A06-Pto.Inyección Cristalizado</v>
          </cell>
        </row>
        <row r="27">
          <cell r="B27">
            <v>37425</v>
          </cell>
          <cell r="C27">
            <v>50</v>
          </cell>
          <cell r="D27">
            <v>2</v>
          </cell>
          <cell r="E27" t="str">
            <v>A13 Cristalización gate crítico</v>
          </cell>
        </row>
        <row r="28">
          <cell r="B28">
            <v>37426</v>
          </cell>
          <cell r="C28">
            <v>60</v>
          </cell>
          <cell r="D28">
            <v>2</v>
          </cell>
          <cell r="E28" t="str">
            <v>A21-Preformas Mezcladas</v>
          </cell>
        </row>
        <row r="29">
          <cell r="B29">
            <v>37427</v>
          </cell>
          <cell r="C29">
            <v>70</v>
          </cell>
          <cell r="D29">
            <v>2</v>
          </cell>
          <cell r="E29" t="str">
            <v>B09-Cristalización Gate Mayor</v>
          </cell>
        </row>
        <row r="37">
          <cell r="D37">
            <v>2</v>
          </cell>
        </row>
        <row r="38">
          <cell r="D38">
            <v>2</v>
          </cell>
        </row>
        <row r="39">
          <cell r="D39">
            <v>2</v>
          </cell>
        </row>
        <row r="40">
          <cell r="D40">
            <v>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Principal"/>
      <sheetName val="KPI"/>
      <sheetName val="BE"/>
      <sheetName val="ME"/>
      <sheetName val="RESUMEN DIARIO"/>
      <sheetName val="cuadres"/>
      <sheetName val="PRODx MAQUINA"/>
      <sheetName val="CONCILIACION"/>
      <sheetName val="PROD Y CONSUMOS"/>
      <sheetName val="Kardex Pigmentos"/>
      <sheetName val="KARDEX "/>
      <sheetName val="CONSUMO DE RESINA DIARIO"/>
      <sheetName val="Resina"/>
      <sheetName val="Produccion codigos SAP"/>
      <sheetName val="cicle"/>
      <sheetName val="Krauss M"/>
      <sheetName val="Graf. Krauss M"/>
      <sheetName val="Krupp 1"/>
      <sheetName val="Graf. Krupp 1"/>
      <sheetName val="Krupp 2"/>
      <sheetName val="Graf. Krupp 2"/>
      <sheetName val="HUSKY 1"/>
      <sheetName val="Graf. Husky 1"/>
      <sheetName val="HUSKY 2"/>
      <sheetName val="Graf. HUSKY 2"/>
      <sheetName val="HUSKY 3"/>
      <sheetName val="Graf. HUSKY 3"/>
      <sheetName val="HUSKY 4"/>
      <sheetName val="Graf.HUSKY 4"/>
      <sheetName val="HUSKY 5"/>
      <sheetName val="Graf.HUSKY 5"/>
      <sheetName val="HUSKY 6"/>
      <sheetName val="Graf. HUSKY 6"/>
      <sheetName val="HUSKY 7"/>
      <sheetName val="Graf. HUSKY 7"/>
      <sheetName val="Materiales"/>
      <sheetName val="Inyeccion general"/>
      <sheetName val="Cajas Incompl."/>
      <sheetName val="CAV_ BLOCK"/>
      <sheetName val="Resumen"/>
      <sheetName val="ME Operadores"/>
      <sheetName val="Plan accion"/>
      <sheetName val="HUSKY 8"/>
      <sheetName val="Graf. HUSKY 8"/>
      <sheetName val="HUSKY 9"/>
      <sheetName val="Graf. HUSKY 9"/>
      <sheetName val="Quejas de los clientes"/>
      <sheetName val="Hoja1"/>
      <sheetName val="Scrap diario"/>
      <sheetName val="Gráfico1"/>
      <sheetName val="Gráfico2"/>
      <sheetName val="Gráfico3"/>
      <sheetName val="REPORTE POR CAUSA"/>
      <sheetName val="SCRAP"/>
      <sheetName val="HFI"/>
      <sheetName val="Paros"/>
      <sheetName val="Reporte Paros"/>
      <sheetName val="Gráfico4"/>
      <sheetName val="Gráfico5"/>
      <sheetName val="IND. MANTO"/>
      <sheetName val="ind util maq"/>
      <sheetName val="Base GGGR"/>
      <sheetName val="Hoja2"/>
      <sheetName val="Injection Ecuador MPD Graf Dic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row r="1">
          <cell r="E1" t="str">
            <v>WM</v>
          </cell>
        </row>
        <row r="2">
          <cell r="E2" t="str">
            <v>MP</v>
          </cell>
        </row>
        <row r="3">
          <cell r="E3" t="str">
            <v>PG</v>
          </cell>
        </row>
        <row r="4">
          <cell r="E4" t="str">
            <v>GG</v>
          </cell>
        </row>
      </sheetData>
      <sheetData sheetId="62" refreshError="1"/>
      <sheetData sheetId="6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EX"/>
      <sheetName val="CAPEX Instr"/>
      <sheetName val="XA"/>
    </sheetNames>
    <sheetDataSet>
      <sheetData sheetId="0"/>
      <sheetData sheetId="1"/>
      <sheetData sheetId="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Q Control"/>
      <sheetName val="Booklet"/>
      <sheetName val="Summary"/>
      <sheetName val="Retrieve"/>
      <sheetName val="PET"/>
      <sheetName val="AUS"/>
      <sheetName val="AFF"/>
      <sheetName val="AFH"/>
      <sheetName val="REN"/>
      <sheetName val="SUN"/>
      <sheetName val="ASIA"/>
      <sheetName val="Budget - AUD"/>
      <sheetName val="Budget - LC"/>
      <sheetName val="Budget - AUD (Dec)"/>
      <sheetName val="Last Yr YTD"/>
      <sheetName val="Actual - 0506"/>
      <sheetName val="Proyeccion 2003-2004 I"/>
      <sheetName val="AMCOR - Capex Report - 0207 fin"/>
      <sheetName val="2b Pal Prod"/>
      <sheetName val="HQ_Control"/>
      <sheetName val="Budget_-_AUD"/>
      <sheetName val="Budget_-_LC"/>
      <sheetName val="Budget_-_AUD_(Dec)"/>
      <sheetName val="Last_Yr_YTD"/>
      <sheetName val="Actual_-_0506"/>
      <sheetName val="Proyeccion_2003-2004_I"/>
      <sheetName val="AMCOR_-_Capex_Report_-_0207_fin"/>
      <sheetName val="2b_Pal_Prod"/>
      <sheetName val="HQ_Control1"/>
      <sheetName val="Budget_-_AUD1"/>
      <sheetName val="Budget_-_LC1"/>
      <sheetName val="Budget_-_AUD_(Dec)1"/>
      <sheetName val="Last_Yr_YTD1"/>
      <sheetName val="Actual_-_05061"/>
      <sheetName val="Proyeccion_2003-2004_I1"/>
      <sheetName val="AMCOR_-_Capex_Report_-_0207_fi1"/>
      <sheetName val="2b_Pal_Prod1"/>
      <sheetName val="Base"/>
      <sheetName val="Tablas"/>
      <sheetName val="HQ_Control2"/>
      <sheetName val="Budget_-_AUD2"/>
      <sheetName val="Budget_-_LC2"/>
      <sheetName val="Budget_-_AUD_(Dec)2"/>
      <sheetName val="Last_Yr_YTD2"/>
      <sheetName val="Actual_-_05062"/>
      <sheetName val="Proyeccion_2003-2004_I2"/>
      <sheetName val="AMCOR_-_Capex_Report_-_0207_fi2"/>
      <sheetName val="2b_Pal_Prod2"/>
      <sheetName val="HQ_Control3"/>
      <sheetName val="Budget_-_AUD3"/>
      <sheetName val="Budget_-_LC3"/>
      <sheetName val="Budget_-_AUD_(Dec)3"/>
      <sheetName val="Last_Yr_YTD3"/>
      <sheetName val="Actual_-_05063"/>
      <sheetName val="Proyeccion_2003-2004_I3"/>
      <sheetName val="AMCOR_-_Capex_Report_-_0207_fi3"/>
      <sheetName val="2b_Pal_Prod3"/>
      <sheetName val="HQ_Control4"/>
      <sheetName val="Budget_-_AUD4"/>
      <sheetName val="Budget_-_LC4"/>
      <sheetName val="Budget_-_AUD_(Dec)4"/>
      <sheetName val="Last_Yr_YTD4"/>
      <sheetName val="Actual_-_05064"/>
      <sheetName val="Proyeccion_2003-2004_I4"/>
      <sheetName val="AMCOR_-_Capex_Report_-_0207_fi4"/>
      <sheetName val="2b_Pal_Prod4"/>
    </sheetNames>
    <sheetDataSet>
      <sheetData sheetId="0" refreshError="1"/>
      <sheetData sheetId="1" refreshError="1"/>
      <sheetData sheetId="2" refreshError="1"/>
      <sheetData sheetId="3" refreshError="1">
        <row r="2">
          <cell r="A2">
            <v>1000000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lio"/>
      <sheetName val="Agosto"/>
      <sheetName val="Setiembre"/>
      <sheetName val="Octubre"/>
      <sheetName val="Noviembre"/>
      <sheetName val="Diciembre "/>
      <sheetName val="Dec soles P&amp;L"/>
      <sheetName val="Dec 11 YTD"/>
      <sheetName val="ENE - DIC 2011"/>
      <sheetName val="Any by Any"/>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DINAMICA"/>
      <sheetName val="BDSol"/>
      <sheetName val="BD$"/>
      <sheetName val="PROD-Act"/>
      <sheetName val="APY-Act"/>
      <sheetName val="Pro-Tej"/>
      <sheetName val="Pro-Qui"/>
      <sheetName val="Pro-PET"/>
      <sheetName val="Energías"/>
      <sheetName val="Hst-energ."/>
      <sheetName val="MO.Mant."/>
      <sheetName val="Mant."/>
      <sheetName val="Per"/>
      <sheetName val="Act. Ap."/>
      <sheetName val="Res.Act.Ap."/>
      <sheetName val="Inductor"/>
      <sheetName val="Venta"/>
      <sheetName val="VTA-Act"/>
      <sheetName val="VtaXrub"/>
      <sheetName val="Vta.Tej."/>
      <sheetName val="Vta.Tej.Res"/>
      <sheetName val="Vta.Tej.Hist."/>
      <sheetName val="Vta.Qui."/>
      <sheetName val="Vta.Qui.Res"/>
      <sheetName val="Vta.Qui.Hist."/>
      <sheetName val="Vta.Pet."/>
      <sheetName val="Vta.Pet.Res"/>
      <sheetName val="Vta.Pet.Hist"/>
      <sheetName val="MarkXrub"/>
      <sheetName val="Mark.Tej"/>
      <sheetName val="Mark.Tej.Res"/>
      <sheetName val="Mark.Tej.Hist."/>
      <sheetName val="Mark.Qui."/>
      <sheetName val="Mark.Qui.Res"/>
      <sheetName val="Mark.Qui.Hist."/>
      <sheetName val="Mark.Pet."/>
      <sheetName val="Mark.Pet.Res"/>
      <sheetName val="Mark.Pet.Hist"/>
      <sheetName val="Adm."/>
      <sheetName val="ADM-Act"/>
      <sheetName val="AdmXrub"/>
      <sheetName val="AdmGen-Hist"/>
      <sheetName val="Post"/>
      <sheetName val="PRP"/>
      <sheetName val="PRP. Res"/>
      <sheetName val="PRP.Hist."/>
      <sheetName val="TIN"/>
      <sheetName val="TIN. Res"/>
      <sheetName val="TIN.Hist."/>
      <sheetName val="HPE"/>
      <sheetName val="HPE. Res"/>
      <sheetName val="HPE.Hist. "/>
      <sheetName val="HCA"/>
      <sheetName val="HCA. Res"/>
      <sheetName val="HCA.Hist."/>
      <sheetName val="TJD"/>
      <sheetName val="TJD. Res"/>
      <sheetName val="TJD.Hist."/>
      <sheetName val="ACA"/>
      <sheetName val="ACA. Res"/>
      <sheetName val="ACA.Hist."/>
      <sheetName val="TEJ"/>
      <sheetName val="TEJ.Hist."/>
      <sheetName val="FIB"/>
      <sheetName val="FIB. Res"/>
      <sheetName val="FIB.Hist."/>
      <sheetName val="AZU"/>
      <sheetName val="AZU. Res"/>
      <sheetName val="AZU.Hist."/>
      <sheetName val="SAL"/>
      <sheetName val="SAL. Res"/>
      <sheetName val="SAL.Hist."/>
      <sheetName val="SUL"/>
      <sheetName val="SUL.Res"/>
      <sheetName val="SUL.Hist."/>
      <sheetName val="PAC"/>
      <sheetName val="PAC.Res"/>
      <sheetName val="PAC.Hist."/>
      <sheetName val="QUI"/>
      <sheetName val="QUI.Hist."/>
      <sheetName val="ResPres"/>
      <sheetName val="PRE"/>
      <sheetName val="PRE. Res"/>
      <sheetName val="PRE.Hist."/>
      <sheetName val="BOT"/>
      <sheetName val="BOT. Res"/>
      <sheetName val="BOT.Hist."/>
      <sheetName val="Serv.Terc"/>
      <sheetName val="BAL,BCH,BAR,BEL,BPE"/>
      <sheetName val="BAL,CH,BPE. Res"/>
      <sheetName val="BAR-BEL. Res"/>
      <sheetName val="BAL-CH-AR-ELSA Hist."/>
      <sheetName val="PET"/>
      <sheetName val="PET.Hist."/>
      <sheetName val="SMI."/>
      <sheetName val="SMI.Hist."/>
      <sheetName val="Re-asig"/>
    </sheetNames>
    <sheetDataSet>
      <sheetData sheetId="0" refreshError="1"/>
      <sheetData sheetId="1" refreshError="1"/>
      <sheetData sheetId="2" refreshError="1">
        <row r="1">
          <cell r="C1">
            <v>3.472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t10peru"/>
      <sheetName val="Centro"/>
      <sheetName val="Consolidado"/>
      <sheetName val="Cons. ELSA"/>
      <sheetName val="Norte"/>
      <sheetName val="Sur"/>
      <sheetName val="Iquitos"/>
      <sheetName val="MODULE1"/>
      <sheetName val="DATAS"/>
      <sheetName val="Cons__ELSA"/>
      <sheetName val="Cons__ELSA1"/>
      <sheetName val="Cons__ELSA2"/>
      <sheetName val="Cons__ELSA3"/>
      <sheetName val="HPC "/>
      <sheetName val="foods"/>
      <sheetName val="Exec IS - ARG USD"/>
      <sheetName val="Exec IS - ARG ARS"/>
      <sheetName val="Exec IS - PIL USD"/>
      <sheetName val="Exec IS - PIL ARS"/>
      <sheetName val="Exec IS - USH USD"/>
      <sheetName val="Exec IS - USH ARS"/>
      <sheetName val="FX"/>
      <sheetName val="FX Pilar"/>
      <sheetName val="FX Ush"/>
      <sheetName val="Tablas"/>
      <sheetName val="HPC_"/>
      <sheetName val="Cons__ELSA4"/>
      <sheetName val="Exec_IS_-_ARG_USD"/>
      <sheetName val="Exec_IS_-_ARG_ARS"/>
      <sheetName val="Exec_IS_-_PIL_USD"/>
      <sheetName val="Exec_IS_-_PIL_ARS"/>
      <sheetName val="Exec_IS_-_USH_USD"/>
      <sheetName val="Exec_IS_-_USH_ARS"/>
      <sheetName val="FX_Pilar"/>
      <sheetName val="FX_Ush"/>
      <sheetName val="Cons__ELSA5"/>
      <sheetName val="HPC_1"/>
      <sheetName val="Exec_IS_-_ARG_USD1"/>
      <sheetName val="Exec_IS_-_ARG_ARS1"/>
      <sheetName val="Exec_IS_-_PIL_USD1"/>
      <sheetName val="Exec_IS_-_PIL_ARS1"/>
      <sheetName val="Exec_IS_-_USH_USD1"/>
      <sheetName val="Exec_IS_-_USH_ARS1"/>
      <sheetName val="FX_Pilar1"/>
      <sheetName val="FX_Ush1"/>
      <sheetName val="Cons__ELSA6"/>
      <sheetName val="HPC_2"/>
      <sheetName val="Exec_IS_-_ARG_USD2"/>
      <sheetName val="Exec_IS_-_ARG_ARS2"/>
      <sheetName val="Exec_IS_-_PIL_USD2"/>
      <sheetName val="Exec_IS_-_PIL_ARS2"/>
      <sheetName val="Exec_IS_-_USH_USD2"/>
      <sheetName val="Exec_IS_-_USH_ARS2"/>
      <sheetName val="FX_Pilar2"/>
      <sheetName val="FX_Ush2"/>
    </sheetNames>
    <sheetDataSet>
      <sheetData sheetId="0" refreshError="1"/>
      <sheetData sheetId="1" refreshError="1">
        <row r="12">
          <cell r="B12">
            <v>1</v>
          </cell>
          <cell r="C12">
            <v>1</v>
          </cell>
          <cell r="D12">
            <v>66488.000000000029</v>
          </cell>
          <cell r="E12">
            <v>2622.27</v>
          </cell>
          <cell r="F12">
            <v>4674.0700000000006</v>
          </cell>
          <cell r="G12">
            <v>14186.01</v>
          </cell>
        </row>
        <row r="13">
          <cell r="B13">
            <v>2</v>
          </cell>
          <cell r="C13">
            <v>2</v>
          </cell>
          <cell r="D13">
            <v>82487.389999999985</v>
          </cell>
          <cell r="E13">
            <v>3305.31</v>
          </cell>
          <cell r="F13">
            <v>6803.38</v>
          </cell>
          <cell r="G13">
            <v>15826.26</v>
          </cell>
        </row>
        <row r="14">
          <cell r="B14">
            <v>3</v>
          </cell>
          <cell r="C14">
            <v>4</v>
          </cell>
          <cell r="D14">
            <v>80612.84</v>
          </cell>
          <cell r="E14">
            <v>3722.4100000000008</v>
          </cell>
          <cell r="F14">
            <v>6467.31</v>
          </cell>
          <cell r="G14">
            <v>13092.64</v>
          </cell>
        </row>
        <row r="15">
          <cell r="B15">
            <v>4</v>
          </cell>
          <cell r="C15">
            <v>5</v>
          </cell>
          <cell r="D15">
            <v>101739.82999999999</v>
          </cell>
          <cell r="E15">
            <v>4400.82</v>
          </cell>
          <cell r="F15">
            <v>8089.7800000000007</v>
          </cell>
          <cell r="G15">
            <v>17432.66</v>
          </cell>
        </row>
        <row r="16">
          <cell r="B16">
            <v>5</v>
          </cell>
          <cell r="C16">
            <v>6</v>
          </cell>
          <cell r="D16">
            <v>102537.34</v>
          </cell>
          <cell r="E16">
            <v>4466.2000000000007</v>
          </cell>
          <cell r="F16">
            <v>7232.32</v>
          </cell>
          <cell r="G16">
            <v>25511.170000000002</v>
          </cell>
        </row>
        <row r="17">
          <cell r="B17">
            <v>6</v>
          </cell>
          <cell r="C17">
            <v>7</v>
          </cell>
          <cell r="D17">
            <v>97039.360000000277</v>
          </cell>
          <cell r="E17">
            <v>4298.3300000000017</v>
          </cell>
          <cell r="F17">
            <v>7470.6999999999971</v>
          </cell>
          <cell r="G17">
            <v>18637.050000000017</v>
          </cell>
        </row>
        <row r="18">
          <cell r="B18">
            <v>7</v>
          </cell>
          <cell r="C18">
            <v>9</v>
          </cell>
          <cell r="D18">
            <v>209639.74</v>
          </cell>
          <cell r="E18">
            <v>8627.2000000000007</v>
          </cell>
          <cell r="F18">
            <v>16060.18</v>
          </cell>
          <cell r="G18">
            <v>41090.92</v>
          </cell>
        </row>
        <row r="19">
          <cell r="B19">
            <v>8</v>
          </cell>
          <cell r="C19">
            <v>11</v>
          </cell>
          <cell r="D19">
            <v>96727.07</v>
          </cell>
          <cell r="E19">
            <v>4352.17</v>
          </cell>
          <cell r="F19">
            <v>8001.93</v>
          </cell>
          <cell r="G19">
            <v>12315.84</v>
          </cell>
        </row>
        <row r="20">
          <cell r="B20">
            <v>9</v>
          </cell>
          <cell r="C20">
            <v>12</v>
          </cell>
          <cell r="D20">
            <v>110897.18000000001</v>
          </cell>
          <cell r="E20">
            <v>4616.12</v>
          </cell>
          <cell r="F20">
            <v>9338.08</v>
          </cell>
          <cell r="G20">
            <v>15713.8</v>
          </cell>
        </row>
        <row r="21">
          <cell r="B21">
            <v>10</v>
          </cell>
          <cell r="C21">
            <v>13</v>
          </cell>
          <cell r="D21">
            <v>113659.06999999998</v>
          </cell>
          <cell r="E21">
            <v>4885.3200000000006</v>
          </cell>
          <cell r="F21">
            <v>8406.4600000000009</v>
          </cell>
          <cell r="G21">
            <v>14304.78</v>
          </cell>
        </row>
        <row r="22">
          <cell r="B22">
            <v>11</v>
          </cell>
          <cell r="C22">
            <v>14</v>
          </cell>
          <cell r="D22">
            <v>113041.71999999999</v>
          </cell>
          <cell r="E22">
            <v>3944.7999999999993</v>
          </cell>
          <cell r="F22">
            <v>7225.1399999999994</v>
          </cell>
          <cell r="G22">
            <v>18612.03</v>
          </cell>
        </row>
        <row r="23">
          <cell r="B23">
            <v>12</v>
          </cell>
          <cell r="C23">
            <v>15</v>
          </cell>
          <cell r="D23">
            <v>131148.65</v>
          </cell>
          <cell r="E23">
            <v>3725.7800000000007</v>
          </cell>
          <cell r="F23">
            <v>8322.89</v>
          </cell>
          <cell r="G23">
            <v>15652.600000000002</v>
          </cell>
        </row>
        <row r="24">
          <cell r="B24">
            <v>13</v>
          </cell>
          <cell r="C24">
            <v>16</v>
          </cell>
          <cell r="D24">
            <v>182694</v>
          </cell>
          <cell r="E24">
            <v>4162.91</v>
          </cell>
          <cell r="F24">
            <v>9868.2900000000009</v>
          </cell>
          <cell r="G24">
            <v>24699.03</v>
          </cell>
        </row>
        <row r="25">
          <cell r="B25">
            <v>14</v>
          </cell>
          <cell r="C25">
            <v>18</v>
          </cell>
          <cell r="D25">
            <v>156632.76</v>
          </cell>
          <cell r="E25">
            <v>4301.88</v>
          </cell>
          <cell r="F25">
            <v>6383.4499999999989</v>
          </cell>
          <cell r="G25">
            <v>14523.24</v>
          </cell>
        </row>
        <row r="26">
          <cell r="B26">
            <v>15</v>
          </cell>
          <cell r="C26">
            <v>19</v>
          </cell>
          <cell r="D26">
            <v>96316.950000000012</v>
          </cell>
          <cell r="E26">
            <v>4799.3400000000011</v>
          </cell>
          <cell r="F26">
            <v>8776.08</v>
          </cell>
          <cell r="G26">
            <v>18049.53</v>
          </cell>
        </row>
        <row r="27">
          <cell r="B27">
            <v>16</v>
          </cell>
          <cell r="C27">
            <v>20</v>
          </cell>
          <cell r="D27">
            <v>113899.30999999998</v>
          </cell>
          <cell r="E27">
            <v>4728.93</v>
          </cell>
          <cell r="F27">
            <v>9455.25</v>
          </cell>
          <cell r="G27">
            <v>15251.91</v>
          </cell>
        </row>
        <row r="28">
          <cell r="B28">
            <v>17</v>
          </cell>
          <cell r="C28">
            <v>21</v>
          </cell>
          <cell r="D28">
            <v>103071.04999999999</v>
          </cell>
          <cell r="E28">
            <v>5228.3999999999996</v>
          </cell>
          <cell r="F28">
            <v>8649.1</v>
          </cell>
          <cell r="G28">
            <v>19455.580000000002</v>
          </cell>
        </row>
        <row r="29">
          <cell r="B29">
            <v>18</v>
          </cell>
          <cell r="C29">
            <v>22</v>
          </cell>
          <cell r="D29">
            <v>103593.32</v>
          </cell>
          <cell r="E29">
            <v>5340.5299999999988</v>
          </cell>
          <cell r="F29">
            <v>10690.77</v>
          </cell>
          <cell r="G29">
            <v>16284.69</v>
          </cell>
        </row>
        <row r="30">
          <cell r="B30">
            <v>19</v>
          </cell>
          <cell r="C30">
            <v>23</v>
          </cell>
          <cell r="D30">
            <v>108224.67</v>
          </cell>
          <cell r="E30">
            <v>5213</v>
          </cell>
          <cell r="F30">
            <v>14030.810000000001</v>
          </cell>
          <cell r="G30">
            <v>23483.989999999998</v>
          </cell>
        </row>
        <row r="31">
          <cell r="B31">
            <v>20</v>
          </cell>
          <cell r="C31">
            <v>25</v>
          </cell>
          <cell r="D31">
            <v>103456.82000000002</v>
          </cell>
          <cell r="E31">
            <v>5562.5</v>
          </cell>
          <cell r="F31">
            <v>9949.41</v>
          </cell>
          <cell r="G31">
            <v>11891.349999999999</v>
          </cell>
        </row>
        <row r="32">
          <cell r="B32">
            <v>21</v>
          </cell>
          <cell r="C32">
            <v>26</v>
          </cell>
          <cell r="D32">
            <v>120345.41000000002</v>
          </cell>
          <cell r="E32">
            <v>5149.78</v>
          </cell>
          <cell r="F32">
            <v>11691.130000000001</v>
          </cell>
          <cell r="G32">
            <v>19175.519999999997</v>
          </cell>
        </row>
        <row r="33">
          <cell r="B33">
            <v>22</v>
          </cell>
          <cell r="C33">
            <v>27</v>
          </cell>
          <cell r="D33">
            <v>110910.64</v>
          </cell>
          <cell r="E33">
            <v>5021</v>
          </cell>
          <cell r="F33">
            <v>10787.41</v>
          </cell>
          <cell r="G33">
            <v>17489.86</v>
          </cell>
        </row>
        <row r="34">
          <cell r="B34">
            <v>23</v>
          </cell>
          <cell r="C34">
            <v>28</v>
          </cell>
          <cell r="D34">
            <v>130113.06000000001</v>
          </cell>
          <cell r="E34">
            <v>5553.3100000000013</v>
          </cell>
          <cell r="F34">
            <v>11348.2</v>
          </cell>
          <cell r="G34">
            <v>23663.72</v>
          </cell>
        </row>
        <row r="35">
          <cell r="B35">
            <v>24</v>
          </cell>
          <cell r="C35">
            <v>29</v>
          </cell>
          <cell r="D35">
            <v>120438.04999999999</v>
          </cell>
          <cell r="E35">
            <v>5102.1000000000004</v>
          </cell>
          <cell r="F35">
            <v>11118.29</v>
          </cell>
          <cell r="G35">
            <v>17847.14</v>
          </cell>
        </row>
        <row r="36">
          <cell r="B36">
            <v>25</v>
          </cell>
          <cell r="C36">
            <v>30</v>
          </cell>
          <cell r="D36">
            <v>242562.05000000002</v>
          </cell>
          <cell r="E36">
            <v>11236.04</v>
          </cell>
          <cell r="F36">
            <v>29137.1</v>
          </cell>
          <cell r="G36">
            <v>42775.06</v>
          </cell>
        </row>
        <row r="37">
          <cell r="B37">
            <v>26</v>
          </cell>
        </row>
      </sheetData>
      <sheetData sheetId="2"/>
      <sheetData sheetId="3"/>
      <sheetData sheetId="4"/>
      <sheetData sheetId="5"/>
      <sheetData sheetId="6"/>
      <sheetData sheetId="7" refreshError="1"/>
      <sheetData sheetId="8" refreshError="1"/>
      <sheetData sheetId="9" refreshError="1"/>
      <sheetData sheetId="10"/>
      <sheetData sheetId="11"/>
      <sheetData sheetId="12"/>
      <sheetData sheetId="13">
        <row r="12">
          <cell r="B12" t="str">
            <v>Sh Sedal 340 Ceramidas</v>
          </cell>
        </row>
      </sheetData>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
      <sheetName val="INDEX"/>
      <sheetName val="VAL"/>
      <sheetName val="SECT5_PL"/>
      <sheetName val="SECT5_BS"/>
      <sheetName val="SECT5_CF"/>
      <sheetName val="PL"/>
      <sheetName val="TAX"/>
      <sheetName val="BS"/>
      <sheetName val="OTHER"/>
      <sheetName val="INTERCO"/>
      <sheetName val="SEGMENT CURRENT PERIOD"/>
      <sheetName val="MGT_ALLOCN"/>
      <sheetName val="EMP_NUM"/>
      <sheetName val="INT_STOCKS"/>
      <sheetName val="BORROW"/>
      <sheetName val="FI"/>
      <sheetName val="B_ADD"/>
      <sheetName val="B_DISP"/>
      <sheetName val="GW_COST"/>
      <sheetName val="GW_AMORT"/>
      <sheetName val="INVESTMENTS"/>
      <sheetName val="XA"/>
      <sheetName val="PROVN"/>
      <sheetName val="LEGALCHT"/>
      <sheetName val="Dialog1"/>
      <sheetName val="Dialog2"/>
      <sheetName val="Setup"/>
      <sheetName val="M_ListLinks"/>
      <sheetName val="M_Setup"/>
      <sheetName val="M_Menu"/>
      <sheetName val="M_Print"/>
      <sheetName val="M_Goto"/>
      <sheetName val="M_EAudit"/>
      <sheetName val="31.08.07 (2)"/>
      <sheetName val="Conciliación de renta"/>
      <sheetName val="StatTemplateSLUSA_122002"/>
      <sheetName val="cartera comercial al 29-9-07"/>
      <sheetName val="31 Dic 96"/>
      <sheetName val="Centro"/>
      <sheetName val="SEGMENT_CURRENT_PERIOD1"/>
      <sheetName val="31_08_07_(2)1"/>
      <sheetName val="Conciliación_de_renta1"/>
      <sheetName val="cartera_comercial_al_29-9-071"/>
      <sheetName val="31_Dic_961"/>
      <sheetName val="SEGMENT_CURRENT_PERIOD"/>
      <sheetName val="31_08_07_(2)"/>
      <sheetName val="Conciliación_de_renta"/>
      <sheetName val="cartera_comercial_al_29-9-07"/>
      <sheetName val="31_Dic_96"/>
      <sheetName val="SEGMENT_CURRENT_PERIOD2"/>
      <sheetName val="31_08_07_(2)2"/>
      <sheetName val="Conciliación_de_renta2"/>
      <sheetName val="cartera_comercial_al_29-9-072"/>
      <sheetName val="31_Dic_962"/>
      <sheetName val="SEGMENT_CURRENT_PERIOD3"/>
      <sheetName val="31_08_07_(2)3"/>
      <sheetName val="Conciliación_de_renta3"/>
      <sheetName val="cartera_comercial_al_29-9-073"/>
      <sheetName val="31_Dic_963"/>
      <sheetName val="SEGMENT_CURRENT_PERIOD4"/>
      <sheetName val="31_08_07_(2)4"/>
      <sheetName val="Conciliación_de_renta4"/>
      <sheetName val="cartera_comercial_al_29-9-074"/>
      <sheetName val="31_Dic_964"/>
      <sheetName val="Hoja1"/>
      <sheetName val="Hoja2"/>
      <sheetName val="Summary"/>
      <sheetName val="Process data request"/>
      <sheetName val="Summary 2"/>
      <sheetName val="Sueldos"/>
      <sheetName val="Hoja3"/>
      <sheetName val="Process data request (2)"/>
      <sheetName val="Org-Chart"/>
      <sheetName val="Sheet3"/>
      <sheetName val="SEGMENT_CURRENT_PERIOD5"/>
      <sheetName val="31_08_07_(2)5"/>
      <sheetName val="Conciliación_de_renta5"/>
      <sheetName val="cartera_comercial_al_29-9-075"/>
      <sheetName val="31_Dic_965"/>
      <sheetName val="Process_data_request"/>
      <sheetName val="Summary_2"/>
      <sheetName val="Process_data_request_(2)"/>
      <sheetName val="SEGMENT_CURRENT_PERIOD6"/>
      <sheetName val="31_08_07_(2)6"/>
      <sheetName val="Conciliación_de_renta6"/>
      <sheetName val="cartera_comercial_al_29-9-076"/>
      <sheetName val="31_Dic_966"/>
      <sheetName val="Process_data_request1"/>
      <sheetName val="Summary_21"/>
      <sheetName val="Process_data_request_(2)1"/>
      <sheetName val="SEGMENT_CURRENT_PERIOD7"/>
      <sheetName val="31_08_07_(2)7"/>
      <sheetName val="Conciliación_de_renta7"/>
      <sheetName val="cartera_comercial_al_29-9-077"/>
      <sheetName val="31_Dic_967"/>
      <sheetName val="Process_data_request2"/>
      <sheetName val="Summary_22"/>
      <sheetName val="Process_data_request_(2)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row r="19">
          <cell r="C19">
            <v>2000</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ow r="19">
          <cell r="C19">
            <v>1833.6</v>
          </cell>
        </row>
      </sheetData>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customProperty" Target="../customProperty6.bin"/><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customProperty" Target="../customProperty7.bin"/><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customProperty" Target="../customProperty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customProperty" Target="../customProperty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customProperty" Target="../customProperty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customProperty" Target="../customProperty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customProperty" Target="../customProperty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customProperty" Target="../customProperty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customProperty" Target="../customProperty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customProperty" Target="../customProperty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customProperty" Target="../customProperty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customProperty" Target="../customProperty17.bin"/></Relationships>
</file>

<file path=xl/worksheets/_rels/sheet19.xml.rels><?xml version="1.0" encoding="UTF-8" standalone="yes"?>
<Relationships xmlns="http://schemas.openxmlformats.org/package/2006/relationships"><Relationship Id="rId2" Type="http://schemas.openxmlformats.org/officeDocument/2006/relationships/customProperty" Target="../customProperty18.bin"/><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customProperty" Target="../customProperty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customProperty" Target="../customProperty20.bin"/></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customProperty" Target="../customProperty21.bin"/><Relationship Id="rId1" Type="http://schemas.openxmlformats.org/officeDocument/2006/relationships/printerSettings" Target="../printerSettings/printerSettings9.bin"/></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customProperty" Target="../customProperty22.bin"/><Relationship Id="rId1" Type="http://schemas.openxmlformats.org/officeDocument/2006/relationships/printerSettings" Target="../printerSettings/printerSettings10.bin"/></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customProperty" Target="../customProperty23.bin"/><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customProperty" Target="../customProperty24.bin"/><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customProperty" Target="../customProperty25.bin"/><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customProperty" Target="../customProperty26.bin"/><Relationship Id="rId1" Type="http://schemas.openxmlformats.org/officeDocument/2006/relationships/printerSettings" Target="../printerSettings/printerSettings14.bin"/></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customProperty" Target="../customProperty27.bin"/><Relationship Id="rId1" Type="http://schemas.openxmlformats.org/officeDocument/2006/relationships/printerSettings" Target="../printerSettings/printerSettings15.bin"/></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customProperty" Target="../customProperty28.bin"/><Relationship Id="rId1" Type="http://schemas.openxmlformats.org/officeDocument/2006/relationships/printerSettings" Target="../printerSettings/printerSettings16.bin"/></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customProperty" Target="../customProperty29.bin"/><Relationship Id="rId1" Type="http://schemas.openxmlformats.org/officeDocument/2006/relationships/printerSettings" Target="../printerSettings/printerSettings17.bin"/></Relationships>
</file>

<file path=xl/worksheets/_rels/sheet31.xml.rels><?xml version="1.0" encoding="UTF-8" standalone="yes"?>
<Relationships xmlns="http://schemas.openxmlformats.org/package/2006/relationships"><Relationship Id="rId2" Type="http://schemas.openxmlformats.org/officeDocument/2006/relationships/customProperty" Target="../customProperty30.bin"/><Relationship Id="rId1" Type="http://schemas.openxmlformats.org/officeDocument/2006/relationships/printerSettings" Target="../printerSettings/printerSettings18.bin"/></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customProperty" Target="../customProperty31.bin"/><Relationship Id="rId1" Type="http://schemas.openxmlformats.org/officeDocument/2006/relationships/printerSettings" Target="../printerSettings/printerSettings19.bin"/></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customProperty" Target="../customProperty32.bin"/><Relationship Id="rId1" Type="http://schemas.openxmlformats.org/officeDocument/2006/relationships/printerSettings" Target="../printerSettings/printerSettings20.bin"/></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customProperty" Target="../customProperty33.bin"/><Relationship Id="rId1" Type="http://schemas.openxmlformats.org/officeDocument/2006/relationships/printerSettings" Target="../printerSettings/printerSettings21.bin"/></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customProperty" Target="../customProperty34.bin"/><Relationship Id="rId1" Type="http://schemas.openxmlformats.org/officeDocument/2006/relationships/printerSettings" Target="../printerSettings/printerSettings22.bin"/></Relationships>
</file>

<file path=xl/worksheets/_rels/sheet36.xml.rels><?xml version="1.0" encoding="UTF-8" standalone="yes"?>
<Relationships xmlns="http://schemas.openxmlformats.org/package/2006/relationships"><Relationship Id="rId3" Type="http://schemas.openxmlformats.org/officeDocument/2006/relationships/drawing" Target="../drawings/drawing32.xml"/><Relationship Id="rId2" Type="http://schemas.openxmlformats.org/officeDocument/2006/relationships/customProperty" Target="../customProperty35.bin"/><Relationship Id="rId1" Type="http://schemas.openxmlformats.org/officeDocument/2006/relationships/printerSettings" Target="../printerSettings/printerSettings23.bin"/></Relationships>
</file>

<file path=xl/worksheets/_rels/sheet37.xml.rels><?xml version="1.0" encoding="UTF-8" standalone="yes"?>
<Relationships xmlns="http://schemas.openxmlformats.org/package/2006/relationships"><Relationship Id="rId3" Type="http://schemas.openxmlformats.org/officeDocument/2006/relationships/drawing" Target="../drawings/drawing33.xml"/><Relationship Id="rId2" Type="http://schemas.openxmlformats.org/officeDocument/2006/relationships/customProperty" Target="../customProperty36.bin"/><Relationship Id="rId1" Type="http://schemas.openxmlformats.org/officeDocument/2006/relationships/printerSettings" Target="../printerSettings/printerSettings24.bin"/></Relationships>
</file>

<file path=xl/worksheets/_rels/sheet38.xml.rels><?xml version="1.0" encoding="UTF-8" standalone="yes"?>
<Relationships xmlns="http://schemas.openxmlformats.org/package/2006/relationships"><Relationship Id="rId3" Type="http://schemas.openxmlformats.org/officeDocument/2006/relationships/drawing" Target="../drawings/drawing34.xml"/><Relationship Id="rId2" Type="http://schemas.openxmlformats.org/officeDocument/2006/relationships/customProperty" Target="../customProperty37.bin"/><Relationship Id="rId1" Type="http://schemas.openxmlformats.org/officeDocument/2006/relationships/printerSettings" Target="../printerSettings/printerSettings25.bin"/></Relationships>
</file>

<file path=xl/worksheets/_rels/sheet39.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customProperty" Target="../customProperty38.bin"/><Relationship Id="rId1" Type="http://schemas.openxmlformats.org/officeDocument/2006/relationships/printerSettings" Target="../printerSettings/printerSettings26.bin"/></Relationships>
</file>

<file path=xl/worksheets/_rels/sheet40.xml.rels><?xml version="1.0" encoding="UTF-8" standalone="yes"?>
<Relationships xmlns="http://schemas.openxmlformats.org/package/2006/relationships"><Relationship Id="rId3" Type="http://schemas.openxmlformats.org/officeDocument/2006/relationships/drawing" Target="../drawings/drawing36.xml"/><Relationship Id="rId2" Type="http://schemas.openxmlformats.org/officeDocument/2006/relationships/customProperty" Target="../customProperty39.bin"/><Relationship Id="rId1" Type="http://schemas.openxmlformats.org/officeDocument/2006/relationships/printerSettings" Target="../printerSettings/printerSettings27.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customProperty" Target="../customProperty40.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customProperty" Target="../customProperty41.bin"/></Relationships>
</file>

<file path=xl/worksheets/_rels/sheet43.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customProperty" Target="../customProperty42.bin"/><Relationship Id="rId1" Type="http://schemas.openxmlformats.org/officeDocument/2006/relationships/printerSettings" Target="../printerSettings/printerSettings28.bin"/></Relationships>
</file>

<file path=xl/worksheets/_rels/sheet44.xml.rels><?xml version="1.0" encoding="UTF-8" standalone="yes"?>
<Relationships xmlns="http://schemas.openxmlformats.org/package/2006/relationships"><Relationship Id="rId3" Type="http://schemas.openxmlformats.org/officeDocument/2006/relationships/drawing" Target="../drawings/drawing40.xml"/><Relationship Id="rId2" Type="http://schemas.openxmlformats.org/officeDocument/2006/relationships/customProperty" Target="../customProperty43.bin"/><Relationship Id="rId1" Type="http://schemas.openxmlformats.org/officeDocument/2006/relationships/printerSettings" Target="../printerSettings/printerSettings29.bin"/></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7.xml.rels><?xml version="1.0" encoding="UTF-8" standalone="yes"?>
<Relationships xmlns="http://schemas.openxmlformats.org/package/2006/relationships"><Relationship Id="rId2" Type="http://schemas.openxmlformats.org/officeDocument/2006/relationships/customProperty" Target="../customProperty44.bin"/><Relationship Id="rId1" Type="http://schemas.openxmlformats.org/officeDocument/2006/relationships/printerSettings" Target="../printerSettings/printerSettings31.bin"/></Relationships>
</file>

<file path=xl/worksheets/_rels/sheet48.xml.rels><?xml version="1.0" encoding="UTF-8" standalone="yes"?>
<Relationships xmlns="http://schemas.openxmlformats.org/package/2006/relationships"><Relationship Id="rId2" Type="http://schemas.openxmlformats.org/officeDocument/2006/relationships/customProperty" Target="../customProperty45.bin"/><Relationship Id="rId1" Type="http://schemas.openxmlformats.org/officeDocument/2006/relationships/printerSettings" Target="../printerSettings/printerSettings32.bin"/></Relationships>
</file>

<file path=xl/worksheets/_rels/sheet49.xml.rels><?xml version="1.0" encoding="UTF-8" standalone="yes"?>
<Relationships xmlns="http://schemas.openxmlformats.org/package/2006/relationships"><Relationship Id="rId1" Type="http://schemas.openxmlformats.org/officeDocument/2006/relationships/customProperty" Target="../customProperty46.bin"/></Relationships>
</file>

<file path=xl/worksheets/_rels/sheet50.xml.rels><?xml version="1.0" encoding="UTF-8" standalone="yes"?>
<Relationships xmlns="http://schemas.openxmlformats.org/package/2006/relationships"><Relationship Id="rId2" Type="http://schemas.openxmlformats.org/officeDocument/2006/relationships/customProperty" Target="../customProperty47.bin"/><Relationship Id="rId1" Type="http://schemas.openxmlformats.org/officeDocument/2006/relationships/printerSettings" Target="../printerSettings/printerSettings33.bin"/></Relationships>
</file>

<file path=xl/worksheets/_rels/sheet51.xml.rels><?xml version="1.0" encoding="UTF-8" standalone="yes"?>
<Relationships xmlns="http://schemas.openxmlformats.org/package/2006/relationships"><Relationship Id="rId3" Type="http://schemas.openxmlformats.org/officeDocument/2006/relationships/customProperty" Target="../customProperty48.bin"/><Relationship Id="rId2" Type="http://schemas.openxmlformats.org/officeDocument/2006/relationships/hyperlink" Target="https://www.trabajo.gob.ec/el-salario-basico-unificado-del-trabajador-en-general-para-el-ano-2025-sera-de-usd-47000/" TargetMode="External"/><Relationship Id="rId1" Type="http://schemas.openxmlformats.org/officeDocument/2006/relationships/hyperlink" Target="https://www.ecuadorencifras.gob.ec/indice-de-precios-al-consumidor/" TargetMode="External"/><Relationship Id="rId4" Type="http://schemas.openxmlformats.org/officeDocument/2006/relationships/drawing" Target="../drawings/drawing42.xml"/></Relationships>
</file>

<file path=xl/worksheets/_rels/sheet52.xml.rels><?xml version="1.0" encoding="UTF-8" standalone="yes"?>
<Relationships xmlns="http://schemas.openxmlformats.org/package/2006/relationships"><Relationship Id="rId1" Type="http://schemas.openxmlformats.org/officeDocument/2006/relationships/customProperty" Target="../customProperty49.bin"/></Relationships>
</file>

<file path=xl/worksheets/_rels/sheet53.xml.rels><?xml version="1.0" encoding="UTF-8" standalone="yes"?>
<Relationships xmlns="http://schemas.openxmlformats.org/package/2006/relationships"><Relationship Id="rId3" Type="http://schemas.openxmlformats.org/officeDocument/2006/relationships/customProperty" Target="../customProperty50.bin"/><Relationship Id="rId2" Type="http://schemas.openxmlformats.org/officeDocument/2006/relationships/printerSettings" Target="../printerSettings/printerSettings34.bin"/><Relationship Id="rId1" Type="http://schemas.openxmlformats.org/officeDocument/2006/relationships/hyperlink" Target="https://connect.ihsmarkit.com/newdatabrowser/buildQuery/Chemical%20Price%20AND%20Economics" TargetMode="External"/><Relationship Id="rId4" Type="http://schemas.openxmlformats.org/officeDocument/2006/relationships/drawing" Target="../drawings/drawing43.xml"/></Relationships>
</file>

<file path=xl/worksheets/_rels/sheet54.xml.rels><?xml version="1.0" encoding="UTF-8" standalone="yes"?>
<Relationships xmlns="http://schemas.openxmlformats.org/package/2006/relationships"><Relationship Id="rId2" Type="http://schemas.openxmlformats.org/officeDocument/2006/relationships/customProperty" Target="../customProperty51.bin"/><Relationship Id="rId1" Type="http://schemas.openxmlformats.org/officeDocument/2006/relationships/printerSettings" Target="../printerSettings/printerSettings35.bin"/></Relationships>
</file>

<file path=xl/worksheets/_rels/sheet55.xml.rels><?xml version="1.0" encoding="UTF-8" standalone="yes"?>
<Relationships xmlns="http://schemas.openxmlformats.org/package/2006/relationships"><Relationship Id="rId2" Type="http://schemas.openxmlformats.org/officeDocument/2006/relationships/customProperty" Target="../customProperty52.bin"/><Relationship Id="rId1" Type="http://schemas.openxmlformats.org/officeDocument/2006/relationships/printerSettings" Target="../printerSettings/printerSettings36.bin"/></Relationships>
</file>

<file path=xl/worksheets/_rels/sheet56.xml.rels><?xml version="1.0" encoding="UTF-8" standalone="yes"?>
<Relationships xmlns="http://schemas.openxmlformats.org/package/2006/relationships"><Relationship Id="rId2" Type="http://schemas.openxmlformats.org/officeDocument/2006/relationships/customProperty" Target="../customProperty53.bin"/><Relationship Id="rId1" Type="http://schemas.openxmlformats.org/officeDocument/2006/relationships/printerSettings" Target="../printerSettings/printerSettings37.bin"/></Relationships>
</file>

<file path=xl/worksheets/_rels/sheet57.xml.rels><?xml version="1.0" encoding="UTF-8" standalone="yes"?>
<Relationships xmlns="http://schemas.openxmlformats.org/package/2006/relationships"><Relationship Id="rId3" Type="http://schemas.openxmlformats.org/officeDocument/2006/relationships/drawing" Target="../drawings/drawing44.xml"/><Relationship Id="rId2" Type="http://schemas.openxmlformats.org/officeDocument/2006/relationships/customProperty" Target="../customProperty54.bin"/><Relationship Id="rId1" Type="http://schemas.openxmlformats.org/officeDocument/2006/relationships/printerSettings" Target="../printerSettings/printerSettings38.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customProperty" Target="../customProperty55.bin"/></Relationships>
</file>

<file path=xl/worksheets/_rels/sheet59.xml.rels><?xml version="1.0" encoding="UTF-8" standalone="yes"?>
<Relationships xmlns="http://schemas.openxmlformats.org/package/2006/relationships"><Relationship Id="rId3" Type="http://schemas.openxmlformats.org/officeDocument/2006/relationships/drawing" Target="../drawings/drawing46.xml"/><Relationship Id="rId2" Type="http://schemas.openxmlformats.org/officeDocument/2006/relationships/customProperty" Target="../customProperty56.bin"/><Relationship Id="rId1" Type="http://schemas.openxmlformats.org/officeDocument/2006/relationships/hyperlink" Target="https://client.chemicalmarketanalytics.com/data-browser/buildQuery/Chemical%20Price%20AND%20Economics" TargetMode="External"/></Relationships>
</file>

<file path=xl/worksheets/_rels/sheet60.xml.rels><?xml version="1.0" encoding="UTF-8" standalone="yes"?>
<Relationships xmlns="http://schemas.openxmlformats.org/package/2006/relationships"><Relationship Id="rId2" Type="http://schemas.openxmlformats.org/officeDocument/2006/relationships/customProperty" Target="../customProperty57.bin"/><Relationship Id="rId1" Type="http://schemas.openxmlformats.org/officeDocument/2006/relationships/printerSettings" Target="../printerSettings/printerSettings39.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customProperty" Target="../customProperty58.bin"/></Relationships>
</file>

<file path=xl/worksheets/_rels/sheet62.xml.rels><?xml version="1.0" encoding="UTF-8" standalone="yes"?>
<Relationships xmlns="http://schemas.openxmlformats.org/package/2006/relationships"><Relationship Id="rId1" Type="http://schemas.openxmlformats.org/officeDocument/2006/relationships/customProperty" Target="../customProperty59.bin"/></Relationships>
</file>

<file path=xl/worksheets/_rels/sheet63.xml.rels><?xml version="1.0" encoding="UTF-8" standalone="yes"?>
<Relationships xmlns="http://schemas.openxmlformats.org/package/2006/relationships"><Relationship Id="rId3" Type="http://schemas.openxmlformats.org/officeDocument/2006/relationships/drawing" Target="../drawings/drawing48.xml"/><Relationship Id="rId2" Type="http://schemas.openxmlformats.org/officeDocument/2006/relationships/customProperty" Target="../customProperty60.bin"/><Relationship Id="rId1" Type="http://schemas.openxmlformats.org/officeDocument/2006/relationships/printerSettings" Target="../printerSettings/printerSettings40.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customProperty" Target="../customProperty61.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customProperty" Target="../customProperty6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BBADE-A113-419C-9559-093DC0C6F431}">
  <sheetPr>
    <outlinePr summaryBelow="0" summaryRight="0"/>
    <pageSetUpPr autoPageBreaks="0" fitToPage="1"/>
  </sheetPr>
  <dimension ref="B2:E90"/>
  <sheetViews>
    <sheetView showGridLines="0" topLeftCell="A51" workbookViewId="0">
      <selection activeCell="D58" sqref="D58:D61"/>
    </sheetView>
  </sheetViews>
  <sheetFormatPr defaultRowHeight="12.5" x14ac:dyDescent="0.25"/>
  <cols>
    <col min="1" max="1" width="8.7265625" style="549"/>
    <col min="2" max="2" width="30" style="549" customWidth="1"/>
    <col min="3" max="5" width="20" style="549" customWidth="1"/>
    <col min="6" max="257" width="8.7265625" style="549"/>
    <col min="258" max="258" width="30" style="549" customWidth="1"/>
    <col min="259" max="261" width="20" style="549" customWidth="1"/>
    <col min="262" max="513" width="8.7265625" style="549"/>
    <col min="514" max="514" width="30" style="549" customWidth="1"/>
    <col min="515" max="517" width="20" style="549" customWidth="1"/>
    <col min="518" max="769" width="8.7265625" style="549"/>
    <col min="770" max="770" width="30" style="549" customWidth="1"/>
    <col min="771" max="773" width="20" style="549" customWidth="1"/>
    <col min="774" max="1025" width="8.7265625" style="549"/>
    <col min="1026" max="1026" width="30" style="549" customWidth="1"/>
    <col min="1027" max="1029" width="20" style="549" customWidth="1"/>
    <col min="1030" max="1281" width="8.7265625" style="549"/>
    <col min="1282" max="1282" width="30" style="549" customWidth="1"/>
    <col min="1283" max="1285" width="20" style="549" customWidth="1"/>
    <col min="1286" max="1537" width="8.7265625" style="549"/>
    <col min="1538" max="1538" width="30" style="549" customWidth="1"/>
    <col min="1539" max="1541" width="20" style="549" customWidth="1"/>
    <col min="1542" max="1793" width="8.7265625" style="549"/>
    <col min="1794" max="1794" width="30" style="549" customWidth="1"/>
    <col min="1795" max="1797" width="20" style="549" customWidth="1"/>
    <col min="1798" max="2049" width="8.7265625" style="549"/>
    <col min="2050" max="2050" width="30" style="549" customWidth="1"/>
    <col min="2051" max="2053" width="20" style="549" customWidth="1"/>
    <col min="2054" max="2305" width="8.7265625" style="549"/>
    <col min="2306" max="2306" width="30" style="549" customWidth="1"/>
    <col min="2307" max="2309" width="20" style="549" customWidth="1"/>
    <col min="2310" max="2561" width="8.7265625" style="549"/>
    <col min="2562" max="2562" width="30" style="549" customWidth="1"/>
    <col min="2563" max="2565" width="20" style="549" customWidth="1"/>
    <col min="2566" max="2817" width="8.7265625" style="549"/>
    <col min="2818" max="2818" width="30" style="549" customWidth="1"/>
    <col min="2819" max="2821" width="20" style="549" customWidth="1"/>
    <col min="2822" max="3073" width="8.7265625" style="549"/>
    <col min="3074" max="3074" width="30" style="549" customWidth="1"/>
    <col min="3075" max="3077" width="20" style="549" customWidth="1"/>
    <col min="3078" max="3329" width="8.7265625" style="549"/>
    <col min="3330" max="3330" width="30" style="549" customWidth="1"/>
    <col min="3331" max="3333" width="20" style="549" customWidth="1"/>
    <col min="3334" max="3585" width="8.7265625" style="549"/>
    <col min="3586" max="3586" width="30" style="549" customWidth="1"/>
    <col min="3587" max="3589" width="20" style="549" customWidth="1"/>
    <col min="3590" max="3841" width="8.7265625" style="549"/>
    <col min="3842" max="3842" width="30" style="549" customWidth="1"/>
    <col min="3843" max="3845" width="20" style="549" customWidth="1"/>
    <col min="3846" max="4097" width="8.7265625" style="549"/>
    <col min="4098" max="4098" width="30" style="549" customWidth="1"/>
    <col min="4099" max="4101" width="20" style="549" customWidth="1"/>
    <col min="4102" max="4353" width="8.7265625" style="549"/>
    <col min="4354" max="4354" width="30" style="549" customWidth="1"/>
    <col min="4355" max="4357" width="20" style="549" customWidth="1"/>
    <col min="4358" max="4609" width="8.7265625" style="549"/>
    <col min="4610" max="4610" width="30" style="549" customWidth="1"/>
    <col min="4611" max="4613" width="20" style="549" customWidth="1"/>
    <col min="4614" max="4865" width="8.7265625" style="549"/>
    <col min="4866" max="4866" width="30" style="549" customWidth="1"/>
    <col min="4867" max="4869" width="20" style="549" customWidth="1"/>
    <col min="4870" max="5121" width="8.7265625" style="549"/>
    <col min="5122" max="5122" width="30" style="549" customWidth="1"/>
    <col min="5123" max="5125" width="20" style="549" customWidth="1"/>
    <col min="5126" max="5377" width="8.7265625" style="549"/>
    <col min="5378" max="5378" width="30" style="549" customWidth="1"/>
    <col min="5379" max="5381" width="20" style="549" customWidth="1"/>
    <col min="5382" max="5633" width="8.7265625" style="549"/>
    <col min="5634" max="5634" width="30" style="549" customWidth="1"/>
    <col min="5635" max="5637" width="20" style="549" customWidth="1"/>
    <col min="5638" max="5889" width="8.7265625" style="549"/>
    <col min="5890" max="5890" width="30" style="549" customWidth="1"/>
    <col min="5891" max="5893" width="20" style="549" customWidth="1"/>
    <col min="5894" max="6145" width="8.7265625" style="549"/>
    <col min="6146" max="6146" width="30" style="549" customWidth="1"/>
    <col min="6147" max="6149" width="20" style="549" customWidth="1"/>
    <col min="6150" max="6401" width="8.7265625" style="549"/>
    <col min="6402" max="6402" width="30" style="549" customWidth="1"/>
    <col min="6403" max="6405" width="20" style="549" customWidth="1"/>
    <col min="6406" max="6657" width="8.7265625" style="549"/>
    <col min="6658" max="6658" width="30" style="549" customWidth="1"/>
    <col min="6659" max="6661" width="20" style="549" customWidth="1"/>
    <col min="6662" max="6913" width="8.7265625" style="549"/>
    <col min="6914" max="6914" width="30" style="549" customWidth="1"/>
    <col min="6915" max="6917" width="20" style="549" customWidth="1"/>
    <col min="6918" max="7169" width="8.7265625" style="549"/>
    <col min="7170" max="7170" width="30" style="549" customWidth="1"/>
    <col min="7171" max="7173" width="20" style="549" customWidth="1"/>
    <col min="7174" max="7425" width="8.7265625" style="549"/>
    <col min="7426" max="7426" width="30" style="549" customWidth="1"/>
    <col min="7427" max="7429" width="20" style="549" customWidth="1"/>
    <col min="7430" max="7681" width="8.7265625" style="549"/>
    <col min="7682" max="7682" width="30" style="549" customWidth="1"/>
    <col min="7683" max="7685" width="20" style="549" customWidth="1"/>
    <col min="7686" max="7937" width="8.7265625" style="549"/>
    <col min="7938" max="7938" width="30" style="549" customWidth="1"/>
    <col min="7939" max="7941" width="20" style="549" customWidth="1"/>
    <col min="7942" max="8193" width="8.7265625" style="549"/>
    <col min="8194" max="8194" width="30" style="549" customWidth="1"/>
    <col min="8195" max="8197" width="20" style="549" customWidth="1"/>
    <col min="8198" max="8449" width="8.7265625" style="549"/>
    <col min="8450" max="8450" width="30" style="549" customWidth="1"/>
    <col min="8451" max="8453" width="20" style="549" customWidth="1"/>
    <col min="8454" max="8705" width="8.7265625" style="549"/>
    <col min="8706" max="8706" width="30" style="549" customWidth="1"/>
    <col min="8707" max="8709" width="20" style="549" customWidth="1"/>
    <col min="8710" max="8961" width="8.7265625" style="549"/>
    <col min="8962" max="8962" width="30" style="549" customWidth="1"/>
    <col min="8963" max="8965" width="20" style="549" customWidth="1"/>
    <col min="8966" max="9217" width="8.7265625" style="549"/>
    <col min="9218" max="9218" width="30" style="549" customWidth="1"/>
    <col min="9219" max="9221" width="20" style="549" customWidth="1"/>
    <col min="9222" max="9473" width="8.7265625" style="549"/>
    <col min="9474" max="9474" width="30" style="549" customWidth="1"/>
    <col min="9475" max="9477" width="20" style="549" customWidth="1"/>
    <col min="9478" max="9729" width="8.7265625" style="549"/>
    <col min="9730" max="9730" width="30" style="549" customWidth="1"/>
    <col min="9731" max="9733" width="20" style="549" customWidth="1"/>
    <col min="9734" max="9985" width="8.7265625" style="549"/>
    <col min="9986" max="9986" width="30" style="549" customWidth="1"/>
    <col min="9987" max="9989" width="20" style="549" customWidth="1"/>
    <col min="9990" max="10241" width="8.7265625" style="549"/>
    <col min="10242" max="10242" width="30" style="549" customWidth="1"/>
    <col min="10243" max="10245" width="20" style="549" customWidth="1"/>
    <col min="10246" max="10497" width="8.7265625" style="549"/>
    <col min="10498" max="10498" width="30" style="549" customWidth="1"/>
    <col min="10499" max="10501" width="20" style="549" customWidth="1"/>
    <col min="10502" max="10753" width="8.7265625" style="549"/>
    <col min="10754" max="10754" width="30" style="549" customWidth="1"/>
    <col min="10755" max="10757" width="20" style="549" customWidth="1"/>
    <col min="10758" max="11009" width="8.7265625" style="549"/>
    <col min="11010" max="11010" width="30" style="549" customWidth="1"/>
    <col min="11011" max="11013" width="20" style="549" customWidth="1"/>
    <col min="11014" max="11265" width="8.7265625" style="549"/>
    <col min="11266" max="11266" width="30" style="549" customWidth="1"/>
    <col min="11267" max="11269" width="20" style="549" customWidth="1"/>
    <col min="11270" max="11521" width="8.7265625" style="549"/>
    <col min="11522" max="11522" width="30" style="549" customWidth="1"/>
    <col min="11523" max="11525" width="20" style="549" customWidth="1"/>
    <col min="11526" max="11777" width="8.7265625" style="549"/>
    <col min="11778" max="11778" width="30" style="549" customWidth="1"/>
    <col min="11779" max="11781" width="20" style="549" customWidth="1"/>
    <col min="11782" max="12033" width="8.7265625" style="549"/>
    <col min="12034" max="12034" width="30" style="549" customWidth="1"/>
    <col min="12035" max="12037" width="20" style="549" customWidth="1"/>
    <col min="12038" max="12289" width="8.7265625" style="549"/>
    <col min="12290" max="12290" width="30" style="549" customWidth="1"/>
    <col min="12291" max="12293" width="20" style="549" customWidth="1"/>
    <col min="12294" max="12545" width="8.7265625" style="549"/>
    <col min="12546" max="12546" width="30" style="549" customWidth="1"/>
    <col min="12547" max="12549" width="20" style="549" customWidth="1"/>
    <col min="12550" max="12801" width="8.7265625" style="549"/>
    <col min="12802" max="12802" width="30" style="549" customWidth="1"/>
    <col min="12803" max="12805" width="20" style="549" customWidth="1"/>
    <col min="12806" max="13057" width="8.7265625" style="549"/>
    <col min="13058" max="13058" width="30" style="549" customWidth="1"/>
    <col min="13059" max="13061" width="20" style="549" customWidth="1"/>
    <col min="13062" max="13313" width="8.7265625" style="549"/>
    <col min="13314" max="13314" width="30" style="549" customWidth="1"/>
    <col min="13315" max="13317" width="20" style="549" customWidth="1"/>
    <col min="13318" max="13569" width="8.7265625" style="549"/>
    <col min="13570" max="13570" width="30" style="549" customWidth="1"/>
    <col min="13571" max="13573" width="20" style="549" customWidth="1"/>
    <col min="13574" max="13825" width="8.7265625" style="549"/>
    <col min="13826" max="13826" width="30" style="549" customWidth="1"/>
    <col min="13827" max="13829" width="20" style="549" customWidth="1"/>
    <col min="13830" max="14081" width="8.7265625" style="549"/>
    <col min="14082" max="14082" width="30" style="549" customWidth="1"/>
    <col min="14083" max="14085" width="20" style="549" customWidth="1"/>
    <col min="14086" max="14337" width="8.7265625" style="549"/>
    <col min="14338" max="14338" width="30" style="549" customWidth="1"/>
    <col min="14339" max="14341" width="20" style="549" customWidth="1"/>
    <col min="14342" max="14593" width="8.7265625" style="549"/>
    <col min="14594" max="14594" width="30" style="549" customWidth="1"/>
    <col min="14595" max="14597" width="20" style="549" customWidth="1"/>
    <col min="14598" max="14849" width="8.7265625" style="549"/>
    <col min="14850" max="14850" width="30" style="549" customWidth="1"/>
    <col min="14851" max="14853" width="20" style="549" customWidth="1"/>
    <col min="14854" max="15105" width="8.7265625" style="549"/>
    <col min="15106" max="15106" width="30" style="549" customWidth="1"/>
    <col min="15107" max="15109" width="20" style="549" customWidth="1"/>
    <col min="15110" max="15361" width="8.7265625" style="549"/>
    <col min="15362" max="15362" width="30" style="549" customWidth="1"/>
    <col min="15363" max="15365" width="20" style="549" customWidth="1"/>
    <col min="15366" max="15617" width="8.7265625" style="549"/>
    <col min="15618" max="15618" width="30" style="549" customWidth="1"/>
    <col min="15619" max="15621" width="20" style="549" customWidth="1"/>
    <col min="15622" max="15873" width="8.7265625" style="549"/>
    <col min="15874" max="15874" width="30" style="549" customWidth="1"/>
    <col min="15875" max="15877" width="20" style="549" customWidth="1"/>
    <col min="15878" max="16129" width="8.7265625" style="549"/>
    <col min="16130" max="16130" width="30" style="549" customWidth="1"/>
    <col min="16131" max="16133" width="20" style="549" customWidth="1"/>
    <col min="16134" max="16384" width="8.7265625" style="549"/>
  </cols>
  <sheetData>
    <row r="2" spans="2:5" ht="26" x14ac:dyDescent="0.6">
      <c r="B2" s="548" t="s">
        <v>524</v>
      </c>
    </row>
    <row r="4" spans="2:5" ht="14.5" x14ac:dyDescent="0.35">
      <c r="B4" s="550" t="s">
        <v>243</v>
      </c>
      <c r="C4" s="549" t="s">
        <v>525</v>
      </c>
    </row>
    <row r="5" spans="2:5" ht="14.5" x14ac:dyDescent="0.35">
      <c r="B5" s="550" t="s">
        <v>526</v>
      </c>
      <c r="C5" s="549" t="s">
        <v>527</v>
      </c>
    </row>
    <row r="6" spans="2:5" ht="14.5" x14ac:dyDescent="0.35">
      <c r="B6" s="550" t="s">
        <v>249</v>
      </c>
      <c r="C6" s="549" t="s">
        <v>256</v>
      </c>
      <c r="D6" s="549" t="s">
        <v>256</v>
      </c>
      <c r="E6" s="549" t="s">
        <v>217</v>
      </c>
    </row>
    <row r="7" spans="2:5" ht="14.5" x14ac:dyDescent="0.35">
      <c r="B7" s="550" t="s">
        <v>251</v>
      </c>
      <c r="C7" s="549" t="s">
        <v>258</v>
      </c>
      <c r="D7" s="549" t="s">
        <v>258</v>
      </c>
      <c r="E7" s="549" t="s">
        <v>217</v>
      </c>
    </row>
    <row r="8" spans="2:5" ht="14.5" x14ac:dyDescent="0.35">
      <c r="B8" s="550" t="s">
        <v>255</v>
      </c>
      <c r="C8" s="549" t="s">
        <v>256</v>
      </c>
    </row>
    <row r="9" spans="2:5" ht="14.5" x14ac:dyDescent="0.35">
      <c r="B9" s="550" t="s">
        <v>257</v>
      </c>
      <c r="C9" s="549" t="s">
        <v>258</v>
      </c>
    </row>
    <row r="10" spans="2:5" ht="14.5" x14ac:dyDescent="0.35">
      <c r="B10" s="550" t="s">
        <v>528</v>
      </c>
      <c r="C10" s="549" t="s">
        <v>529</v>
      </c>
    </row>
    <row r="11" spans="2:5" ht="14.5" x14ac:dyDescent="0.35">
      <c r="B11" s="550" t="s">
        <v>530</v>
      </c>
      <c r="C11" s="549" t="s">
        <v>531</v>
      </c>
    </row>
    <row r="13" spans="2:5" ht="58.5" thickBot="1" x14ac:dyDescent="0.3">
      <c r="B13" s="551" t="s">
        <v>526</v>
      </c>
      <c r="C13" s="551" t="s">
        <v>532</v>
      </c>
      <c r="D13" s="551" t="s">
        <v>533</v>
      </c>
    </row>
    <row r="14" spans="2:5" ht="14.5" x14ac:dyDescent="0.35">
      <c r="B14" s="552" t="s">
        <v>534</v>
      </c>
      <c r="C14" s="553" t="s">
        <v>217</v>
      </c>
      <c r="D14" s="554" t="s">
        <v>535</v>
      </c>
    </row>
    <row r="15" spans="2:5" ht="14.5" x14ac:dyDescent="0.35">
      <c r="B15" s="555" t="s">
        <v>536</v>
      </c>
      <c r="C15" s="556" t="s">
        <v>217</v>
      </c>
      <c r="D15" s="557" t="s">
        <v>537</v>
      </c>
    </row>
    <row r="16" spans="2:5" ht="14.5" x14ac:dyDescent="0.35">
      <c r="B16" s="555" t="s">
        <v>538</v>
      </c>
      <c r="C16" s="556" t="s">
        <v>217</v>
      </c>
      <c r="D16" s="557" t="s">
        <v>539</v>
      </c>
    </row>
    <row r="17" spans="2:4" ht="14.5" x14ac:dyDescent="0.35">
      <c r="B17" s="555" t="s">
        <v>540</v>
      </c>
      <c r="C17" s="556" t="s">
        <v>217</v>
      </c>
      <c r="D17" s="557" t="s">
        <v>541</v>
      </c>
    </row>
    <row r="18" spans="2:4" ht="14.5" x14ac:dyDescent="0.35">
      <c r="B18" s="555" t="s">
        <v>542</v>
      </c>
      <c r="C18" s="556" t="s">
        <v>217</v>
      </c>
      <c r="D18" s="557" t="s">
        <v>543</v>
      </c>
    </row>
    <row r="19" spans="2:4" ht="14.5" x14ac:dyDescent="0.35">
      <c r="B19" s="555" t="s">
        <v>544</v>
      </c>
      <c r="C19" s="556" t="s">
        <v>217</v>
      </c>
      <c r="D19" s="557" t="s">
        <v>545</v>
      </c>
    </row>
    <row r="20" spans="2:4" ht="14.5" x14ac:dyDescent="0.35">
      <c r="B20" s="555" t="s">
        <v>546</v>
      </c>
      <c r="C20" s="556" t="s">
        <v>217</v>
      </c>
      <c r="D20" s="557" t="s">
        <v>547</v>
      </c>
    </row>
    <row r="21" spans="2:4" ht="14.5" x14ac:dyDescent="0.35">
      <c r="B21" s="555" t="s">
        <v>548</v>
      </c>
      <c r="C21" s="556" t="s">
        <v>217</v>
      </c>
      <c r="D21" s="557" t="s">
        <v>549</v>
      </c>
    </row>
    <row r="22" spans="2:4" ht="14.5" x14ac:dyDescent="0.35">
      <c r="B22" s="555" t="s">
        <v>550</v>
      </c>
      <c r="C22" s="556" t="s">
        <v>217</v>
      </c>
      <c r="D22" s="557" t="s">
        <v>551</v>
      </c>
    </row>
    <row r="23" spans="2:4" ht="14.5" x14ac:dyDescent="0.35">
      <c r="B23" s="555" t="s">
        <v>552</v>
      </c>
      <c r="C23" s="556" t="s">
        <v>217</v>
      </c>
      <c r="D23" s="557" t="s">
        <v>553</v>
      </c>
    </row>
    <row r="24" spans="2:4" ht="14.5" x14ac:dyDescent="0.35">
      <c r="B24" s="555" t="s">
        <v>554</v>
      </c>
      <c r="C24" s="556" t="s">
        <v>217</v>
      </c>
      <c r="D24" s="557" t="s">
        <v>555</v>
      </c>
    </row>
    <row r="25" spans="2:4" ht="14.5" x14ac:dyDescent="0.35">
      <c r="B25" s="555" t="s">
        <v>556</v>
      </c>
      <c r="C25" s="556" t="s">
        <v>217</v>
      </c>
      <c r="D25" s="557" t="s">
        <v>547</v>
      </c>
    </row>
    <row r="26" spans="2:4" ht="14.5" x14ac:dyDescent="0.35">
      <c r="B26" s="555" t="s">
        <v>557</v>
      </c>
      <c r="C26" s="556" t="s">
        <v>217</v>
      </c>
      <c r="D26" s="557" t="s">
        <v>549</v>
      </c>
    </row>
    <row r="27" spans="2:4" ht="14.5" x14ac:dyDescent="0.35">
      <c r="B27" s="555" t="s">
        <v>558</v>
      </c>
      <c r="C27" s="556" t="s">
        <v>217</v>
      </c>
      <c r="D27" s="557" t="s">
        <v>559</v>
      </c>
    </row>
    <row r="28" spans="2:4" ht="14.5" x14ac:dyDescent="0.35">
      <c r="B28" s="555" t="s">
        <v>560</v>
      </c>
      <c r="C28" s="556" t="s">
        <v>217</v>
      </c>
      <c r="D28" s="557" t="s">
        <v>547</v>
      </c>
    </row>
    <row r="29" spans="2:4" ht="14.5" x14ac:dyDescent="0.35">
      <c r="B29" s="555" t="s">
        <v>561</v>
      </c>
      <c r="C29" s="556" t="s">
        <v>217</v>
      </c>
      <c r="D29" s="557" t="s">
        <v>549</v>
      </c>
    </row>
    <row r="30" spans="2:4" ht="14.5" x14ac:dyDescent="0.35">
      <c r="B30" s="555" t="s">
        <v>562</v>
      </c>
      <c r="C30" s="556" t="s">
        <v>217</v>
      </c>
      <c r="D30" s="557" t="s">
        <v>563</v>
      </c>
    </row>
    <row r="31" spans="2:4" ht="14.5" x14ac:dyDescent="0.35">
      <c r="B31" s="555" t="s">
        <v>564</v>
      </c>
      <c r="C31" s="556" t="s">
        <v>217</v>
      </c>
      <c r="D31" s="557" t="s">
        <v>565</v>
      </c>
    </row>
    <row r="32" spans="2:4" ht="14.5" x14ac:dyDescent="0.35">
      <c r="B32" s="555" t="s">
        <v>566</v>
      </c>
      <c r="C32" s="556" t="s">
        <v>217</v>
      </c>
      <c r="D32" s="557" t="s">
        <v>567</v>
      </c>
    </row>
    <row r="33" spans="2:4" ht="14.5" x14ac:dyDescent="0.35">
      <c r="B33" s="555" t="s">
        <v>568</v>
      </c>
      <c r="C33" s="556" t="s">
        <v>217</v>
      </c>
      <c r="D33" s="557" t="s">
        <v>559</v>
      </c>
    </row>
    <row r="34" spans="2:4" ht="14.5" x14ac:dyDescent="0.35">
      <c r="B34" s="555" t="s">
        <v>569</v>
      </c>
      <c r="C34" s="556" t="s">
        <v>217</v>
      </c>
      <c r="D34" s="557" t="s">
        <v>563</v>
      </c>
    </row>
    <row r="35" spans="2:4" ht="14.5" x14ac:dyDescent="0.35">
      <c r="B35" s="555" t="s">
        <v>570</v>
      </c>
      <c r="C35" s="556" t="s">
        <v>217</v>
      </c>
      <c r="D35" s="557" t="s">
        <v>571</v>
      </c>
    </row>
    <row r="36" spans="2:4" ht="14.5" x14ac:dyDescent="0.35">
      <c r="B36" s="555" t="s">
        <v>572</v>
      </c>
      <c r="C36" s="556" t="s">
        <v>217</v>
      </c>
      <c r="D36" s="557" t="s">
        <v>571</v>
      </c>
    </row>
    <row r="37" spans="2:4" ht="14.5" x14ac:dyDescent="0.35">
      <c r="B37" s="555" t="s">
        <v>573</v>
      </c>
      <c r="C37" s="556" t="s">
        <v>217</v>
      </c>
      <c r="D37" s="557" t="s">
        <v>574</v>
      </c>
    </row>
    <row r="38" spans="2:4" ht="14.5" x14ac:dyDescent="0.35">
      <c r="B38" s="555" t="s">
        <v>575</v>
      </c>
      <c r="C38" s="556" t="s">
        <v>217</v>
      </c>
      <c r="D38" s="557" t="s">
        <v>574</v>
      </c>
    </row>
    <row r="39" spans="2:4" ht="14.5" x14ac:dyDescent="0.35">
      <c r="B39" s="555" t="s">
        <v>576</v>
      </c>
      <c r="C39" s="556" t="s">
        <v>217</v>
      </c>
      <c r="D39" s="557" t="s">
        <v>541</v>
      </c>
    </row>
    <row r="40" spans="2:4" ht="14.5" x14ac:dyDescent="0.35">
      <c r="B40" s="555" t="s">
        <v>577</v>
      </c>
      <c r="C40" s="556" t="s">
        <v>217</v>
      </c>
      <c r="D40" s="557" t="s">
        <v>578</v>
      </c>
    </row>
    <row r="41" spans="2:4" ht="14.5" x14ac:dyDescent="0.35">
      <c r="B41" s="555" t="s">
        <v>579</v>
      </c>
      <c r="C41" s="556" t="s">
        <v>217</v>
      </c>
      <c r="D41" s="557" t="s">
        <v>578</v>
      </c>
    </row>
    <row r="42" spans="2:4" ht="14.5" x14ac:dyDescent="0.35">
      <c r="B42" s="555" t="s">
        <v>580</v>
      </c>
      <c r="C42" s="556" t="s">
        <v>217</v>
      </c>
      <c r="D42" s="557" t="s">
        <v>541</v>
      </c>
    </row>
    <row r="43" spans="2:4" ht="14.5" x14ac:dyDescent="0.35">
      <c r="B43" s="555" t="s">
        <v>581</v>
      </c>
      <c r="C43" s="556" t="s">
        <v>217</v>
      </c>
      <c r="D43" s="557" t="s">
        <v>582</v>
      </c>
    </row>
    <row r="44" spans="2:4" ht="14.5" x14ac:dyDescent="0.35">
      <c r="B44" s="555" t="s">
        <v>583</v>
      </c>
      <c r="C44" s="556" t="s">
        <v>217</v>
      </c>
      <c r="D44" s="557" t="s">
        <v>582</v>
      </c>
    </row>
    <row r="45" spans="2:4" ht="14.5" x14ac:dyDescent="0.35">
      <c r="B45" s="555" t="s">
        <v>584</v>
      </c>
      <c r="C45" s="556" t="s">
        <v>217</v>
      </c>
      <c r="D45" s="557" t="s">
        <v>582</v>
      </c>
    </row>
    <row r="46" spans="2:4" ht="14.5" x14ac:dyDescent="0.35">
      <c r="B46" s="555" t="s">
        <v>585</v>
      </c>
      <c r="C46" s="556" t="s">
        <v>217</v>
      </c>
      <c r="D46" s="557" t="s">
        <v>578</v>
      </c>
    </row>
    <row r="47" spans="2:4" ht="14.5" x14ac:dyDescent="0.35">
      <c r="B47" s="555" t="s">
        <v>586</v>
      </c>
      <c r="C47" s="556" t="s">
        <v>217</v>
      </c>
      <c r="D47" s="557" t="s">
        <v>587</v>
      </c>
    </row>
    <row r="48" spans="2:4" ht="14.5" x14ac:dyDescent="0.35">
      <c r="B48" s="555" t="s">
        <v>588</v>
      </c>
      <c r="C48" s="556" t="s">
        <v>217</v>
      </c>
      <c r="D48" s="557" t="s">
        <v>589</v>
      </c>
    </row>
    <row r="49" spans="2:4" ht="14.5" x14ac:dyDescent="0.35">
      <c r="B49" s="555" t="s">
        <v>590</v>
      </c>
      <c r="C49" s="556" t="s">
        <v>217</v>
      </c>
      <c r="D49" s="557" t="s">
        <v>582</v>
      </c>
    </row>
    <row r="50" spans="2:4" ht="14.5" x14ac:dyDescent="0.35">
      <c r="B50" s="555" t="s">
        <v>591</v>
      </c>
      <c r="C50" s="556" t="s">
        <v>217</v>
      </c>
      <c r="D50" s="557" t="s">
        <v>563</v>
      </c>
    </row>
    <row r="51" spans="2:4" ht="14.5" x14ac:dyDescent="0.35">
      <c r="B51" s="555" t="s">
        <v>592</v>
      </c>
      <c r="C51" s="556" t="s">
        <v>217</v>
      </c>
      <c r="D51" s="557">
        <v>800</v>
      </c>
    </row>
    <row r="52" spans="2:4" ht="14.5" x14ac:dyDescent="0.35">
      <c r="B52" s="555" t="s">
        <v>593</v>
      </c>
      <c r="C52" s="556" t="s">
        <v>217</v>
      </c>
      <c r="D52" s="557">
        <v>802.5</v>
      </c>
    </row>
    <row r="53" spans="2:4" ht="14.5" x14ac:dyDescent="0.35">
      <c r="B53" s="555" t="s">
        <v>594</v>
      </c>
      <c r="C53" s="556" t="s">
        <v>217</v>
      </c>
      <c r="D53" s="557">
        <v>825</v>
      </c>
    </row>
    <row r="54" spans="2:4" ht="14.5" x14ac:dyDescent="0.35">
      <c r="B54" s="555" t="s">
        <v>595</v>
      </c>
      <c r="C54" s="556" t="s">
        <v>217</v>
      </c>
      <c r="D54" s="557">
        <v>845</v>
      </c>
    </row>
    <row r="55" spans="2:4" ht="14.5" x14ac:dyDescent="0.35">
      <c r="B55" s="555" t="s">
        <v>596</v>
      </c>
      <c r="C55" s="556" t="s">
        <v>217</v>
      </c>
      <c r="D55" s="557">
        <v>830</v>
      </c>
    </row>
    <row r="56" spans="2:4" ht="14.5" x14ac:dyDescent="0.35">
      <c r="B56" s="555" t="s">
        <v>597</v>
      </c>
      <c r="C56" s="556" t="s">
        <v>217</v>
      </c>
      <c r="D56" s="557">
        <v>837.5</v>
      </c>
    </row>
    <row r="57" spans="2:4" ht="14.5" x14ac:dyDescent="0.35">
      <c r="B57" s="555" t="s">
        <v>598</v>
      </c>
      <c r="C57" s="556" t="s">
        <v>217</v>
      </c>
      <c r="D57" s="557">
        <v>847.5</v>
      </c>
    </row>
    <row r="58" spans="2:4" ht="14.5" x14ac:dyDescent="0.35">
      <c r="B58" s="555" t="s">
        <v>599</v>
      </c>
      <c r="C58" s="556" t="s">
        <v>217</v>
      </c>
      <c r="D58" s="557">
        <v>920</v>
      </c>
    </row>
    <row r="59" spans="2:4" ht="14.5" x14ac:dyDescent="0.35">
      <c r="B59" s="555" t="s">
        <v>600</v>
      </c>
      <c r="C59" s="556" t="s">
        <v>217</v>
      </c>
      <c r="D59" s="557">
        <v>1135</v>
      </c>
    </row>
    <row r="60" spans="2:4" ht="14.5" x14ac:dyDescent="0.35">
      <c r="B60" s="555" t="s">
        <v>601</v>
      </c>
      <c r="C60" s="556" t="s">
        <v>217</v>
      </c>
      <c r="D60" s="557">
        <v>1215</v>
      </c>
    </row>
    <row r="61" spans="2:4" ht="14.5" x14ac:dyDescent="0.35">
      <c r="B61" s="555" t="s">
        <v>602</v>
      </c>
      <c r="C61" s="556" t="s">
        <v>217</v>
      </c>
      <c r="D61" s="557">
        <v>1175</v>
      </c>
    </row>
    <row r="62" spans="2:4" ht="14.5" x14ac:dyDescent="0.35">
      <c r="B62" s="555" t="s">
        <v>603</v>
      </c>
      <c r="C62" s="556" t="s">
        <v>604</v>
      </c>
      <c r="D62" s="557" t="str">
        <f>C62</f>
        <v>1147.00</v>
      </c>
    </row>
    <row r="63" spans="2:4" ht="14.5" x14ac:dyDescent="0.35">
      <c r="B63" s="555" t="s">
        <v>605</v>
      </c>
      <c r="C63" s="556" t="s">
        <v>217</v>
      </c>
      <c r="D63" s="557">
        <v>1190</v>
      </c>
    </row>
    <row r="64" spans="2:4" ht="14.5" x14ac:dyDescent="0.35">
      <c r="B64" s="555" t="s">
        <v>606</v>
      </c>
      <c r="C64" s="556" t="s">
        <v>217</v>
      </c>
      <c r="D64" s="557">
        <v>1182.5</v>
      </c>
    </row>
    <row r="65" spans="2:4" ht="14.5" x14ac:dyDescent="0.35">
      <c r="B65" s="555" t="s">
        <v>607</v>
      </c>
      <c r="C65" s="556" t="s">
        <v>217</v>
      </c>
      <c r="D65" s="557">
        <v>1190</v>
      </c>
    </row>
    <row r="66" spans="2:4" ht="14.5" x14ac:dyDescent="0.35">
      <c r="B66" s="555" t="s">
        <v>608</v>
      </c>
      <c r="C66" s="556">
        <v>1173</v>
      </c>
      <c r="D66" s="557" t="s">
        <v>217</v>
      </c>
    </row>
    <row r="67" spans="2:4" ht="14.5" x14ac:dyDescent="0.35">
      <c r="B67" s="555" t="s">
        <v>609</v>
      </c>
      <c r="C67" s="556">
        <v>1054</v>
      </c>
      <c r="D67" s="557" t="s">
        <v>217</v>
      </c>
    </row>
    <row r="68" spans="2:4" ht="14.5" x14ac:dyDescent="0.35">
      <c r="B68" s="555" t="s">
        <v>610</v>
      </c>
      <c r="C68" s="556">
        <v>941</v>
      </c>
      <c r="D68" s="557" t="s">
        <v>217</v>
      </c>
    </row>
    <row r="69" spans="2:4" ht="14.5" x14ac:dyDescent="0.35">
      <c r="B69" s="555" t="s">
        <v>611</v>
      </c>
      <c r="C69" s="556">
        <v>883</v>
      </c>
      <c r="D69" s="557" t="s">
        <v>217</v>
      </c>
    </row>
    <row r="70" spans="2:4" ht="14.5" x14ac:dyDescent="0.35">
      <c r="B70" s="555" t="s">
        <v>612</v>
      </c>
      <c r="C70" s="556">
        <v>864</v>
      </c>
      <c r="D70" s="557" t="s">
        <v>217</v>
      </c>
    </row>
    <row r="71" spans="2:4" ht="14.5" x14ac:dyDescent="0.35">
      <c r="B71" s="555" t="s">
        <v>613</v>
      </c>
      <c r="C71" s="556">
        <v>838</v>
      </c>
      <c r="D71" s="557" t="s">
        <v>217</v>
      </c>
    </row>
    <row r="72" spans="2:4" ht="14.5" x14ac:dyDescent="0.35">
      <c r="B72" s="555" t="s">
        <v>614</v>
      </c>
      <c r="C72" s="556">
        <v>811</v>
      </c>
      <c r="D72" s="557" t="s">
        <v>217</v>
      </c>
    </row>
    <row r="73" spans="2:4" ht="14.5" x14ac:dyDescent="0.35">
      <c r="B73" s="555" t="s">
        <v>615</v>
      </c>
      <c r="C73" s="556">
        <v>790</v>
      </c>
      <c r="D73" s="557" t="s">
        <v>217</v>
      </c>
    </row>
    <row r="74" spans="2:4" ht="14.5" x14ac:dyDescent="0.35">
      <c r="B74" s="555" t="s">
        <v>616</v>
      </c>
      <c r="C74" s="556">
        <v>793</v>
      </c>
      <c r="D74" s="557" t="s">
        <v>217</v>
      </c>
    </row>
    <row r="75" spans="2:4" ht="14.5" x14ac:dyDescent="0.35">
      <c r="B75" s="555" t="s">
        <v>617</v>
      </c>
      <c r="C75" s="556">
        <v>794</v>
      </c>
      <c r="D75" s="557" t="s">
        <v>217</v>
      </c>
    </row>
    <row r="76" spans="2:4" ht="14.5" x14ac:dyDescent="0.35">
      <c r="B76" s="555" t="s">
        <v>618</v>
      </c>
      <c r="C76" s="556">
        <v>799</v>
      </c>
      <c r="D76" s="557" t="s">
        <v>217</v>
      </c>
    </row>
    <row r="77" spans="2:4" ht="14.5" x14ac:dyDescent="0.35">
      <c r="B77" s="555" t="s">
        <v>619</v>
      </c>
      <c r="C77" s="556">
        <v>807</v>
      </c>
      <c r="D77" s="557" t="s">
        <v>217</v>
      </c>
    </row>
    <row r="78" spans="2:4" ht="14.5" x14ac:dyDescent="0.35">
      <c r="B78" s="555" t="s">
        <v>620</v>
      </c>
      <c r="C78" s="556">
        <v>806</v>
      </c>
      <c r="D78" s="557" t="s">
        <v>217</v>
      </c>
    </row>
    <row r="79" spans="2:4" ht="14.5" x14ac:dyDescent="0.35">
      <c r="B79" s="555" t="s">
        <v>621</v>
      </c>
      <c r="C79" s="556">
        <v>790</v>
      </c>
      <c r="D79" s="557" t="s">
        <v>217</v>
      </c>
    </row>
    <row r="80" spans="2:4" ht="14.5" x14ac:dyDescent="0.35">
      <c r="B80" s="555" t="s">
        <v>622</v>
      </c>
      <c r="C80" s="556">
        <v>791</v>
      </c>
      <c r="D80" s="557" t="s">
        <v>217</v>
      </c>
    </row>
    <row r="81" spans="2:4" ht="14.5" x14ac:dyDescent="0.35">
      <c r="B81" s="555" t="s">
        <v>623</v>
      </c>
      <c r="C81" s="556">
        <v>800</v>
      </c>
      <c r="D81" s="557" t="s">
        <v>217</v>
      </c>
    </row>
    <row r="82" spans="2:4" ht="15" thickBot="1" x14ac:dyDescent="0.4">
      <c r="B82" s="558" t="s">
        <v>624</v>
      </c>
      <c r="C82" s="560">
        <v>816</v>
      </c>
      <c r="D82" s="559" t="s">
        <v>217</v>
      </c>
    </row>
    <row r="84" spans="2:4" ht="14.5" x14ac:dyDescent="0.35">
      <c r="B84" s="550" t="s">
        <v>625</v>
      </c>
    </row>
    <row r="85" spans="2:4" ht="14.5" x14ac:dyDescent="0.35">
      <c r="B85" s="550" t="s">
        <v>626</v>
      </c>
    </row>
    <row r="86" spans="2:4" ht="14.5" x14ac:dyDescent="0.35">
      <c r="B86" s="550" t="s">
        <v>289</v>
      </c>
    </row>
    <row r="87" spans="2:4" ht="14.5" x14ac:dyDescent="0.35">
      <c r="B87" s="550" t="s">
        <v>290</v>
      </c>
    </row>
    <row r="88" spans="2:4" ht="14.5" x14ac:dyDescent="0.35">
      <c r="B88" s="550" t="s">
        <v>627</v>
      </c>
    </row>
    <row r="89" spans="2:4" ht="14.5" x14ac:dyDescent="0.35">
      <c r="B89" s="550" t="s">
        <v>292</v>
      </c>
    </row>
    <row r="90" spans="2:4" ht="14.5" x14ac:dyDescent="0.35">
      <c r="B90" s="550" t="s">
        <v>293</v>
      </c>
    </row>
  </sheetData>
  <pageMargins left="0.75" right="0.75" top="1" bottom="1"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3:T52"/>
  <sheetViews>
    <sheetView showGridLines="0" zoomScale="70" zoomScaleNormal="70" workbookViewId="0">
      <selection activeCell="D14" sqref="D14"/>
    </sheetView>
  </sheetViews>
  <sheetFormatPr defaultColWidth="11.453125" defaultRowHeight="14.5" x14ac:dyDescent="0.35"/>
  <cols>
    <col min="1" max="1" width="7.54296875" customWidth="1"/>
    <col min="2" max="2" width="22.1796875" style="1" customWidth="1"/>
    <col min="3" max="3" width="15.81640625" style="1" hidden="1" customWidth="1"/>
    <col min="4" max="4" width="21.1796875" style="1" customWidth="1"/>
    <col min="5" max="5" width="14.81640625" style="1" customWidth="1"/>
    <col min="6" max="6" width="8.54296875" bestFit="1" customWidth="1"/>
    <col min="7" max="7" width="3.1796875" customWidth="1"/>
    <col min="8" max="8" width="23.1796875" customWidth="1"/>
    <col min="9" max="9" width="17.54296875" style="1" customWidth="1"/>
    <col min="10" max="10" width="11.453125" style="1"/>
    <col min="11" max="11" width="8.54296875" customWidth="1"/>
    <col min="12" max="12" width="30.1796875" customWidth="1"/>
    <col min="13" max="13" width="1" customWidth="1"/>
    <col min="14" max="14" width="16.1796875" customWidth="1"/>
    <col min="15" max="15" width="17.54296875" customWidth="1"/>
    <col min="16" max="16" width="14.54296875" bestFit="1" customWidth="1"/>
    <col min="17" max="17" width="15.81640625" customWidth="1"/>
  </cols>
  <sheetData>
    <row r="3" spans="2:20" x14ac:dyDescent="0.35">
      <c r="B3" s="565" t="s">
        <v>0</v>
      </c>
      <c r="C3" s="565"/>
      <c r="D3" s="565"/>
      <c r="E3" s="565"/>
      <c r="F3" s="565"/>
      <c r="G3" s="565"/>
      <c r="H3" s="565"/>
      <c r="I3" s="565"/>
      <c r="J3" s="565"/>
      <c r="L3" s="565"/>
      <c r="M3" s="565"/>
      <c r="N3" s="565"/>
      <c r="O3" s="565"/>
      <c r="P3" s="565"/>
      <c r="Q3" s="565"/>
      <c r="R3" s="565"/>
      <c r="S3" s="565"/>
      <c r="T3" s="565"/>
    </row>
    <row r="4" spans="2:20" x14ac:dyDescent="0.35">
      <c r="B4" s="571" t="s">
        <v>1</v>
      </c>
      <c r="C4" s="571"/>
      <c r="D4" s="571"/>
      <c r="E4" s="3">
        <f>+D30</f>
        <v>1055</v>
      </c>
      <c r="F4" s="4">
        <v>0.05</v>
      </c>
      <c r="G4" s="2"/>
      <c r="H4" s="571" t="s">
        <v>1</v>
      </c>
      <c r="I4" s="571"/>
      <c r="J4" s="3">
        <f>+D30</f>
        <v>1055</v>
      </c>
      <c r="L4" s="571"/>
      <c r="M4" s="571"/>
      <c r="N4" s="571"/>
      <c r="O4" s="3"/>
      <c r="P4" s="4"/>
      <c r="Q4" s="2"/>
      <c r="R4" s="571"/>
      <c r="S4" s="571"/>
      <c r="T4" s="3"/>
    </row>
    <row r="5" spans="2:20" x14ac:dyDescent="0.35">
      <c r="B5" s="571" t="s">
        <v>2</v>
      </c>
      <c r="C5" s="571"/>
      <c r="D5" s="571"/>
      <c r="E5" s="5">
        <f>+E4-F5</f>
        <v>1002.25</v>
      </c>
      <c r="F5" s="6">
        <f>+E4*F4</f>
        <v>52.75</v>
      </c>
      <c r="G5" s="2"/>
      <c r="H5" s="571" t="s">
        <v>3</v>
      </c>
      <c r="I5" s="571"/>
      <c r="J5" s="3">
        <v>0</v>
      </c>
      <c r="L5" s="38"/>
      <c r="M5" s="21"/>
      <c r="N5" s="21"/>
      <c r="O5" s="18"/>
      <c r="Q5" s="2"/>
      <c r="R5" s="571"/>
      <c r="S5" s="571"/>
      <c r="T5" s="3"/>
    </row>
    <row r="6" spans="2:20" ht="23.5" x14ac:dyDescent="0.55000000000000004">
      <c r="B6" s="7"/>
      <c r="C6" s="34">
        <f>+(C10+C11)/C8*1000</f>
        <v>1052.2306249999999</v>
      </c>
      <c r="D6" s="34">
        <f t="shared" ref="D6:E6" si="0">+(D10+D11)/D8*1000</f>
        <v>1052.2306249999999</v>
      </c>
      <c r="E6" s="34">
        <f t="shared" si="0"/>
        <v>1065.55</v>
      </c>
      <c r="G6" s="2"/>
      <c r="H6" s="7"/>
      <c r="I6" s="34">
        <f t="shared" ref="I6:J6" si="1">+(I10+I11)/I8*1000</f>
        <v>1060.2749999999999</v>
      </c>
      <c r="J6" s="34">
        <f t="shared" si="1"/>
        <v>1060.2749999999999</v>
      </c>
      <c r="L6" s="61" t="s">
        <v>4</v>
      </c>
      <c r="M6" s="1"/>
      <c r="N6" s="1"/>
      <c r="O6" s="21"/>
      <c r="P6" s="13"/>
      <c r="Q6" s="2"/>
      <c r="R6" s="7"/>
      <c r="S6" s="7"/>
      <c r="T6" s="3"/>
    </row>
    <row r="7" spans="2:20" ht="43.5" x14ac:dyDescent="0.35">
      <c r="B7" s="571" t="s">
        <v>5</v>
      </c>
      <c r="C7" s="571"/>
      <c r="D7" s="571"/>
      <c r="E7" s="571"/>
      <c r="F7" s="571"/>
      <c r="G7" s="2"/>
      <c r="H7" s="8" t="s">
        <v>6</v>
      </c>
      <c r="I7" s="9" t="s">
        <v>7</v>
      </c>
      <c r="J7" s="9" t="s">
        <v>8</v>
      </c>
      <c r="L7" s="22"/>
      <c r="M7" s="22"/>
      <c r="N7" s="39" t="s">
        <v>9</v>
      </c>
      <c r="O7" s="39" t="s">
        <v>10</v>
      </c>
      <c r="P7" s="39" t="s">
        <v>11</v>
      </c>
      <c r="Q7" s="39" t="s">
        <v>12</v>
      </c>
      <c r="R7" s="8"/>
      <c r="S7" s="9"/>
      <c r="T7" s="9"/>
    </row>
    <row r="8" spans="2:20" x14ac:dyDescent="0.35">
      <c r="B8" s="8" t="s">
        <v>13</v>
      </c>
      <c r="C8" s="10">
        <v>15.6</v>
      </c>
      <c r="D8" s="10">
        <v>16.7</v>
      </c>
      <c r="E8" s="10">
        <v>30.6</v>
      </c>
      <c r="F8" s="10"/>
      <c r="H8" s="8" t="s">
        <v>13</v>
      </c>
      <c r="I8" s="10">
        <v>15</v>
      </c>
      <c r="J8" s="10">
        <v>20.5</v>
      </c>
      <c r="L8" s="46" t="s">
        <v>14</v>
      </c>
      <c r="M8" s="35"/>
      <c r="N8" s="51">
        <v>938.13</v>
      </c>
      <c r="O8" s="52">
        <v>959</v>
      </c>
      <c r="P8" s="51">
        <v>1006.25</v>
      </c>
      <c r="Q8" s="62">
        <v>993.75</v>
      </c>
      <c r="R8" s="8" t="s">
        <v>15</v>
      </c>
      <c r="S8" s="10"/>
      <c r="T8" s="10"/>
    </row>
    <row r="9" spans="2:20" x14ac:dyDescent="0.35">
      <c r="B9" s="11" t="s">
        <v>16</v>
      </c>
      <c r="C9" s="7" t="s">
        <v>17</v>
      </c>
      <c r="D9" s="7" t="s">
        <v>17</v>
      </c>
      <c r="E9" s="7" t="s">
        <v>17</v>
      </c>
      <c r="F9" s="7"/>
      <c r="H9" s="11" t="s">
        <v>16</v>
      </c>
      <c r="I9" s="7" t="s">
        <v>17</v>
      </c>
      <c r="J9" s="7" t="s">
        <v>17</v>
      </c>
      <c r="L9" s="47" t="s">
        <v>18</v>
      </c>
      <c r="M9" s="40"/>
      <c r="N9" s="53">
        <v>25.09</v>
      </c>
      <c r="O9" s="53">
        <v>25.09</v>
      </c>
      <c r="P9" s="53">
        <v>25.09</v>
      </c>
      <c r="Q9" s="53">
        <v>25</v>
      </c>
      <c r="R9" s="11"/>
      <c r="S9" s="7"/>
      <c r="T9" s="7"/>
    </row>
    <row r="10" spans="2:20" x14ac:dyDescent="0.35">
      <c r="B10" s="60" t="s">
        <v>19</v>
      </c>
      <c r="C10" s="6">
        <f>+(C8*E4/1000)*1.01*75%</f>
        <v>12.466934999999999</v>
      </c>
      <c r="D10" s="6">
        <f>+(D8*$E$4/1000)*1.01*75%</f>
        <v>13.346013750000001</v>
      </c>
      <c r="E10" s="6">
        <f>+(E8*E4/1000)*1.01</f>
        <v>32.605830000000005</v>
      </c>
      <c r="F10" s="6"/>
      <c r="H10" s="11" t="s">
        <v>19</v>
      </c>
      <c r="I10" s="6">
        <f>+(I8*J4/1000)*1.005</f>
        <v>15.904124999999997</v>
      </c>
      <c r="J10" s="6">
        <f>+(J8*J4/1000)*1.005</f>
        <v>21.735637499999999</v>
      </c>
      <c r="L10" s="48" t="s">
        <v>20</v>
      </c>
      <c r="M10" s="14"/>
      <c r="N10" s="43">
        <v>65</v>
      </c>
      <c r="O10" s="54">
        <v>65</v>
      </c>
      <c r="P10" s="43">
        <v>65</v>
      </c>
      <c r="Q10" s="43">
        <v>65</v>
      </c>
      <c r="R10" s="11" t="s">
        <v>21</v>
      </c>
      <c r="S10" s="6" t="s">
        <v>22</v>
      </c>
      <c r="T10" s="6"/>
    </row>
    <row r="11" spans="2:20" x14ac:dyDescent="0.35">
      <c r="B11" s="60" t="s">
        <v>23</v>
      </c>
      <c r="C11" s="6">
        <f>+(C8*$E$5/1000)*1.01*25%</f>
        <v>3.9478627500000001</v>
      </c>
      <c r="D11" s="6">
        <f>+(D8*$E$5/1000)*1.01*25%</f>
        <v>4.2262376875000003</v>
      </c>
      <c r="E11" s="6">
        <v>0</v>
      </c>
      <c r="F11" s="6"/>
      <c r="H11" s="11" t="s">
        <v>23</v>
      </c>
      <c r="I11" s="6">
        <v>0</v>
      </c>
      <c r="J11" s="6">
        <v>0</v>
      </c>
      <c r="L11" s="46"/>
      <c r="M11" s="35"/>
      <c r="N11" s="43">
        <f>SUM(N8:N10)</f>
        <v>1028.22</v>
      </c>
      <c r="O11" s="43">
        <f>SUM(O8:O10)</f>
        <v>1049.0900000000001</v>
      </c>
      <c r="P11" s="43">
        <f>SUM(P8:P10)</f>
        <v>1096.3399999999999</v>
      </c>
      <c r="Q11" s="43">
        <f>SUM(Q8:Q10)</f>
        <v>1083.75</v>
      </c>
      <c r="R11" s="11" t="s">
        <v>24</v>
      </c>
      <c r="S11" s="6"/>
      <c r="T11" s="6"/>
    </row>
    <row r="12" spans="2:20" x14ac:dyDescent="0.35">
      <c r="B12" s="11" t="s">
        <v>25</v>
      </c>
      <c r="C12" s="6">
        <f>C39</f>
        <v>13.806908577633008</v>
      </c>
      <c r="D12" s="6">
        <f>D39</f>
        <v>13.806908577633008</v>
      </c>
      <c r="E12" s="6">
        <f>E39</f>
        <v>16.175542453854508</v>
      </c>
      <c r="F12" s="6"/>
      <c r="H12" s="11" t="s">
        <v>26</v>
      </c>
      <c r="I12" s="6">
        <f t="shared" ref="I12:J12" si="2">I39</f>
        <v>28.109813137893592</v>
      </c>
      <c r="J12" s="6">
        <f t="shared" si="2"/>
        <v>28.109813137893592</v>
      </c>
      <c r="L12" s="47" t="s">
        <v>27</v>
      </c>
      <c r="M12" s="40"/>
      <c r="N12" s="53">
        <f>+N11*4%</f>
        <v>41.128800000000005</v>
      </c>
      <c r="O12" s="43">
        <f>+O11*4%</f>
        <v>41.963600000000007</v>
      </c>
      <c r="P12" s="53">
        <f>+P11*4%</f>
        <v>43.8536</v>
      </c>
      <c r="Q12" s="53">
        <f>+Q11*4%</f>
        <v>43.35</v>
      </c>
      <c r="R12" s="11"/>
      <c r="S12" s="6"/>
      <c r="T12" s="6"/>
    </row>
    <row r="13" spans="2:20" x14ac:dyDescent="0.35">
      <c r="B13" s="11" t="s">
        <v>28</v>
      </c>
      <c r="C13" s="6">
        <v>0</v>
      </c>
      <c r="D13" s="6">
        <v>0</v>
      </c>
      <c r="E13" s="6">
        <v>0</v>
      </c>
      <c r="F13" s="6"/>
      <c r="H13" s="11" t="s">
        <v>29</v>
      </c>
      <c r="I13" s="6">
        <v>0</v>
      </c>
      <c r="J13" s="6">
        <v>0</v>
      </c>
      <c r="L13" s="48" t="s">
        <v>30</v>
      </c>
      <c r="M13" s="14"/>
      <c r="N13" s="50">
        <f>+N12+N11</f>
        <v>1069.3488</v>
      </c>
      <c r="O13" s="55">
        <f>+O12+O11</f>
        <v>1091.0536000000002</v>
      </c>
      <c r="P13" s="50">
        <f>+P12+P11</f>
        <v>1140.1935999999998</v>
      </c>
      <c r="Q13" s="50">
        <f>+Q12+Q11</f>
        <v>1127.0999999999999</v>
      </c>
      <c r="R13" s="11"/>
      <c r="S13" s="6"/>
      <c r="T13" s="6"/>
    </row>
    <row r="14" spans="2:20" x14ac:dyDescent="0.35">
      <c r="B14" s="11" t="s">
        <v>31</v>
      </c>
      <c r="C14" s="6">
        <v>1.6379999999999999</v>
      </c>
      <c r="D14" s="6">
        <v>1.7534999999999998</v>
      </c>
      <c r="E14" s="6">
        <v>2.97</v>
      </c>
      <c r="F14" s="6"/>
      <c r="H14" s="11" t="s">
        <v>31</v>
      </c>
      <c r="I14" s="6">
        <v>1.4</v>
      </c>
      <c r="J14" s="6">
        <v>2</v>
      </c>
      <c r="L14" s="49" t="s">
        <v>32</v>
      </c>
      <c r="M14" s="41"/>
      <c r="N14" s="56">
        <f>+N13*(1-5%)</f>
        <v>1015.88136</v>
      </c>
      <c r="O14" s="56">
        <f t="shared" ref="O14:P14" si="3">+O13*(1-5%)</f>
        <v>1036.5009200000002</v>
      </c>
      <c r="P14" s="56">
        <f t="shared" si="3"/>
        <v>1083.1839199999997</v>
      </c>
      <c r="Q14" s="56">
        <f t="shared" ref="Q14" si="4">+Q13*(1-5%)</f>
        <v>1070.7449999999999</v>
      </c>
      <c r="R14" s="11" t="s">
        <v>33</v>
      </c>
      <c r="S14" s="6"/>
      <c r="T14" s="6"/>
    </row>
    <row r="15" spans="2:20" x14ac:dyDescent="0.35">
      <c r="B15" s="11" t="s">
        <v>34</v>
      </c>
      <c r="C15" s="6">
        <v>0.20356000000000002</v>
      </c>
      <c r="D15" s="6">
        <v>0.20356000000000002</v>
      </c>
      <c r="E15" s="6">
        <v>0.28498400000000002</v>
      </c>
      <c r="F15" s="6"/>
      <c r="H15" s="11" t="s">
        <v>34</v>
      </c>
      <c r="I15" s="6">
        <v>1.27</v>
      </c>
      <c r="J15" s="6">
        <v>1.2722500000000001</v>
      </c>
      <c r="L15" s="48" t="s">
        <v>35</v>
      </c>
      <c r="M15" s="42"/>
      <c r="N15" s="50">
        <f>+N13*75%+N14*25%</f>
        <v>1055.9819400000001</v>
      </c>
      <c r="O15" s="50">
        <f t="shared" ref="O15:P15" si="5">+O13*75%+O14*25%</f>
        <v>1077.4154300000002</v>
      </c>
      <c r="P15" s="50">
        <f t="shared" si="5"/>
        <v>1125.9411799999998</v>
      </c>
      <c r="Q15" s="50">
        <f t="shared" ref="Q15" si="6">+Q13*75%+Q14*25%</f>
        <v>1113.01125</v>
      </c>
      <c r="R15" s="11"/>
      <c r="S15" s="6"/>
      <c r="T15" s="6"/>
    </row>
    <row r="16" spans="2:20" x14ac:dyDescent="0.35">
      <c r="B16" s="11" t="s">
        <v>36</v>
      </c>
      <c r="C16" s="6">
        <v>0.15</v>
      </c>
      <c r="D16" s="6">
        <v>0.15</v>
      </c>
      <c r="E16" s="6">
        <v>0.21373800000000001</v>
      </c>
      <c r="F16" s="6"/>
      <c r="H16" s="11" t="s">
        <v>36</v>
      </c>
      <c r="I16" s="6">
        <v>8.34</v>
      </c>
      <c r="J16" s="6">
        <v>8.335782</v>
      </c>
      <c r="L16" s="49" t="s">
        <v>37</v>
      </c>
      <c r="M16" s="44"/>
      <c r="N16" s="57">
        <f>+N15*1%</f>
        <v>10.559819400000002</v>
      </c>
      <c r="O16" s="57">
        <f t="shared" ref="O16:P16" si="7">+O15*1%</f>
        <v>10.774154300000003</v>
      </c>
      <c r="P16" s="57">
        <f t="shared" si="7"/>
        <v>11.259411799999999</v>
      </c>
      <c r="Q16" s="57">
        <f t="shared" ref="Q16" si="8">+Q15*1%</f>
        <v>11.130112500000001</v>
      </c>
      <c r="R16" s="11"/>
      <c r="S16" s="6"/>
      <c r="T16" s="6"/>
    </row>
    <row r="17" spans="1:20" x14ac:dyDescent="0.35">
      <c r="A17" t="s">
        <v>38</v>
      </c>
      <c r="B17" s="8" t="s">
        <v>39</v>
      </c>
      <c r="C17" s="12">
        <f>SUM(C10:C16)</f>
        <v>32.213266327633008</v>
      </c>
      <c r="D17" s="12">
        <f>SUM(D10:D16)</f>
        <v>33.486220015133014</v>
      </c>
      <c r="E17" s="12">
        <f>SUM(E10:E16)</f>
        <v>52.250094453854516</v>
      </c>
      <c r="F17" s="12"/>
      <c r="H17" s="8" t="s">
        <v>39</v>
      </c>
      <c r="I17" s="12">
        <f>SUM(I10:I16)</f>
        <v>55.023938137893595</v>
      </c>
      <c r="J17" s="12">
        <f>SUM(J10:J16)</f>
        <v>61.453482637893593</v>
      </c>
      <c r="L17" s="49" t="s">
        <v>40</v>
      </c>
      <c r="M17" s="45"/>
      <c r="N17" s="56">
        <f>+N16+N15</f>
        <v>1066.5417594</v>
      </c>
      <c r="O17" s="56">
        <f t="shared" ref="O17:P17" si="9">+O16+O15</f>
        <v>1088.1895843000002</v>
      </c>
      <c r="P17" s="56">
        <f t="shared" si="9"/>
        <v>1137.2005917999998</v>
      </c>
      <c r="Q17" s="56">
        <f t="shared" ref="Q17" si="10">+Q16+Q15</f>
        <v>1124.1413625</v>
      </c>
      <c r="R17" s="8"/>
      <c r="S17" s="12"/>
      <c r="T17" s="12"/>
    </row>
    <row r="18" spans="1:20" x14ac:dyDescent="0.35">
      <c r="B18" s="8"/>
      <c r="C18" s="12"/>
      <c r="D18" s="12"/>
      <c r="E18" s="12"/>
      <c r="F18" s="12"/>
      <c r="G18" s="13"/>
      <c r="I18" s="12"/>
      <c r="J18" s="12"/>
      <c r="L18" s="8" t="s">
        <v>41</v>
      </c>
      <c r="M18" s="12"/>
      <c r="N18" s="58">
        <f>+D6</f>
        <v>1052.2306249999999</v>
      </c>
      <c r="O18" s="58">
        <f>+N18</f>
        <v>1052.2306249999999</v>
      </c>
      <c r="P18" s="58">
        <f>+O18</f>
        <v>1052.2306249999999</v>
      </c>
      <c r="Q18" s="58">
        <f>+P18</f>
        <v>1052.2306249999999</v>
      </c>
      <c r="S18" s="12"/>
      <c r="T18" s="12"/>
    </row>
    <row r="19" spans="1:20" x14ac:dyDescent="0.35">
      <c r="G19" s="13"/>
      <c r="L19" s="1"/>
      <c r="M19" s="1"/>
      <c r="N19" s="1"/>
      <c r="O19" s="1"/>
      <c r="Q19" s="13"/>
      <c r="S19" s="1"/>
      <c r="T19" s="1"/>
    </row>
    <row r="20" spans="1:20" x14ac:dyDescent="0.35">
      <c r="B20" s="14" t="s">
        <v>42</v>
      </c>
      <c r="C20" s="14" t="s">
        <v>43</v>
      </c>
      <c r="D20" s="14" t="s">
        <v>39</v>
      </c>
      <c r="E20" s="15"/>
      <c r="L20" s="15"/>
      <c r="M20" s="15"/>
      <c r="N20" s="59">
        <f>+N17-N18</f>
        <v>14.311134400000128</v>
      </c>
      <c r="O20" s="59">
        <f t="shared" ref="O20:Q20" si="11">+O17-O18</f>
        <v>35.958959300000288</v>
      </c>
      <c r="P20" s="59">
        <f t="shared" si="11"/>
        <v>84.969966799999838</v>
      </c>
      <c r="Q20" s="59">
        <f t="shared" si="11"/>
        <v>71.910737500000096</v>
      </c>
      <c r="S20" s="1"/>
      <c r="T20" s="1"/>
    </row>
    <row r="21" spans="1:20" x14ac:dyDescent="0.35">
      <c r="B21" s="16">
        <v>92</v>
      </c>
      <c r="C21" s="17">
        <f t="shared" ref="C21:C24" si="12">D21/B21</f>
        <v>995</v>
      </c>
      <c r="D21" s="17">
        <v>91540</v>
      </c>
      <c r="E21" s="18"/>
      <c r="I21"/>
      <c r="J21"/>
      <c r="L21" s="36"/>
      <c r="M21" s="37"/>
      <c r="N21" s="37"/>
      <c r="O21" s="18"/>
    </row>
    <row r="22" spans="1:20" x14ac:dyDescent="0.35">
      <c r="B22" s="16">
        <v>69</v>
      </c>
      <c r="C22" s="17">
        <f t="shared" si="12"/>
        <v>995</v>
      </c>
      <c r="D22" s="17">
        <v>68655</v>
      </c>
      <c r="E22" s="18"/>
      <c r="I22"/>
      <c r="J22"/>
      <c r="L22" s="36"/>
      <c r="M22" s="37"/>
      <c r="N22" s="37"/>
      <c r="O22" s="18"/>
    </row>
    <row r="23" spans="1:20" x14ac:dyDescent="0.35">
      <c r="B23" s="16">
        <v>110</v>
      </c>
      <c r="C23" s="17">
        <f t="shared" si="12"/>
        <v>995</v>
      </c>
      <c r="D23" s="17">
        <v>109450</v>
      </c>
      <c r="E23" s="18"/>
      <c r="I23"/>
      <c r="J23"/>
      <c r="L23" s="36"/>
      <c r="M23" s="37"/>
      <c r="N23" s="37"/>
      <c r="O23" s="18"/>
    </row>
    <row r="24" spans="1:20" x14ac:dyDescent="0.35">
      <c r="B24" s="16">
        <v>44</v>
      </c>
      <c r="C24" s="17">
        <f t="shared" si="12"/>
        <v>995</v>
      </c>
      <c r="D24" s="17">
        <v>43780</v>
      </c>
      <c r="E24" s="18"/>
      <c r="I24"/>
      <c r="J24"/>
      <c r="L24" s="36"/>
      <c r="M24" s="37"/>
      <c r="N24" s="37"/>
      <c r="O24" s="18"/>
    </row>
    <row r="25" spans="1:20" x14ac:dyDescent="0.35">
      <c r="B25" s="19">
        <f>SUM(B21:B24)</f>
        <v>315</v>
      </c>
      <c r="C25" s="20">
        <f>SUM(C21:C24)</f>
        <v>3980</v>
      </c>
      <c r="D25" s="20">
        <f>SUM(D21:D24)</f>
        <v>313425</v>
      </c>
      <c r="E25" s="18"/>
      <c r="I25"/>
      <c r="J25"/>
    </row>
    <row r="26" spans="1:20" x14ac:dyDescent="0.35">
      <c r="E26" s="21"/>
      <c r="F26" s="13"/>
      <c r="I26"/>
      <c r="J26"/>
    </row>
    <row r="27" spans="1:20" x14ac:dyDescent="0.35">
      <c r="B27" s="22"/>
      <c r="C27" s="22"/>
      <c r="D27" s="22"/>
      <c r="E27" s="22"/>
      <c r="F27" s="13"/>
      <c r="I27"/>
      <c r="J27"/>
    </row>
    <row r="28" spans="1:20" x14ac:dyDescent="0.35">
      <c r="B28" s="566" t="s">
        <v>44</v>
      </c>
      <c r="C28" s="567"/>
      <c r="D28" s="23">
        <f>+D25/B25</f>
        <v>995</v>
      </c>
      <c r="E28" s="24"/>
      <c r="I28"/>
      <c r="J28"/>
    </row>
    <row r="29" spans="1:20" s="25" customFormat="1" x14ac:dyDescent="0.35">
      <c r="B29" s="568" t="s">
        <v>45</v>
      </c>
      <c r="C29" s="569"/>
      <c r="D29" s="26">
        <v>60</v>
      </c>
      <c r="E29" s="27" t="s">
        <v>46</v>
      </c>
      <c r="F29" s="4">
        <f>+D29/D30</f>
        <v>5.6872037914691941E-2</v>
      </c>
      <c r="G29"/>
      <c r="H29"/>
      <c r="I29" s="13"/>
      <c r="J29"/>
      <c r="K29"/>
      <c r="Q29"/>
      <c r="R29"/>
      <c r="S29" s="13"/>
      <c r="T29"/>
    </row>
    <row r="30" spans="1:20" x14ac:dyDescent="0.35">
      <c r="B30" s="570" t="s">
        <v>39</v>
      </c>
      <c r="C30" s="570"/>
      <c r="D30" s="23">
        <f>+D29+D28</f>
        <v>1055</v>
      </c>
      <c r="E30" s="24"/>
      <c r="S30" s="1"/>
      <c r="T30" s="1"/>
    </row>
    <row r="31" spans="1:20" x14ac:dyDescent="0.35">
      <c r="S31" s="1"/>
      <c r="T31" s="1"/>
    </row>
    <row r="32" spans="1:20" x14ac:dyDescent="0.35">
      <c r="S32" s="1"/>
      <c r="T32" s="1"/>
    </row>
    <row r="33" spans="2:20" x14ac:dyDescent="0.35">
      <c r="B33" s="571" t="s">
        <v>5</v>
      </c>
      <c r="C33" s="571"/>
      <c r="D33" s="571"/>
      <c r="E33" s="571"/>
      <c r="F33" s="571"/>
      <c r="G33" s="2"/>
      <c r="H33" s="8" t="s">
        <v>6</v>
      </c>
      <c r="I33" s="9" t="s">
        <v>7</v>
      </c>
      <c r="J33" s="9" t="s">
        <v>8</v>
      </c>
      <c r="Q33" s="2"/>
      <c r="R33" s="8" t="s">
        <v>6</v>
      </c>
      <c r="S33" s="9" t="s">
        <v>7</v>
      </c>
      <c r="T33" s="9" t="s">
        <v>8</v>
      </c>
    </row>
    <row r="34" spans="2:20" x14ac:dyDescent="0.35">
      <c r="B34" s="8" t="s">
        <v>13</v>
      </c>
      <c r="C34" s="10">
        <v>15.6</v>
      </c>
      <c r="D34" s="10">
        <v>16.7</v>
      </c>
      <c r="E34" s="10">
        <v>30.6</v>
      </c>
      <c r="F34" s="10"/>
      <c r="H34" s="8" t="s">
        <v>13</v>
      </c>
      <c r="I34" s="10">
        <v>15</v>
      </c>
      <c r="J34" s="10">
        <v>20.5</v>
      </c>
      <c r="R34" s="8" t="s">
        <v>13</v>
      </c>
      <c r="S34" s="10">
        <v>15</v>
      </c>
      <c r="T34" s="10">
        <v>20.5</v>
      </c>
    </row>
    <row r="35" spans="2:20" x14ac:dyDescent="0.35">
      <c r="B35" s="28" t="s">
        <v>47</v>
      </c>
      <c r="C35" s="29">
        <v>13.64</v>
      </c>
      <c r="D35" s="29">
        <v>13.64</v>
      </c>
      <c r="E35" s="29">
        <v>15.98</v>
      </c>
      <c r="F35" s="2"/>
      <c r="G35" s="2"/>
      <c r="H35" s="2" t="s">
        <v>26</v>
      </c>
      <c r="I35" s="29">
        <v>27.77</v>
      </c>
      <c r="J35" s="29">
        <v>27.77</v>
      </c>
      <c r="Q35" s="2"/>
      <c r="R35" s="2" t="s">
        <v>26</v>
      </c>
      <c r="S35" s="29">
        <v>27.77</v>
      </c>
      <c r="T35" s="29">
        <v>27.77</v>
      </c>
    </row>
    <row r="36" spans="2:20" x14ac:dyDescent="0.35">
      <c r="B36" s="28" t="s">
        <v>48</v>
      </c>
      <c r="C36" s="30">
        <v>0.23</v>
      </c>
      <c r="D36" s="30">
        <v>0.23</v>
      </c>
      <c r="E36" s="30">
        <v>0.23</v>
      </c>
      <c r="I36" s="30">
        <v>0.23</v>
      </c>
      <c r="J36" s="30">
        <v>0.23</v>
      </c>
      <c r="L36" s="28"/>
      <c r="M36" s="30"/>
      <c r="N36" s="30"/>
      <c r="O36" s="30"/>
      <c r="S36" s="30">
        <v>0.23</v>
      </c>
      <c r="T36" s="30">
        <v>0.23</v>
      </c>
    </row>
    <row r="37" spans="2:20" x14ac:dyDescent="0.35">
      <c r="B37" s="28" t="s">
        <v>49</v>
      </c>
      <c r="C37" s="31">
        <f>0.097/0.0921-1</f>
        <v>5.3203040173724236E-2</v>
      </c>
      <c r="D37" s="31">
        <f t="shared" ref="D37:E37" si="13">0.097/0.0921-1</f>
        <v>5.3203040173724236E-2</v>
      </c>
      <c r="E37" s="31">
        <f t="shared" si="13"/>
        <v>5.3203040173724236E-2</v>
      </c>
      <c r="I37" s="31">
        <f t="shared" ref="I37:J37" si="14">0.097/0.0921-1</f>
        <v>5.3203040173724236E-2</v>
      </c>
      <c r="J37" s="31">
        <f t="shared" si="14"/>
        <v>5.3203040173724236E-2</v>
      </c>
      <c r="L37" s="28"/>
      <c r="M37" s="31"/>
      <c r="N37" s="31"/>
      <c r="O37" s="31"/>
      <c r="S37" s="31">
        <f t="shared" ref="S37:T37" si="15">0.097/0.0921-1</f>
        <v>5.3203040173724236E-2</v>
      </c>
      <c r="T37" s="31">
        <f t="shared" si="15"/>
        <v>5.3203040173724236E-2</v>
      </c>
    </row>
    <row r="38" spans="2:20" x14ac:dyDescent="0.35">
      <c r="B38" s="28" t="s">
        <v>50</v>
      </c>
      <c r="C38" s="29">
        <f>C35*C36*C37</f>
        <v>0.1669085776330077</v>
      </c>
      <c r="D38" s="29">
        <f t="shared" ref="D38:E38" si="16">D35*D36*D37</f>
        <v>0.1669085776330077</v>
      </c>
      <c r="E38" s="29">
        <f t="shared" si="16"/>
        <v>0.19554245385450608</v>
      </c>
      <c r="F38" s="2"/>
      <c r="G38" s="2"/>
      <c r="H38" s="2"/>
      <c r="I38" s="29">
        <f t="shared" ref="I38:J38" si="17">I35*I36*I37</f>
        <v>0.33981313789359407</v>
      </c>
      <c r="J38" s="29">
        <f t="shared" si="17"/>
        <v>0.33981313789359407</v>
      </c>
      <c r="L38" s="28"/>
      <c r="M38" s="29"/>
      <c r="N38" s="29"/>
      <c r="O38" s="29"/>
      <c r="P38" s="2"/>
      <c r="Q38" s="2"/>
      <c r="R38" s="2"/>
      <c r="S38" s="29">
        <f t="shared" ref="S38:T38" si="18">S35*S36*S37</f>
        <v>0.33981313789359407</v>
      </c>
      <c r="T38" s="29">
        <f t="shared" si="18"/>
        <v>0.33981313789359407</v>
      </c>
    </row>
    <row r="39" spans="2:20" x14ac:dyDescent="0.35">
      <c r="B39" s="32" t="s">
        <v>25</v>
      </c>
      <c r="C39" s="33">
        <f>C35+C38</f>
        <v>13.806908577633008</v>
      </c>
      <c r="D39" s="33">
        <f t="shared" ref="D39:E39" si="19">D35+D38</f>
        <v>13.806908577633008</v>
      </c>
      <c r="E39" s="33">
        <f t="shared" si="19"/>
        <v>16.175542453854508</v>
      </c>
      <c r="I39" s="33">
        <f t="shared" ref="I39:J39" si="20">I35+I38</f>
        <v>28.109813137893592</v>
      </c>
      <c r="J39" s="33">
        <f t="shared" si="20"/>
        <v>28.109813137893592</v>
      </c>
      <c r="L39" s="32"/>
      <c r="M39" s="33"/>
      <c r="N39" s="33"/>
      <c r="O39" s="33"/>
      <c r="S39" s="33">
        <f t="shared" ref="S39:T39" si="21">S35+S38</f>
        <v>28.109813137893592</v>
      </c>
      <c r="T39" s="33">
        <f t="shared" si="21"/>
        <v>28.109813137893592</v>
      </c>
    </row>
    <row r="52" spans="2:10" x14ac:dyDescent="0.35">
      <c r="B52" s="1" t="s">
        <v>51</v>
      </c>
      <c r="J52" s="1" t="s">
        <v>52</v>
      </c>
    </row>
  </sheetData>
  <mergeCells count="14">
    <mergeCell ref="B33:F33"/>
    <mergeCell ref="L4:N4"/>
    <mergeCell ref="R4:S4"/>
    <mergeCell ref="R5:S5"/>
    <mergeCell ref="B4:D4"/>
    <mergeCell ref="H4:I4"/>
    <mergeCell ref="B5:D5"/>
    <mergeCell ref="H5:I5"/>
    <mergeCell ref="B7:F7"/>
    <mergeCell ref="L3:T3"/>
    <mergeCell ref="B3:J3"/>
    <mergeCell ref="B28:C28"/>
    <mergeCell ref="B29:C29"/>
    <mergeCell ref="B30:C30"/>
  </mergeCells>
  <pageMargins left="0.7" right="0.7" top="0.75" bottom="0.75" header="0.3" footer="0.3"/>
  <pageSetup paperSize="9" orientation="portrait" r:id="rId1"/>
  <customProperties>
    <customPr name="EpmWorksheetKeyString_GUID" r:id="rId2"/>
  </customProperties>
  <drawing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2:U32"/>
  <sheetViews>
    <sheetView showGridLines="0" zoomScale="70" zoomScaleNormal="70" workbookViewId="0">
      <selection activeCell="AC7" sqref="AC7"/>
    </sheetView>
  </sheetViews>
  <sheetFormatPr defaultColWidth="11.453125" defaultRowHeight="14.5" x14ac:dyDescent="0.35"/>
  <cols>
    <col min="1" max="1" width="4.81640625" customWidth="1"/>
    <col min="2" max="2" width="22.1796875" style="1" customWidth="1"/>
    <col min="3" max="7" width="10.453125" style="1" customWidth="1"/>
    <col min="8" max="8" width="3.1796875" customWidth="1"/>
    <col min="9" max="9" width="23.1796875" customWidth="1"/>
    <col min="10" max="10" width="17.54296875" style="1" customWidth="1"/>
    <col min="11" max="11" width="11.453125" style="1"/>
    <col min="12" max="12" width="8.54296875" customWidth="1"/>
    <col min="13" max="13" width="30.1796875" customWidth="1"/>
    <col min="14" max="14" width="1" customWidth="1"/>
    <col min="15" max="15" width="16.1796875" customWidth="1"/>
    <col min="16" max="16" width="17.54296875" customWidth="1"/>
    <col min="17" max="17" width="14.54296875" bestFit="1" customWidth="1"/>
    <col min="18" max="18" width="15.81640625" customWidth="1"/>
  </cols>
  <sheetData>
    <row r="2" spans="1:21" x14ac:dyDescent="0.35">
      <c r="B2" s="71"/>
      <c r="C2" s="71"/>
      <c r="D2" s="71"/>
      <c r="E2" s="71"/>
      <c r="F2" s="71"/>
      <c r="G2" s="71"/>
      <c r="H2" s="71"/>
      <c r="I2" s="71"/>
      <c r="J2" s="71"/>
      <c r="K2" s="71"/>
      <c r="M2" s="565"/>
      <c r="N2" s="565"/>
      <c r="O2" s="565"/>
      <c r="P2" s="565"/>
      <c r="Q2" s="565"/>
      <c r="R2" s="565"/>
      <c r="S2" s="565"/>
      <c r="T2" s="565"/>
      <c r="U2" s="565"/>
    </row>
    <row r="3" spans="1:21" x14ac:dyDescent="0.35">
      <c r="B3" s="572" t="s">
        <v>1</v>
      </c>
      <c r="C3" s="572"/>
      <c r="D3" s="572"/>
      <c r="E3" s="3">
        <v>1069.3488</v>
      </c>
      <c r="G3" s="3"/>
      <c r="H3" s="2"/>
      <c r="I3" s="572" t="s">
        <v>1</v>
      </c>
      <c r="J3" s="572"/>
      <c r="K3" s="3">
        <v>1069.3488</v>
      </c>
      <c r="M3" s="571"/>
      <c r="N3" s="571"/>
      <c r="O3" s="571"/>
      <c r="P3" s="3"/>
      <c r="Q3" s="4"/>
      <c r="R3" s="2"/>
      <c r="S3" s="571"/>
      <c r="T3" s="571"/>
      <c r="U3" s="3"/>
    </row>
    <row r="4" spans="1:21" x14ac:dyDescent="0.35">
      <c r="B4" s="572" t="s">
        <v>2</v>
      </c>
      <c r="C4" s="572"/>
      <c r="D4" s="572"/>
      <c r="E4" s="78">
        <v>1015.88136</v>
      </c>
      <c r="G4" s="78"/>
      <c r="H4" s="2"/>
      <c r="I4" s="572" t="s">
        <v>3</v>
      </c>
      <c r="J4" s="572"/>
      <c r="K4" s="3">
        <v>0</v>
      </c>
      <c r="M4" s="38"/>
      <c r="N4" s="21"/>
      <c r="O4" s="21"/>
      <c r="P4" s="18"/>
      <c r="R4" s="2"/>
      <c r="S4" s="571"/>
      <c r="T4" s="571"/>
      <c r="U4" s="3"/>
    </row>
    <row r="5" spans="1:21" ht="23.5" x14ac:dyDescent="0.55000000000000004">
      <c r="B5" s="7"/>
      <c r="C5" s="34">
        <f>+(C9+C10)/C7*1000</f>
        <v>1066.5417594000003</v>
      </c>
      <c r="D5" s="34">
        <f t="shared" ref="D5:F5" si="0">+(D9+D10)/D7*1000</f>
        <v>1066.5417594</v>
      </c>
      <c r="E5" s="34"/>
      <c r="F5" s="34">
        <f t="shared" si="0"/>
        <v>1080.0422880000001</v>
      </c>
      <c r="G5" s="34"/>
      <c r="H5" s="2"/>
      <c r="I5" s="7"/>
      <c r="J5" s="34">
        <f t="shared" ref="J5:K5" si="1">+(J9+J10)/J7*1000</f>
        <v>1074.6955439999999</v>
      </c>
      <c r="K5" s="34">
        <f t="shared" si="1"/>
        <v>1074.6955439999997</v>
      </c>
      <c r="M5" s="61" t="s">
        <v>4</v>
      </c>
      <c r="N5" s="1"/>
      <c r="O5" s="1"/>
      <c r="P5" s="21"/>
      <c r="Q5" s="13"/>
      <c r="R5" s="2"/>
      <c r="S5" s="7"/>
      <c r="T5" s="7"/>
      <c r="U5" s="3"/>
    </row>
    <row r="6" spans="1:21" ht="43.5" x14ac:dyDescent="0.35">
      <c r="B6" s="571" t="s">
        <v>5</v>
      </c>
      <c r="C6" s="571"/>
      <c r="D6" s="571"/>
      <c r="E6" s="571"/>
      <c r="F6" s="571"/>
      <c r="G6" s="571"/>
      <c r="H6" s="2"/>
      <c r="I6" s="8" t="s">
        <v>6</v>
      </c>
      <c r="J6" s="9" t="s">
        <v>7</v>
      </c>
      <c r="K6" s="9" t="s">
        <v>8</v>
      </c>
      <c r="M6" s="22"/>
      <c r="N6" s="22"/>
      <c r="O6" s="39" t="s">
        <v>53</v>
      </c>
      <c r="P6" s="39" t="s">
        <v>10</v>
      </c>
      <c r="Q6" s="39" t="s">
        <v>11</v>
      </c>
      <c r="R6" s="39" t="s">
        <v>12</v>
      </c>
      <c r="S6" s="8"/>
      <c r="T6" s="9"/>
      <c r="U6" s="9"/>
    </row>
    <row r="7" spans="1:21" x14ac:dyDescent="0.35">
      <c r="B7" s="8" t="s">
        <v>13</v>
      </c>
      <c r="C7" s="10">
        <v>15.6</v>
      </c>
      <c r="D7" s="10">
        <v>16.7</v>
      </c>
      <c r="E7" s="10">
        <v>20.5</v>
      </c>
      <c r="F7" s="10">
        <v>30.6</v>
      </c>
      <c r="G7" s="10">
        <v>30.6</v>
      </c>
      <c r="I7" s="8" t="s">
        <v>13</v>
      </c>
      <c r="J7" s="10">
        <v>15</v>
      </c>
      <c r="K7" s="10">
        <v>20.5</v>
      </c>
      <c r="M7" s="46" t="s">
        <v>14</v>
      </c>
      <c r="N7" s="35"/>
      <c r="O7" s="51">
        <v>938.13</v>
      </c>
      <c r="P7" s="52">
        <v>959</v>
      </c>
      <c r="Q7" s="51">
        <v>1006.25</v>
      </c>
      <c r="R7" s="62">
        <v>993.75</v>
      </c>
      <c r="S7" s="8" t="s">
        <v>15</v>
      </c>
      <c r="T7" s="10"/>
      <c r="U7" s="10"/>
    </row>
    <row r="8" spans="1:21" x14ac:dyDescent="0.35">
      <c r="B8" s="11" t="s">
        <v>16</v>
      </c>
      <c r="C8" s="7" t="s">
        <v>17</v>
      </c>
      <c r="D8" s="7" t="s">
        <v>17</v>
      </c>
      <c r="E8" s="7" t="s">
        <v>17</v>
      </c>
      <c r="F8" s="7" t="s">
        <v>17</v>
      </c>
      <c r="G8" s="7" t="s">
        <v>17</v>
      </c>
      <c r="I8" s="11" t="s">
        <v>16</v>
      </c>
      <c r="J8" s="7" t="s">
        <v>17</v>
      </c>
      <c r="K8" s="7" t="s">
        <v>17</v>
      </c>
      <c r="M8" s="47" t="s">
        <v>18</v>
      </c>
      <c r="N8" s="40"/>
      <c r="O8" s="53">
        <v>25.09</v>
      </c>
      <c r="P8" s="53">
        <v>25.09</v>
      </c>
      <c r="Q8" s="53">
        <v>25.09</v>
      </c>
      <c r="R8" s="53">
        <v>25</v>
      </c>
      <c r="S8" s="11"/>
      <c r="T8" s="7"/>
      <c r="U8" s="7"/>
    </row>
    <row r="9" spans="1:21" x14ac:dyDescent="0.35">
      <c r="B9" s="11" t="s">
        <v>19</v>
      </c>
      <c r="C9" s="6">
        <f>+(C7*E3/1000)*1.01*75%</f>
        <v>12.636494769600002</v>
      </c>
      <c r="D9" s="6">
        <f>+(D7*$E$3/1000)*1.01*75%</f>
        <v>13.527529657199999</v>
      </c>
      <c r="E9" s="6">
        <f>+(E7*$E$3/1000)*1.01*75%</f>
        <v>16.605650177999998</v>
      </c>
      <c r="F9" s="6">
        <f>+(F7*E3/1000)*1.01</f>
        <v>33.049294012800004</v>
      </c>
      <c r="G9" s="6">
        <f>+(G7*$E$3/1000)*1.01*75%</f>
        <v>24.786970509600003</v>
      </c>
      <c r="I9" s="11" t="s">
        <v>19</v>
      </c>
      <c r="J9" s="6">
        <f>+(J7*K3/1000)*1.005</f>
        <v>16.120433159999997</v>
      </c>
      <c r="K9" s="6">
        <f>+(K7*K3/1000)*1.005</f>
        <v>22.031258651999995</v>
      </c>
      <c r="M9" s="48" t="s">
        <v>20</v>
      </c>
      <c r="N9" s="14"/>
      <c r="O9" s="43">
        <v>65</v>
      </c>
      <c r="P9" s="54">
        <v>65</v>
      </c>
      <c r="Q9" s="43">
        <v>65</v>
      </c>
      <c r="R9" s="43">
        <v>65</v>
      </c>
      <c r="S9" s="11" t="s">
        <v>21</v>
      </c>
      <c r="T9" s="6" t="s">
        <v>22</v>
      </c>
      <c r="U9" s="6"/>
    </row>
    <row r="10" spans="1:21" x14ac:dyDescent="0.35">
      <c r="B10" s="75" t="s">
        <v>23</v>
      </c>
      <c r="C10" s="76">
        <f>+(C7*$E$4/1000)*1.01*25%</f>
        <v>4.00155667704</v>
      </c>
      <c r="D10" s="76">
        <f>+(D7*$E$4/1000)*1.01*25%</f>
        <v>4.2837177247799998</v>
      </c>
      <c r="E10" s="76">
        <f>+(E7*$E$4/1000)*1.01*25%</f>
        <v>5.2584558896999996</v>
      </c>
      <c r="F10" s="76">
        <v>0</v>
      </c>
      <c r="G10" s="76">
        <f>+(G7*$E$4/1000)*1.01*25%</f>
        <v>7.8492073280400012</v>
      </c>
      <c r="I10" s="75" t="s">
        <v>23</v>
      </c>
      <c r="J10" s="76">
        <v>0</v>
      </c>
      <c r="K10" s="76">
        <v>0</v>
      </c>
      <c r="M10" s="46"/>
      <c r="N10" s="35"/>
      <c r="O10" s="43">
        <f>SUM(O7:O9)</f>
        <v>1028.22</v>
      </c>
      <c r="P10" s="43">
        <f>SUM(P7:P9)</f>
        <v>1049.0900000000001</v>
      </c>
      <c r="Q10" s="43">
        <f>SUM(Q7:Q9)</f>
        <v>1096.3399999999999</v>
      </c>
      <c r="R10" s="43">
        <f>SUM(R7:R9)</f>
        <v>1083.75</v>
      </c>
      <c r="S10" s="11" t="s">
        <v>24</v>
      </c>
      <c r="T10" s="6"/>
      <c r="U10" s="6"/>
    </row>
    <row r="11" spans="1:21" x14ac:dyDescent="0.35">
      <c r="B11" s="11" t="s">
        <v>25</v>
      </c>
      <c r="C11" s="6">
        <v>8.1999999999999993</v>
      </c>
      <c r="D11" s="6">
        <v>8.1999999999999993</v>
      </c>
      <c r="E11" s="6">
        <v>8.1999999999999993</v>
      </c>
      <c r="F11" s="6">
        <v>11.15</v>
      </c>
      <c r="G11" s="6">
        <v>11.15</v>
      </c>
      <c r="I11" s="11" t="s">
        <v>26</v>
      </c>
      <c r="J11" s="6">
        <v>27.2</v>
      </c>
      <c r="K11" s="6">
        <v>27.2</v>
      </c>
      <c r="M11" s="47" t="s">
        <v>27</v>
      </c>
      <c r="N11" s="40"/>
      <c r="O11" s="53">
        <f>+O10*4%</f>
        <v>41.128800000000005</v>
      </c>
      <c r="P11" s="43">
        <f>+P10*4%</f>
        <v>41.963600000000007</v>
      </c>
      <c r="Q11" s="53">
        <f>+Q10*4%</f>
        <v>43.8536</v>
      </c>
      <c r="R11" s="53">
        <f>+R10*4%</f>
        <v>43.35</v>
      </c>
      <c r="S11" s="11"/>
      <c r="T11" s="6"/>
      <c r="U11" s="6"/>
    </row>
    <row r="12" spans="1:21" x14ac:dyDescent="0.35">
      <c r="B12" s="11" t="s">
        <v>28</v>
      </c>
      <c r="C12" s="6">
        <v>0</v>
      </c>
      <c r="D12" s="6">
        <v>0</v>
      </c>
      <c r="E12" s="6">
        <v>0</v>
      </c>
      <c r="F12" s="6">
        <v>0</v>
      </c>
      <c r="G12" s="6">
        <v>0</v>
      </c>
      <c r="I12" s="11" t="s">
        <v>29</v>
      </c>
      <c r="J12" s="6">
        <v>0</v>
      </c>
      <c r="K12" s="6">
        <v>0</v>
      </c>
      <c r="M12" s="48" t="s">
        <v>30</v>
      </c>
      <c r="N12" s="14"/>
      <c r="O12" s="50">
        <f>+O11+O10</f>
        <v>1069.3488</v>
      </c>
      <c r="P12" s="55">
        <f>+P11+P10</f>
        <v>1091.0536000000002</v>
      </c>
      <c r="Q12" s="50">
        <f>+Q11+Q10</f>
        <v>1140.1935999999998</v>
      </c>
      <c r="R12" s="50">
        <f>+R11+R10</f>
        <v>1127.0999999999999</v>
      </c>
      <c r="S12" s="11"/>
      <c r="T12" s="6"/>
      <c r="U12" s="6"/>
    </row>
    <row r="13" spans="1:21" x14ac:dyDescent="0.35">
      <c r="B13" s="11" t="s">
        <v>31</v>
      </c>
      <c r="C13" s="6">
        <v>1.3</v>
      </c>
      <c r="D13" s="6">
        <v>1.3</v>
      </c>
      <c r="E13" s="6">
        <v>1.3</v>
      </c>
      <c r="F13" s="6">
        <v>2.38</v>
      </c>
      <c r="G13" s="6">
        <v>2.38</v>
      </c>
      <c r="I13" s="11" t="s">
        <v>31</v>
      </c>
      <c r="J13" s="6">
        <v>0.81</v>
      </c>
      <c r="K13" s="6">
        <v>1.99</v>
      </c>
      <c r="M13" s="49" t="s">
        <v>32</v>
      </c>
      <c r="N13" s="41"/>
      <c r="O13" s="56">
        <f>+O12*(1-5%)</f>
        <v>1015.88136</v>
      </c>
      <c r="P13" s="56">
        <f t="shared" ref="P13:R13" si="2">+P12*(1-5%)</f>
        <v>1036.5009200000002</v>
      </c>
      <c r="Q13" s="56">
        <f t="shared" si="2"/>
        <v>1083.1839199999997</v>
      </c>
      <c r="R13" s="56">
        <f t="shared" si="2"/>
        <v>1070.7449999999999</v>
      </c>
      <c r="S13" s="11" t="s">
        <v>33</v>
      </c>
      <c r="T13" s="6"/>
      <c r="U13" s="6"/>
    </row>
    <row r="14" spans="1:21" x14ac:dyDescent="0.35">
      <c r="B14" s="11" t="s">
        <v>34</v>
      </c>
      <c r="C14" s="6">
        <v>0.19</v>
      </c>
      <c r="D14" s="6">
        <v>0.19</v>
      </c>
      <c r="E14" s="6">
        <v>0.19</v>
      </c>
      <c r="F14" s="6">
        <v>0.33</v>
      </c>
      <c r="G14" s="6">
        <v>0.33</v>
      </c>
      <c r="I14" s="11" t="s">
        <v>34</v>
      </c>
      <c r="J14" s="6">
        <v>2.71</v>
      </c>
      <c r="K14" s="6">
        <v>2.71</v>
      </c>
      <c r="M14" s="48" t="s">
        <v>35</v>
      </c>
      <c r="N14" s="42"/>
      <c r="O14" s="50">
        <f>+O12*75%+O13*25%</f>
        <v>1055.9819400000001</v>
      </c>
      <c r="P14" s="50">
        <f t="shared" ref="P14:R14" si="3">+P12*75%+P13*25%</f>
        <v>1077.4154300000002</v>
      </c>
      <c r="Q14" s="50">
        <f t="shared" si="3"/>
        <v>1125.9411799999998</v>
      </c>
      <c r="R14" s="50">
        <f t="shared" si="3"/>
        <v>1113.01125</v>
      </c>
      <c r="S14" s="11"/>
      <c r="T14" s="6"/>
      <c r="U14" s="6"/>
    </row>
    <row r="15" spans="1:21" x14ac:dyDescent="0.35">
      <c r="B15" s="11" t="s">
        <v>36</v>
      </c>
      <c r="C15" s="80">
        <v>0.16</v>
      </c>
      <c r="D15" s="80">
        <v>0.16</v>
      </c>
      <c r="E15" s="80">
        <v>0.16</v>
      </c>
      <c r="F15" s="80">
        <v>0.28000000000000003</v>
      </c>
      <c r="G15" s="80">
        <v>0.28000000000000003</v>
      </c>
      <c r="H15" s="81"/>
      <c r="I15" s="79" t="s">
        <v>36</v>
      </c>
      <c r="J15" s="80">
        <v>7.77</v>
      </c>
      <c r="K15" s="80">
        <v>7.77</v>
      </c>
      <c r="L15" s="81"/>
      <c r="M15" s="49" t="s">
        <v>37</v>
      </c>
      <c r="N15" s="44"/>
      <c r="O15" s="57">
        <f>+O14*1%</f>
        <v>10.559819400000002</v>
      </c>
      <c r="P15" s="57">
        <f t="shared" ref="P15:R15" si="4">+P14*1%</f>
        <v>10.774154300000003</v>
      </c>
      <c r="Q15" s="57">
        <f t="shared" si="4"/>
        <v>11.259411799999999</v>
      </c>
      <c r="R15" s="57">
        <f t="shared" si="4"/>
        <v>11.130112500000001</v>
      </c>
      <c r="S15" s="11"/>
      <c r="T15" s="6"/>
      <c r="U15" s="6"/>
    </row>
    <row r="16" spans="1:21" x14ac:dyDescent="0.35">
      <c r="A16" t="s">
        <v>38</v>
      </c>
      <c r="B16" s="8" t="s">
        <v>39</v>
      </c>
      <c r="C16" s="84">
        <f>SUM(C9:C15)</f>
        <v>26.488051446640004</v>
      </c>
      <c r="D16" s="84">
        <f>SUM(D9:D15)</f>
        <v>27.661247381980001</v>
      </c>
      <c r="E16" s="84">
        <f>SUM(E9:E15)</f>
        <v>31.714106067699998</v>
      </c>
      <c r="F16" s="84">
        <f>SUM(F9:F15)</f>
        <v>47.189294012800005</v>
      </c>
      <c r="G16" s="84">
        <f>SUM(G9:G15)</f>
        <v>46.776177837640006</v>
      </c>
      <c r="H16" s="81"/>
      <c r="I16" s="85" t="s">
        <v>39</v>
      </c>
      <c r="J16" s="84">
        <f>SUM(J9:J15)</f>
        <v>54.610433159999999</v>
      </c>
      <c r="K16" s="84">
        <f>SUM(K9:K15)</f>
        <v>61.701258651999993</v>
      </c>
      <c r="L16" s="81"/>
      <c r="M16" s="49" t="s">
        <v>40</v>
      </c>
      <c r="N16" s="45"/>
      <c r="O16" s="56">
        <f>+O15+O14</f>
        <v>1066.5417594</v>
      </c>
      <c r="P16" s="56">
        <f t="shared" ref="P16:R16" si="5">+P15+P14</f>
        <v>1088.1895843000002</v>
      </c>
      <c r="Q16" s="56">
        <f t="shared" si="5"/>
        <v>1137.2005917999998</v>
      </c>
      <c r="R16" s="56">
        <f t="shared" si="5"/>
        <v>1124.1413625</v>
      </c>
      <c r="S16" s="8"/>
      <c r="T16" s="12"/>
      <c r="U16" s="12"/>
    </row>
    <row r="17" spans="2:21" x14ac:dyDescent="0.35">
      <c r="B17" s="8"/>
      <c r="C17" s="12"/>
      <c r="D17" s="12"/>
      <c r="E17" s="12"/>
      <c r="F17" s="12"/>
      <c r="G17" s="12"/>
      <c r="H17" s="13"/>
      <c r="J17" s="12"/>
      <c r="K17" s="12"/>
      <c r="M17" s="8" t="s">
        <v>41</v>
      </c>
      <c r="N17" s="12"/>
      <c r="O17" s="58">
        <f>+D5</f>
        <v>1066.5417594</v>
      </c>
      <c r="P17" s="58">
        <f>+O17</f>
        <v>1066.5417594</v>
      </c>
      <c r="Q17" s="58">
        <f>+P17</f>
        <v>1066.5417594</v>
      </c>
      <c r="R17" s="58">
        <f>+Q17</f>
        <v>1066.5417594</v>
      </c>
      <c r="T17" s="12"/>
      <c r="U17" s="12"/>
    </row>
    <row r="18" spans="2:21" x14ac:dyDescent="0.35">
      <c r="H18" s="13"/>
      <c r="M18" s="1"/>
      <c r="N18" s="1"/>
      <c r="O18" s="1"/>
      <c r="P18" s="1"/>
      <c r="R18" s="13"/>
      <c r="T18" s="1"/>
      <c r="U18" s="1"/>
    </row>
    <row r="19" spans="2:21" x14ac:dyDescent="0.35">
      <c r="T19" s="1"/>
      <c r="U19" s="1"/>
    </row>
    <row r="20" spans="2:21" x14ac:dyDescent="0.35">
      <c r="T20" s="1"/>
      <c r="U20" s="1"/>
    </row>
    <row r="32" spans="2:21" x14ac:dyDescent="0.35">
      <c r="B32" s="1" t="s">
        <v>51</v>
      </c>
      <c r="K32" s="1" t="s">
        <v>52</v>
      </c>
    </row>
  </sheetData>
  <mergeCells count="9">
    <mergeCell ref="B4:D4"/>
    <mergeCell ref="I4:J4"/>
    <mergeCell ref="S4:T4"/>
    <mergeCell ref="B6:G6"/>
    <mergeCell ref="M2:U2"/>
    <mergeCell ref="B3:D3"/>
    <mergeCell ref="I3:J3"/>
    <mergeCell ref="M3:O3"/>
    <mergeCell ref="S3:T3"/>
  </mergeCells>
  <pageMargins left="0.7" right="0.7" top="0.75" bottom="0.75" header="0.3" footer="0.3"/>
  <pageSetup paperSize="9" orientation="portrait" r:id="rId1"/>
  <customProperties>
    <customPr name="EpmWorksheetKeyString_GUID" r:id="rId2"/>
  </customPropertie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2:U30"/>
  <sheetViews>
    <sheetView showGridLines="0" zoomScale="70" zoomScaleNormal="70" workbookViewId="0">
      <selection activeCell="AC7" sqref="AC7"/>
    </sheetView>
  </sheetViews>
  <sheetFormatPr defaultColWidth="11.453125" defaultRowHeight="14.5" x14ac:dyDescent="0.35"/>
  <cols>
    <col min="1" max="1" width="5.1796875" customWidth="1"/>
    <col min="2" max="2" width="22.1796875" style="1" customWidth="1"/>
    <col min="3" max="7" width="11.453125" style="1" customWidth="1"/>
    <col min="8" max="8" width="4.1796875" customWidth="1"/>
    <col min="9" max="9" width="23.1796875" customWidth="1"/>
    <col min="10" max="10" width="17.54296875" style="1" customWidth="1"/>
    <col min="11" max="11" width="11.453125" style="1"/>
    <col min="12" max="12" width="8.54296875" customWidth="1"/>
    <col min="13" max="13" width="30.1796875" customWidth="1"/>
    <col min="14" max="14" width="1" customWidth="1"/>
    <col min="15" max="15" width="16.1796875" customWidth="1"/>
    <col min="16" max="16" width="17.54296875" customWidth="1"/>
    <col min="17" max="17" width="14.54296875" bestFit="1" customWidth="1"/>
    <col min="18" max="18" width="15.81640625" customWidth="1"/>
  </cols>
  <sheetData>
    <row r="2" spans="1:21" x14ac:dyDescent="0.35">
      <c r="B2" s="71"/>
      <c r="C2" s="71"/>
      <c r="D2" s="71"/>
      <c r="E2" s="71"/>
      <c r="F2" s="71"/>
      <c r="G2" s="71"/>
      <c r="H2" s="71"/>
      <c r="I2" s="71"/>
      <c r="J2" s="71"/>
      <c r="K2" s="71"/>
      <c r="M2" s="565"/>
      <c r="N2" s="565"/>
      <c r="O2" s="565"/>
      <c r="P2" s="565"/>
      <c r="Q2" s="565"/>
      <c r="R2" s="565"/>
      <c r="S2" s="565"/>
      <c r="T2" s="565"/>
      <c r="U2" s="565"/>
    </row>
    <row r="3" spans="1:21" x14ac:dyDescent="0.35">
      <c r="B3" s="571" t="s">
        <v>1</v>
      </c>
      <c r="C3" s="571"/>
      <c r="D3" s="571"/>
      <c r="E3" s="3">
        <v>1091.0536000000002</v>
      </c>
      <c r="G3" s="3"/>
      <c r="H3" s="4"/>
      <c r="I3" s="571" t="s">
        <v>1</v>
      </c>
      <c r="J3" s="571"/>
      <c r="K3" s="3">
        <v>1091.0536000000002</v>
      </c>
      <c r="M3" s="571"/>
      <c r="N3" s="571"/>
      <c r="O3" s="571"/>
      <c r="P3" s="3"/>
      <c r="Q3" s="4"/>
      <c r="R3" s="2"/>
      <c r="S3" s="571"/>
      <c r="T3" s="571"/>
      <c r="U3" s="3"/>
    </row>
    <row r="4" spans="1:21" x14ac:dyDescent="0.35">
      <c r="B4" s="571" t="s">
        <v>2</v>
      </c>
      <c r="C4" s="571"/>
      <c r="D4" s="571"/>
      <c r="E4" s="3">
        <v>1036.5009200000002</v>
      </c>
      <c r="G4" s="3"/>
      <c r="H4" s="6"/>
      <c r="I4" s="571" t="s">
        <v>3</v>
      </c>
      <c r="J4" s="571"/>
      <c r="K4" s="3">
        <v>0</v>
      </c>
      <c r="M4" s="38"/>
      <c r="N4" s="21"/>
      <c r="O4" s="21"/>
      <c r="P4" s="18"/>
      <c r="R4" s="2"/>
      <c r="S4" s="571"/>
      <c r="T4" s="571"/>
      <c r="U4" s="3"/>
    </row>
    <row r="5" spans="1:21" ht="23.5" x14ac:dyDescent="0.55000000000000004">
      <c r="B5" s="7"/>
      <c r="C5" s="34">
        <f>+(C9+C10)/C7*1000</f>
        <v>1088.4459945564104</v>
      </c>
      <c r="D5" s="34">
        <f t="shared" ref="D5:F5" si="0">+(D9+D10)/D7*1000</f>
        <v>1088.1895843000002</v>
      </c>
      <c r="E5" s="34"/>
      <c r="F5" s="34">
        <f t="shared" si="0"/>
        <v>1101.9641360000003</v>
      </c>
      <c r="G5" s="34"/>
      <c r="I5" s="7"/>
      <c r="J5" s="34">
        <f t="shared" ref="J5:K5" si="1">+(J9+J10)/J7*1000</f>
        <v>1096.3755346666669</v>
      </c>
      <c r="K5" s="34">
        <f t="shared" si="1"/>
        <v>1096.5088679999999</v>
      </c>
      <c r="M5" s="61" t="s">
        <v>4</v>
      </c>
      <c r="N5" s="1"/>
      <c r="O5" s="1"/>
      <c r="P5" s="21"/>
      <c r="Q5" s="13"/>
      <c r="R5" s="2"/>
      <c r="S5" s="7"/>
      <c r="T5" s="7"/>
      <c r="U5" s="3"/>
    </row>
    <row r="6" spans="1:21" ht="43.5" x14ac:dyDescent="0.35">
      <c r="B6" s="571" t="s">
        <v>5</v>
      </c>
      <c r="C6" s="571"/>
      <c r="D6" s="571"/>
      <c r="E6" s="571"/>
      <c r="F6" s="571"/>
      <c r="G6" s="571"/>
      <c r="H6" s="571"/>
      <c r="I6" s="8" t="s">
        <v>6</v>
      </c>
      <c r="J6" s="9" t="s">
        <v>7</v>
      </c>
      <c r="K6" s="9" t="s">
        <v>8</v>
      </c>
      <c r="M6" s="22"/>
      <c r="N6" s="22"/>
      <c r="O6" s="39" t="s">
        <v>9</v>
      </c>
      <c r="P6" s="39" t="s">
        <v>10</v>
      </c>
      <c r="Q6" s="39" t="s">
        <v>11</v>
      </c>
      <c r="R6" s="39" t="s">
        <v>12</v>
      </c>
      <c r="S6" s="8"/>
      <c r="T6" s="9"/>
      <c r="U6" s="9"/>
    </row>
    <row r="7" spans="1:21" x14ac:dyDescent="0.35">
      <c r="B7" s="8" t="s">
        <v>13</v>
      </c>
      <c r="C7" s="10">
        <v>15.6</v>
      </c>
      <c r="D7" s="10">
        <v>16.7</v>
      </c>
      <c r="E7" s="10">
        <v>20.5</v>
      </c>
      <c r="F7" s="10">
        <v>30.6</v>
      </c>
      <c r="G7" s="10">
        <v>30.6</v>
      </c>
      <c r="H7" s="10"/>
      <c r="I7" s="8" t="s">
        <v>13</v>
      </c>
      <c r="J7" s="10">
        <v>15</v>
      </c>
      <c r="K7" s="10">
        <v>20.5</v>
      </c>
      <c r="M7" s="46" t="s">
        <v>14</v>
      </c>
      <c r="N7" s="35"/>
      <c r="O7" s="51">
        <v>938.13</v>
      </c>
      <c r="P7" s="52">
        <v>959</v>
      </c>
      <c r="Q7" s="51">
        <v>1006.25</v>
      </c>
      <c r="R7" s="62">
        <v>993.75</v>
      </c>
      <c r="S7" s="8" t="s">
        <v>15</v>
      </c>
      <c r="T7" s="10"/>
      <c r="U7" s="10"/>
    </row>
    <row r="8" spans="1:21" x14ac:dyDescent="0.35">
      <c r="B8" s="11" t="s">
        <v>16</v>
      </c>
      <c r="C8" s="7" t="s">
        <v>17</v>
      </c>
      <c r="D8" s="7" t="s">
        <v>17</v>
      </c>
      <c r="E8" s="7" t="s">
        <v>17</v>
      </c>
      <c r="F8" s="7" t="s">
        <v>17</v>
      </c>
      <c r="G8" s="7" t="s">
        <v>17</v>
      </c>
      <c r="H8" s="7"/>
      <c r="I8" s="11" t="s">
        <v>16</v>
      </c>
      <c r="J8" s="7" t="s">
        <v>17</v>
      </c>
      <c r="K8" s="7" t="s">
        <v>17</v>
      </c>
      <c r="M8" s="47" t="s">
        <v>18</v>
      </c>
      <c r="N8" s="40"/>
      <c r="O8" s="53">
        <v>25.09</v>
      </c>
      <c r="P8" s="53">
        <v>25.09</v>
      </c>
      <c r="Q8" s="53">
        <v>25.09</v>
      </c>
      <c r="R8" s="53">
        <v>25</v>
      </c>
      <c r="S8" s="11"/>
      <c r="T8" s="7"/>
      <c r="U8" s="7"/>
    </row>
    <row r="9" spans="1:21" x14ac:dyDescent="0.35">
      <c r="B9" s="79" t="s">
        <v>19</v>
      </c>
      <c r="C9" s="80">
        <f>+(C7*E3/1000)*1.01*75%</f>
        <v>12.892980391200002</v>
      </c>
      <c r="D9" s="80">
        <f>+(D7*$E$3/1000)*1.01*75%</f>
        <v>13.802100803400002</v>
      </c>
      <c r="E9" s="80">
        <f>+(E7*$E$3/1000)*1.01*75%</f>
        <v>16.942698591000003</v>
      </c>
      <c r="F9" s="80">
        <f>+(F7*E3/1000)*1.01</f>
        <v>33.720102561600008</v>
      </c>
      <c r="G9" s="80">
        <f>+(G7*$E$3/1000)*1.01*75%</f>
        <v>25.290076921200004</v>
      </c>
      <c r="H9" s="80"/>
      <c r="I9" s="79" t="s">
        <v>19</v>
      </c>
      <c r="J9" s="80">
        <f>+(J7*K3/1000)*1.005-0.002</f>
        <v>16.445633020000002</v>
      </c>
      <c r="K9" s="80">
        <f>+(K7*K3/1000)*1.005</f>
        <v>22.478431793999999</v>
      </c>
      <c r="M9" s="48" t="s">
        <v>20</v>
      </c>
      <c r="N9" s="14"/>
      <c r="O9" s="43">
        <v>65</v>
      </c>
      <c r="P9" s="54">
        <v>65</v>
      </c>
      <c r="Q9" s="43">
        <v>65</v>
      </c>
      <c r="R9" s="43">
        <v>65</v>
      </c>
      <c r="S9" s="11" t="s">
        <v>21</v>
      </c>
      <c r="T9" s="6" t="s">
        <v>22</v>
      </c>
      <c r="U9" s="6"/>
    </row>
    <row r="10" spans="1:21" x14ac:dyDescent="0.35">
      <c r="B10" s="79" t="s">
        <v>23</v>
      </c>
      <c r="C10" s="76">
        <f>+(C7*$E$4/1000)*1.01*25%+0.004</f>
        <v>4.0867771238800001</v>
      </c>
      <c r="D10" s="76">
        <f>+(D7*$E$4/1000)*1.01*25%</f>
        <v>4.3706652544100004</v>
      </c>
      <c r="E10" s="76">
        <f>+(E7*$E$4/1000)*1.01*25%</f>
        <v>5.3651878871500012</v>
      </c>
      <c r="F10" s="76">
        <v>0</v>
      </c>
      <c r="G10" s="76">
        <f>+(G7*$E$4/1000)*1.01*25%</f>
        <v>8.0085243583800025</v>
      </c>
      <c r="H10" s="80"/>
      <c r="I10" s="75" t="s">
        <v>23</v>
      </c>
      <c r="J10" s="76">
        <v>0</v>
      </c>
      <c r="K10" s="76">
        <v>0</v>
      </c>
      <c r="M10" s="46"/>
      <c r="N10" s="35"/>
      <c r="O10" s="43">
        <f>SUM(O7:O9)</f>
        <v>1028.22</v>
      </c>
      <c r="P10" s="43">
        <f>SUM(P7:P9)</f>
        <v>1049.0900000000001</v>
      </c>
      <c r="Q10" s="43">
        <f>SUM(Q7:Q9)</f>
        <v>1096.3399999999999</v>
      </c>
      <c r="R10" s="43">
        <f>SUM(R7:R9)</f>
        <v>1083.75</v>
      </c>
      <c r="S10" s="11" t="s">
        <v>24</v>
      </c>
      <c r="T10" s="6"/>
      <c r="U10" s="6"/>
    </row>
    <row r="11" spans="1:21" x14ac:dyDescent="0.35">
      <c r="B11" s="11" t="s">
        <v>25</v>
      </c>
      <c r="C11" s="6">
        <v>8.1999999999999993</v>
      </c>
      <c r="D11" s="6">
        <v>8.1999999999999993</v>
      </c>
      <c r="E11" s="6">
        <v>8.1999999999999993</v>
      </c>
      <c r="F11" s="6">
        <v>11.15</v>
      </c>
      <c r="G11" s="6">
        <v>11.15</v>
      </c>
      <c r="H11" s="6"/>
      <c r="I11" s="11" t="s">
        <v>26</v>
      </c>
      <c r="J11" s="6">
        <v>27.2</v>
      </c>
      <c r="K11" s="6">
        <v>27.2</v>
      </c>
      <c r="M11" s="47" t="s">
        <v>27</v>
      </c>
      <c r="N11" s="40"/>
      <c r="O11" s="53">
        <f>+O10*4%</f>
        <v>41.128800000000005</v>
      </c>
      <c r="P11" s="43">
        <f>+P10*4%</f>
        <v>41.963600000000007</v>
      </c>
      <c r="Q11" s="53">
        <f>+Q10*4%</f>
        <v>43.8536</v>
      </c>
      <c r="R11" s="53">
        <f>+R10*4%</f>
        <v>43.35</v>
      </c>
      <c r="S11" s="11"/>
      <c r="T11" s="6"/>
      <c r="U11" s="6"/>
    </row>
    <row r="12" spans="1:21" x14ac:dyDescent="0.35">
      <c r="B12" s="11" t="s">
        <v>28</v>
      </c>
      <c r="C12" s="6">
        <v>0</v>
      </c>
      <c r="D12" s="6">
        <v>0</v>
      </c>
      <c r="E12" s="6">
        <v>0</v>
      </c>
      <c r="F12" s="6">
        <v>0</v>
      </c>
      <c r="G12" s="6">
        <v>0</v>
      </c>
      <c r="H12" s="6"/>
      <c r="I12" s="11" t="s">
        <v>29</v>
      </c>
      <c r="J12" s="6">
        <v>0</v>
      </c>
      <c r="K12" s="6">
        <v>0</v>
      </c>
      <c r="M12" s="48" t="s">
        <v>30</v>
      </c>
      <c r="N12" s="14"/>
      <c r="O12" s="50">
        <f>+O11+O10</f>
        <v>1069.3488</v>
      </c>
      <c r="P12" s="55">
        <f>+P11+P10</f>
        <v>1091.0536000000002</v>
      </c>
      <c r="Q12" s="50">
        <f>+Q11+Q10</f>
        <v>1140.1935999999998</v>
      </c>
      <c r="R12" s="50">
        <f>+R11+R10</f>
        <v>1127.0999999999999</v>
      </c>
      <c r="S12" s="11"/>
      <c r="T12" s="6"/>
      <c r="U12" s="6"/>
    </row>
    <row r="13" spans="1:21" x14ac:dyDescent="0.35">
      <c r="B13" s="11" t="s">
        <v>31</v>
      </c>
      <c r="C13" s="6">
        <v>1.3</v>
      </c>
      <c r="D13" s="6">
        <v>1.3</v>
      </c>
      <c r="E13" s="6">
        <v>1.3</v>
      </c>
      <c r="F13" s="6">
        <v>2.38</v>
      </c>
      <c r="G13" s="6">
        <v>2.38</v>
      </c>
      <c r="H13" s="6"/>
      <c r="I13" s="11" t="s">
        <v>31</v>
      </c>
      <c r="J13" s="6">
        <v>0.81</v>
      </c>
      <c r="K13" s="6">
        <v>1.99</v>
      </c>
      <c r="M13" s="49" t="s">
        <v>32</v>
      </c>
      <c r="N13" s="41"/>
      <c r="O13" s="56">
        <f>+O12*(1-5%)</f>
        <v>1015.88136</v>
      </c>
      <c r="P13" s="56">
        <f t="shared" ref="P13:R13" si="2">+P12*(1-5%)</f>
        <v>1036.5009200000002</v>
      </c>
      <c r="Q13" s="56">
        <f t="shared" si="2"/>
        <v>1083.1839199999997</v>
      </c>
      <c r="R13" s="56">
        <f t="shared" si="2"/>
        <v>1070.7449999999999</v>
      </c>
      <c r="S13" s="11" t="s">
        <v>33</v>
      </c>
      <c r="T13" s="6"/>
      <c r="U13" s="6"/>
    </row>
    <row r="14" spans="1:21" x14ac:dyDescent="0.35">
      <c r="B14" s="11" t="s">
        <v>34</v>
      </c>
      <c r="C14" s="6">
        <v>0.19</v>
      </c>
      <c r="D14" s="6">
        <v>0.19</v>
      </c>
      <c r="E14" s="6">
        <v>0.19</v>
      </c>
      <c r="F14" s="6">
        <v>0.33</v>
      </c>
      <c r="G14" s="6">
        <v>0.33</v>
      </c>
      <c r="H14" s="6"/>
      <c r="I14" s="11" t="s">
        <v>34</v>
      </c>
      <c r="J14" s="6">
        <v>2.71</v>
      </c>
      <c r="K14" s="6">
        <v>2.71</v>
      </c>
      <c r="M14" s="48" t="s">
        <v>35</v>
      </c>
      <c r="N14" s="42"/>
      <c r="O14" s="50">
        <f>+O12*75%+O13*25%</f>
        <v>1055.9819400000001</v>
      </c>
      <c r="P14" s="50">
        <f t="shared" ref="P14:R14" si="3">+P12*75%+P13*25%</f>
        <v>1077.4154300000002</v>
      </c>
      <c r="Q14" s="50">
        <f t="shared" si="3"/>
        <v>1125.9411799999998</v>
      </c>
      <c r="R14" s="50">
        <f t="shared" si="3"/>
        <v>1113.01125</v>
      </c>
      <c r="S14" s="11"/>
      <c r="T14" s="6"/>
      <c r="U14" s="6"/>
    </row>
    <row r="15" spans="1:21" x14ac:dyDescent="0.35">
      <c r="B15" s="11" t="s">
        <v>36</v>
      </c>
      <c r="C15" s="6">
        <v>0.16</v>
      </c>
      <c r="D15" s="6">
        <v>0.16</v>
      </c>
      <c r="E15" s="6">
        <v>0.16</v>
      </c>
      <c r="F15" s="6">
        <v>0.28000000000000003</v>
      </c>
      <c r="G15" s="6">
        <v>0.28000000000000003</v>
      </c>
      <c r="H15" s="6"/>
      <c r="I15" s="11" t="s">
        <v>36</v>
      </c>
      <c r="J15" s="6">
        <v>7.77</v>
      </c>
      <c r="K15" s="6">
        <v>7.77</v>
      </c>
      <c r="M15" s="49" t="s">
        <v>37</v>
      </c>
      <c r="N15" s="44"/>
      <c r="O15" s="57">
        <f>+O14*1%</f>
        <v>10.559819400000002</v>
      </c>
      <c r="P15" s="57">
        <f t="shared" ref="P15:R15" si="4">+P14*1%</f>
        <v>10.774154300000003</v>
      </c>
      <c r="Q15" s="57">
        <f t="shared" si="4"/>
        <v>11.259411799999999</v>
      </c>
      <c r="R15" s="57">
        <f t="shared" si="4"/>
        <v>11.130112500000001</v>
      </c>
      <c r="S15" s="11"/>
      <c r="T15" s="6"/>
      <c r="U15" s="6"/>
    </row>
    <row r="16" spans="1:21" x14ac:dyDescent="0.35">
      <c r="A16" t="s">
        <v>38</v>
      </c>
      <c r="B16" s="8" t="s">
        <v>39</v>
      </c>
      <c r="C16" s="12">
        <f>SUM(C9:C15)</f>
        <v>26.829757515080004</v>
      </c>
      <c r="D16" s="12">
        <f>SUM(D9:D15)</f>
        <v>28.022766057810003</v>
      </c>
      <c r="E16" s="12">
        <f>SUM(E9:E15)</f>
        <v>32.157886478150004</v>
      </c>
      <c r="F16" s="12">
        <f>SUM(F9:F15)</f>
        <v>47.860102561600009</v>
      </c>
      <c r="G16" s="12">
        <f>SUM(G9:G15)</f>
        <v>47.438601279580006</v>
      </c>
      <c r="H16" s="12"/>
      <c r="I16" s="8" t="s">
        <v>39</v>
      </c>
      <c r="J16" s="12">
        <f>SUM(J9:J15)</f>
        <v>54.935633020000012</v>
      </c>
      <c r="K16" s="12">
        <f>SUM(K9:K15)</f>
        <v>62.148431794000004</v>
      </c>
      <c r="M16" s="49" t="s">
        <v>40</v>
      </c>
      <c r="N16" s="45"/>
      <c r="O16" s="56">
        <f>+O15+O14</f>
        <v>1066.5417594</v>
      </c>
      <c r="P16" s="56">
        <f t="shared" ref="P16:R16" si="5">+P15+P14</f>
        <v>1088.1895843000002</v>
      </c>
      <c r="Q16" s="56">
        <f t="shared" si="5"/>
        <v>1137.2005917999998</v>
      </c>
      <c r="R16" s="56">
        <f t="shared" si="5"/>
        <v>1124.1413625</v>
      </c>
      <c r="S16" s="8"/>
      <c r="T16" s="12"/>
      <c r="U16" s="12"/>
    </row>
    <row r="17" spans="2:21" x14ac:dyDescent="0.35">
      <c r="B17" s="8"/>
      <c r="C17" s="12"/>
      <c r="D17" s="12"/>
      <c r="E17" s="12"/>
      <c r="F17" s="12"/>
      <c r="G17" s="12"/>
      <c r="H17" s="12"/>
      <c r="J17" s="12"/>
      <c r="K17" s="12"/>
      <c r="M17" s="8" t="s">
        <v>41</v>
      </c>
      <c r="N17" s="12"/>
      <c r="O17" s="58">
        <f>+D5</f>
        <v>1088.1895843000002</v>
      </c>
      <c r="P17" s="58">
        <f>+O17</f>
        <v>1088.1895843000002</v>
      </c>
      <c r="Q17" s="58">
        <f>+P17</f>
        <v>1088.1895843000002</v>
      </c>
      <c r="R17" s="58">
        <f>+Q17</f>
        <v>1088.1895843000002</v>
      </c>
      <c r="T17" s="12"/>
      <c r="U17" s="12"/>
    </row>
    <row r="18" spans="2:21" x14ac:dyDescent="0.35">
      <c r="M18" s="1"/>
      <c r="N18" s="1"/>
      <c r="O18" s="1"/>
      <c r="P18" s="1"/>
      <c r="R18" s="13"/>
      <c r="T18" s="1"/>
      <c r="U18" s="1"/>
    </row>
    <row r="30" spans="2:21" x14ac:dyDescent="0.35">
      <c r="B30" s="1" t="s">
        <v>51</v>
      </c>
      <c r="K30" s="1" t="s">
        <v>52</v>
      </c>
    </row>
  </sheetData>
  <mergeCells count="9">
    <mergeCell ref="B4:D4"/>
    <mergeCell ref="I4:J4"/>
    <mergeCell ref="S4:T4"/>
    <mergeCell ref="B6:H6"/>
    <mergeCell ref="M2:U2"/>
    <mergeCell ref="B3:D3"/>
    <mergeCell ref="I3:J3"/>
    <mergeCell ref="M3:O3"/>
    <mergeCell ref="S3:T3"/>
  </mergeCells>
  <pageMargins left="0.7" right="0.7" top="0.75" bottom="0.75" header="0.3" footer="0.3"/>
  <pageSetup paperSize="9" orientation="portrait" r:id="rId1"/>
  <customProperties>
    <customPr name="EpmWorksheetKeyString_GUID" r:id="rId2"/>
  </customPropertie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V30"/>
  <sheetViews>
    <sheetView showGridLines="0" zoomScale="70" zoomScaleNormal="70" workbookViewId="0">
      <selection activeCell="AC7" sqref="AC7"/>
    </sheetView>
  </sheetViews>
  <sheetFormatPr defaultColWidth="11.453125" defaultRowHeight="14.5" x14ac:dyDescent="0.35"/>
  <cols>
    <col min="1" max="1" width="4.81640625" customWidth="1"/>
    <col min="2" max="2" width="22.1796875" style="1" customWidth="1"/>
    <col min="3" max="8" width="10.54296875" style="1" customWidth="1"/>
    <col min="9" max="9" width="5.1796875" customWidth="1"/>
    <col min="10" max="10" width="13" customWidth="1"/>
    <col min="11" max="11" width="22.453125" style="1" customWidth="1"/>
    <col min="12" max="12" width="11.453125" style="1"/>
    <col min="13" max="13" width="8.54296875" customWidth="1"/>
    <col min="14" max="14" width="30.1796875" customWidth="1"/>
    <col min="15" max="15" width="1" customWidth="1"/>
    <col min="16" max="16" width="16.1796875" customWidth="1"/>
    <col min="17" max="17" width="17.54296875" customWidth="1"/>
    <col min="18" max="18" width="14.54296875" bestFit="1" customWidth="1"/>
    <col min="19" max="19" width="15.81640625" customWidth="1"/>
  </cols>
  <sheetData>
    <row r="2" spans="1:22" x14ac:dyDescent="0.35">
      <c r="B2" s="71"/>
      <c r="C2" s="71"/>
      <c r="D2" s="71"/>
      <c r="E2" s="71"/>
      <c r="F2" s="71"/>
      <c r="G2" s="71"/>
      <c r="H2" s="71"/>
      <c r="I2" s="71"/>
      <c r="J2" s="71"/>
      <c r="K2" s="71"/>
      <c r="L2" s="71"/>
      <c r="N2" s="565"/>
      <c r="O2" s="565"/>
      <c r="P2" s="565"/>
      <c r="Q2" s="565"/>
      <c r="R2" s="565"/>
      <c r="S2" s="565"/>
      <c r="T2" s="565"/>
      <c r="U2" s="565"/>
      <c r="V2" s="565"/>
    </row>
    <row r="3" spans="1:22" x14ac:dyDescent="0.35">
      <c r="B3" s="572" t="s">
        <v>1</v>
      </c>
      <c r="C3" s="572"/>
      <c r="D3" s="572"/>
      <c r="E3" s="78">
        <v>1140.1935999999998</v>
      </c>
      <c r="F3" s="82"/>
      <c r="G3" s="78"/>
      <c r="H3" s="78"/>
      <c r="I3" s="83"/>
      <c r="J3" s="572" t="s">
        <v>1</v>
      </c>
      <c r="K3" s="572"/>
      <c r="L3" s="3">
        <v>1140.1935999999998</v>
      </c>
      <c r="N3" s="571"/>
      <c r="O3" s="571"/>
      <c r="P3" s="571"/>
      <c r="Q3" s="3"/>
      <c r="R3" s="4"/>
      <c r="S3" s="2"/>
      <c r="T3" s="571"/>
      <c r="U3" s="571"/>
      <c r="V3" s="3"/>
    </row>
    <row r="4" spans="1:22" x14ac:dyDescent="0.35">
      <c r="B4" s="572" t="s">
        <v>2</v>
      </c>
      <c r="C4" s="572"/>
      <c r="D4" s="572"/>
      <c r="E4" s="78">
        <v>1083.1839199999997</v>
      </c>
      <c r="F4" s="82"/>
      <c r="G4" s="78"/>
      <c r="H4" s="78"/>
      <c r="I4" s="80"/>
      <c r="J4" s="572" t="s">
        <v>3</v>
      </c>
      <c r="K4" s="572"/>
      <c r="L4" s="3">
        <v>0</v>
      </c>
      <c r="N4" s="38"/>
      <c r="O4" s="21"/>
      <c r="P4" s="21"/>
      <c r="Q4" s="18"/>
      <c r="S4" s="2"/>
      <c r="T4" s="571"/>
      <c r="U4" s="571"/>
      <c r="V4" s="3"/>
    </row>
    <row r="5" spans="1:22" ht="23.5" x14ac:dyDescent="0.55000000000000004">
      <c r="B5" s="7"/>
      <c r="C5" s="34">
        <f>+(C9+C10)/C7*1000</f>
        <v>1137.2005918</v>
      </c>
      <c r="D5" s="34">
        <f t="shared" ref="D5:F5" si="0">+(D9+D10)/D7*1000</f>
        <v>1137.2005918000002</v>
      </c>
      <c r="E5" s="34"/>
      <c r="F5" s="34">
        <f t="shared" si="0"/>
        <v>1151.5955359999998</v>
      </c>
      <c r="G5" s="34"/>
      <c r="H5" s="34"/>
      <c r="J5" s="7"/>
      <c r="K5" s="34">
        <f t="shared" ref="K5:L5" si="1">+(K9+K10)/K7*1000</f>
        <v>1145.6945679999997</v>
      </c>
      <c r="L5" s="34">
        <f t="shared" si="1"/>
        <v>1145.8945679999997</v>
      </c>
      <c r="N5" s="61" t="s">
        <v>4</v>
      </c>
      <c r="O5" s="1"/>
      <c r="P5" s="1"/>
      <c r="Q5" s="21"/>
      <c r="R5" s="13"/>
      <c r="S5" s="2"/>
      <c r="T5" s="7"/>
      <c r="U5" s="7"/>
      <c r="V5" s="3"/>
    </row>
    <row r="6" spans="1:22" ht="43.5" x14ac:dyDescent="0.35">
      <c r="B6" s="571" t="s">
        <v>5</v>
      </c>
      <c r="C6" s="571"/>
      <c r="D6" s="571"/>
      <c r="E6" s="571"/>
      <c r="F6" s="571"/>
      <c r="G6" s="571"/>
      <c r="H6" s="571"/>
      <c r="I6" s="571"/>
      <c r="J6" s="8" t="s">
        <v>6</v>
      </c>
      <c r="K6" s="9" t="s">
        <v>7</v>
      </c>
      <c r="L6" s="9" t="s">
        <v>8</v>
      </c>
      <c r="N6" s="22"/>
      <c r="O6" s="22"/>
      <c r="P6" s="39" t="s">
        <v>53</v>
      </c>
      <c r="Q6" s="39" t="s">
        <v>10</v>
      </c>
      <c r="R6" s="39" t="s">
        <v>11</v>
      </c>
      <c r="S6" s="39" t="s">
        <v>12</v>
      </c>
      <c r="T6" s="8"/>
      <c r="U6" s="9"/>
      <c r="V6" s="9"/>
    </row>
    <row r="7" spans="1:22" x14ac:dyDescent="0.35">
      <c r="B7" s="8" t="s">
        <v>13</v>
      </c>
      <c r="C7" s="10">
        <v>15.6</v>
      </c>
      <c r="D7" s="10">
        <v>16.7</v>
      </c>
      <c r="E7" s="10">
        <v>20.5</v>
      </c>
      <c r="F7" s="10">
        <v>30.6</v>
      </c>
      <c r="G7" s="10">
        <v>30.6</v>
      </c>
      <c r="H7" s="10">
        <v>38.6</v>
      </c>
      <c r="I7" s="10"/>
      <c r="J7" s="8" t="s">
        <v>13</v>
      </c>
      <c r="K7" s="10">
        <v>15</v>
      </c>
      <c r="L7" s="10">
        <v>20.5</v>
      </c>
      <c r="N7" s="46" t="s">
        <v>14</v>
      </c>
      <c r="O7" s="35"/>
      <c r="P7" s="51">
        <v>938.13</v>
      </c>
      <c r="Q7" s="52">
        <v>959</v>
      </c>
      <c r="R7" s="51">
        <v>1006.25</v>
      </c>
      <c r="S7" s="62">
        <v>993.75</v>
      </c>
      <c r="T7" s="8" t="s">
        <v>15</v>
      </c>
      <c r="U7" s="10"/>
      <c r="V7" s="10"/>
    </row>
    <row r="8" spans="1:22" x14ac:dyDescent="0.35">
      <c r="B8" s="11" t="s">
        <v>16</v>
      </c>
      <c r="C8" s="7" t="s">
        <v>17</v>
      </c>
      <c r="D8" s="7" t="s">
        <v>17</v>
      </c>
      <c r="E8" s="7" t="s">
        <v>17</v>
      </c>
      <c r="F8" s="7" t="s">
        <v>17</v>
      </c>
      <c r="G8" s="7" t="s">
        <v>17</v>
      </c>
      <c r="H8" s="7" t="s">
        <v>17</v>
      </c>
      <c r="I8" s="7"/>
      <c r="J8" s="11" t="s">
        <v>16</v>
      </c>
      <c r="K8" s="7" t="s">
        <v>17</v>
      </c>
      <c r="L8" s="7" t="s">
        <v>17</v>
      </c>
      <c r="N8" s="47" t="s">
        <v>18</v>
      </c>
      <c r="O8" s="40"/>
      <c r="P8" s="53">
        <v>25.09</v>
      </c>
      <c r="Q8" s="53">
        <v>25.09</v>
      </c>
      <c r="R8" s="53">
        <v>25.09</v>
      </c>
      <c r="S8" s="53">
        <v>25</v>
      </c>
      <c r="T8" s="11"/>
      <c r="U8" s="7"/>
      <c r="V8" s="7"/>
    </row>
    <row r="9" spans="1:22" x14ac:dyDescent="0.35">
      <c r="A9" s="81"/>
      <c r="B9" s="79" t="s">
        <v>19</v>
      </c>
      <c r="C9" s="80">
        <f>+(C7*E3/1000)*1.01*75%</f>
        <v>13.473667771199999</v>
      </c>
      <c r="D9" s="80">
        <f>+(D7*$E$3/1000)*1.01*75%</f>
        <v>14.4237340884</v>
      </c>
      <c r="E9" s="80">
        <f>+(E7*$E$3/1000)*1.01*75%</f>
        <v>17.705781365999997</v>
      </c>
      <c r="F9" s="80">
        <f>+(F7*E3/1000)*1.01</f>
        <v>35.238823401599994</v>
      </c>
      <c r="G9" s="80">
        <f>+(G7*$E$3/1000)*1.01*75%</f>
        <v>26.429117551199994</v>
      </c>
      <c r="H9" s="80">
        <f>+(H7*$E$3/1000)*1.01*75%</f>
        <v>33.338690767199992</v>
      </c>
      <c r="I9" s="80"/>
      <c r="J9" s="79" t="s">
        <v>19</v>
      </c>
      <c r="K9" s="80">
        <f>+(K7*L3/1000)*1.005-0.003</f>
        <v>17.185418519999995</v>
      </c>
      <c r="L9" s="80">
        <f>+(L7*L3/1000)*1.005</f>
        <v>23.490838643999993</v>
      </c>
      <c r="N9" s="48" t="s">
        <v>20</v>
      </c>
      <c r="O9" s="14"/>
      <c r="P9" s="43">
        <v>65</v>
      </c>
      <c r="Q9" s="54">
        <v>65</v>
      </c>
      <c r="R9" s="43">
        <v>65</v>
      </c>
      <c r="S9" s="43">
        <v>65</v>
      </c>
      <c r="T9" s="11" t="s">
        <v>21</v>
      </c>
      <c r="U9" s="6" t="s">
        <v>22</v>
      </c>
      <c r="V9" s="6"/>
    </row>
    <row r="10" spans="1:22" x14ac:dyDescent="0.35">
      <c r="A10" s="81"/>
      <c r="B10" s="75" t="s">
        <v>23</v>
      </c>
      <c r="C10" s="76">
        <f>+(C7*$E$4/1000)*1.01*25%</f>
        <v>4.2666614608799991</v>
      </c>
      <c r="D10" s="76">
        <f>+(D7*$E$4/1000)*1.01*25%</f>
        <v>4.5675157946599994</v>
      </c>
      <c r="E10" s="76">
        <f>+(E7*$E$4/1000)*1.01*25%</f>
        <v>5.606830765899999</v>
      </c>
      <c r="F10" s="76">
        <v>0</v>
      </c>
      <c r="G10" s="76">
        <f>+(G7*$E$4/1000)*1.01*25%</f>
        <v>8.3692205578799985</v>
      </c>
      <c r="H10" s="76">
        <f>+(H7*$E$4/1000)*1.01*25%</f>
        <v>10.557252076279999</v>
      </c>
      <c r="I10" s="80"/>
      <c r="J10" s="75" t="s">
        <v>23</v>
      </c>
      <c r="K10" s="76">
        <v>0</v>
      </c>
      <c r="L10" s="76">
        <v>0</v>
      </c>
      <c r="N10" s="46"/>
      <c r="O10" s="35"/>
      <c r="P10" s="43">
        <f>SUM(P7:P9)</f>
        <v>1028.22</v>
      </c>
      <c r="Q10" s="43">
        <f>SUM(Q7:Q9)</f>
        <v>1049.0900000000001</v>
      </c>
      <c r="R10" s="43">
        <f>SUM(R7:R9)</f>
        <v>1096.3399999999999</v>
      </c>
      <c r="S10" s="43">
        <f>SUM(S7:S9)</f>
        <v>1083.75</v>
      </c>
      <c r="T10" s="11" t="s">
        <v>24</v>
      </c>
      <c r="U10" s="6"/>
      <c r="V10" s="6"/>
    </row>
    <row r="11" spans="1:22" x14ac:dyDescent="0.35">
      <c r="B11" s="11" t="s">
        <v>25</v>
      </c>
      <c r="C11" s="6">
        <v>8.1999999999999993</v>
      </c>
      <c r="D11" s="6">
        <v>8.1999999999999993</v>
      </c>
      <c r="E11" s="6">
        <v>8.1999999999999993</v>
      </c>
      <c r="F11" s="6">
        <v>11.15</v>
      </c>
      <c r="G11" s="6">
        <v>11.15</v>
      </c>
      <c r="H11" s="6">
        <v>11.15</v>
      </c>
      <c r="I11" s="6"/>
      <c r="J11" s="11" t="s">
        <v>26</v>
      </c>
      <c r="K11" s="6">
        <v>27.2</v>
      </c>
      <c r="L11" s="6">
        <v>27.2</v>
      </c>
      <c r="N11" s="47" t="s">
        <v>27</v>
      </c>
      <c r="O11" s="40"/>
      <c r="P11" s="53">
        <f>+P10*4%</f>
        <v>41.128800000000005</v>
      </c>
      <c r="Q11" s="43">
        <f>+Q10*4%</f>
        <v>41.963600000000007</v>
      </c>
      <c r="R11" s="53">
        <f>+R10*4%</f>
        <v>43.8536</v>
      </c>
      <c r="S11" s="53">
        <f>+S10*4%</f>
        <v>43.35</v>
      </c>
      <c r="T11" s="11"/>
      <c r="U11" s="6"/>
      <c r="V11" s="6"/>
    </row>
    <row r="12" spans="1:22" x14ac:dyDescent="0.35">
      <c r="B12" s="11" t="s">
        <v>28</v>
      </c>
      <c r="C12" s="6">
        <v>0</v>
      </c>
      <c r="D12" s="6">
        <v>0</v>
      </c>
      <c r="E12" s="6">
        <v>0</v>
      </c>
      <c r="F12" s="6">
        <v>0</v>
      </c>
      <c r="G12" s="6">
        <v>0</v>
      </c>
      <c r="H12" s="6">
        <v>0</v>
      </c>
      <c r="I12" s="6"/>
      <c r="J12" s="11" t="s">
        <v>29</v>
      </c>
      <c r="K12" s="6">
        <v>0</v>
      </c>
      <c r="L12" s="6">
        <v>0</v>
      </c>
      <c r="N12" s="48" t="s">
        <v>30</v>
      </c>
      <c r="O12" s="14"/>
      <c r="P12" s="50">
        <f>+P11+P10</f>
        <v>1069.3488</v>
      </c>
      <c r="Q12" s="55">
        <f>+Q11+Q10</f>
        <v>1091.0536000000002</v>
      </c>
      <c r="R12" s="50">
        <f>+R11+R10</f>
        <v>1140.1935999999998</v>
      </c>
      <c r="S12" s="50">
        <f>+S11+S10</f>
        <v>1127.0999999999999</v>
      </c>
      <c r="T12" s="11"/>
      <c r="U12" s="6"/>
      <c r="V12" s="6"/>
    </row>
    <row r="13" spans="1:22" x14ac:dyDescent="0.35">
      <c r="B13" s="11" t="s">
        <v>31</v>
      </c>
      <c r="C13" s="6">
        <v>1.3</v>
      </c>
      <c r="D13" s="6">
        <v>1.3</v>
      </c>
      <c r="E13" s="6">
        <v>1.3</v>
      </c>
      <c r="F13" s="6">
        <v>2.38</v>
      </c>
      <c r="G13" s="6">
        <v>2.38</v>
      </c>
      <c r="H13" s="6">
        <v>2.38</v>
      </c>
      <c r="I13" s="6"/>
      <c r="J13" s="11" t="s">
        <v>31</v>
      </c>
      <c r="K13" s="6">
        <v>0.81</v>
      </c>
      <c r="L13" s="6">
        <v>1.99</v>
      </c>
      <c r="N13" s="49" t="s">
        <v>32</v>
      </c>
      <c r="O13" s="41"/>
      <c r="P13" s="56">
        <f>+P12*(1-5%)</f>
        <v>1015.88136</v>
      </c>
      <c r="Q13" s="56">
        <f t="shared" ref="Q13:S13" si="2">+Q12*(1-5%)</f>
        <v>1036.5009200000002</v>
      </c>
      <c r="R13" s="56">
        <f t="shared" si="2"/>
        <v>1083.1839199999997</v>
      </c>
      <c r="S13" s="56">
        <f t="shared" si="2"/>
        <v>1070.7449999999999</v>
      </c>
      <c r="T13" s="11" t="s">
        <v>33</v>
      </c>
      <c r="U13" s="6"/>
      <c r="V13" s="6"/>
    </row>
    <row r="14" spans="1:22" x14ac:dyDescent="0.35">
      <c r="B14" s="11" t="s">
        <v>34</v>
      </c>
      <c r="C14" s="6">
        <v>0.19</v>
      </c>
      <c r="D14" s="6">
        <v>0.19</v>
      </c>
      <c r="E14" s="6">
        <v>0.19</v>
      </c>
      <c r="F14" s="6">
        <v>0.33</v>
      </c>
      <c r="G14" s="6">
        <v>0.33</v>
      </c>
      <c r="H14" s="6">
        <v>0.33</v>
      </c>
      <c r="I14" s="6"/>
      <c r="J14" s="11" t="s">
        <v>34</v>
      </c>
      <c r="K14" s="6">
        <v>2.71</v>
      </c>
      <c r="L14" s="6">
        <v>2.71</v>
      </c>
      <c r="N14" s="48" t="s">
        <v>35</v>
      </c>
      <c r="O14" s="42"/>
      <c r="P14" s="50">
        <f>+P12*75%+P13*25%</f>
        <v>1055.9819400000001</v>
      </c>
      <c r="Q14" s="50">
        <f t="shared" ref="Q14:S14" si="3">+Q12*75%+Q13*25%</f>
        <v>1077.4154300000002</v>
      </c>
      <c r="R14" s="50">
        <f t="shared" si="3"/>
        <v>1125.9411799999998</v>
      </c>
      <c r="S14" s="50">
        <f t="shared" si="3"/>
        <v>1113.01125</v>
      </c>
      <c r="T14" s="11"/>
      <c r="U14" s="6"/>
      <c r="V14" s="6"/>
    </row>
    <row r="15" spans="1:22" x14ac:dyDescent="0.35">
      <c r="B15" s="11" t="s">
        <v>36</v>
      </c>
      <c r="C15" s="6">
        <v>0.16</v>
      </c>
      <c r="D15" s="6">
        <v>0.16</v>
      </c>
      <c r="E15" s="6">
        <v>0.16</v>
      </c>
      <c r="F15" s="6">
        <v>0.28000000000000003</v>
      </c>
      <c r="G15" s="6">
        <v>0.28000000000000003</v>
      </c>
      <c r="H15" s="6">
        <v>0.28000000000000003</v>
      </c>
      <c r="I15" s="6"/>
      <c r="J15" s="11" t="s">
        <v>36</v>
      </c>
      <c r="K15" s="6">
        <v>7.77</v>
      </c>
      <c r="L15" s="6">
        <v>7.77</v>
      </c>
      <c r="N15" s="49" t="s">
        <v>37</v>
      </c>
      <c r="O15" s="44"/>
      <c r="P15" s="57">
        <f>+P14*1%</f>
        <v>10.559819400000002</v>
      </c>
      <c r="Q15" s="57">
        <f t="shared" ref="Q15:S15" si="4">+Q14*1%</f>
        <v>10.774154300000003</v>
      </c>
      <c r="R15" s="57">
        <f t="shared" si="4"/>
        <v>11.259411799999999</v>
      </c>
      <c r="S15" s="57">
        <f t="shared" si="4"/>
        <v>11.130112500000001</v>
      </c>
      <c r="T15" s="11"/>
      <c r="U15" s="6"/>
      <c r="V15" s="6"/>
    </row>
    <row r="16" spans="1:22" x14ac:dyDescent="0.35">
      <c r="A16" t="s">
        <v>38</v>
      </c>
      <c r="B16" s="8" t="s">
        <v>39</v>
      </c>
      <c r="C16" s="12">
        <f t="shared" ref="C16:H16" si="5">SUM(C9:C15)</f>
        <v>27.590329232079998</v>
      </c>
      <c r="D16" s="12">
        <f t="shared" si="5"/>
        <v>28.841249883060001</v>
      </c>
      <c r="E16" s="12">
        <f t="shared" si="5"/>
        <v>33.162612131899991</v>
      </c>
      <c r="F16" s="12">
        <f t="shared" si="5"/>
        <v>49.378823401599995</v>
      </c>
      <c r="G16" s="12">
        <f t="shared" si="5"/>
        <v>48.938338109079993</v>
      </c>
      <c r="H16" s="12">
        <f t="shared" si="5"/>
        <v>58.035942843479994</v>
      </c>
      <c r="I16" s="12"/>
      <c r="J16" s="8" t="s">
        <v>39</v>
      </c>
      <c r="K16" s="67">
        <f>SUM(K9:K15)</f>
        <v>55.675418519999994</v>
      </c>
      <c r="L16" s="67">
        <f>SUM(L9:L15)</f>
        <v>63.160838643999995</v>
      </c>
      <c r="N16" s="49" t="s">
        <v>40</v>
      </c>
      <c r="O16" s="45"/>
      <c r="P16" s="56">
        <f>+P15+P14</f>
        <v>1066.5417594</v>
      </c>
      <c r="Q16" s="56">
        <f t="shared" ref="Q16:S16" si="6">+Q15+Q14</f>
        <v>1088.1895843000002</v>
      </c>
      <c r="R16" s="56">
        <f t="shared" si="6"/>
        <v>1137.2005917999998</v>
      </c>
      <c r="S16" s="56">
        <f t="shared" si="6"/>
        <v>1124.1413625</v>
      </c>
      <c r="T16" s="8"/>
      <c r="U16" s="12"/>
      <c r="V16" s="12"/>
    </row>
    <row r="17" spans="2:22" x14ac:dyDescent="0.35">
      <c r="B17" s="8"/>
      <c r="C17" s="12"/>
      <c r="D17" s="12"/>
      <c r="E17" s="12"/>
      <c r="F17" s="12"/>
      <c r="G17" s="12"/>
      <c r="H17" s="12"/>
      <c r="I17" s="12"/>
      <c r="K17" s="12"/>
      <c r="L17" s="12"/>
      <c r="N17" s="8" t="s">
        <v>41</v>
      </c>
      <c r="O17" s="12"/>
      <c r="P17" s="58">
        <f>+D5</f>
        <v>1137.2005918000002</v>
      </c>
      <c r="Q17" s="58">
        <f>+P17</f>
        <v>1137.2005918000002</v>
      </c>
      <c r="R17" s="58">
        <f>+Q17</f>
        <v>1137.2005918000002</v>
      </c>
      <c r="S17" s="58">
        <f>+R17</f>
        <v>1137.2005918000002</v>
      </c>
      <c r="U17" s="12"/>
      <c r="V17" s="12"/>
    </row>
    <row r="18" spans="2:22" x14ac:dyDescent="0.35">
      <c r="N18" s="1"/>
      <c r="O18" s="1"/>
      <c r="P18" s="1"/>
      <c r="Q18" s="1"/>
      <c r="S18" s="13"/>
      <c r="U18" s="1"/>
      <c r="V18" s="1"/>
    </row>
    <row r="19" spans="2:22" x14ac:dyDescent="0.35">
      <c r="U19" s="1"/>
      <c r="V19" s="1"/>
    </row>
    <row r="30" spans="2:22" x14ac:dyDescent="0.35">
      <c r="B30" s="1" t="s">
        <v>51</v>
      </c>
      <c r="L30" s="1" t="s">
        <v>52</v>
      </c>
    </row>
  </sheetData>
  <mergeCells count="9">
    <mergeCell ref="B4:D4"/>
    <mergeCell ref="J4:K4"/>
    <mergeCell ref="T4:U4"/>
    <mergeCell ref="B6:I6"/>
    <mergeCell ref="N2:V2"/>
    <mergeCell ref="B3:D3"/>
    <mergeCell ref="J3:K3"/>
    <mergeCell ref="N3:P3"/>
    <mergeCell ref="T3:U3"/>
  </mergeCells>
  <pageMargins left="0.7" right="0.7" top="0.75" bottom="0.75" header="0.3" footer="0.3"/>
  <pageSetup paperSize="9" orientation="portrait" r:id="rId1"/>
  <customProperties>
    <customPr name="EpmWorksheetKeyString_GUID" r:id="rId2"/>
  </customProperties>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Y32"/>
  <sheetViews>
    <sheetView showGridLines="0" zoomScale="70" zoomScaleNormal="70" workbookViewId="0">
      <selection activeCell="AC7" sqref="AC7"/>
    </sheetView>
  </sheetViews>
  <sheetFormatPr defaultColWidth="11.453125" defaultRowHeight="14.5" x14ac:dyDescent="0.35"/>
  <cols>
    <col min="1" max="1" width="4.81640625" customWidth="1"/>
    <col min="2" max="2" width="22.1796875" style="1" customWidth="1"/>
    <col min="3" max="8" width="11" style="1" customWidth="1"/>
    <col min="9" max="9" width="3.81640625" customWidth="1"/>
    <col min="10" max="10" width="23.1796875" customWidth="1"/>
    <col min="11" max="11" width="17.54296875" style="1" customWidth="1"/>
    <col min="12" max="12" width="11.453125" style="1"/>
    <col min="13" max="13" width="8.54296875" customWidth="1"/>
    <col min="14" max="14" width="30.1796875" customWidth="1"/>
    <col min="15" max="15" width="1" customWidth="1"/>
    <col min="16" max="16" width="16.1796875" hidden="1" customWidth="1"/>
    <col min="17" max="17" width="17.54296875" hidden="1" customWidth="1"/>
    <col min="18" max="18" width="14.54296875" hidden="1" customWidth="1"/>
    <col min="19" max="22" width="15.81640625" customWidth="1"/>
  </cols>
  <sheetData>
    <row r="2" spans="1:25" x14ac:dyDescent="0.35">
      <c r="B2" s="71"/>
      <c r="C2" s="71"/>
      <c r="D2" s="71"/>
      <c r="E2" s="71"/>
      <c r="F2" s="71"/>
      <c r="H2" s="71"/>
      <c r="I2" s="71"/>
      <c r="J2" s="71"/>
      <c r="K2" s="71"/>
      <c r="L2" s="71"/>
      <c r="N2" s="565"/>
      <c r="O2" s="565"/>
      <c r="P2" s="565"/>
      <c r="Q2" s="565"/>
      <c r="R2" s="565"/>
      <c r="S2" s="565"/>
      <c r="T2" s="565"/>
      <c r="U2" s="565"/>
      <c r="V2" s="565"/>
      <c r="W2" s="565"/>
      <c r="X2" s="565"/>
      <c r="Y2" s="565"/>
    </row>
    <row r="3" spans="1:25" x14ac:dyDescent="0.35">
      <c r="B3" s="572" t="s">
        <v>1</v>
      </c>
      <c r="C3" s="572"/>
      <c r="D3" s="572"/>
      <c r="E3" s="3">
        <f>+S12</f>
        <v>1127.0999999999999</v>
      </c>
      <c r="F3" s="4"/>
      <c r="H3" s="3"/>
      <c r="J3" s="572" t="s">
        <v>1</v>
      </c>
      <c r="K3" s="572"/>
      <c r="L3" s="3">
        <f>+E3</f>
        <v>1127.0999999999999</v>
      </c>
      <c r="N3" s="571"/>
      <c r="O3" s="571"/>
      <c r="P3" s="571"/>
      <c r="Q3" s="3"/>
      <c r="R3" s="4"/>
      <c r="S3" s="2"/>
      <c r="T3" s="2"/>
      <c r="U3" s="2"/>
      <c r="V3" s="2"/>
      <c r="W3" s="571"/>
      <c r="X3" s="571"/>
      <c r="Y3" s="3"/>
    </row>
    <row r="4" spans="1:25" x14ac:dyDescent="0.35">
      <c r="B4" s="572" t="s">
        <v>2</v>
      </c>
      <c r="C4" s="572"/>
      <c r="D4" s="572"/>
      <c r="E4" s="3">
        <f>+S13</f>
        <v>1070.7449999999999</v>
      </c>
      <c r="F4" s="6"/>
      <c r="H4" s="3"/>
      <c r="J4" s="572" t="s">
        <v>3</v>
      </c>
      <c r="K4" s="572"/>
      <c r="L4" s="3">
        <v>0</v>
      </c>
      <c r="N4" s="38"/>
      <c r="O4" s="21"/>
      <c r="P4" s="21"/>
      <c r="Q4" s="18"/>
      <c r="S4" s="2"/>
      <c r="T4" s="2"/>
      <c r="U4" s="2"/>
      <c r="V4" s="2"/>
      <c r="W4" s="571"/>
      <c r="X4" s="571"/>
      <c r="Y4" s="3"/>
    </row>
    <row r="5" spans="1:25" ht="23.5" x14ac:dyDescent="0.55000000000000004">
      <c r="B5" s="7"/>
      <c r="C5" s="34">
        <f>+(C9+C10)/C7*1000</f>
        <v>1124.1413624999998</v>
      </c>
      <c r="D5" s="34">
        <f t="shared" ref="D5:F5" si="0">+(D9+D10)/D7*1000</f>
        <v>1124.1413624999998</v>
      </c>
      <c r="E5" s="34"/>
      <c r="F5" s="34">
        <f t="shared" si="0"/>
        <v>1138.3710000000001</v>
      </c>
      <c r="G5" s="34"/>
      <c r="H5" s="34"/>
      <c r="J5" s="7"/>
      <c r="K5" s="34">
        <f t="shared" ref="K5:L5" si="1">+(K9+K10)/K7*1000</f>
        <v>1132.7355</v>
      </c>
      <c r="L5" s="34">
        <f t="shared" si="1"/>
        <v>1132.7355</v>
      </c>
      <c r="N5" s="61" t="s">
        <v>4</v>
      </c>
      <c r="O5" s="1"/>
      <c r="P5" s="1"/>
      <c r="Q5" s="21"/>
      <c r="R5" s="13"/>
      <c r="S5" s="2"/>
      <c r="T5" s="2"/>
      <c r="U5" s="2"/>
      <c r="V5" s="2"/>
      <c r="W5" s="7"/>
      <c r="X5" s="7"/>
      <c r="Y5" s="3"/>
    </row>
    <row r="6" spans="1:25" ht="43.5" x14ac:dyDescent="0.35">
      <c r="B6" s="571" t="s">
        <v>5</v>
      </c>
      <c r="C6" s="571"/>
      <c r="D6" s="571"/>
      <c r="E6" s="571"/>
      <c r="F6" s="571"/>
      <c r="G6" s="571"/>
      <c r="H6" s="571"/>
      <c r="I6" s="571"/>
      <c r="J6" s="8" t="s">
        <v>6</v>
      </c>
      <c r="K6" s="9" t="s">
        <v>7</v>
      </c>
      <c r="L6" s="9" t="s">
        <v>8</v>
      </c>
      <c r="N6" s="22"/>
      <c r="O6" s="22"/>
      <c r="P6" s="39" t="s">
        <v>54</v>
      </c>
      <c r="Q6" s="39" t="s">
        <v>55</v>
      </c>
      <c r="R6" s="39" t="s">
        <v>56</v>
      </c>
      <c r="S6" s="39" t="s">
        <v>12</v>
      </c>
      <c r="T6" s="39" t="s">
        <v>57</v>
      </c>
      <c r="U6" s="39" t="s">
        <v>58</v>
      </c>
      <c r="V6" s="39" t="s">
        <v>59</v>
      </c>
      <c r="W6" s="8"/>
      <c r="X6" s="9"/>
      <c r="Y6" s="9"/>
    </row>
    <row r="7" spans="1:25" x14ac:dyDescent="0.35">
      <c r="B7" s="8" t="s">
        <v>13</v>
      </c>
      <c r="C7" s="10">
        <v>15.6</v>
      </c>
      <c r="D7" s="10">
        <v>16.7</v>
      </c>
      <c r="E7" s="10">
        <v>20.5</v>
      </c>
      <c r="F7" s="10">
        <v>30.6</v>
      </c>
      <c r="G7" s="10">
        <v>30.6</v>
      </c>
      <c r="H7" s="10">
        <v>38.6</v>
      </c>
      <c r="I7" s="10"/>
      <c r="J7" s="8" t="s">
        <v>13</v>
      </c>
      <c r="K7" s="10">
        <v>15</v>
      </c>
      <c r="L7" s="10">
        <v>20.5</v>
      </c>
      <c r="N7" s="46" t="s">
        <v>14</v>
      </c>
      <c r="O7" s="35"/>
      <c r="P7" s="51">
        <v>938.13</v>
      </c>
      <c r="Q7" s="52">
        <v>959</v>
      </c>
      <c r="R7" s="51">
        <v>1006.25</v>
      </c>
      <c r="S7" s="62">
        <v>993.75</v>
      </c>
      <c r="T7" s="70">
        <v>1015.5</v>
      </c>
      <c r="U7" s="70">
        <v>1045.5999999999999</v>
      </c>
      <c r="V7" s="70">
        <v>1050</v>
      </c>
      <c r="W7" s="8" t="s">
        <v>15</v>
      </c>
      <c r="X7" s="10"/>
      <c r="Y7" s="10"/>
    </row>
    <row r="8" spans="1:25" x14ac:dyDescent="0.35">
      <c r="B8" s="11" t="s">
        <v>16</v>
      </c>
      <c r="C8" s="7" t="s">
        <v>17</v>
      </c>
      <c r="D8" s="7" t="s">
        <v>17</v>
      </c>
      <c r="E8" s="7" t="s">
        <v>17</v>
      </c>
      <c r="F8" s="7" t="s">
        <v>17</v>
      </c>
      <c r="G8" s="7" t="s">
        <v>17</v>
      </c>
      <c r="H8" s="7" t="s">
        <v>17</v>
      </c>
      <c r="I8" s="7"/>
      <c r="J8" s="11" t="s">
        <v>16</v>
      </c>
      <c r="K8" s="7" t="s">
        <v>17</v>
      </c>
      <c r="L8" s="7" t="s">
        <v>17</v>
      </c>
      <c r="N8" s="47" t="s">
        <v>18</v>
      </c>
      <c r="O8" s="40"/>
      <c r="P8" s="53">
        <v>25.09</v>
      </c>
      <c r="Q8" s="53">
        <v>25.09</v>
      </c>
      <c r="R8" s="53">
        <v>25.09</v>
      </c>
      <c r="S8" s="53">
        <v>25</v>
      </c>
      <c r="T8" s="53">
        <v>25</v>
      </c>
      <c r="U8" s="53">
        <v>25</v>
      </c>
      <c r="V8" s="53">
        <v>25</v>
      </c>
      <c r="W8" s="11"/>
      <c r="X8" s="7"/>
      <c r="Y8" s="7"/>
    </row>
    <row r="9" spans="1:25" x14ac:dyDescent="0.35">
      <c r="B9" s="11" t="s">
        <v>19</v>
      </c>
      <c r="C9" s="6">
        <f>+(C7*E3/1000)*1.01*75%</f>
        <v>13.318940699999999</v>
      </c>
      <c r="D9" s="6">
        <f>+(D7*$E$3/1000)*1.01*75%</f>
        <v>14.258096774999997</v>
      </c>
      <c r="E9" s="6">
        <f>+(E7*$E$3/1000)*1.01*75%</f>
        <v>17.502454125</v>
      </c>
      <c r="F9" s="6">
        <f>+(F7*E3/1000)*1.01</f>
        <v>34.834152600000003</v>
      </c>
      <c r="G9" s="6">
        <f>+(G7*$E$3/1000)*1.01*75%</f>
        <v>26.12561445</v>
      </c>
      <c r="H9" s="6">
        <f>+(H7*$E$3/1000)*1.01*75%</f>
        <v>32.955840449999997</v>
      </c>
      <c r="I9" s="6"/>
      <c r="J9" s="11" t="s">
        <v>19</v>
      </c>
      <c r="K9" s="6">
        <f>+(K7*L3/1000)*1.005</f>
        <v>16.991032499999999</v>
      </c>
      <c r="L9" s="6">
        <f>+(L7*L3/1000)*1.005</f>
        <v>23.221077749999999</v>
      </c>
      <c r="N9" s="48" t="s">
        <v>20</v>
      </c>
      <c r="O9" s="14"/>
      <c r="P9" s="43">
        <v>65</v>
      </c>
      <c r="Q9" s="54">
        <v>65</v>
      </c>
      <c r="R9" s="43">
        <v>65</v>
      </c>
      <c r="S9" s="43">
        <v>65</v>
      </c>
      <c r="T9" s="43">
        <v>65</v>
      </c>
      <c r="U9" s="43">
        <v>65</v>
      </c>
      <c r="V9" s="43">
        <v>65</v>
      </c>
      <c r="W9" s="11" t="s">
        <v>21</v>
      </c>
      <c r="X9" s="6" t="s">
        <v>22</v>
      </c>
      <c r="Y9" s="6"/>
    </row>
    <row r="10" spans="1:25" x14ac:dyDescent="0.35">
      <c r="B10" s="75" t="s">
        <v>23</v>
      </c>
      <c r="C10" s="76">
        <f>+(C7*$E$4/1000)*1.01*25%</f>
        <v>4.2176645549999998</v>
      </c>
      <c r="D10" s="76">
        <f>+(D7*$E$4/1000)*1.01*25%</f>
        <v>4.5150639787499998</v>
      </c>
      <c r="E10" s="76">
        <f>+(E7*$E$4/1000)*1.01*25%</f>
        <v>5.5424438062500005</v>
      </c>
      <c r="F10" s="76">
        <v>0</v>
      </c>
      <c r="G10" s="76">
        <f>+(G7*$E$4/1000)*1.01*25%</f>
        <v>8.2731112425000006</v>
      </c>
      <c r="H10" s="76">
        <f>+(H7*$E$4/1000)*1.01*25%</f>
        <v>10.4360161425</v>
      </c>
      <c r="I10" s="6"/>
      <c r="J10" s="75" t="s">
        <v>23</v>
      </c>
      <c r="K10" s="76">
        <v>0</v>
      </c>
      <c r="L10" s="76">
        <v>0</v>
      </c>
      <c r="N10" s="46"/>
      <c r="O10" s="35"/>
      <c r="P10" s="43">
        <f>SUM(P7:P9)</f>
        <v>1028.22</v>
      </c>
      <c r="Q10" s="43">
        <f>SUM(Q7:Q9)</f>
        <v>1049.0900000000001</v>
      </c>
      <c r="R10" s="43">
        <f>SUM(R7:R9)</f>
        <v>1096.3399999999999</v>
      </c>
      <c r="S10" s="43">
        <f>SUM(S7:S9)</f>
        <v>1083.75</v>
      </c>
      <c r="T10" s="43">
        <f t="shared" ref="T10:V10" si="2">SUM(T7:T9)</f>
        <v>1105.5</v>
      </c>
      <c r="U10" s="43">
        <f t="shared" si="2"/>
        <v>1135.5999999999999</v>
      </c>
      <c r="V10" s="43">
        <f t="shared" si="2"/>
        <v>1140</v>
      </c>
      <c r="W10" s="11" t="s">
        <v>24</v>
      </c>
      <c r="X10" s="6"/>
      <c r="Y10" s="6"/>
    </row>
    <row r="11" spans="1:25" x14ac:dyDescent="0.35">
      <c r="B11" s="11" t="s">
        <v>25</v>
      </c>
      <c r="C11" s="68">
        <v>8.1999999999999993</v>
      </c>
      <c r="D11" s="6">
        <v>8.1999999999999993</v>
      </c>
      <c r="E11" s="6">
        <v>8.1999999999999993</v>
      </c>
      <c r="F11" s="6">
        <v>11.15</v>
      </c>
      <c r="G11" s="6">
        <v>11.15</v>
      </c>
      <c r="H11" s="6">
        <v>11.15</v>
      </c>
      <c r="I11" s="6"/>
      <c r="J11" s="11" t="s">
        <v>26</v>
      </c>
      <c r="K11" s="6">
        <v>27.2</v>
      </c>
      <c r="L11" s="6">
        <v>27.2</v>
      </c>
      <c r="N11" s="47" t="s">
        <v>27</v>
      </c>
      <c r="O11" s="40"/>
      <c r="P11" s="53">
        <f>+P10*4%</f>
        <v>41.128800000000005</v>
      </c>
      <c r="Q11" s="43">
        <f>+Q10*4%</f>
        <v>41.963600000000007</v>
      </c>
      <c r="R11" s="53">
        <f>+R10*4%</f>
        <v>43.8536</v>
      </c>
      <c r="S11" s="53">
        <f>+S10*4%</f>
        <v>43.35</v>
      </c>
      <c r="T11" s="53">
        <f t="shared" ref="T11:V11" si="3">+T10*4%</f>
        <v>44.22</v>
      </c>
      <c r="U11" s="53">
        <f t="shared" si="3"/>
        <v>45.423999999999999</v>
      </c>
      <c r="V11" s="53">
        <f t="shared" si="3"/>
        <v>45.6</v>
      </c>
      <c r="W11" s="11"/>
      <c r="X11" s="6"/>
      <c r="Y11" s="6"/>
    </row>
    <row r="12" spans="1:25" x14ac:dyDescent="0.35">
      <c r="B12" s="11" t="s">
        <v>28</v>
      </c>
      <c r="C12" s="68">
        <v>0</v>
      </c>
      <c r="D12" s="6">
        <v>0</v>
      </c>
      <c r="E12" s="6">
        <v>0</v>
      </c>
      <c r="F12" s="6">
        <v>0</v>
      </c>
      <c r="G12" s="6">
        <v>0</v>
      </c>
      <c r="H12" s="6">
        <v>0</v>
      </c>
      <c r="I12" s="6"/>
      <c r="J12" s="11" t="s">
        <v>29</v>
      </c>
      <c r="K12" s="6">
        <v>0</v>
      </c>
      <c r="L12" s="6">
        <v>0</v>
      </c>
      <c r="N12" s="48" t="s">
        <v>30</v>
      </c>
      <c r="O12" s="14"/>
      <c r="P12" s="50">
        <f>+P11+P10</f>
        <v>1069.3488</v>
      </c>
      <c r="Q12" s="55">
        <f>+Q11+Q10</f>
        <v>1091.0536000000002</v>
      </c>
      <c r="R12" s="50">
        <f>+R11+R10</f>
        <v>1140.1935999999998</v>
      </c>
      <c r="S12" s="50">
        <f>+S11+S10</f>
        <v>1127.0999999999999</v>
      </c>
      <c r="T12" s="50">
        <f t="shared" ref="T12:V12" si="4">+T11+T10</f>
        <v>1149.72</v>
      </c>
      <c r="U12" s="50">
        <f t="shared" si="4"/>
        <v>1181.0239999999999</v>
      </c>
      <c r="V12" s="50">
        <f t="shared" si="4"/>
        <v>1185.5999999999999</v>
      </c>
      <c r="W12" s="11"/>
      <c r="X12" s="6"/>
      <c r="Y12" s="6"/>
    </row>
    <row r="13" spans="1:25" x14ac:dyDescent="0.35">
      <c r="B13" s="11" t="s">
        <v>31</v>
      </c>
      <c r="C13" s="68">
        <v>1.3</v>
      </c>
      <c r="D13" s="6">
        <v>1.3</v>
      </c>
      <c r="E13" s="6">
        <v>1.3</v>
      </c>
      <c r="F13" s="6">
        <v>2.38</v>
      </c>
      <c r="G13" s="6">
        <v>2.38</v>
      </c>
      <c r="H13" s="6">
        <v>2.38</v>
      </c>
      <c r="I13" s="6"/>
      <c r="J13" s="11" t="s">
        <v>31</v>
      </c>
      <c r="K13" s="6">
        <v>0.81</v>
      </c>
      <c r="L13" s="6">
        <v>1.99</v>
      </c>
      <c r="N13" s="49" t="s">
        <v>32</v>
      </c>
      <c r="O13" s="41"/>
      <c r="P13" s="56">
        <f>+P12*(1-5%)</f>
        <v>1015.88136</v>
      </c>
      <c r="Q13" s="56">
        <f t="shared" ref="Q13:S13" si="5">+Q12*(1-5%)</f>
        <v>1036.5009200000002</v>
      </c>
      <c r="R13" s="56">
        <f t="shared" si="5"/>
        <v>1083.1839199999997</v>
      </c>
      <c r="S13" s="56">
        <f t="shared" si="5"/>
        <v>1070.7449999999999</v>
      </c>
      <c r="T13" s="56">
        <f t="shared" ref="T13:V13" si="6">+T12*(1-5%)</f>
        <v>1092.2339999999999</v>
      </c>
      <c r="U13" s="56">
        <f t="shared" si="6"/>
        <v>1121.9727999999998</v>
      </c>
      <c r="V13" s="56">
        <f t="shared" si="6"/>
        <v>1126.32</v>
      </c>
      <c r="W13" s="11" t="s">
        <v>33</v>
      </c>
      <c r="X13" s="6"/>
      <c r="Y13" s="6"/>
    </row>
    <row r="14" spans="1:25" x14ac:dyDescent="0.35">
      <c r="B14" s="11" t="s">
        <v>34</v>
      </c>
      <c r="C14" s="68">
        <v>0.19</v>
      </c>
      <c r="D14" s="6">
        <v>0.19</v>
      </c>
      <c r="E14" s="6">
        <v>0.19</v>
      </c>
      <c r="F14" s="6">
        <v>0.33</v>
      </c>
      <c r="G14" s="6">
        <v>0.33</v>
      </c>
      <c r="H14" s="6">
        <v>0.33</v>
      </c>
      <c r="I14" s="6"/>
      <c r="J14" s="11" t="s">
        <v>34</v>
      </c>
      <c r="K14" s="6">
        <v>2.71</v>
      </c>
      <c r="L14" s="6">
        <v>2.71</v>
      </c>
      <c r="N14" s="48" t="s">
        <v>35</v>
      </c>
      <c r="O14" s="42"/>
      <c r="P14" s="50">
        <f>+P12*75%+P13*25%</f>
        <v>1055.9819400000001</v>
      </c>
      <c r="Q14" s="50">
        <f t="shared" ref="Q14:S14" si="7">+Q12*75%+Q13*25%</f>
        <v>1077.4154300000002</v>
      </c>
      <c r="R14" s="50">
        <f t="shared" si="7"/>
        <v>1125.9411799999998</v>
      </c>
      <c r="S14" s="50">
        <f t="shared" si="7"/>
        <v>1113.01125</v>
      </c>
      <c r="T14" s="50">
        <f t="shared" ref="T14:V14" si="8">+T12*75%+T13*25%</f>
        <v>1135.3485000000001</v>
      </c>
      <c r="U14" s="50">
        <f t="shared" si="8"/>
        <v>1166.2611999999999</v>
      </c>
      <c r="V14" s="50">
        <f t="shared" si="8"/>
        <v>1170.78</v>
      </c>
      <c r="W14" s="11"/>
      <c r="X14" s="6"/>
      <c r="Y14" s="6"/>
    </row>
    <row r="15" spans="1:25" x14ac:dyDescent="0.35">
      <c r="B15" s="11" t="s">
        <v>36</v>
      </c>
      <c r="C15" s="68">
        <v>0.16</v>
      </c>
      <c r="D15" s="6">
        <v>0.16</v>
      </c>
      <c r="E15" s="6">
        <v>0.16</v>
      </c>
      <c r="F15" s="6">
        <v>0.28000000000000003</v>
      </c>
      <c r="G15" s="6">
        <v>0.28000000000000003</v>
      </c>
      <c r="H15" s="6">
        <v>0.28000000000000003</v>
      </c>
      <c r="I15" s="6"/>
      <c r="J15" s="11" t="s">
        <v>36</v>
      </c>
      <c r="K15" s="6">
        <v>7.77</v>
      </c>
      <c r="L15" s="6">
        <v>7.77</v>
      </c>
      <c r="N15" s="49" t="s">
        <v>37</v>
      </c>
      <c r="O15" s="44"/>
      <c r="P15" s="57">
        <f>+P14*1%</f>
        <v>10.559819400000002</v>
      </c>
      <c r="Q15" s="57">
        <f t="shared" ref="Q15:S15" si="9">+Q14*1%</f>
        <v>10.774154300000003</v>
      </c>
      <c r="R15" s="57">
        <f t="shared" si="9"/>
        <v>11.259411799999999</v>
      </c>
      <c r="S15" s="57">
        <f t="shared" si="9"/>
        <v>11.130112500000001</v>
      </c>
      <c r="T15" s="57">
        <f t="shared" ref="T15:V15" si="10">+T14*1%</f>
        <v>11.353485000000001</v>
      </c>
      <c r="U15" s="57">
        <f t="shared" si="10"/>
        <v>11.662611999999999</v>
      </c>
      <c r="V15" s="57">
        <f t="shared" si="10"/>
        <v>11.707800000000001</v>
      </c>
      <c r="W15" s="11"/>
      <c r="X15" s="6"/>
      <c r="Y15" s="6"/>
    </row>
    <row r="16" spans="1:25" x14ac:dyDescent="0.35">
      <c r="A16" t="s">
        <v>38</v>
      </c>
      <c r="B16" s="8" t="s">
        <v>39</v>
      </c>
      <c r="C16" s="12">
        <f t="shared" ref="C16:H16" si="11">SUM(C9:C15)</f>
        <v>27.386605254999999</v>
      </c>
      <c r="D16" s="12">
        <f t="shared" si="11"/>
        <v>28.62316075375</v>
      </c>
      <c r="E16" s="12">
        <f t="shared" si="11"/>
        <v>32.894897931249993</v>
      </c>
      <c r="F16" s="12">
        <f t="shared" si="11"/>
        <v>48.974152600000004</v>
      </c>
      <c r="G16" s="12">
        <f t="shared" si="11"/>
        <v>48.538725692500002</v>
      </c>
      <c r="H16" s="12">
        <f t="shared" si="11"/>
        <v>57.531856592499999</v>
      </c>
      <c r="I16" s="12"/>
      <c r="J16" s="8" t="s">
        <v>39</v>
      </c>
      <c r="K16" s="12">
        <f>SUM(K9:K15)</f>
        <v>55.481032499999998</v>
      </c>
      <c r="L16" s="12">
        <f>SUM(L9:L15)</f>
        <v>62.891077749999994</v>
      </c>
      <c r="N16" s="49" t="s">
        <v>40</v>
      </c>
      <c r="O16" s="45"/>
      <c r="P16" s="56">
        <f>+P15+P14</f>
        <v>1066.5417594</v>
      </c>
      <c r="Q16" s="56">
        <f t="shared" ref="Q16:S16" si="12">+Q15+Q14</f>
        <v>1088.1895843000002</v>
      </c>
      <c r="R16" s="56">
        <f t="shared" si="12"/>
        <v>1137.2005917999998</v>
      </c>
      <c r="S16" s="56">
        <f t="shared" si="12"/>
        <v>1124.1413625</v>
      </c>
      <c r="T16" s="56">
        <f t="shared" ref="T16:V16" si="13">+T15+T14</f>
        <v>1146.7019850000001</v>
      </c>
      <c r="U16" s="56">
        <f t="shared" si="13"/>
        <v>1177.923812</v>
      </c>
      <c r="V16" s="56">
        <f t="shared" si="13"/>
        <v>1182.4877999999999</v>
      </c>
      <c r="W16" s="8"/>
      <c r="X16" s="12"/>
      <c r="Y16" s="12"/>
    </row>
    <row r="17" spans="2:25" x14ac:dyDescent="0.35">
      <c r="B17" s="8"/>
      <c r="C17" s="12"/>
      <c r="D17" s="12"/>
      <c r="E17" s="12"/>
      <c r="F17" s="12"/>
      <c r="G17" s="12"/>
      <c r="H17" s="12"/>
      <c r="I17" s="12"/>
      <c r="K17" s="12"/>
      <c r="L17" s="12"/>
      <c r="N17" s="8" t="s">
        <v>41</v>
      </c>
      <c r="O17" s="12"/>
      <c r="P17" s="58">
        <f>+D5</f>
        <v>1124.1413624999998</v>
      </c>
      <c r="Q17" s="58">
        <f>+P17</f>
        <v>1124.1413624999998</v>
      </c>
      <c r="R17" s="58">
        <f>+Q17</f>
        <v>1124.1413624999998</v>
      </c>
      <c r="S17" s="58">
        <f>+R17</f>
        <v>1124.1413624999998</v>
      </c>
      <c r="T17" s="58">
        <f t="shared" ref="T17:V17" si="14">+S17</f>
        <v>1124.1413624999998</v>
      </c>
      <c r="U17" s="58">
        <f t="shared" si="14"/>
        <v>1124.1413624999998</v>
      </c>
      <c r="V17" s="58">
        <f t="shared" si="14"/>
        <v>1124.1413624999998</v>
      </c>
      <c r="X17" s="12"/>
      <c r="Y17" s="12"/>
    </row>
    <row r="18" spans="2:25" x14ac:dyDescent="0.35">
      <c r="N18" s="1"/>
      <c r="O18" s="1"/>
      <c r="P18" s="1"/>
      <c r="Q18" s="1"/>
      <c r="S18" s="13"/>
      <c r="T18" s="13"/>
      <c r="U18" s="13"/>
      <c r="V18" s="13"/>
      <c r="X18" s="1"/>
      <c r="Y18" s="1"/>
    </row>
    <row r="19" spans="2:25" x14ac:dyDescent="0.35">
      <c r="X19" s="1"/>
      <c r="Y19" s="1"/>
    </row>
    <row r="20" spans="2:25" x14ac:dyDescent="0.35">
      <c r="X20" s="1"/>
      <c r="Y20" s="1"/>
    </row>
    <row r="32" spans="2:25" x14ac:dyDescent="0.35">
      <c r="B32" s="1" t="s">
        <v>51</v>
      </c>
      <c r="L32" s="1" t="s">
        <v>52</v>
      </c>
    </row>
  </sheetData>
  <mergeCells count="9">
    <mergeCell ref="B4:D4"/>
    <mergeCell ref="J4:K4"/>
    <mergeCell ref="W4:X4"/>
    <mergeCell ref="B6:I6"/>
    <mergeCell ref="N2:Y2"/>
    <mergeCell ref="B3:D3"/>
    <mergeCell ref="J3:K3"/>
    <mergeCell ref="N3:P3"/>
    <mergeCell ref="W3:X3"/>
  </mergeCells>
  <pageMargins left="0.7" right="0.7" top="0.75" bottom="0.75" header="0.3" footer="0.3"/>
  <pageSetup paperSize="9" orientation="portrait" r:id="rId1"/>
  <customProperties>
    <customPr name="EpmWorksheetKeyString_GUID" r:id="rId2"/>
  </customPropertie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2:Z33"/>
  <sheetViews>
    <sheetView showGridLines="0" zoomScale="70" zoomScaleNormal="70" workbookViewId="0">
      <selection activeCell="AC7" sqref="AC7"/>
    </sheetView>
  </sheetViews>
  <sheetFormatPr defaultColWidth="11.453125" defaultRowHeight="14.5" x14ac:dyDescent="0.35"/>
  <cols>
    <col min="1" max="1" width="4.81640625" customWidth="1"/>
    <col min="2" max="2" width="22.1796875" style="1" customWidth="1"/>
    <col min="3" max="8" width="11.1796875" style="1" customWidth="1"/>
    <col min="9" max="9" width="8.54296875" hidden="1" customWidth="1"/>
    <col min="10" max="10" width="3.1796875" hidden="1" customWidth="1"/>
    <col min="11" max="11" width="22.81640625" customWidth="1"/>
    <col min="12" max="12" width="12.81640625" style="1" customWidth="1"/>
    <col min="13" max="13" width="11.453125" style="1"/>
    <col min="14" max="14" width="2.81640625" customWidth="1"/>
    <col min="15" max="15" width="30.1796875" customWidth="1"/>
    <col min="16" max="16" width="1" customWidth="1"/>
    <col min="17" max="17" width="16.1796875" hidden="1" customWidth="1"/>
    <col min="18" max="18" width="17.54296875" hidden="1" customWidth="1"/>
    <col min="19" max="19" width="14.54296875" hidden="1" customWidth="1"/>
    <col min="20" max="22" width="15.81640625" customWidth="1"/>
    <col min="23" max="23" width="14.453125" customWidth="1"/>
  </cols>
  <sheetData>
    <row r="2" spans="1:26" x14ac:dyDescent="0.35">
      <c r="B2" s="71"/>
      <c r="C2" s="71"/>
      <c r="D2" s="71"/>
      <c r="E2" s="71"/>
      <c r="F2" s="71"/>
      <c r="G2" s="71"/>
      <c r="H2" s="71"/>
      <c r="I2" s="71"/>
      <c r="J2" s="71"/>
      <c r="K2" s="71"/>
      <c r="L2" s="71"/>
      <c r="M2" s="71"/>
      <c r="O2" s="565"/>
      <c r="P2" s="565"/>
      <c r="Q2" s="565"/>
      <c r="R2" s="565"/>
      <c r="S2" s="565"/>
      <c r="T2" s="565"/>
      <c r="U2" s="565"/>
      <c r="V2" s="565"/>
      <c r="W2" s="565"/>
      <c r="X2" s="565"/>
      <c r="Y2" s="565"/>
      <c r="Z2" s="565"/>
    </row>
    <row r="3" spans="1:26" x14ac:dyDescent="0.35">
      <c r="B3" s="572" t="s">
        <v>1</v>
      </c>
      <c r="C3" s="572"/>
      <c r="D3" s="572"/>
      <c r="E3" s="3">
        <f>+U12</f>
        <v>1149.72</v>
      </c>
      <c r="G3" s="3"/>
      <c r="H3" s="3"/>
      <c r="I3" s="4">
        <v>0.05</v>
      </c>
      <c r="J3" s="2"/>
      <c r="K3" s="572" t="s">
        <v>1</v>
      </c>
      <c r="L3" s="572"/>
      <c r="M3" s="3">
        <f>+E3</f>
        <v>1149.72</v>
      </c>
      <c r="O3" s="571"/>
      <c r="P3" s="571"/>
      <c r="Q3" s="571"/>
      <c r="R3" s="3"/>
      <c r="S3" s="4"/>
      <c r="T3" s="2"/>
      <c r="U3" s="2"/>
      <c r="V3" s="2"/>
      <c r="W3" s="2"/>
      <c r="X3" s="571"/>
      <c r="Y3" s="571"/>
      <c r="Z3" s="3"/>
    </row>
    <row r="4" spans="1:26" x14ac:dyDescent="0.35">
      <c r="B4" s="572" t="s">
        <v>2</v>
      </c>
      <c r="C4" s="572"/>
      <c r="D4" s="572"/>
      <c r="E4" s="3">
        <f>+U13</f>
        <v>1092.2339999999999</v>
      </c>
      <c r="I4" s="6">
        <f>+E3*I3</f>
        <v>57.486000000000004</v>
      </c>
      <c r="J4" s="2"/>
      <c r="K4" s="572" t="s">
        <v>3</v>
      </c>
      <c r="L4" s="572"/>
      <c r="M4" s="3">
        <v>0</v>
      </c>
      <c r="O4" s="38"/>
      <c r="P4" s="21"/>
      <c r="Q4" s="21"/>
      <c r="R4" s="18"/>
      <c r="T4" s="2"/>
      <c r="U4" s="2"/>
      <c r="V4" s="2"/>
      <c r="W4" s="2"/>
      <c r="X4" s="571"/>
      <c r="Y4" s="571"/>
      <c r="Z4" s="3"/>
    </row>
    <row r="5" spans="1:26" ht="23.5" x14ac:dyDescent="0.55000000000000004">
      <c r="B5" s="7"/>
      <c r="C5" s="34">
        <f>+(C9+C10)/C7*1000</f>
        <v>1146.7019849999999</v>
      </c>
      <c r="D5" s="34">
        <f t="shared" ref="D5:F5" si="0">+(D9+D10)/D7*1000</f>
        <v>1146.7019850000004</v>
      </c>
      <c r="E5" s="34"/>
      <c r="F5" s="34">
        <f t="shared" si="0"/>
        <v>1161.2172</v>
      </c>
      <c r="G5" s="34"/>
      <c r="H5" s="34"/>
      <c r="J5" s="2"/>
      <c r="K5" s="7"/>
      <c r="L5" s="34">
        <f t="shared" ref="L5:M5" si="1">+(L9+L10)/L7*1000</f>
        <v>1155.4685999999999</v>
      </c>
      <c r="M5" s="34">
        <f t="shared" si="1"/>
        <v>1155.4686000000002</v>
      </c>
      <c r="O5" s="61" t="s">
        <v>4</v>
      </c>
      <c r="P5" s="1"/>
      <c r="Q5" s="1"/>
      <c r="R5" s="21"/>
      <c r="S5" s="13"/>
      <c r="T5" s="2"/>
      <c r="U5" s="2"/>
      <c r="V5" s="2"/>
      <c r="W5" s="2"/>
      <c r="X5" s="7"/>
      <c r="Y5" s="7"/>
      <c r="Z5" s="3"/>
    </row>
    <row r="6" spans="1:26" ht="43.5" x14ac:dyDescent="0.35">
      <c r="B6" s="571" t="s">
        <v>5</v>
      </c>
      <c r="C6" s="571"/>
      <c r="D6" s="571"/>
      <c r="E6" s="571"/>
      <c r="F6" s="571"/>
      <c r="G6" s="571"/>
      <c r="H6" s="571"/>
      <c r="I6" s="571"/>
      <c r="J6" s="2"/>
      <c r="K6" s="8" t="s">
        <v>6</v>
      </c>
      <c r="L6" s="9" t="s">
        <v>7</v>
      </c>
      <c r="M6" s="9" t="s">
        <v>8</v>
      </c>
      <c r="O6" s="22"/>
      <c r="P6" s="22"/>
      <c r="Q6" s="39" t="s">
        <v>54</v>
      </c>
      <c r="R6" s="39" t="s">
        <v>55</v>
      </c>
      <c r="S6" s="39" t="s">
        <v>56</v>
      </c>
      <c r="T6" s="39" t="s">
        <v>12</v>
      </c>
      <c r="U6" s="39" t="s">
        <v>57</v>
      </c>
      <c r="V6" s="39" t="s">
        <v>58</v>
      </c>
      <c r="W6" s="39" t="s">
        <v>59</v>
      </c>
      <c r="X6" s="8"/>
      <c r="Y6" s="9"/>
      <c r="Z6" s="9"/>
    </row>
    <row r="7" spans="1:26" x14ac:dyDescent="0.35">
      <c r="B7" s="8" t="s">
        <v>13</v>
      </c>
      <c r="C7" s="10">
        <v>15.6</v>
      </c>
      <c r="D7" s="10">
        <v>16.7</v>
      </c>
      <c r="E7" s="10">
        <v>20.5</v>
      </c>
      <c r="F7" s="10">
        <v>30.6</v>
      </c>
      <c r="G7" s="10">
        <v>30.6</v>
      </c>
      <c r="H7" s="10">
        <v>38.6</v>
      </c>
      <c r="I7" s="10"/>
      <c r="K7" s="8" t="s">
        <v>13</v>
      </c>
      <c r="L7" s="10">
        <v>15</v>
      </c>
      <c r="M7" s="10">
        <v>20.5</v>
      </c>
      <c r="O7" s="46" t="s">
        <v>14</v>
      </c>
      <c r="P7" s="35"/>
      <c r="Q7" s="51">
        <v>938.13</v>
      </c>
      <c r="R7" s="52">
        <v>959</v>
      </c>
      <c r="S7" s="51">
        <v>1006.25</v>
      </c>
      <c r="T7" s="62">
        <v>993.75</v>
      </c>
      <c r="U7" s="70">
        <v>1015.5</v>
      </c>
      <c r="V7" s="70">
        <v>1045.5999999999999</v>
      </c>
      <c r="W7" s="70">
        <v>1050</v>
      </c>
      <c r="X7" s="8" t="s">
        <v>15</v>
      </c>
      <c r="Y7" s="10"/>
      <c r="Z7" s="10"/>
    </row>
    <row r="8" spans="1:26" x14ac:dyDescent="0.35">
      <c r="B8" s="11" t="s">
        <v>16</v>
      </c>
      <c r="C8" s="7" t="s">
        <v>17</v>
      </c>
      <c r="D8" s="7" t="s">
        <v>17</v>
      </c>
      <c r="E8" s="7" t="s">
        <v>17</v>
      </c>
      <c r="F8" s="7" t="s">
        <v>17</v>
      </c>
      <c r="G8" s="7" t="s">
        <v>17</v>
      </c>
      <c r="H8" s="7" t="s">
        <v>17</v>
      </c>
      <c r="I8" s="7"/>
      <c r="K8" s="11" t="s">
        <v>16</v>
      </c>
      <c r="L8" s="7" t="s">
        <v>17</v>
      </c>
      <c r="M8" s="7" t="s">
        <v>17</v>
      </c>
      <c r="O8" s="47" t="s">
        <v>18</v>
      </c>
      <c r="P8" s="40"/>
      <c r="Q8" s="53">
        <v>25.09</v>
      </c>
      <c r="R8" s="53">
        <v>25.09</v>
      </c>
      <c r="S8" s="53">
        <v>25.09</v>
      </c>
      <c r="T8" s="53">
        <v>25</v>
      </c>
      <c r="U8" s="53">
        <v>25</v>
      </c>
      <c r="V8" s="53">
        <v>25</v>
      </c>
      <c r="W8" s="53">
        <v>25</v>
      </c>
      <c r="X8" s="11"/>
      <c r="Y8" s="7"/>
      <c r="Z8" s="7"/>
    </row>
    <row r="9" spans="1:26" x14ac:dyDescent="0.35">
      <c r="B9" s="11" t="s">
        <v>19</v>
      </c>
      <c r="C9" s="6">
        <f>+(C7*E3/1000)*1.01*75%</f>
        <v>13.586241240000001</v>
      </c>
      <c r="D9" s="6">
        <f>+(D7*$E$3/1000)*1.01*75%</f>
        <v>14.544245430000004</v>
      </c>
      <c r="E9" s="6">
        <f>+(E7*$E$3/1000)*1.01*75%</f>
        <v>17.853714450000002</v>
      </c>
      <c r="F9" s="6">
        <f>+(F7*E3/1000)*1.01</f>
        <v>35.533246320000003</v>
      </c>
      <c r="G9" s="6">
        <f>+(G7*$E$3/1000)*1.01*75%</f>
        <v>26.649934740000003</v>
      </c>
      <c r="H9" s="6">
        <f>+(H7*$E$3/1000)*1.01*75%</f>
        <v>33.617237940000003</v>
      </c>
      <c r="I9" s="6"/>
      <c r="K9" s="11" t="s">
        <v>19</v>
      </c>
      <c r="L9" s="6">
        <f>+(L7*M3/1000)*1.005</f>
        <v>17.332028999999999</v>
      </c>
      <c r="M9" s="6">
        <f>+(M7*M3/1000)*1.005</f>
        <v>23.6871063</v>
      </c>
      <c r="O9" s="48" t="s">
        <v>20</v>
      </c>
      <c r="P9" s="14"/>
      <c r="Q9" s="43">
        <v>65</v>
      </c>
      <c r="R9" s="54">
        <v>65</v>
      </c>
      <c r="S9" s="43">
        <v>65</v>
      </c>
      <c r="T9" s="43">
        <v>65</v>
      </c>
      <c r="U9" s="43">
        <v>65</v>
      </c>
      <c r="V9" s="43">
        <v>65</v>
      </c>
      <c r="W9" s="43">
        <v>65</v>
      </c>
      <c r="X9" s="11" t="s">
        <v>21</v>
      </c>
      <c r="Y9" s="6" t="s">
        <v>22</v>
      </c>
      <c r="Z9" s="6"/>
    </row>
    <row r="10" spans="1:26" x14ac:dyDescent="0.35">
      <c r="B10" s="75" t="s">
        <v>23</v>
      </c>
      <c r="C10" s="76">
        <f>+(C7*$E$4/1000)*1.01*25%</f>
        <v>4.3023097259999998</v>
      </c>
      <c r="D10" s="76">
        <f>+(D7*$E$4/1000)*1.01*25%</f>
        <v>4.6056777195</v>
      </c>
      <c r="E10" s="76">
        <f>+(E7*$E$4/1000)*1.01*25%</f>
        <v>5.6536762424999996</v>
      </c>
      <c r="F10" s="76">
        <v>0</v>
      </c>
      <c r="G10" s="76">
        <f>+(G7*$E$4/1000)*1.01*25%</f>
        <v>8.4391460009999992</v>
      </c>
      <c r="H10" s="76">
        <f>+(H7*$E$4/1000)*1.01*25%</f>
        <v>10.645458680999999</v>
      </c>
      <c r="I10" s="6"/>
      <c r="K10" s="75" t="s">
        <v>23</v>
      </c>
      <c r="L10" s="76">
        <v>0</v>
      </c>
      <c r="M10" s="76">
        <v>0</v>
      </c>
      <c r="O10" s="46"/>
      <c r="P10" s="35"/>
      <c r="Q10" s="43">
        <f>SUM(Q7:Q9)</f>
        <v>1028.22</v>
      </c>
      <c r="R10" s="43">
        <f>SUM(R7:R9)</f>
        <v>1049.0900000000001</v>
      </c>
      <c r="S10" s="43">
        <f>SUM(S7:S9)</f>
        <v>1096.3399999999999</v>
      </c>
      <c r="T10" s="43">
        <f>SUM(T7:T9)</f>
        <v>1083.75</v>
      </c>
      <c r="U10" s="43">
        <f t="shared" ref="U10:W10" si="2">SUM(U7:U9)</f>
        <v>1105.5</v>
      </c>
      <c r="V10" s="43">
        <f t="shared" si="2"/>
        <v>1135.5999999999999</v>
      </c>
      <c r="W10" s="43">
        <f t="shared" si="2"/>
        <v>1140</v>
      </c>
      <c r="X10" s="11" t="s">
        <v>24</v>
      </c>
      <c r="Y10" s="6"/>
      <c r="Z10" s="6"/>
    </row>
    <row r="11" spans="1:26" x14ac:dyDescent="0.35">
      <c r="B11" s="11" t="s">
        <v>25</v>
      </c>
      <c r="C11" s="6">
        <v>8.1999999999999993</v>
      </c>
      <c r="D11" s="6">
        <v>8.1999999999999993</v>
      </c>
      <c r="E11" s="6">
        <v>8.1999999999999993</v>
      </c>
      <c r="F11" s="6">
        <v>11.15</v>
      </c>
      <c r="G11" s="6">
        <v>11.15</v>
      </c>
      <c r="H11" s="6">
        <v>11.15</v>
      </c>
      <c r="I11" s="6"/>
      <c r="K11" s="11" t="s">
        <v>26</v>
      </c>
      <c r="L11" s="6">
        <v>27.2</v>
      </c>
      <c r="M11" s="6">
        <v>27.2</v>
      </c>
      <c r="O11" s="47" t="s">
        <v>27</v>
      </c>
      <c r="P11" s="40"/>
      <c r="Q11" s="53">
        <f>+Q10*4%</f>
        <v>41.128800000000005</v>
      </c>
      <c r="R11" s="43">
        <f>+R10*4%</f>
        <v>41.963600000000007</v>
      </c>
      <c r="S11" s="53">
        <f>+S10*4%</f>
        <v>43.8536</v>
      </c>
      <c r="T11" s="53">
        <f>+T10*4%</f>
        <v>43.35</v>
      </c>
      <c r="U11" s="53">
        <f t="shared" ref="U11:W11" si="3">+U10*4%</f>
        <v>44.22</v>
      </c>
      <c r="V11" s="53">
        <f t="shared" si="3"/>
        <v>45.423999999999999</v>
      </c>
      <c r="W11" s="53">
        <f t="shared" si="3"/>
        <v>45.6</v>
      </c>
      <c r="X11" s="11"/>
      <c r="Y11" s="6"/>
      <c r="Z11" s="6"/>
    </row>
    <row r="12" spans="1:26" x14ac:dyDescent="0.35">
      <c r="B12" s="11" t="s">
        <v>28</v>
      </c>
      <c r="C12" s="6">
        <v>0</v>
      </c>
      <c r="D12" s="6">
        <v>0</v>
      </c>
      <c r="E12" s="6">
        <v>0</v>
      </c>
      <c r="F12" s="6">
        <v>0</v>
      </c>
      <c r="G12" s="6">
        <v>0</v>
      </c>
      <c r="H12" s="6">
        <v>0</v>
      </c>
      <c r="I12" s="6"/>
      <c r="K12" s="11" t="s">
        <v>29</v>
      </c>
      <c r="L12" s="6">
        <v>0</v>
      </c>
      <c r="M12" s="6">
        <v>0</v>
      </c>
      <c r="O12" s="48" t="s">
        <v>30</v>
      </c>
      <c r="P12" s="14"/>
      <c r="Q12" s="50">
        <f>+Q11+Q10</f>
        <v>1069.3488</v>
      </c>
      <c r="R12" s="55">
        <f>+R11+R10</f>
        <v>1091.0536000000002</v>
      </c>
      <c r="S12" s="50">
        <f>+S11+S10</f>
        <v>1140.1935999999998</v>
      </c>
      <c r="T12" s="50">
        <f>+T11+T10</f>
        <v>1127.0999999999999</v>
      </c>
      <c r="U12" s="50">
        <f t="shared" ref="U12:W12" si="4">+U11+U10</f>
        <v>1149.72</v>
      </c>
      <c r="V12" s="50">
        <f t="shared" si="4"/>
        <v>1181.0239999999999</v>
      </c>
      <c r="W12" s="50">
        <f t="shared" si="4"/>
        <v>1185.5999999999999</v>
      </c>
      <c r="X12" s="11"/>
      <c r="Y12" s="6"/>
      <c r="Z12" s="6"/>
    </row>
    <row r="13" spans="1:26" x14ac:dyDescent="0.35">
      <c r="B13" s="11" t="s">
        <v>31</v>
      </c>
      <c r="C13" s="6">
        <v>1.3</v>
      </c>
      <c r="D13" s="6">
        <v>1.3</v>
      </c>
      <c r="E13" s="6">
        <v>1.3</v>
      </c>
      <c r="F13" s="6">
        <v>2.38</v>
      </c>
      <c r="G13" s="6">
        <v>2.38</v>
      </c>
      <c r="H13" s="6">
        <v>2.38</v>
      </c>
      <c r="I13" s="6"/>
      <c r="K13" s="11" t="s">
        <v>31</v>
      </c>
      <c r="L13" s="6">
        <v>0.81</v>
      </c>
      <c r="M13" s="6">
        <v>1.99</v>
      </c>
      <c r="O13" s="49" t="s">
        <v>32</v>
      </c>
      <c r="P13" s="41"/>
      <c r="Q13" s="56">
        <f>+Q12*(1-5%)</f>
        <v>1015.88136</v>
      </c>
      <c r="R13" s="56">
        <f t="shared" ref="R13:W13" si="5">+R12*(1-5%)</f>
        <v>1036.5009200000002</v>
      </c>
      <c r="S13" s="56">
        <f t="shared" si="5"/>
        <v>1083.1839199999997</v>
      </c>
      <c r="T13" s="56">
        <f t="shared" si="5"/>
        <v>1070.7449999999999</v>
      </c>
      <c r="U13" s="56">
        <f t="shared" si="5"/>
        <v>1092.2339999999999</v>
      </c>
      <c r="V13" s="56">
        <f t="shared" si="5"/>
        <v>1121.9727999999998</v>
      </c>
      <c r="W13" s="56">
        <f t="shared" si="5"/>
        <v>1126.32</v>
      </c>
      <c r="X13" s="11" t="s">
        <v>33</v>
      </c>
      <c r="Y13" s="6"/>
      <c r="Z13" s="6"/>
    </row>
    <row r="14" spans="1:26" x14ac:dyDescent="0.35">
      <c r="B14" s="11" t="s">
        <v>34</v>
      </c>
      <c r="C14" s="6">
        <v>0.19</v>
      </c>
      <c r="D14" s="6">
        <v>0.19</v>
      </c>
      <c r="E14" s="6">
        <v>0.19</v>
      </c>
      <c r="F14" s="6">
        <v>0.33</v>
      </c>
      <c r="G14" s="6">
        <v>0.33</v>
      </c>
      <c r="H14" s="6">
        <v>0.33</v>
      </c>
      <c r="I14" s="6"/>
      <c r="K14" s="11" t="s">
        <v>34</v>
      </c>
      <c r="L14" s="6">
        <v>2.71</v>
      </c>
      <c r="M14" s="6">
        <v>2.71</v>
      </c>
      <c r="O14" s="48" t="s">
        <v>35</v>
      </c>
      <c r="P14" s="42"/>
      <c r="Q14" s="50">
        <f>+Q12*75%+Q13*25%</f>
        <v>1055.9819400000001</v>
      </c>
      <c r="R14" s="50">
        <f t="shared" ref="R14:W14" si="6">+R12*75%+R13*25%</f>
        <v>1077.4154300000002</v>
      </c>
      <c r="S14" s="50">
        <f t="shared" si="6"/>
        <v>1125.9411799999998</v>
      </c>
      <c r="T14" s="50">
        <f t="shared" si="6"/>
        <v>1113.01125</v>
      </c>
      <c r="U14" s="50">
        <f t="shared" si="6"/>
        <v>1135.3485000000001</v>
      </c>
      <c r="V14" s="50">
        <f t="shared" si="6"/>
        <v>1166.2611999999999</v>
      </c>
      <c r="W14" s="50">
        <f t="shared" si="6"/>
        <v>1170.78</v>
      </c>
      <c r="X14" s="11"/>
      <c r="Y14" s="6"/>
      <c r="Z14" s="6"/>
    </row>
    <row r="15" spans="1:26" x14ac:dyDescent="0.35">
      <c r="B15" s="11" t="s">
        <v>36</v>
      </c>
      <c r="C15" s="6">
        <v>0.16</v>
      </c>
      <c r="D15" s="6">
        <v>0.16</v>
      </c>
      <c r="E15" s="6">
        <v>0.16</v>
      </c>
      <c r="F15" s="6">
        <v>0.28000000000000003</v>
      </c>
      <c r="G15" s="6">
        <v>0.28000000000000003</v>
      </c>
      <c r="H15" s="6">
        <v>0.28000000000000003</v>
      </c>
      <c r="I15" s="6"/>
      <c r="K15" s="11" t="s">
        <v>36</v>
      </c>
      <c r="L15" s="6">
        <v>7.77</v>
      </c>
      <c r="M15" s="6">
        <v>7.77</v>
      </c>
      <c r="O15" s="49" t="s">
        <v>37</v>
      </c>
      <c r="P15" s="44"/>
      <c r="Q15" s="57">
        <f>+Q14*1%</f>
        <v>10.559819400000002</v>
      </c>
      <c r="R15" s="57">
        <f t="shared" ref="R15:W15" si="7">+R14*1%</f>
        <v>10.774154300000003</v>
      </c>
      <c r="S15" s="57">
        <f t="shared" si="7"/>
        <v>11.259411799999999</v>
      </c>
      <c r="T15" s="57">
        <f t="shared" si="7"/>
        <v>11.130112500000001</v>
      </c>
      <c r="U15" s="57">
        <f t="shared" si="7"/>
        <v>11.353485000000001</v>
      </c>
      <c r="V15" s="57">
        <f t="shared" si="7"/>
        <v>11.662611999999999</v>
      </c>
      <c r="W15" s="57">
        <f t="shared" si="7"/>
        <v>11.707800000000001</v>
      </c>
      <c r="X15" s="11"/>
      <c r="Y15" s="6"/>
      <c r="Z15" s="6"/>
    </row>
    <row r="16" spans="1:26" x14ac:dyDescent="0.35">
      <c r="A16" t="s">
        <v>38</v>
      </c>
      <c r="B16" s="8" t="s">
        <v>39</v>
      </c>
      <c r="C16" s="12">
        <f t="shared" ref="C16:H16" si="8">SUM(C9:C15)</f>
        <v>27.738550966000002</v>
      </c>
      <c r="D16" s="12">
        <f t="shared" si="8"/>
        <v>28.999923149500006</v>
      </c>
      <c r="E16" s="12">
        <f t="shared" si="8"/>
        <v>33.357390692499997</v>
      </c>
      <c r="F16" s="12">
        <f t="shared" si="8"/>
        <v>49.673246320000004</v>
      </c>
      <c r="G16" s="12">
        <f t="shared" si="8"/>
        <v>49.229080741000004</v>
      </c>
      <c r="H16" s="12">
        <f t="shared" si="8"/>
        <v>58.402696621000004</v>
      </c>
      <c r="I16" s="12"/>
      <c r="K16" s="8" t="s">
        <v>39</v>
      </c>
      <c r="L16" s="12">
        <f>SUM(L9:L15)</f>
        <v>55.822029000000001</v>
      </c>
      <c r="M16" s="12">
        <f>SUM(M9:M15)</f>
        <v>63.357106299999998</v>
      </c>
      <c r="O16" s="49" t="s">
        <v>40</v>
      </c>
      <c r="P16" s="45"/>
      <c r="Q16" s="56">
        <f>+Q15+Q14</f>
        <v>1066.5417594</v>
      </c>
      <c r="R16" s="56">
        <f t="shared" ref="R16:W16" si="9">+R15+R14</f>
        <v>1088.1895843000002</v>
      </c>
      <c r="S16" s="56">
        <f t="shared" si="9"/>
        <v>1137.2005917999998</v>
      </c>
      <c r="T16" s="56">
        <f t="shared" si="9"/>
        <v>1124.1413625</v>
      </c>
      <c r="U16" s="56">
        <f t="shared" si="9"/>
        <v>1146.7019850000001</v>
      </c>
      <c r="V16" s="56">
        <f t="shared" si="9"/>
        <v>1177.923812</v>
      </c>
      <c r="W16" s="56">
        <f t="shared" si="9"/>
        <v>1182.4877999999999</v>
      </c>
      <c r="X16" s="8"/>
      <c r="Y16" s="12"/>
      <c r="Z16" s="12"/>
    </row>
    <row r="17" spans="2:26" x14ac:dyDescent="0.35">
      <c r="B17" s="8"/>
      <c r="C17" s="12"/>
      <c r="D17" s="12"/>
      <c r="E17" s="12"/>
      <c r="F17" s="12"/>
      <c r="G17" s="12"/>
      <c r="H17" s="12"/>
      <c r="I17" s="12"/>
      <c r="J17" s="13"/>
      <c r="L17" s="12"/>
      <c r="M17" s="12"/>
      <c r="O17" s="8" t="s">
        <v>41</v>
      </c>
      <c r="P17" s="12"/>
      <c r="Q17" s="58">
        <f>+D5</f>
        <v>1146.7019850000004</v>
      </c>
      <c r="R17" s="58">
        <f>+Q17</f>
        <v>1146.7019850000004</v>
      </c>
      <c r="S17" s="58">
        <f>+R17</f>
        <v>1146.7019850000004</v>
      </c>
      <c r="T17" s="58">
        <f>+S17</f>
        <v>1146.7019850000004</v>
      </c>
      <c r="U17" s="58">
        <f t="shared" ref="U17:W17" si="10">+T17</f>
        <v>1146.7019850000004</v>
      </c>
      <c r="V17" s="58">
        <f t="shared" si="10"/>
        <v>1146.7019850000004</v>
      </c>
      <c r="W17" s="58">
        <f t="shared" si="10"/>
        <v>1146.7019850000004</v>
      </c>
      <c r="Y17" s="12"/>
      <c r="Z17" s="12"/>
    </row>
    <row r="18" spans="2:26" x14ac:dyDescent="0.35">
      <c r="J18" s="13"/>
      <c r="O18" s="1"/>
      <c r="P18" s="1"/>
      <c r="Q18" s="1"/>
      <c r="R18" s="1"/>
      <c r="T18" s="13"/>
      <c r="U18" s="13"/>
      <c r="V18" s="13"/>
      <c r="W18" s="13"/>
      <c r="Y18" s="1"/>
      <c r="Z18" s="1"/>
    </row>
    <row r="19" spans="2:26" x14ac:dyDescent="0.35">
      <c r="Y19" s="1"/>
      <c r="Z19" s="1"/>
    </row>
    <row r="20" spans="2:26" x14ac:dyDescent="0.35">
      <c r="Y20" s="1"/>
      <c r="Z20" s="1"/>
    </row>
    <row r="33" spans="2:13" x14ac:dyDescent="0.35">
      <c r="B33" s="1" t="s">
        <v>51</v>
      </c>
      <c r="M33" s="1" t="s">
        <v>52</v>
      </c>
    </row>
  </sheetData>
  <mergeCells count="9">
    <mergeCell ref="B4:D4"/>
    <mergeCell ref="K4:L4"/>
    <mergeCell ref="X4:Y4"/>
    <mergeCell ref="B6:I6"/>
    <mergeCell ref="O2:Z2"/>
    <mergeCell ref="B3:D3"/>
    <mergeCell ref="K3:L3"/>
    <mergeCell ref="O3:Q3"/>
    <mergeCell ref="X3:Y3"/>
  </mergeCells>
  <pageMargins left="0.7" right="0.7" top="0.75" bottom="0.75" header="0.3" footer="0.3"/>
  <pageSetup paperSize="9" orientation="portrait" r:id="rId1"/>
  <customProperties>
    <customPr name="EpmWorksheetKeyString_GUID" r:id="rId2"/>
  </customProperties>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2:AB32"/>
  <sheetViews>
    <sheetView showGridLines="0" zoomScale="70" zoomScaleNormal="70" workbookViewId="0">
      <selection activeCell="AC7" sqref="AC7"/>
    </sheetView>
  </sheetViews>
  <sheetFormatPr defaultColWidth="11.453125" defaultRowHeight="14.5" x14ac:dyDescent="0.35"/>
  <cols>
    <col min="1" max="1" width="3.453125" customWidth="1"/>
    <col min="2" max="2" width="22.1796875" style="1" customWidth="1"/>
    <col min="3" max="3" width="12.1796875" style="1" customWidth="1"/>
    <col min="4" max="4" width="12.453125" style="1" customWidth="1"/>
    <col min="5" max="5" width="11" style="1" customWidth="1"/>
    <col min="6" max="6" width="11.81640625" style="1" customWidth="1"/>
    <col min="7" max="7" width="11" style="1" customWidth="1"/>
    <col min="8" max="8" width="11.54296875" style="1" customWidth="1"/>
    <col min="9" max="9" width="8.54296875" hidden="1" customWidth="1"/>
    <col min="10" max="10" width="3.1796875" hidden="1" customWidth="1"/>
    <col min="11" max="11" width="23.1796875" customWidth="1"/>
    <col min="12" max="15" width="10.81640625" style="1" customWidth="1"/>
    <col min="16" max="16" width="2.81640625" customWidth="1"/>
    <col min="17" max="17" width="28.81640625" customWidth="1"/>
    <col min="18" max="18" width="1" customWidth="1"/>
    <col min="19" max="19" width="16.1796875" hidden="1" customWidth="1"/>
    <col min="20" max="20" width="17.54296875" hidden="1" customWidth="1"/>
    <col min="21" max="21" width="14.54296875" hidden="1" customWidth="1"/>
    <col min="22" max="22" width="15.81640625" customWidth="1"/>
    <col min="23" max="23" width="14.81640625" customWidth="1"/>
    <col min="24" max="24" width="15.81640625" customWidth="1"/>
    <col min="25" max="25" width="14.453125" customWidth="1"/>
  </cols>
  <sheetData>
    <row r="2" spans="1:28" x14ac:dyDescent="0.35">
      <c r="B2" s="77"/>
      <c r="C2" s="77"/>
      <c r="D2" s="77"/>
      <c r="E2" s="71"/>
      <c r="F2" s="71"/>
      <c r="G2" s="71"/>
      <c r="H2" s="71"/>
      <c r="I2" s="71"/>
      <c r="J2" s="71"/>
      <c r="K2" s="71"/>
      <c r="L2" s="71"/>
      <c r="M2" s="71"/>
      <c r="N2" s="71"/>
      <c r="O2" s="71"/>
      <c r="Q2" s="565"/>
      <c r="R2" s="565"/>
      <c r="S2" s="565"/>
      <c r="T2" s="565"/>
      <c r="U2" s="565"/>
      <c r="V2" s="565"/>
      <c r="W2" s="565"/>
      <c r="X2" s="565"/>
      <c r="Y2" s="565"/>
      <c r="Z2" s="565"/>
      <c r="AA2" s="565"/>
      <c r="AB2" s="565"/>
    </row>
    <row r="3" spans="1:28" x14ac:dyDescent="0.35">
      <c r="B3" s="572" t="s">
        <v>1</v>
      </c>
      <c r="C3" s="572"/>
      <c r="D3" s="572"/>
      <c r="E3" s="3">
        <f>+X12</f>
        <v>1181.0239999999999</v>
      </c>
      <c r="G3" s="3"/>
      <c r="H3" s="3"/>
      <c r="I3" s="4">
        <v>0.05</v>
      </c>
      <c r="J3" s="2"/>
      <c r="K3" s="572" t="s">
        <v>1</v>
      </c>
      <c r="L3" s="572"/>
      <c r="M3" s="3">
        <f>+E3</f>
        <v>1181.0239999999999</v>
      </c>
      <c r="N3" s="3"/>
      <c r="O3" s="3"/>
      <c r="Q3" s="571"/>
      <c r="R3" s="571"/>
      <c r="S3" s="571"/>
      <c r="T3" s="3"/>
      <c r="U3" s="4"/>
      <c r="V3" s="2"/>
      <c r="W3" s="2"/>
      <c r="X3" s="2"/>
      <c r="Y3" s="2"/>
      <c r="Z3" s="571"/>
      <c r="AA3" s="571"/>
      <c r="AB3" s="3"/>
    </row>
    <row r="4" spans="1:28" x14ac:dyDescent="0.35">
      <c r="B4" s="572" t="s">
        <v>2</v>
      </c>
      <c r="C4" s="572"/>
      <c r="D4" s="572"/>
      <c r="E4" s="3">
        <f>+X13</f>
        <v>1121.9727999999998</v>
      </c>
      <c r="G4" s="3"/>
      <c r="H4" s="3"/>
      <c r="I4" s="6">
        <f>+E3*I3</f>
        <v>59.051199999999994</v>
      </c>
      <c r="J4" s="2"/>
      <c r="K4" s="572" t="s">
        <v>3</v>
      </c>
      <c r="L4" s="572"/>
      <c r="M4" s="3">
        <f>+E4</f>
        <v>1121.9727999999998</v>
      </c>
      <c r="N4" s="3"/>
      <c r="O4" s="3"/>
      <c r="Q4" s="38"/>
      <c r="R4" s="21"/>
      <c r="S4" s="21"/>
      <c r="T4" s="18"/>
      <c r="V4" s="2"/>
      <c r="W4" s="2"/>
      <c r="X4" s="2"/>
      <c r="Y4" s="2"/>
      <c r="Z4" s="571"/>
      <c r="AA4" s="571"/>
      <c r="AB4" s="3"/>
    </row>
    <row r="5" spans="1:28" ht="23.5" x14ac:dyDescent="0.55000000000000004">
      <c r="B5" s="7"/>
      <c r="C5" s="34">
        <f>+(C9+C10)/C7*1000</f>
        <v>1177.9238119999998</v>
      </c>
      <c r="D5" s="34">
        <f t="shared" ref="D5:F5" si="0">+(D9+D10)/D7*1000</f>
        <v>1177.9238119999998</v>
      </c>
      <c r="E5" s="34"/>
      <c r="F5" s="34">
        <f t="shared" si="0"/>
        <v>1192.8342400000001</v>
      </c>
      <c r="G5" s="34"/>
      <c r="H5" s="34"/>
      <c r="J5" s="2"/>
      <c r="K5" s="7"/>
      <c r="L5" s="34">
        <f t="shared" ref="L5:M5" si="1">+(L9+L10)/L7*1000</f>
        <v>1186.9291199999996</v>
      </c>
      <c r="M5" s="34">
        <f t="shared" si="1"/>
        <v>1186.9291199999998</v>
      </c>
      <c r="N5" s="34"/>
      <c r="O5" s="34"/>
      <c r="Q5" s="61" t="s">
        <v>4</v>
      </c>
      <c r="R5" s="1"/>
      <c r="S5" s="1"/>
      <c r="T5" s="21"/>
      <c r="U5" s="13"/>
      <c r="V5" s="2"/>
      <c r="W5" s="2"/>
      <c r="X5" s="2"/>
      <c r="Y5" s="2"/>
      <c r="Z5" s="7"/>
      <c r="AA5" s="7"/>
      <c r="AB5" s="3"/>
    </row>
    <row r="6" spans="1:28" s="25" customFormat="1" ht="43.5" x14ac:dyDescent="0.35">
      <c r="B6" s="571" t="s">
        <v>5</v>
      </c>
      <c r="C6" s="571"/>
      <c r="D6" s="571"/>
      <c r="E6" s="571"/>
      <c r="F6" s="571"/>
      <c r="G6" s="571"/>
      <c r="H6" s="571"/>
      <c r="I6" s="571"/>
      <c r="J6" s="2"/>
      <c r="K6" s="8" t="s">
        <v>6</v>
      </c>
      <c r="L6" s="9" t="s">
        <v>7</v>
      </c>
      <c r="M6" s="9" t="s">
        <v>8</v>
      </c>
      <c r="N6" s="9"/>
      <c r="O6" s="73"/>
      <c r="Q6" s="74"/>
      <c r="R6" s="74"/>
      <c r="S6" s="39" t="s">
        <v>54</v>
      </c>
      <c r="T6" s="39" t="s">
        <v>55</v>
      </c>
      <c r="U6" s="39" t="s">
        <v>56</v>
      </c>
      <c r="V6" s="39" t="s">
        <v>12</v>
      </c>
      <c r="W6" s="39" t="s">
        <v>57</v>
      </c>
      <c r="X6" s="99" t="s">
        <v>58</v>
      </c>
      <c r="Y6" s="99" t="s">
        <v>59</v>
      </c>
      <c r="Z6" s="72"/>
      <c r="AA6" s="73"/>
      <c r="AB6" s="73"/>
    </row>
    <row r="7" spans="1:28" x14ac:dyDescent="0.35">
      <c r="B7" s="8" t="s">
        <v>13</v>
      </c>
      <c r="C7" s="10">
        <v>15.6</v>
      </c>
      <c r="D7" s="10">
        <v>16.7</v>
      </c>
      <c r="E7" s="10">
        <v>20.5</v>
      </c>
      <c r="F7" s="10">
        <v>30.6</v>
      </c>
      <c r="G7" s="10">
        <v>30.6</v>
      </c>
      <c r="H7" s="10">
        <v>38.6</v>
      </c>
      <c r="I7" s="10"/>
      <c r="K7" s="8" t="s">
        <v>13</v>
      </c>
      <c r="L7" s="10">
        <v>15</v>
      </c>
      <c r="M7" s="10">
        <v>20.5</v>
      </c>
      <c r="N7" s="10">
        <v>15</v>
      </c>
      <c r="O7" s="10">
        <v>20.5</v>
      </c>
      <c r="Q7" s="46" t="s">
        <v>14</v>
      </c>
      <c r="R7" s="35"/>
      <c r="S7" s="51">
        <v>938.13</v>
      </c>
      <c r="T7" s="52">
        <v>959</v>
      </c>
      <c r="U7" s="51">
        <v>1006.25</v>
      </c>
      <c r="V7" s="62">
        <v>993.75</v>
      </c>
      <c r="W7" s="70">
        <v>1015.5</v>
      </c>
      <c r="X7" s="70">
        <v>1045.5999999999999</v>
      </c>
      <c r="Y7" s="70">
        <v>1050</v>
      </c>
      <c r="Z7" s="8" t="s">
        <v>15</v>
      </c>
      <c r="AA7" s="10"/>
      <c r="AB7" s="10"/>
    </row>
    <row r="8" spans="1:28" x14ac:dyDescent="0.35">
      <c r="B8" s="11" t="s">
        <v>16</v>
      </c>
      <c r="C8" s="7" t="s">
        <v>17</v>
      </c>
      <c r="D8" s="7" t="s">
        <v>17</v>
      </c>
      <c r="E8" s="7" t="s">
        <v>17</v>
      </c>
      <c r="F8" s="7" t="s">
        <v>17</v>
      </c>
      <c r="G8" s="7" t="s">
        <v>17</v>
      </c>
      <c r="H8" s="7" t="s">
        <v>17</v>
      </c>
      <c r="I8" s="7"/>
      <c r="K8" s="11" t="s">
        <v>16</v>
      </c>
      <c r="L8" s="7" t="s">
        <v>17</v>
      </c>
      <c r="M8" s="7" t="s">
        <v>17</v>
      </c>
      <c r="N8" s="7" t="s">
        <v>17</v>
      </c>
      <c r="O8" s="7" t="s">
        <v>17</v>
      </c>
      <c r="Q8" s="47" t="s">
        <v>18</v>
      </c>
      <c r="R8" s="40"/>
      <c r="S8" s="53">
        <v>25.09</v>
      </c>
      <c r="T8" s="53">
        <v>25.09</v>
      </c>
      <c r="U8" s="53">
        <v>25.09</v>
      </c>
      <c r="V8" s="53">
        <v>25</v>
      </c>
      <c r="W8" s="53">
        <v>25</v>
      </c>
      <c r="X8" s="53">
        <v>25</v>
      </c>
      <c r="Y8" s="53">
        <v>25</v>
      </c>
      <c r="Z8" s="11"/>
      <c r="AA8" s="7"/>
      <c r="AB8" s="7"/>
    </row>
    <row r="9" spans="1:28" x14ac:dyDescent="0.35">
      <c r="B9" s="11" t="s">
        <v>19</v>
      </c>
      <c r="C9" s="6">
        <f>+(C7*E3/1000)*1.01*75%</f>
        <v>13.956160607999998</v>
      </c>
      <c r="D9" s="6">
        <f>+(D7*$E$3/1000)*1.01*75%</f>
        <v>14.940248855999997</v>
      </c>
      <c r="E9" s="6">
        <f>+(E7*$E$3/1000)*1.01*75%</f>
        <v>18.33982644</v>
      </c>
      <c r="F9" s="6">
        <f>+(F7*E3/1000)*1.01</f>
        <v>36.500727744000002</v>
      </c>
      <c r="G9" s="6">
        <f>+(G7*$E$3/1000)*1.01*75%</f>
        <v>27.375545808000002</v>
      </c>
      <c r="H9" s="6">
        <f>+(H7*$E$3/1000)*1.01*75%</f>
        <v>34.532551247999997</v>
      </c>
      <c r="I9" s="63"/>
      <c r="J9" s="64"/>
      <c r="K9" s="11" t="s">
        <v>19</v>
      </c>
      <c r="L9" s="6">
        <f>+(L7*M3/1000)*1.005</f>
        <v>17.803936799999995</v>
      </c>
      <c r="M9" s="6">
        <f>+(M7*M3/1000)*1.005</f>
        <v>24.332046959999996</v>
      </c>
      <c r="N9" s="6">
        <f>+(N7*M3/1000)*1.005*75%</f>
        <v>13.352952599999997</v>
      </c>
      <c r="O9" s="6">
        <f>+(O7*M3/1000)*1.005*75%</f>
        <v>18.249035219999996</v>
      </c>
      <c r="Q9" s="48" t="s">
        <v>20</v>
      </c>
      <c r="R9" s="14"/>
      <c r="S9" s="43">
        <v>65</v>
      </c>
      <c r="T9" s="54">
        <v>65</v>
      </c>
      <c r="U9" s="43">
        <v>65</v>
      </c>
      <c r="V9" s="43">
        <v>65</v>
      </c>
      <c r="W9" s="43">
        <v>65</v>
      </c>
      <c r="X9" s="43">
        <v>65</v>
      </c>
      <c r="Y9" s="43">
        <v>65</v>
      </c>
      <c r="Z9" s="11" t="s">
        <v>21</v>
      </c>
      <c r="AA9" s="6" t="s">
        <v>22</v>
      </c>
      <c r="AB9" s="6"/>
    </row>
    <row r="10" spans="1:28" x14ac:dyDescent="0.35">
      <c r="B10" s="75" t="s">
        <v>23</v>
      </c>
      <c r="C10" s="76">
        <f>+(C7*$E$4/1000)*1.01*25%</f>
        <v>4.4194508591999986</v>
      </c>
      <c r="D10" s="76">
        <f>+(D7*$E$4/1000)*1.01*25%</f>
        <v>4.7310788043999983</v>
      </c>
      <c r="E10" s="76">
        <f>+(E7*$E$4/1000)*1.01*25%</f>
        <v>5.8076117059999994</v>
      </c>
      <c r="F10" s="76">
        <v>0</v>
      </c>
      <c r="G10" s="76">
        <f>+(G7*$E$4/1000)*1.01*25%</f>
        <v>8.6689228391999986</v>
      </c>
      <c r="H10" s="76">
        <f>+(H7*$E$4/1000)*1.01*25%</f>
        <v>10.935307895199998</v>
      </c>
      <c r="I10" s="63"/>
      <c r="J10" s="64"/>
      <c r="K10" s="75" t="s">
        <v>23</v>
      </c>
      <c r="L10" s="76">
        <v>0</v>
      </c>
      <c r="M10" s="76">
        <v>0</v>
      </c>
      <c r="N10" s="76">
        <f>+(N7*M4/1000)*1.005*25%</f>
        <v>4.2284349899999993</v>
      </c>
      <c r="O10" s="76">
        <f>+(O7*M4/1000)*1.005*25%</f>
        <v>5.7788611529999985</v>
      </c>
      <c r="Q10" s="46"/>
      <c r="R10" s="35"/>
      <c r="S10" s="43">
        <f>SUM(S7:S9)</f>
        <v>1028.22</v>
      </c>
      <c r="T10" s="43">
        <f>SUM(T7:T9)</f>
        <v>1049.0900000000001</v>
      </c>
      <c r="U10" s="43">
        <f>SUM(U7:U9)</f>
        <v>1096.3399999999999</v>
      </c>
      <c r="V10" s="43">
        <f>SUM(V7:V9)</f>
        <v>1083.75</v>
      </c>
      <c r="W10" s="43">
        <f t="shared" ref="W10:Y10" si="2">SUM(W7:W9)</f>
        <v>1105.5</v>
      </c>
      <c r="X10" s="43">
        <f t="shared" si="2"/>
        <v>1135.5999999999999</v>
      </c>
      <c r="Y10" s="43">
        <f t="shared" si="2"/>
        <v>1140</v>
      </c>
      <c r="Z10" s="11" t="s">
        <v>24</v>
      </c>
      <c r="AA10" s="6"/>
      <c r="AB10" s="6"/>
    </row>
    <row r="11" spans="1:28" x14ac:dyDescent="0.35">
      <c r="B11" s="11" t="s">
        <v>25</v>
      </c>
      <c r="C11" s="6">
        <v>8.1999999999999993</v>
      </c>
      <c r="D11" s="6">
        <v>8.1999999999999993</v>
      </c>
      <c r="E11" s="6">
        <v>8.1999999999999993</v>
      </c>
      <c r="F11" s="6">
        <v>11.15</v>
      </c>
      <c r="G11" s="6">
        <v>11.15</v>
      </c>
      <c r="H11" s="6">
        <v>11.15</v>
      </c>
      <c r="I11" s="6"/>
      <c r="K11" s="11" t="s">
        <v>26</v>
      </c>
      <c r="L11" s="6">
        <v>27.2</v>
      </c>
      <c r="M11" s="6">
        <v>27.2</v>
      </c>
      <c r="N11" s="6">
        <v>27.2</v>
      </c>
      <c r="O11" s="6">
        <v>27.2</v>
      </c>
      <c r="Q11" s="47" t="s">
        <v>27</v>
      </c>
      <c r="R11" s="40"/>
      <c r="S11" s="53">
        <f>+S10*4%</f>
        <v>41.128800000000005</v>
      </c>
      <c r="T11" s="43">
        <f>+T10*4%</f>
        <v>41.963600000000007</v>
      </c>
      <c r="U11" s="53">
        <f>+U10*4%</f>
        <v>43.8536</v>
      </c>
      <c r="V11" s="53">
        <f>+V10*4%</f>
        <v>43.35</v>
      </c>
      <c r="W11" s="53">
        <f t="shared" ref="W11:Y11" si="3">+W10*4%</f>
        <v>44.22</v>
      </c>
      <c r="X11" s="53">
        <f t="shared" si="3"/>
        <v>45.423999999999999</v>
      </c>
      <c r="Y11" s="53">
        <f t="shared" si="3"/>
        <v>45.6</v>
      </c>
      <c r="Z11" s="11"/>
      <c r="AA11" s="6"/>
      <c r="AB11" s="6"/>
    </row>
    <row r="12" spans="1:28" x14ac:dyDescent="0.35">
      <c r="B12" s="11" t="s">
        <v>28</v>
      </c>
      <c r="C12" s="6">
        <v>0</v>
      </c>
      <c r="D12" s="6">
        <v>0</v>
      </c>
      <c r="E12" s="6">
        <v>0</v>
      </c>
      <c r="F12" s="6">
        <v>0</v>
      </c>
      <c r="G12" s="6">
        <v>0</v>
      </c>
      <c r="H12" s="6">
        <v>0</v>
      </c>
      <c r="I12" s="6"/>
      <c r="K12" s="11" t="s">
        <v>29</v>
      </c>
      <c r="L12" s="6">
        <v>0</v>
      </c>
      <c r="M12" s="6">
        <v>0</v>
      </c>
      <c r="N12" s="6">
        <v>0</v>
      </c>
      <c r="O12" s="6">
        <v>0</v>
      </c>
      <c r="Q12" s="48" t="s">
        <v>30</v>
      </c>
      <c r="R12" s="14"/>
      <c r="S12" s="50">
        <f>+S11+S10</f>
        <v>1069.3488</v>
      </c>
      <c r="T12" s="55">
        <f>+T11+T10</f>
        <v>1091.0536000000002</v>
      </c>
      <c r="U12" s="50">
        <f>+U11+U10</f>
        <v>1140.1935999999998</v>
      </c>
      <c r="V12" s="50">
        <f>+V11+V10</f>
        <v>1127.0999999999999</v>
      </c>
      <c r="W12" s="50">
        <f t="shared" ref="W12:Y12" si="4">+W11+W10</f>
        <v>1149.72</v>
      </c>
      <c r="X12" s="50">
        <f t="shared" si="4"/>
        <v>1181.0239999999999</v>
      </c>
      <c r="Y12" s="50">
        <f t="shared" si="4"/>
        <v>1185.5999999999999</v>
      </c>
      <c r="Z12" s="11"/>
      <c r="AA12" s="6"/>
      <c r="AB12" s="6"/>
    </row>
    <row r="13" spans="1:28" x14ac:dyDescent="0.35">
      <c r="B13" s="11" t="s">
        <v>31</v>
      </c>
      <c r="C13" s="6">
        <v>1.3</v>
      </c>
      <c r="D13" s="6">
        <v>1.3</v>
      </c>
      <c r="E13" s="6">
        <v>1.3</v>
      </c>
      <c r="F13" s="6">
        <v>2.38</v>
      </c>
      <c r="G13" s="6">
        <v>2.38</v>
      </c>
      <c r="H13" s="6">
        <v>2.38</v>
      </c>
      <c r="I13" s="6"/>
      <c r="K13" s="11" t="s">
        <v>31</v>
      </c>
      <c r="L13" s="6">
        <v>0.81</v>
      </c>
      <c r="M13" s="6">
        <v>1.99</v>
      </c>
      <c r="N13" s="6">
        <v>0.81</v>
      </c>
      <c r="O13" s="6">
        <v>1.99</v>
      </c>
      <c r="Q13" s="49" t="s">
        <v>32</v>
      </c>
      <c r="R13" s="41"/>
      <c r="S13" s="56">
        <f>+S12*(1-5%)</f>
        <v>1015.88136</v>
      </c>
      <c r="T13" s="56">
        <f t="shared" ref="T13:Y13" si="5">+T12*(1-5%)</f>
        <v>1036.5009200000002</v>
      </c>
      <c r="U13" s="56">
        <f t="shared" si="5"/>
        <v>1083.1839199999997</v>
      </c>
      <c r="V13" s="56">
        <f t="shared" si="5"/>
        <v>1070.7449999999999</v>
      </c>
      <c r="W13" s="56">
        <f t="shared" si="5"/>
        <v>1092.2339999999999</v>
      </c>
      <c r="X13" s="56">
        <f t="shared" si="5"/>
        <v>1121.9727999999998</v>
      </c>
      <c r="Y13" s="56">
        <f t="shared" si="5"/>
        <v>1126.32</v>
      </c>
      <c r="Z13" s="11" t="s">
        <v>33</v>
      </c>
      <c r="AA13" s="6"/>
      <c r="AB13" s="6"/>
    </row>
    <row r="14" spans="1:28" x14ac:dyDescent="0.35">
      <c r="B14" s="11" t="s">
        <v>34</v>
      </c>
      <c r="C14" s="6">
        <v>0.19</v>
      </c>
      <c r="D14" s="6">
        <v>0.19</v>
      </c>
      <c r="E14" s="6">
        <v>0.19</v>
      </c>
      <c r="F14" s="6">
        <v>0.33</v>
      </c>
      <c r="G14" s="6">
        <v>0.33</v>
      </c>
      <c r="H14" s="6">
        <v>0.33</v>
      </c>
      <c r="I14" s="6"/>
      <c r="K14" s="11" t="s">
        <v>34</v>
      </c>
      <c r="L14" s="6">
        <v>2.71</v>
      </c>
      <c r="M14" s="6">
        <v>2.71</v>
      </c>
      <c r="N14" s="6">
        <v>2.71</v>
      </c>
      <c r="O14" s="6">
        <v>2.71</v>
      </c>
      <c r="Q14" s="48" t="s">
        <v>35</v>
      </c>
      <c r="R14" s="42"/>
      <c r="S14" s="50">
        <f>+S12*75%+S13*25%</f>
        <v>1055.9819400000001</v>
      </c>
      <c r="T14" s="50">
        <f t="shared" ref="T14:Y14" si="6">+T12*75%+T13*25%</f>
        <v>1077.4154300000002</v>
      </c>
      <c r="U14" s="50">
        <f t="shared" si="6"/>
        <v>1125.9411799999998</v>
      </c>
      <c r="V14" s="50">
        <f t="shared" si="6"/>
        <v>1113.01125</v>
      </c>
      <c r="W14" s="50">
        <f t="shared" si="6"/>
        <v>1135.3485000000001</v>
      </c>
      <c r="X14" s="50">
        <f t="shared" si="6"/>
        <v>1166.2611999999999</v>
      </c>
      <c r="Y14" s="50">
        <f t="shared" si="6"/>
        <v>1170.78</v>
      </c>
      <c r="Z14" s="11"/>
      <c r="AA14" s="6"/>
      <c r="AB14" s="6"/>
    </row>
    <row r="15" spans="1:28" x14ac:dyDescent="0.35">
      <c r="B15" s="11" t="s">
        <v>36</v>
      </c>
      <c r="C15" s="6">
        <v>0.16</v>
      </c>
      <c r="D15" s="6">
        <v>0.16</v>
      </c>
      <c r="E15" s="6">
        <v>0.16</v>
      </c>
      <c r="F15" s="6">
        <v>0.28000000000000003</v>
      </c>
      <c r="G15" s="6">
        <v>0.28000000000000003</v>
      </c>
      <c r="H15" s="6">
        <v>0.28000000000000003</v>
      </c>
      <c r="I15" s="6"/>
      <c r="K15" s="11" t="s">
        <v>36</v>
      </c>
      <c r="L15" s="6">
        <v>7.77</v>
      </c>
      <c r="M15" s="6">
        <v>7.77</v>
      </c>
      <c r="N15" s="6">
        <v>7.77</v>
      </c>
      <c r="O15" s="6">
        <v>7.77</v>
      </c>
      <c r="Q15" s="49" t="s">
        <v>37</v>
      </c>
      <c r="R15" s="44"/>
      <c r="S15" s="57">
        <f>+S14*1%</f>
        <v>10.559819400000002</v>
      </c>
      <c r="T15" s="57">
        <f t="shared" ref="T15:Y15" si="7">+T14*1%</f>
        <v>10.774154300000003</v>
      </c>
      <c r="U15" s="57">
        <f t="shared" si="7"/>
        <v>11.259411799999999</v>
      </c>
      <c r="V15" s="57">
        <f t="shared" si="7"/>
        <v>11.130112500000001</v>
      </c>
      <c r="W15" s="57">
        <f t="shared" si="7"/>
        <v>11.353485000000001</v>
      </c>
      <c r="X15" s="57">
        <f t="shared" si="7"/>
        <v>11.662611999999999</v>
      </c>
      <c r="Y15" s="57">
        <f t="shared" si="7"/>
        <v>11.707800000000001</v>
      </c>
      <c r="Z15" s="11"/>
      <c r="AA15" s="6"/>
      <c r="AB15" s="6"/>
    </row>
    <row r="16" spans="1:28" x14ac:dyDescent="0.35">
      <c r="A16" t="s">
        <v>38</v>
      </c>
      <c r="B16" s="8" t="s">
        <v>39</v>
      </c>
      <c r="C16" s="12">
        <f t="shared" ref="C16:H16" si="8">SUM(C9:C15)</f>
        <v>28.225611467199997</v>
      </c>
      <c r="D16" s="12">
        <f t="shared" si="8"/>
        <v>29.521327660399997</v>
      </c>
      <c r="E16" s="12">
        <f t="shared" si="8"/>
        <v>33.997438145999993</v>
      </c>
      <c r="F16" s="12">
        <f t="shared" si="8"/>
        <v>50.640727744000003</v>
      </c>
      <c r="G16" s="12">
        <f t="shared" si="8"/>
        <v>50.184468647199999</v>
      </c>
      <c r="H16" s="12">
        <f t="shared" si="8"/>
        <v>59.607859143199995</v>
      </c>
      <c r="I16" s="12"/>
      <c r="K16" s="8" t="s">
        <v>39</v>
      </c>
      <c r="L16" s="12">
        <f>SUM(L9:L15)</f>
        <v>56.293936799999997</v>
      </c>
      <c r="M16" s="12">
        <f>SUM(M9:M15)</f>
        <v>64.002046960000001</v>
      </c>
      <c r="N16" s="12">
        <f>SUM(N9:N15)</f>
        <v>56.071387590000001</v>
      </c>
      <c r="O16" s="12">
        <f>SUM(O9:O15)</f>
        <v>63.697896372999992</v>
      </c>
      <c r="Q16" s="49" t="s">
        <v>40</v>
      </c>
      <c r="R16" s="45"/>
      <c r="S16" s="56">
        <f>+S15+S14</f>
        <v>1066.5417594</v>
      </c>
      <c r="T16" s="56">
        <f t="shared" ref="T16:Y16" si="9">+T15+T14</f>
        <v>1088.1895843000002</v>
      </c>
      <c r="U16" s="56">
        <f t="shared" si="9"/>
        <v>1137.2005917999998</v>
      </c>
      <c r="V16" s="56">
        <f t="shared" si="9"/>
        <v>1124.1413625</v>
      </c>
      <c r="W16" s="56">
        <f t="shared" si="9"/>
        <v>1146.7019850000001</v>
      </c>
      <c r="X16" s="56">
        <f t="shared" si="9"/>
        <v>1177.923812</v>
      </c>
      <c r="Y16" s="56">
        <f t="shared" si="9"/>
        <v>1182.4877999999999</v>
      </c>
      <c r="Z16" s="8"/>
      <c r="AA16" s="12"/>
      <c r="AB16" s="12"/>
    </row>
    <row r="17" spans="2:28" x14ac:dyDescent="0.35">
      <c r="B17" s="8"/>
      <c r="C17" s="12"/>
      <c r="D17" s="12"/>
      <c r="E17" s="12"/>
      <c r="F17" s="12"/>
      <c r="G17" s="12"/>
      <c r="H17" s="12"/>
      <c r="I17" s="12"/>
      <c r="J17" s="13"/>
      <c r="L17" s="12"/>
      <c r="M17" s="12"/>
      <c r="N17" s="12"/>
      <c r="O17" s="12"/>
      <c r="Q17" s="8" t="s">
        <v>41</v>
      </c>
      <c r="R17" s="12"/>
      <c r="S17" s="58">
        <f>+D5</f>
        <v>1177.9238119999998</v>
      </c>
      <c r="T17" s="58">
        <f>+S17</f>
        <v>1177.9238119999998</v>
      </c>
      <c r="U17" s="58">
        <f>+T17</f>
        <v>1177.9238119999998</v>
      </c>
      <c r="V17" s="58">
        <f>+U17</f>
        <v>1177.9238119999998</v>
      </c>
      <c r="W17" s="58">
        <f t="shared" ref="W17:Y17" si="10">+V17</f>
        <v>1177.9238119999998</v>
      </c>
      <c r="X17" s="58">
        <f t="shared" si="10"/>
        <v>1177.9238119999998</v>
      </c>
      <c r="Y17" s="58">
        <f t="shared" si="10"/>
        <v>1177.9238119999998</v>
      </c>
      <c r="AA17" s="12"/>
      <c r="AB17" s="12"/>
    </row>
    <row r="18" spans="2:28" x14ac:dyDescent="0.35">
      <c r="J18" s="13"/>
      <c r="Q18" s="1"/>
      <c r="R18" s="1"/>
      <c r="S18" s="1"/>
      <c r="T18" s="1"/>
      <c r="V18" s="13"/>
      <c r="W18" s="13"/>
      <c r="X18" s="13"/>
      <c r="Y18" s="13"/>
      <c r="AA18" s="1"/>
      <c r="AB18" s="1"/>
    </row>
    <row r="19" spans="2:28" x14ac:dyDescent="0.35">
      <c r="AA19" s="1"/>
      <c r="AB19" s="1"/>
    </row>
    <row r="20" spans="2:28" x14ac:dyDescent="0.35">
      <c r="AA20" s="1"/>
      <c r="AB20" s="1"/>
    </row>
    <row r="32" spans="2:28" x14ac:dyDescent="0.35">
      <c r="B32" s="1" t="s">
        <v>51</v>
      </c>
      <c r="M32" s="1" t="s">
        <v>52</v>
      </c>
    </row>
  </sheetData>
  <mergeCells count="9">
    <mergeCell ref="B4:D4"/>
    <mergeCell ref="K4:L4"/>
    <mergeCell ref="Z4:AA4"/>
    <mergeCell ref="B6:I6"/>
    <mergeCell ref="Q2:AB2"/>
    <mergeCell ref="B3:D3"/>
    <mergeCell ref="K3:L3"/>
    <mergeCell ref="Q3:S3"/>
    <mergeCell ref="Z3:AA3"/>
  </mergeCells>
  <pageMargins left="0.7" right="0.7" top="0.75" bottom="0.75" header="0.3" footer="0.3"/>
  <pageSetup paperSize="9" orientation="portrait" r:id="rId1"/>
  <customProperties>
    <customPr name="EpmWorksheetKeyString_GUID" r:id="rId2"/>
  </customProperties>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2:AC32"/>
  <sheetViews>
    <sheetView zoomScale="70" zoomScaleNormal="70" workbookViewId="0">
      <selection activeCell="AC7" sqref="AC7"/>
    </sheetView>
  </sheetViews>
  <sheetFormatPr defaultColWidth="11.453125" defaultRowHeight="14.5" x14ac:dyDescent="0.35"/>
  <cols>
    <col min="1" max="1" width="3.453125" style="81" customWidth="1"/>
    <col min="2" max="2" width="22.1796875" style="82" customWidth="1"/>
    <col min="3" max="3" width="12.1796875" style="82" customWidth="1"/>
    <col min="4" max="4" width="12.453125" style="82" customWidth="1"/>
    <col min="5" max="5" width="11" style="82" customWidth="1"/>
    <col min="6" max="6" width="11.81640625" style="82" customWidth="1"/>
    <col min="7" max="7" width="11" style="82" customWidth="1"/>
    <col min="8" max="8" width="11.54296875" style="82" customWidth="1"/>
    <col min="9" max="9" width="8.54296875" style="81" hidden="1" customWidth="1"/>
    <col min="10" max="10" width="3.1796875" style="81" hidden="1" customWidth="1"/>
    <col min="11" max="11" width="23.1796875" style="81" customWidth="1"/>
    <col min="12" max="12" width="17.81640625" style="82" bestFit="1" customWidth="1"/>
    <col min="13" max="15" width="10.81640625" style="82" customWidth="1"/>
    <col min="16" max="16" width="2.81640625" style="81" customWidth="1"/>
    <col min="17" max="17" width="28.81640625" style="81" customWidth="1"/>
    <col min="18" max="18" width="1" style="81" hidden="1" customWidth="1"/>
    <col min="19" max="19" width="16.1796875" style="81" hidden="1" customWidth="1"/>
    <col min="20" max="20" width="17.54296875" style="81" hidden="1" customWidth="1"/>
    <col min="21" max="21" width="14.54296875" style="81" hidden="1" customWidth="1"/>
    <col min="22" max="22" width="16" style="81" hidden="1" customWidth="1"/>
    <col min="23" max="23" width="17.81640625" style="81" hidden="1" customWidth="1"/>
    <col min="24" max="24" width="17.1796875" style="81" bestFit="1" customWidth="1"/>
    <col min="25" max="26" width="14.453125" style="81" customWidth="1"/>
    <col min="27" max="16384" width="11.453125" style="81"/>
  </cols>
  <sheetData>
    <row r="2" spans="1:29" x14ac:dyDescent="0.35">
      <c r="B2" s="86"/>
      <c r="C2" s="86"/>
      <c r="D2" s="86"/>
      <c r="E2" s="87"/>
      <c r="F2" s="87"/>
      <c r="G2" s="87"/>
      <c r="H2" s="87"/>
      <c r="I2" s="87"/>
      <c r="J2" s="87"/>
      <c r="K2" s="87"/>
      <c r="L2" s="87"/>
      <c r="M2" s="87"/>
      <c r="N2" s="87"/>
      <c r="O2" s="87"/>
      <c r="Q2" s="574"/>
      <c r="R2" s="574"/>
      <c r="S2" s="574"/>
      <c r="T2" s="574"/>
      <c r="U2" s="574"/>
      <c r="V2" s="574"/>
      <c r="W2" s="574"/>
      <c r="X2" s="574"/>
      <c r="Y2" s="574"/>
      <c r="Z2" s="574"/>
      <c r="AA2" s="574"/>
      <c r="AB2" s="574"/>
      <c r="AC2" s="574"/>
    </row>
    <row r="3" spans="1:29" x14ac:dyDescent="0.35">
      <c r="B3" s="575" t="s">
        <v>1</v>
      </c>
      <c r="C3" s="575"/>
      <c r="D3" s="575"/>
      <c r="E3" s="78">
        <f>+Y12</f>
        <v>1241.5</v>
      </c>
      <c r="G3" s="78"/>
      <c r="H3" s="78"/>
      <c r="I3" s="83">
        <v>0.05</v>
      </c>
      <c r="J3" s="88"/>
      <c r="K3" s="575" t="s">
        <v>1</v>
      </c>
      <c r="L3" s="575"/>
      <c r="M3" s="78">
        <f>+E3</f>
        <v>1241.5</v>
      </c>
      <c r="N3" s="78"/>
      <c r="O3" s="78"/>
      <c r="Q3" s="573"/>
      <c r="R3" s="573"/>
      <c r="S3" s="573"/>
      <c r="T3" s="78"/>
      <c r="U3" s="83"/>
      <c r="V3" s="88"/>
      <c r="W3" s="88"/>
      <c r="X3" s="88"/>
      <c r="Y3" s="88"/>
      <c r="Z3" s="88"/>
      <c r="AA3" s="573"/>
      <c r="AB3" s="573"/>
      <c r="AC3" s="78"/>
    </row>
    <row r="4" spans="1:29" x14ac:dyDescent="0.35">
      <c r="B4" s="575" t="s">
        <v>2</v>
      </c>
      <c r="C4" s="575"/>
      <c r="D4" s="575"/>
      <c r="E4" s="78">
        <f>+Y13</f>
        <v>1179.425</v>
      </c>
      <c r="G4" s="78"/>
      <c r="H4" s="78"/>
      <c r="I4" s="80">
        <f>+E3*I3</f>
        <v>62.075000000000003</v>
      </c>
      <c r="J4" s="88"/>
      <c r="K4" s="575" t="s">
        <v>3</v>
      </c>
      <c r="L4" s="575"/>
      <c r="M4" s="78">
        <f>+E4</f>
        <v>1179.425</v>
      </c>
      <c r="N4" s="78"/>
      <c r="O4" s="78"/>
      <c r="Q4" s="89"/>
      <c r="R4" s="90"/>
      <c r="S4" s="90"/>
      <c r="T4" s="37"/>
      <c r="V4" s="88"/>
      <c r="W4" s="88"/>
      <c r="X4" s="88"/>
      <c r="Y4" s="88"/>
      <c r="Z4" s="88"/>
      <c r="AA4" s="573"/>
      <c r="AB4" s="573"/>
      <c r="AC4" s="78"/>
    </row>
    <row r="5" spans="1:29" ht="23.5" x14ac:dyDescent="0.55000000000000004">
      <c r="B5" s="91"/>
      <c r="C5" s="92">
        <f>+(C9+C10)/C7*1000</f>
        <v>1238.2410624999998</v>
      </c>
      <c r="D5" s="92">
        <f t="shared" ref="D5:F5" si="0">+(D9+D10)/D7*1000</f>
        <v>1238.2410624999998</v>
      </c>
      <c r="E5" s="92"/>
      <c r="F5" s="92">
        <f t="shared" si="0"/>
        <v>1253.915</v>
      </c>
      <c r="G5" s="92"/>
      <c r="H5" s="92"/>
      <c r="J5" s="88"/>
      <c r="K5" s="91"/>
      <c r="L5" s="92">
        <f t="shared" ref="L5:M5" si="1">+(L9+L10)/L7*1000</f>
        <v>1247.7074999999998</v>
      </c>
      <c r="M5" s="92">
        <f t="shared" si="1"/>
        <v>1247.7074999999998</v>
      </c>
      <c r="N5" s="92"/>
      <c r="O5" s="92"/>
      <c r="Q5" s="93" t="s">
        <v>4</v>
      </c>
      <c r="R5" s="82"/>
      <c r="S5" s="82"/>
      <c r="T5" s="90"/>
      <c r="U5" s="94"/>
      <c r="V5" s="88"/>
      <c r="W5" s="88"/>
      <c r="X5" s="88"/>
      <c r="Y5" s="88"/>
      <c r="Z5" s="88"/>
      <c r="AA5" s="91"/>
      <c r="AB5" s="91"/>
      <c r="AC5" s="78"/>
    </row>
    <row r="6" spans="1:29" s="95" customFormat="1" ht="43.5" x14ac:dyDescent="0.35">
      <c r="B6" s="573" t="s">
        <v>5</v>
      </c>
      <c r="C6" s="573"/>
      <c r="D6" s="573"/>
      <c r="E6" s="573"/>
      <c r="F6" s="573"/>
      <c r="G6" s="573"/>
      <c r="H6" s="573"/>
      <c r="I6" s="573"/>
      <c r="J6" s="88"/>
      <c r="K6" s="85" t="s">
        <v>6</v>
      </c>
      <c r="L6" s="96" t="s">
        <v>7</v>
      </c>
      <c r="M6" s="96" t="s">
        <v>8</v>
      </c>
      <c r="N6" s="96"/>
      <c r="O6" s="97"/>
      <c r="Q6" s="98"/>
      <c r="R6" s="98"/>
      <c r="S6" s="99" t="s">
        <v>54</v>
      </c>
      <c r="T6" s="99" t="s">
        <v>55</v>
      </c>
      <c r="U6" s="99" t="s">
        <v>56</v>
      </c>
      <c r="V6" s="99" t="s">
        <v>12</v>
      </c>
      <c r="W6" s="99" t="s">
        <v>57</v>
      </c>
      <c r="X6" s="99" t="s">
        <v>58</v>
      </c>
      <c r="Y6" s="99" t="s">
        <v>59</v>
      </c>
      <c r="Z6" s="99" t="s">
        <v>60</v>
      </c>
      <c r="AA6" s="100"/>
      <c r="AB6" s="97"/>
      <c r="AC6" s="97"/>
    </row>
    <row r="7" spans="1:29" x14ac:dyDescent="0.35">
      <c r="B7" s="85" t="s">
        <v>13</v>
      </c>
      <c r="C7" s="101">
        <v>15.6</v>
      </c>
      <c r="D7" s="101">
        <v>16.7</v>
      </c>
      <c r="E7" s="101">
        <v>20.5</v>
      </c>
      <c r="F7" s="101">
        <v>30.6</v>
      </c>
      <c r="G7" s="101">
        <v>30.6</v>
      </c>
      <c r="H7" s="101">
        <v>38.6</v>
      </c>
      <c r="I7" s="101"/>
      <c r="K7" s="85" t="s">
        <v>13</v>
      </c>
      <c r="L7" s="101">
        <v>15</v>
      </c>
      <c r="M7" s="101">
        <v>20.5</v>
      </c>
      <c r="N7" s="101">
        <v>15</v>
      </c>
      <c r="O7" s="101">
        <v>20.5</v>
      </c>
      <c r="Q7" s="102" t="s">
        <v>14</v>
      </c>
      <c r="R7" s="103"/>
      <c r="S7" s="104">
        <v>938.13</v>
      </c>
      <c r="T7" s="105">
        <v>959</v>
      </c>
      <c r="U7" s="104">
        <v>1006.25</v>
      </c>
      <c r="V7" s="62">
        <v>993.75</v>
      </c>
      <c r="W7" s="70">
        <v>1015.5</v>
      </c>
      <c r="X7" s="70">
        <v>1045.5999999999999</v>
      </c>
      <c r="Y7" s="51">
        <v>1103.75</v>
      </c>
      <c r="Z7" s="51">
        <v>1110</v>
      </c>
      <c r="AA7" s="85"/>
      <c r="AB7" s="101"/>
      <c r="AC7" s="101"/>
    </row>
    <row r="8" spans="1:29" x14ac:dyDescent="0.35">
      <c r="B8" s="79" t="s">
        <v>16</v>
      </c>
      <c r="C8" s="91" t="s">
        <v>17</v>
      </c>
      <c r="D8" s="91" t="s">
        <v>17</v>
      </c>
      <c r="E8" s="91" t="s">
        <v>17</v>
      </c>
      <c r="F8" s="91" t="s">
        <v>17</v>
      </c>
      <c r="G8" s="91" t="s">
        <v>17</v>
      </c>
      <c r="H8" s="91" t="s">
        <v>17</v>
      </c>
      <c r="I8" s="91"/>
      <c r="K8" s="79" t="s">
        <v>16</v>
      </c>
      <c r="L8" s="91" t="s">
        <v>17</v>
      </c>
      <c r="M8" s="91" t="s">
        <v>17</v>
      </c>
      <c r="N8" s="91" t="s">
        <v>17</v>
      </c>
      <c r="O8" s="91" t="s">
        <v>17</v>
      </c>
      <c r="Q8" s="106" t="s">
        <v>18</v>
      </c>
      <c r="R8" s="107"/>
      <c r="S8" s="108">
        <v>25.09</v>
      </c>
      <c r="T8" s="108">
        <v>25.09</v>
      </c>
      <c r="U8" s="108">
        <v>25.09</v>
      </c>
      <c r="V8" s="108">
        <v>25</v>
      </c>
      <c r="W8" s="108">
        <v>25</v>
      </c>
      <c r="X8" s="108">
        <v>25</v>
      </c>
      <c r="Y8" s="108">
        <v>25</v>
      </c>
      <c r="Z8" s="108">
        <v>25</v>
      </c>
      <c r="AA8" s="79"/>
      <c r="AB8" s="91"/>
      <c r="AC8" s="91"/>
    </row>
    <row r="9" spans="1:29" x14ac:dyDescent="0.35">
      <c r="B9" s="79" t="s">
        <v>19</v>
      </c>
      <c r="C9" s="80">
        <f>+(C7*E3/1000)*1.01*75%</f>
        <v>14.670805499999998</v>
      </c>
      <c r="D9" s="80">
        <f>+(D7*$E$3/1000)*1.01*75%</f>
        <v>15.705285374999999</v>
      </c>
      <c r="E9" s="80">
        <f>+(E7*$E$3/1000)*1.01*75%</f>
        <v>19.278943124999998</v>
      </c>
      <c r="F9" s="80">
        <f>+(F7*E3/1000)*1.01</f>
        <v>38.369799</v>
      </c>
      <c r="G9" s="80">
        <f>+(G7*$E$3/1000)*1.01*75%</f>
        <v>28.77734925</v>
      </c>
      <c r="H9" s="80">
        <f>+(H7*$E$3/1000)*1.01*75%</f>
        <v>36.300839250000003</v>
      </c>
      <c r="I9" s="80"/>
      <c r="K9" s="79" t="s">
        <v>19</v>
      </c>
      <c r="L9" s="80">
        <f>+(L7*M3/1000)*1.005</f>
        <v>18.715612499999995</v>
      </c>
      <c r="M9" s="80">
        <f>+(M7*M3/1000)*1.005</f>
        <v>25.578003749999997</v>
      </c>
      <c r="N9" s="80">
        <f>+(N7*M3/1000)*1.005*75%</f>
        <v>14.036709374999997</v>
      </c>
      <c r="O9" s="80">
        <f>+(O7*M3/1000)*1.005*75%</f>
        <v>19.183502812499999</v>
      </c>
      <c r="Q9" s="109" t="s">
        <v>20</v>
      </c>
      <c r="R9" s="110"/>
      <c r="S9" s="104">
        <v>65</v>
      </c>
      <c r="T9" s="105">
        <v>65</v>
      </c>
      <c r="U9" s="104">
        <v>65</v>
      </c>
      <c r="V9" s="104">
        <v>65</v>
      </c>
      <c r="W9" s="104">
        <v>65</v>
      </c>
      <c r="X9" s="104">
        <v>65</v>
      </c>
      <c r="Y9" s="104">
        <v>65</v>
      </c>
      <c r="Z9" s="104">
        <v>65</v>
      </c>
      <c r="AA9" s="79" t="s">
        <v>21</v>
      </c>
      <c r="AB9" s="80" t="s">
        <v>22</v>
      </c>
      <c r="AC9" s="80"/>
    </row>
    <row r="10" spans="1:29" x14ac:dyDescent="0.35">
      <c r="B10" s="75" t="s">
        <v>23</v>
      </c>
      <c r="C10" s="76">
        <f>+(C7*$E$4/1000)*1.01*25%</f>
        <v>4.6457550750000003</v>
      </c>
      <c r="D10" s="76">
        <f>+(D7*$E$4/1000)*1.01*25%</f>
        <v>4.9733403687499997</v>
      </c>
      <c r="E10" s="76">
        <f>+(E7*$E$4/1000)*1.01*25%</f>
        <v>6.1049986562499994</v>
      </c>
      <c r="F10" s="76">
        <v>0</v>
      </c>
      <c r="G10" s="76">
        <f>+(G7*$E$4/1000)*1.01*25%</f>
        <v>9.1128272624999997</v>
      </c>
      <c r="H10" s="76">
        <f>+(H7*$E$4/1000)*1.01*25%</f>
        <v>11.495265762499999</v>
      </c>
      <c r="I10" s="76"/>
      <c r="J10" s="121"/>
      <c r="K10" s="75" t="s">
        <v>23</v>
      </c>
      <c r="L10" s="76">
        <v>0</v>
      </c>
      <c r="M10" s="76">
        <v>0</v>
      </c>
      <c r="N10" s="76">
        <f>+(N7*M4/1000)*1.005*25%</f>
        <v>4.4449579687499998</v>
      </c>
      <c r="O10" s="76">
        <f>+(O7*M4/1000)*1.005*25%</f>
        <v>6.0747758906249985</v>
      </c>
      <c r="Q10" s="102"/>
      <c r="R10" s="103"/>
      <c r="S10" s="104">
        <f>SUM(S7:S9)</f>
        <v>1028.22</v>
      </c>
      <c r="T10" s="104">
        <f>SUM(T7:T9)</f>
        <v>1049.0900000000001</v>
      </c>
      <c r="U10" s="104">
        <f>SUM(U7:U9)</f>
        <v>1096.3399999999999</v>
      </c>
      <c r="V10" s="104">
        <f>SUM(V7:V9)</f>
        <v>1083.75</v>
      </c>
      <c r="W10" s="104">
        <f t="shared" ref="W10:Y10" si="2">SUM(W7:W9)</f>
        <v>1105.5</v>
      </c>
      <c r="X10" s="104">
        <f t="shared" si="2"/>
        <v>1135.5999999999999</v>
      </c>
      <c r="Y10" s="104">
        <f t="shared" si="2"/>
        <v>1193.75</v>
      </c>
      <c r="Z10" s="104">
        <f t="shared" ref="Z10" si="3">SUM(Z7:Z9)</f>
        <v>1200</v>
      </c>
      <c r="AA10" s="79" t="s">
        <v>24</v>
      </c>
      <c r="AB10" s="80"/>
      <c r="AC10" s="80"/>
    </row>
    <row r="11" spans="1:29" x14ac:dyDescent="0.35">
      <c r="B11" s="79" t="s">
        <v>25</v>
      </c>
      <c r="C11" s="80">
        <v>8.1999999999999993</v>
      </c>
      <c r="D11" s="80">
        <v>8.1999999999999993</v>
      </c>
      <c r="E11" s="80">
        <v>8.1999999999999993</v>
      </c>
      <c r="F11" s="80">
        <v>11.15</v>
      </c>
      <c r="G11" s="80">
        <v>11.15</v>
      </c>
      <c r="H11" s="80">
        <v>11.15</v>
      </c>
      <c r="I11" s="80"/>
      <c r="K11" s="79" t="s">
        <v>26</v>
      </c>
      <c r="L11" s="80">
        <v>27.2</v>
      </c>
      <c r="M11" s="80">
        <v>27.2</v>
      </c>
      <c r="N11" s="80">
        <v>27.2</v>
      </c>
      <c r="O11" s="80">
        <v>27.2</v>
      </c>
      <c r="Q11" s="106" t="s">
        <v>27</v>
      </c>
      <c r="R11" s="107"/>
      <c r="S11" s="108">
        <f>+S10*4%</f>
        <v>41.128800000000005</v>
      </c>
      <c r="T11" s="104">
        <f>+T10*4%</f>
        <v>41.963600000000007</v>
      </c>
      <c r="U11" s="108">
        <f>+U10*4%</f>
        <v>43.8536</v>
      </c>
      <c r="V11" s="108">
        <f>+V10*4%</f>
        <v>43.35</v>
      </c>
      <c r="W11" s="108">
        <f t="shared" ref="W11:Y11" si="4">+W10*4%</f>
        <v>44.22</v>
      </c>
      <c r="X11" s="108">
        <f t="shared" si="4"/>
        <v>45.423999999999999</v>
      </c>
      <c r="Y11" s="108">
        <f t="shared" si="4"/>
        <v>47.75</v>
      </c>
      <c r="Z11" s="108">
        <f t="shared" ref="Z11" si="5">+Z10*4%</f>
        <v>48</v>
      </c>
      <c r="AA11" s="79"/>
      <c r="AB11" s="80"/>
      <c r="AC11" s="80"/>
    </row>
    <row r="12" spans="1:29" x14ac:dyDescent="0.35">
      <c r="B12" s="79" t="s">
        <v>28</v>
      </c>
      <c r="C12" s="80">
        <v>0</v>
      </c>
      <c r="D12" s="80">
        <v>0</v>
      </c>
      <c r="E12" s="80">
        <v>0</v>
      </c>
      <c r="F12" s="80">
        <v>0</v>
      </c>
      <c r="G12" s="80">
        <v>0</v>
      </c>
      <c r="H12" s="80">
        <v>0</v>
      </c>
      <c r="I12" s="80"/>
      <c r="K12" s="79" t="s">
        <v>29</v>
      </c>
      <c r="L12" s="80">
        <v>0</v>
      </c>
      <c r="M12" s="80">
        <v>0</v>
      </c>
      <c r="N12" s="80">
        <v>0</v>
      </c>
      <c r="O12" s="80">
        <v>0</v>
      </c>
      <c r="Q12" s="109" t="s">
        <v>30</v>
      </c>
      <c r="R12" s="110"/>
      <c r="S12" s="111">
        <f>+S11+S10</f>
        <v>1069.3488</v>
      </c>
      <c r="T12" s="112">
        <f>+T11+T10</f>
        <v>1091.0536000000002</v>
      </c>
      <c r="U12" s="111">
        <f>+U11+U10</f>
        <v>1140.1935999999998</v>
      </c>
      <c r="V12" s="111">
        <f>+V11+V10</f>
        <v>1127.0999999999999</v>
      </c>
      <c r="W12" s="111">
        <f t="shared" ref="W12:Y12" si="6">+W11+W10</f>
        <v>1149.72</v>
      </c>
      <c r="X12" s="111">
        <f t="shared" si="6"/>
        <v>1181.0239999999999</v>
      </c>
      <c r="Y12" s="111">
        <f t="shared" si="6"/>
        <v>1241.5</v>
      </c>
      <c r="Z12" s="111">
        <f t="shared" ref="Z12" si="7">+Z11+Z10</f>
        <v>1248</v>
      </c>
      <c r="AA12" s="79"/>
      <c r="AB12" s="80"/>
      <c r="AC12" s="80"/>
    </row>
    <row r="13" spans="1:29" x14ac:dyDescent="0.35">
      <c r="B13" s="79" t="s">
        <v>31</v>
      </c>
      <c r="C13" s="80">
        <v>1.3</v>
      </c>
      <c r="D13" s="80">
        <v>1.3</v>
      </c>
      <c r="E13" s="80">
        <v>1.3</v>
      </c>
      <c r="F13" s="80">
        <v>2.38</v>
      </c>
      <c r="G13" s="80">
        <v>2.38</v>
      </c>
      <c r="H13" s="80">
        <v>2.38</v>
      </c>
      <c r="I13" s="80"/>
      <c r="K13" s="79" t="s">
        <v>31</v>
      </c>
      <c r="L13" s="80">
        <v>0.81</v>
      </c>
      <c r="M13" s="80">
        <v>1.99</v>
      </c>
      <c r="N13" s="80">
        <v>0.81</v>
      </c>
      <c r="O13" s="80">
        <v>1.99</v>
      </c>
      <c r="Q13" s="113" t="s">
        <v>32</v>
      </c>
      <c r="R13" s="114"/>
      <c r="S13" s="115">
        <f>+S12*(1-5%)</f>
        <v>1015.88136</v>
      </c>
      <c r="T13" s="115">
        <f t="shared" ref="T13:Y13" si="8">+T12*(1-5%)</f>
        <v>1036.5009200000002</v>
      </c>
      <c r="U13" s="115">
        <f t="shared" si="8"/>
        <v>1083.1839199999997</v>
      </c>
      <c r="V13" s="115">
        <f t="shared" si="8"/>
        <v>1070.7449999999999</v>
      </c>
      <c r="W13" s="115">
        <f t="shared" si="8"/>
        <v>1092.2339999999999</v>
      </c>
      <c r="X13" s="115">
        <f t="shared" si="8"/>
        <v>1121.9727999999998</v>
      </c>
      <c r="Y13" s="115">
        <f t="shared" si="8"/>
        <v>1179.425</v>
      </c>
      <c r="Z13" s="115">
        <f t="shared" ref="Z13" si="9">+Z12*(1-5%)</f>
        <v>1185.5999999999999</v>
      </c>
      <c r="AA13" s="79" t="s">
        <v>33</v>
      </c>
      <c r="AB13" s="80"/>
      <c r="AC13" s="80"/>
    </row>
    <row r="14" spans="1:29" x14ac:dyDescent="0.35">
      <c r="B14" s="79" t="s">
        <v>34</v>
      </c>
      <c r="C14" s="80">
        <v>0.19</v>
      </c>
      <c r="D14" s="80">
        <v>0.19</v>
      </c>
      <c r="E14" s="80">
        <v>0.19</v>
      </c>
      <c r="F14" s="80">
        <v>0.33</v>
      </c>
      <c r="G14" s="80">
        <v>0.33</v>
      </c>
      <c r="H14" s="80">
        <v>0.33</v>
      </c>
      <c r="I14" s="80"/>
      <c r="K14" s="79" t="s">
        <v>34</v>
      </c>
      <c r="L14" s="80">
        <v>2.71</v>
      </c>
      <c r="M14" s="80">
        <v>2.71</v>
      </c>
      <c r="N14" s="80">
        <v>2.71</v>
      </c>
      <c r="O14" s="80">
        <v>2.71</v>
      </c>
      <c r="Q14" s="109" t="s">
        <v>35</v>
      </c>
      <c r="R14" s="116"/>
      <c r="S14" s="111">
        <f>+S12*75%+S13*25%</f>
        <v>1055.9819400000001</v>
      </c>
      <c r="T14" s="111">
        <f t="shared" ref="T14:Y14" si="10">+T12*75%+T13*25%</f>
        <v>1077.4154300000002</v>
      </c>
      <c r="U14" s="111">
        <f t="shared" si="10"/>
        <v>1125.9411799999998</v>
      </c>
      <c r="V14" s="111">
        <f t="shared" si="10"/>
        <v>1113.01125</v>
      </c>
      <c r="W14" s="111">
        <f t="shared" si="10"/>
        <v>1135.3485000000001</v>
      </c>
      <c r="X14" s="111">
        <f t="shared" si="10"/>
        <v>1166.2611999999999</v>
      </c>
      <c r="Y14" s="111">
        <f t="shared" si="10"/>
        <v>1225.98125</v>
      </c>
      <c r="Z14" s="111">
        <f t="shared" ref="Z14" si="11">+Z12*75%+Z13*25%</f>
        <v>1232.4000000000001</v>
      </c>
      <c r="AA14" s="79"/>
      <c r="AB14" s="80"/>
      <c r="AC14" s="80"/>
    </row>
    <row r="15" spans="1:29" x14ac:dyDescent="0.35">
      <c r="B15" s="79" t="s">
        <v>36</v>
      </c>
      <c r="C15" s="80">
        <v>0.16</v>
      </c>
      <c r="D15" s="80">
        <v>0.16</v>
      </c>
      <c r="E15" s="80">
        <v>0.16</v>
      </c>
      <c r="F15" s="80">
        <v>0.28000000000000003</v>
      </c>
      <c r="G15" s="80">
        <v>0.28000000000000003</v>
      </c>
      <c r="H15" s="80">
        <v>0.28000000000000003</v>
      </c>
      <c r="I15" s="80"/>
      <c r="K15" s="79" t="s">
        <v>36</v>
      </c>
      <c r="L15" s="80">
        <v>7.77</v>
      </c>
      <c r="M15" s="80">
        <v>7.77</v>
      </c>
      <c r="N15" s="80">
        <v>7.77</v>
      </c>
      <c r="O15" s="80">
        <v>7.77</v>
      </c>
      <c r="Q15" s="113" t="s">
        <v>37</v>
      </c>
      <c r="R15" s="117"/>
      <c r="S15" s="118">
        <f>+S14*1%</f>
        <v>10.559819400000002</v>
      </c>
      <c r="T15" s="118">
        <f t="shared" ref="T15:Y15" si="12">+T14*1%</f>
        <v>10.774154300000003</v>
      </c>
      <c r="U15" s="118">
        <f t="shared" si="12"/>
        <v>11.259411799999999</v>
      </c>
      <c r="V15" s="118">
        <f t="shared" si="12"/>
        <v>11.130112500000001</v>
      </c>
      <c r="W15" s="118">
        <f t="shared" si="12"/>
        <v>11.353485000000001</v>
      </c>
      <c r="X15" s="118">
        <f t="shared" si="12"/>
        <v>11.662611999999999</v>
      </c>
      <c r="Y15" s="118">
        <f t="shared" si="12"/>
        <v>12.259812500000001</v>
      </c>
      <c r="Z15" s="118">
        <f t="shared" ref="Z15" si="13">+Z14*1%</f>
        <v>12.324000000000002</v>
      </c>
      <c r="AA15" s="79"/>
      <c r="AB15" s="80"/>
      <c r="AC15" s="80"/>
    </row>
    <row r="16" spans="1:29" x14ac:dyDescent="0.35">
      <c r="A16" s="81" t="s">
        <v>38</v>
      </c>
      <c r="B16" s="85" t="s">
        <v>39</v>
      </c>
      <c r="C16" s="84">
        <f t="shared" ref="C16:H16" si="14">SUM(C9:C15)</f>
        <v>29.166560574999998</v>
      </c>
      <c r="D16" s="84">
        <f t="shared" si="14"/>
        <v>30.528625743749998</v>
      </c>
      <c r="E16" s="84">
        <f t="shared" si="14"/>
        <v>35.233941781249989</v>
      </c>
      <c r="F16" s="84">
        <f t="shared" si="14"/>
        <v>52.509799000000001</v>
      </c>
      <c r="G16" s="84">
        <f t="shared" si="14"/>
        <v>52.030176512499999</v>
      </c>
      <c r="H16" s="84">
        <f t="shared" si="14"/>
        <v>61.936105012500001</v>
      </c>
      <c r="I16" s="84"/>
      <c r="K16" s="85" t="s">
        <v>39</v>
      </c>
      <c r="L16" s="84">
        <f>SUM(L9:L15)</f>
        <v>57.205612500000001</v>
      </c>
      <c r="M16" s="84">
        <f>SUM(M9:M15)</f>
        <v>65.248003749999995</v>
      </c>
      <c r="N16" s="84">
        <f>SUM(N9:N15)</f>
        <v>56.971667343749999</v>
      </c>
      <c r="O16" s="84">
        <f>SUM(O9:O15)</f>
        <v>64.928278703125002</v>
      </c>
      <c r="Q16" s="113" t="s">
        <v>40</v>
      </c>
      <c r="R16" s="119"/>
      <c r="S16" s="115">
        <f>+S15+S14</f>
        <v>1066.5417594</v>
      </c>
      <c r="T16" s="115">
        <f t="shared" ref="T16:Y16" si="15">+T15+T14</f>
        <v>1088.1895843000002</v>
      </c>
      <c r="U16" s="115">
        <f t="shared" si="15"/>
        <v>1137.2005917999998</v>
      </c>
      <c r="V16" s="115">
        <f t="shared" si="15"/>
        <v>1124.1413625</v>
      </c>
      <c r="W16" s="115">
        <f t="shared" si="15"/>
        <v>1146.7019850000001</v>
      </c>
      <c r="X16" s="115">
        <f t="shared" si="15"/>
        <v>1177.923812</v>
      </c>
      <c r="Y16" s="115">
        <f t="shared" si="15"/>
        <v>1238.2410625</v>
      </c>
      <c r="Z16" s="115">
        <f t="shared" ref="Z16" si="16">+Z15+Z14</f>
        <v>1244.7240000000002</v>
      </c>
      <c r="AA16" s="85"/>
      <c r="AB16" s="84"/>
      <c r="AC16" s="84"/>
    </row>
    <row r="17" spans="2:29" x14ac:dyDescent="0.35">
      <c r="B17" s="85"/>
      <c r="C17" s="84"/>
      <c r="D17" s="84"/>
      <c r="E17" s="84"/>
      <c r="F17" s="84"/>
      <c r="G17" s="84"/>
      <c r="H17" s="84"/>
      <c r="I17" s="84"/>
      <c r="J17" s="94"/>
      <c r="L17" s="84"/>
      <c r="M17" s="84"/>
      <c r="N17" s="84"/>
      <c r="O17" s="84"/>
      <c r="Q17" s="85" t="s">
        <v>41</v>
      </c>
      <c r="R17" s="84"/>
      <c r="S17" s="120">
        <f>+D5</f>
        <v>1238.2410624999998</v>
      </c>
      <c r="T17" s="120">
        <f>+S17</f>
        <v>1238.2410624999998</v>
      </c>
      <c r="U17" s="120">
        <f>+T17</f>
        <v>1238.2410624999998</v>
      </c>
      <c r="V17" s="120">
        <f>+U17</f>
        <v>1238.2410624999998</v>
      </c>
      <c r="W17" s="120">
        <f t="shared" ref="W17:Z17" si="17">+V17</f>
        <v>1238.2410624999998</v>
      </c>
      <c r="X17" s="120">
        <f t="shared" si="17"/>
        <v>1238.2410624999998</v>
      </c>
      <c r="Y17" s="120">
        <f t="shared" si="17"/>
        <v>1238.2410624999998</v>
      </c>
      <c r="Z17" s="120">
        <f t="shared" si="17"/>
        <v>1238.2410624999998</v>
      </c>
      <c r="AB17" s="84"/>
      <c r="AC17" s="84"/>
    </row>
    <row r="18" spans="2:29" x14ac:dyDescent="0.35">
      <c r="J18" s="94"/>
      <c r="Q18" s="82"/>
      <c r="R18" s="82"/>
      <c r="S18" s="82"/>
      <c r="T18" s="82"/>
      <c r="V18" s="94"/>
      <c r="W18" s="94"/>
      <c r="X18" s="94"/>
      <c r="Y18" s="94"/>
      <c r="Z18" s="94"/>
      <c r="AB18" s="82"/>
      <c r="AC18" s="82"/>
    </row>
    <row r="19" spans="2:29" x14ac:dyDescent="0.35">
      <c r="AB19" s="82"/>
      <c r="AC19" s="82"/>
    </row>
    <row r="20" spans="2:29" x14ac:dyDescent="0.35">
      <c r="AB20" s="82"/>
      <c r="AC20" s="82"/>
    </row>
    <row r="25" spans="2:29" x14ac:dyDescent="0.35">
      <c r="L25" s="122" t="s">
        <v>61</v>
      </c>
      <c r="M25" s="123">
        <v>43145</v>
      </c>
    </row>
    <row r="32" spans="2:29" x14ac:dyDescent="0.35">
      <c r="B32" s="82" t="s">
        <v>51</v>
      </c>
      <c r="M32" s="82" t="s">
        <v>52</v>
      </c>
    </row>
  </sheetData>
  <mergeCells count="9">
    <mergeCell ref="B6:I6"/>
    <mergeCell ref="Q2:AC2"/>
    <mergeCell ref="B3:D3"/>
    <mergeCell ref="K3:L3"/>
    <mergeCell ref="Q3:S3"/>
    <mergeCell ref="AA3:AB3"/>
    <mergeCell ref="B4:D4"/>
    <mergeCell ref="K4:L4"/>
    <mergeCell ref="AA4:AB4"/>
  </mergeCells>
  <pageMargins left="0.7" right="0.7" top="0.75" bottom="0.75" header="0.3" footer="0.3"/>
  <customProperties>
    <customPr name="EpmWorksheetKeyString_GUID" r:id="rId1"/>
  </customPropertie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dimension ref="A2:AD32"/>
  <sheetViews>
    <sheetView zoomScale="70" zoomScaleNormal="70" workbookViewId="0">
      <selection activeCell="AC7" sqref="AC7"/>
    </sheetView>
  </sheetViews>
  <sheetFormatPr defaultColWidth="11.453125" defaultRowHeight="14.5" x14ac:dyDescent="0.35"/>
  <cols>
    <col min="1" max="1" width="3.453125" style="81" customWidth="1"/>
    <col min="2" max="2" width="22.1796875" style="82" customWidth="1"/>
    <col min="3" max="3" width="12.1796875" style="82" customWidth="1"/>
    <col min="4" max="4" width="12.453125" style="82" customWidth="1"/>
    <col min="5" max="5" width="11" style="82" customWidth="1"/>
    <col min="6" max="6" width="11.81640625" style="82" customWidth="1"/>
    <col min="7" max="7" width="11" style="82" customWidth="1"/>
    <col min="8" max="8" width="11.54296875" style="82" customWidth="1"/>
    <col min="9" max="9" width="8.54296875" style="81" hidden="1" customWidth="1"/>
    <col min="10" max="10" width="3.1796875" style="81" hidden="1" customWidth="1"/>
    <col min="11" max="11" width="23.1796875" style="81" customWidth="1"/>
    <col min="12" max="12" width="17.81640625" style="82" bestFit="1" customWidth="1"/>
    <col min="13" max="15" width="10.81640625" style="82" customWidth="1"/>
    <col min="16" max="16" width="2.81640625" style="81" customWidth="1"/>
    <col min="17" max="17" width="28.81640625" style="81" customWidth="1"/>
    <col min="18" max="18" width="1" style="81" hidden="1" customWidth="1"/>
    <col min="19" max="19" width="16.1796875" style="81" hidden="1" customWidth="1"/>
    <col min="20" max="20" width="17.54296875" style="81" hidden="1" customWidth="1"/>
    <col min="21" max="21" width="14.54296875" style="81" hidden="1" customWidth="1"/>
    <col min="22" max="22" width="16" style="81" hidden="1" customWidth="1"/>
    <col min="23" max="23" width="17.81640625" style="81" hidden="1" customWidth="1"/>
    <col min="24" max="24" width="17.1796875" style="81" bestFit="1" customWidth="1"/>
    <col min="25" max="27" width="14.453125" style="81" customWidth="1"/>
    <col min="28" max="16384" width="11.453125" style="81"/>
  </cols>
  <sheetData>
    <row r="2" spans="1:30" x14ac:dyDescent="0.35">
      <c r="B2" s="86"/>
      <c r="C2" s="86"/>
      <c r="D2" s="86"/>
      <c r="E2" s="87"/>
      <c r="F2" s="87"/>
      <c r="G2" s="87"/>
      <c r="H2" s="87"/>
      <c r="I2" s="87"/>
      <c r="J2" s="87"/>
      <c r="K2" s="87"/>
      <c r="L2" s="87"/>
      <c r="M2" s="87"/>
      <c r="N2" s="87"/>
      <c r="O2" s="87"/>
      <c r="Q2" s="574"/>
      <c r="R2" s="574"/>
      <c r="S2" s="574"/>
      <c r="T2" s="574"/>
      <c r="U2" s="574"/>
      <c r="V2" s="574"/>
      <c r="W2" s="574"/>
      <c r="X2" s="574"/>
      <c r="Y2" s="574"/>
      <c r="Z2" s="574"/>
      <c r="AA2" s="574"/>
      <c r="AB2" s="574"/>
      <c r="AC2" s="574"/>
      <c r="AD2" s="574"/>
    </row>
    <row r="3" spans="1:30" x14ac:dyDescent="0.35">
      <c r="B3" s="575" t="s">
        <v>1</v>
      </c>
      <c r="C3" s="575"/>
      <c r="D3" s="575"/>
      <c r="E3" s="78">
        <f>+Z12</f>
        <v>1288.3</v>
      </c>
      <c r="G3" s="78"/>
      <c r="H3" s="78"/>
      <c r="I3" s="83">
        <v>0.05</v>
      </c>
      <c r="J3" s="88"/>
      <c r="K3" s="575" t="s">
        <v>1</v>
      </c>
      <c r="L3" s="575"/>
      <c r="M3" s="78">
        <f>+E3</f>
        <v>1288.3</v>
      </c>
      <c r="N3" s="78"/>
      <c r="O3" s="78"/>
      <c r="Q3" s="573"/>
      <c r="R3" s="573"/>
      <c r="S3" s="573"/>
      <c r="T3" s="78"/>
      <c r="U3" s="83"/>
      <c r="V3" s="88"/>
      <c r="W3" s="88"/>
      <c r="X3" s="88"/>
      <c r="Y3" s="88"/>
      <c r="Z3" s="88"/>
      <c r="AA3" s="88"/>
      <c r="AB3" s="573"/>
      <c r="AC3" s="573"/>
      <c r="AD3" s="78"/>
    </row>
    <row r="4" spans="1:30" x14ac:dyDescent="0.35">
      <c r="B4" s="575" t="s">
        <v>2</v>
      </c>
      <c r="C4" s="575"/>
      <c r="D4" s="575"/>
      <c r="E4" s="78">
        <f>+Z13</f>
        <v>1223.885</v>
      </c>
      <c r="G4" s="78"/>
      <c r="H4" s="78"/>
      <c r="I4" s="80">
        <f>+E3*I3</f>
        <v>64.415000000000006</v>
      </c>
      <c r="J4" s="88"/>
      <c r="K4" s="575" t="s">
        <v>3</v>
      </c>
      <c r="L4" s="575"/>
      <c r="M4" s="78">
        <f>+E4</f>
        <v>1223.885</v>
      </c>
      <c r="N4" s="78"/>
      <c r="O4" s="78"/>
      <c r="Q4" s="89"/>
      <c r="R4" s="90"/>
      <c r="S4" s="90"/>
      <c r="T4" s="37"/>
      <c r="V4" s="88"/>
      <c r="W4" s="88"/>
      <c r="X4" s="88"/>
      <c r="Y4" s="88"/>
      <c r="Z4" s="88"/>
      <c r="AA4" s="88"/>
      <c r="AB4" s="573"/>
      <c r="AC4" s="573"/>
      <c r="AD4" s="78"/>
    </row>
    <row r="5" spans="1:30" ht="23.5" x14ac:dyDescent="0.55000000000000004">
      <c r="B5" s="91"/>
      <c r="C5" s="92">
        <f>+(C9+C10)/C7*1000</f>
        <v>1284.9182125</v>
      </c>
      <c r="D5" s="92">
        <f t="shared" ref="D5:H5" si="0">+(D9+D10)/D7*1000</f>
        <v>1284.9182125</v>
      </c>
      <c r="E5" s="92">
        <f t="shared" si="0"/>
        <v>1284.9182125</v>
      </c>
      <c r="F5" s="92">
        <f t="shared" si="0"/>
        <v>1301.1830000000002</v>
      </c>
      <c r="G5" s="92">
        <f t="shared" si="0"/>
        <v>1284.9182125</v>
      </c>
      <c r="H5" s="92">
        <f t="shared" si="0"/>
        <v>1284.9182124999998</v>
      </c>
      <c r="J5" s="88"/>
      <c r="K5" s="91"/>
      <c r="L5" s="92">
        <f t="shared" ref="L5:M5" si="1">+(L9+L10)/L7*1000</f>
        <v>1294.7415000000001</v>
      </c>
      <c r="M5" s="92">
        <f t="shared" si="1"/>
        <v>1294.7414999999999</v>
      </c>
      <c r="N5" s="92"/>
      <c r="O5" s="92"/>
      <c r="Q5" s="93" t="s">
        <v>4</v>
      </c>
      <c r="R5" s="82"/>
      <c r="S5" s="82"/>
      <c r="T5" s="90"/>
      <c r="U5" s="94"/>
      <c r="V5" s="88"/>
      <c r="W5" s="88"/>
      <c r="X5" s="88"/>
      <c r="Y5" s="88"/>
      <c r="Z5" s="88"/>
      <c r="AA5" s="88"/>
      <c r="AB5" s="91"/>
      <c r="AC5" s="91"/>
      <c r="AD5" s="78"/>
    </row>
    <row r="6" spans="1:30" s="95" customFormat="1" ht="43.5" x14ac:dyDescent="0.35">
      <c r="B6" s="573" t="s">
        <v>5</v>
      </c>
      <c r="C6" s="573"/>
      <c r="D6" s="573"/>
      <c r="E6" s="573"/>
      <c r="F6" s="573"/>
      <c r="G6" s="573"/>
      <c r="H6" s="573"/>
      <c r="I6" s="573"/>
      <c r="J6" s="88"/>
      <c r="K6" s="85" t="s">
        <v>6</v>
      </c>
      <c r="L6" s="96" t="s">
        <v>7</v>
      </c>
      <c r="M6" s="96" t="s">
        <v>8</v>
      </c>
      <c r="N6" s="96" t="s">
        <v>7</v>
      </c>
      <c r="O6" s="96" t="s">
        <v>8</v>
      </c>
      <c r="Q6" s="98"/>
      <c r="R6" s="98"/>
      <c r="S6" s="99" t="s">
        <v>54</v>
      </c>
      <c r="T6" s="99" t="s">
        <v>55</v>
      </c>
      <c r="U6" s="99" t="s">
        <v>56</v>
      </c>
      <c r="V6" s="99" t="s">
        <v>12</v>
      </c>
      <c r="W6" s="99" t="s">
        <v>57</v>
      </c>
      <c r="X6" s="99" t="s">
        <v>58</v>
      </c>
      <c r="Y6" s="99" t="s">
        <v>59</v>
      </c>
      <c r="Z6" s="99" t="s">
        <v>60</v>
      </c>
      <c r="AA6" s="99" t="s">
        <v>62</v>
      </c>
      <c r="AB6" s="100"/>
      <c r="AC6" s="97"/>
      <c r="AD6" s="97"/>
    </row>
    <row r="7" spans="1:30" x14ac:dyDescent="0.35">
      <c r="B7" s="85" t="s">
        <v>13</v>
      </c>
      <c r="C7" s="101">
        <v>15.6</v>
      </c>
      <c r="D7" s="101">
        <v>16.7</v>
      </c>
      <c r="E7" s="101">
        <v>20.5</v>
      </c>
      <c r="F7" s="101">
        <v>30.6</v>
      </c>
      <c r="G7" s="101">
        <v>30.6</v>
      </c>
      <c r="H7" s="101">
        <v>38.6</v>
      </c>
      <c r="I7" s="101"/>
      <c r="K7" s="85" t="s">
        <v>13</v>
      </c>
      <c r="L7" s="101">
        <v>15</v>
      </c>
      <c r="M7" s="101">
        <v>20.5</v>
      </c>
      <c r="N7" s="101">
        <v>15</v>
      </c>
      <c r="O7" s="101">
        <v>20.5</v>
      </c>
      <c r="Q7" s="102" t="s">
        <v>14</v>
      </c>
      <c r="R7" s="103"/>
      <c r="S7" s="104">
        <v>938.13</v>
      </c>
      <c r="T7" s="105">
        <v>959</v>
      </c>
      <c r="U7" s="104">
        <v>1006.25</v>
      </c>
      <c r="V7" s="62">
        <v>993.75</v>
      </c>
      <c r="W7" s="70">
        <v>1015.5</v>
      </c>
      <c r="X7" s="70">
        <v>1045.5999999999999</v>
      </c>
      <c r="Y7" s="51">
        <v>1103.75</v>
      </c>
      <c r="Z7" s="51">
        <v>1148.75</v>
      </c>
      <c r="AA7" s="51">
        <v>1170</v>
      </c>
      <c r="AB7" s="85"/>
      <c r="AC7" s="101"/>
      <c r="AD7" s="101"/>
    </row>
    <row r="8" spans="1:30" x14ac:dyDescent="0.35">
      <c r="B8" s="79" t="s">
        <v>16</v>
      </c>
      <c r="C8" s="91" t="s">
        <v>17</v>
      </c>
      <c r="D8" s="91" t="s">
        <v>17</v>
      </c>
      <c r="E8" s="91" t="s">
        <v>17</v>
      </c>
      <c r="F8" s="91" t="s">
        <v>17</v>
      </c>
      <c r="G8" s="91" t="s">
        <v>17</v>
      </c>
      <c r="H8" s="91" t="s">
        <v>17</v>
      </c>
      <c r="I8" s="91"/>
      <c r="K8" s="79" t="s">
        <v>16</v>
      </c>
      <c r="L8" s="91" t="s">
        <v>17</v>
      </c>
      <c r="M8" s="91" t="s">
        <v>17</v>
      </c>
      <c r="N8" s="91" t="s">
        <v>17</v>
      </c>
      <c r="O8" s="91" t="s">
        <v>17</v>
      </c>
      <c r="Q8" s="106" t="s">
        <v>18</v>
      </c>
      <c r="R8" s="107"/>
      <c r="S8" s="108">
        <v>25.09</v>
      </c>
      <c r="T8" s="108">
        <v>25.09</v>
      </c>
      <c r="U8" s="108">
        <v>25.09</v>
      </c>
      <c r="V8" s="108">
        <v>25</v>
      </c>
      <c r="W8" s="108">
        <v>25</v>
      </c>
      <c r="X8" s="108">
        <v>25</v>
      </c>
      <c r="Y8" s="108">
        <v>25</v>
      </c>
      <c r="Z8" s="108">
        <v>25</v>
      </c>
      <c r="AA8" s="108">
        <v>25</v>
      </c>
      <c r="AB8" s="79"/>
      <c r="AC8" s="91"/>
      <c r="AD8" s="91"/>
    </row>
    <row r="9" spans="1:30" x14ac:dyDescent="0.35">
      <c r="B9" s="79" t="s">
        <v>19</v>
      </c>
      <c r="C9" s="80">
        <f>+(C7*E3/1000)*1.01*75%</f>
        <v>15.223841100000001</v>
      </c>
      <c r="D9" s="80">
        <f>+(D7*$E$3/1000)*1.01*75%</f>
        <v>16.297317074999999</v>
      </c>
      <c r="E9" s="80">
        <f>+(E7*$E$3/1000)*1.01*75%</f>
        <v>20.005688624999998</v>
      </c>
      <c r="F9" s="80">
        <f>+(F7*E3/1000)*1.01</f>
        <v>39.816199800000007</v>
      </c>
      <c r="G9" s="80">
        <f>+(G7*$E$3/1000)*1.01*75%</f>
        <v>29.862149850000005</v>
      </c>
      <c r="H9" s="80">
        <f>+(H7*$E$3/1000)*1.01*75%</f>
        <v>37.669247849999991</v>
      </c>
      <c r="I9" s="80"/>
      <c r="K9" s="79" t="s">
        <v>19</v>
      </c>
      <c r="L9" s="80">
        <f>+(L7*M3/1000)*1.005</f>
        <v>19.421122499999999</v>
      </c>
      <c r="M9" s="80">
        <f>+(M7*M3/1000)*1.005</f>
        <v>26.542200749999996</v>
      </c>
      <c r="N9" s="80">
        <f>+(N7*M3/1000)*1.005*75%</f>
        <v>14.565841875</v>
      </c>
      <c r="O9" s="80">
        <f>+(O7*M3/1000)*1.005*75%</f>
        <v>19.906650562499998</v>
      </c>
      <c r="Q9" s="109" t="s">
        <v>20</v>
      </c>
      <c r="R9" s="110"/>
      <c r="S9" s="104">
        <v>65</v>
      </c>
      <c r="T9" s="105">
        <v>65</v>
      </c>
      <c r="U9" s="104">
        <v>65</v>
      </c>
      <c r="V9" s="104">
        <v>65</v>
      </c>
      <c r="W9" s="104">
        <v>65</v>
      </c>
      <c r="X9" s="104">
        <v>65</v>
      </c>
      <c r="Y9" s="104">
        <v>65</v>
      </c>
      <c r="Z9" s="104">
        <v>65</v>
      </c>
      <c r="AA9" s="104">
        <v>65</v>
      </c>
      <c r="AB9" s="79" t="s">
        <v>21</v>
      </c>
      <c r="AC9" s="80" t="s">
        <v>22</v>
      </c>
      <c r="AD9" s="80"/>
    </row>
    <row r="10" spans="1:30" x14ac:dyDescent="0.35">
      <c r="B10" s="75" t="s">
        <v>23</v>
      </c>
      <c r="C10" s="76">
        <f>+(C7*$E$4/1000)*1.01*25%</f>
        <v>4.8208830149999997</v>
      </c>
      <c r="D10" s="76">
        <f>+(D7*$E$4/1000)*1.01*25%</f>
        <v>5.1608170737499997</v>
      </c>
      <c r="E10" s="76">
        <f>+(E7*$E$4/1000)*1.01*25%</f>
        <v>6.3351347312499993</v>
      </c>
      <c r="F10" s="76">
        <v>0</v>
      </c>
      <c r="G10" s="76">
        <f>+(G7*$E$4/1000)*1.01*25%</f>
        <v>9.4563474525000011</v>
      </c>
      <c r="H10" s="76">
        <f>+(H7*$E$4/1000)*1.01*25%</f>
        <v>11.928595152500002</v>
      </c>
      <c r="I10" s="76"/>
      <c r="J10" s="121"/>
      <c r="K10" s="75" t="s">
        <v>23</v>
      </c>
      <c r="L10" s="76">
        <v>0</v>
      </c>
      <c r="M10" s="76">
        <v>0</v>
      </c>
      <c r="N10" s="76">
        <f>+(N7*M4/1000)*1.005*25%</f>
        <v>4.6125165937500006</v>
      </c>
      <c r="O10" s="76">
        <f>+(O7*M4/1000)*1.005*25%</f>
        <v>6.3037726781249983</v>
      </c>
      <c r="Q10" s="102"/>
      <c r="R10" s="103"/>
      <c r="S10" s="104">
        <f>SUM(S7:S9)</f>
        <v>1028.22</v>
      </c>
      <c r="T10" s="104">
        <f>SUM(T7:T9)</f>
        <v>1049.0900000000001</v>
      </c>
      <c r="U10" s="104">
        <f>SUM(U7:U9)</f>
        <v>1096.3399999999999</v>
      </c>
      <c r="V10" s="104">
        <f>SUM(V7:V9)</f>
        <v>1083.75</v>
      </c>
      <c r="W10" s="104">
        <f t="shared" ref="W10:Z10" si="2">SUM(W7:W9)</f>
        <v>1105.5</v>
      </c>
      <c r="X10" s="104">
        <f t="shared" si="2"/>
        <v>1135.5999999999999</v>
      </c>
      <c r="Y10" s="104">
        <f t="shared" si="2"/>
        <v>1193.75</v>
      </c>
      <c r="Z10" s="104">
        <f t="shared" si="2"/>
        <v>1238.75</v>
      </c>
      <c r="AA10" s="104">
        <f t="shared" ref="AA10" si="3">SUM(AA7:AA9)</f>
        <v>1260</v>
      </c>
      <c r="AB10" s="79" t="s">
        <v>24</v>
      </c>
      <c r="AC10" s="80"/>
      <c r="AD10" s="80"/>
    </row>
    <row r="11" spans="1:30" x14ac:dyDescent="0.35">
      <c r="B11" s="79" t="s">
        <v>25</v>
      </c>
      <c r="C11" s="80">
        <v>8.1999999999999993</v>
      </c>
      <c r="D11" s="80">
        <v>8.1999999999999993</v>
      </c>
      <c r="E11" s="80">
        <v>8.1999999999999993</v>
      </c>
      <c r="F11" s="80">
        <v>11.15</v>
      </c>
      <c r="G11" s="80">
        <v>11.15</v>
      </c>
      <c r="H11" s="80">
        <v>11.15</v>
      </c>
      <c r="I11" s="80"/>
      <c r="K11" s="79" t="s">
        <v>26</v>
      </c>
      <c r="L11" s="80">
        <v>27.2</v>
      </c>
      <c r="M11" s="80">
        <v>27.2</v>
      </c>
      <c r="N11" s="80">
        <v>27.2</v>
      </c>
      <c r="O11" s="80">
        <v>27.2</v>
      </c>
      <c r="Q11" s="106" t="s">
        <v>27</v>
      </c>
      <c r="R11" s="107"/>
      <c r="S11" s="108">
        <f>+S10*4%</f>
        <v>41.128800000000005</v>
      </c>
      <c r="T11" s="104">
        <f>+T10*4%</f>
        <v>41.963600000000007</v>
      </c>
      <c r="U11" s="108">
        <f>+U10*4%</f>
        <v>43.8536</v>
      </c>
      <c r="V11" s="108">
        <f>+V10*4%</f>
        <v>43.35</v>
      </c>
      <c r="W11" s="108">
        <f t="shared" ref="W11:Z11" si="4">+W10*4%</f>
        <v>44.22</v>
      </c>
      <c r="X11" s="108">
        <f t="shared" si="4"/>
        <v>45.423999999999999</v>
      </c>
      <c r="Y11" s="108">
        <f t="shared" si="4"/>
        <v>47.75</v>
      </c>
      <c r="Z11" s="108">
        <f t="shared" si="4"/>
        <v>49.550000000000004</v>
      </c>
      <c r="AA11" s="108">
        <f t="shared" ref="AA11" si="5">+AA10*4%</f>
        <v>50.4</v>
      </c>
      <c r="AB11" s="79"/>
      <c r="AC11" s="80"/>
      <c r="AD11" s="80"/>
    </row>
    <row r="12" spans="1:30" x14ac:dyDescent="0.35">
      <c r="B12" s="79" t="s">
        <v>28</v>
      </c>
      <c r="C12" s="80">
        <v>0</v>
      </c>
      <c r="D12" s="80">
        <v>0</v>
      </c>
      <c r="E12" s="80">
        <v>0</v>
      </c>
      <c r="F12" s="80">
        <v>0</v>
      </c>
      <c r="G12" s="80">
        <v>0</v>
      </c>
      <c r="H12" s="80">
        <v>0</v>
      </c>
      <c r="I12" s="80"/>
      <c r="K12" s="79" t="s">
        <v>29</v>
      </c>
      <c r="L12" s="80">
        <v>0</v>
      </c>
      <c r="M12" s="80">
        <v>0</v>
      </c>
      <c r="N12" s="80">
        <v>0</v>
      </c>
      <c r="O12" s="80">
        <v>0</v>
      </c>
      <c r="Q12" s="109" t="s">
        <v>30</v>
      </c>
      <c r="R12" s="110"/>
      <c r="S12" s="111">
        <f>+S11+S10</f>
        <v>1069.3488</v>
      </c>
      <c r="T12" s="112">
        <f>+T11+T10</f>
        <v>1091.0536000000002</v>
      </c>
      <c r="U12" s="111">
        <f>+U11+U10</f>
        <v>1140.1935999999998</v>
      </c>
      <c r="V12" s="111">
        <f>+V11+V10</f>
        <v>1127.0999999999999</v>
      </c>
      <c r="W12" s="111">
        <f t="shared" ref="W12:Z12" si="6">+W11+W10</f>
        <v>1149.72</v>
      </c>
      <c r="X12" s="111">
        <f t="shared" si="6"/>
        <v>1181.0239999999999</v>
      </c>
      <c r="Y12" s="111">
        <f t="shared" si="6"/>
        <v>1241.5</v>
      </c>
      <c r="Z12" s="111">
        <f t="shared" si="6"/>
        <v>1288.3</v>
      </c>
      <c r="AA12" s="111">
        <f t="shared" ref="AA12" si="7">+AA11+AA10</f>
        <v>1310.4000000000001</v>
      </c>
      <c r="AB12" s="79"/>
      <c r="AC12" s="80"/>
      <c r="AD12" s="80"/>
    </row>
    <row r="13" spans="1:30" x14ac:dyDescent="0.35">
      <c r="B13" s="79" t="s">
        <v>31</v>
      </c>
      <c r="C13" s="80">
        <v>1.3</v>
      </c>
      <c r="D13" s="80">
        <v>1.3</v>
      </c>
      <c r="E13" s="80">
        <v>1.3</v>
      </c>
      <c r="F13" s="80">
        <v>2.38</v>
      </c>
      <c r="G13" s="80">
        <v>2.38</v>
      </c>
      <c r="H13" s="80">
        <v>2.38</v>
      </c>
      <c r="I13" s="80"/>
      <c r="K13" s="79" t="s">
        <v>31</v>
      </c>
      <c r="L13" s="80">
        <v>0.81</v>
      </c>
      <c r="M13" s="80">
        <v>1.99</v>
      </c>
      <c r="N13" s="80">
        <v>0.81</v>
      </c>
      <c r="O13" s="80">
        <v>1.99</v>
      </c>
      <c r="Q13" s="113" t="s">
        <v>32</v>
      </c>
      <c r="R13" s="114"/>
      <c r="S13" s="115">
        <f>+S12*(1-5%)</f>
        <v>1015.88136</v>
      </c>
      <c r="T13" s="115">
        <f t="shared" ref="T13:Z13" si="8">+T12*(1-5%)</f>
        <v>1036.5009200000002</v>
      </c>
      <c r="U13" s="115">
        <f t="shared" si="8"/>
        <v>1083.1839199999997</v>
      </c>
      <c r="V13" s="115">
        <f t="shared" si="8"/>
        <v>1070.7449999999999</v>
      </c>
      <c r="W13" s="115">
        <f t="shared" si="8"/>
        <v>1092.2339999999999</v>
      </c>
      <c r="X13" s="115">
        <f t="shared" si="8"/>
        <v>1121.9727999999998</v>
      </c>
      <c r="Y13" s="115">
        <f t="shared" si="8"/>
        <v>1179.425</v>
      </c>
      <c r="Z13" s="115">
        <f t="shared" si="8"/>
        <v>1223.885</v>
      </c>
      <c r="AA13" s="115">
        <f t="shared" ref="AA13" si="9">+AA12*(1-5%)</f>
        <v>1244.8800000000001</v>
      </c>
      <c r="AB13" s="79" t="s">
        <v>33</v>
      </c>
      <c r="AC13" s="80"/>
      <c r="AD13" s="80"/>
    </row>
    <row r="14" spans="1:30" x14ac:dyDescent="0.35">
      <c r="B14" s="79" t="s">
        <v>34</v>
      </c>
      <c r="C14" s="80">
        <v>0.19</v>
      </c>
      <c r="D14" s="80">
        <v>0.19</v>
      </c>
      <c r="E14" s="80">
        <v>0.19</v>
      </c>
      <c r="F14" s="80">
        <v>0.33</v>
      </c>
      <c r="G14" s="80">
        <v>0.33</v>
      </c>
      <c r="H14" s="80">
        <v>0.33</v>
      </c>
      <c r="I14" s="80"/>
      <c r="K14" s="79" t="s">
        <v>34</v>
      </c>
      <c r="L14" s="80">
        <v>2.71</v>
      </c>
      <c r="M14" s="80">
        <v>2.71</v>
      </c>
      <c r="N14" s="80">
        <v>2.71</v>
      </c>
      <c r="O14" s="80">
        <v>2.71</v>
      </c>
      <c r="Q14" s="109" t="s">
        <v>35</v>
      </c>
      <c r="R14" s="116"/>
      <c r="S14" s="111">
        <f>+S12*75%+S13*25%</f>
        <v>1055.9819400000001</v>
      </c>
      <c r="T14" s="111">
        <f t="shared" ref="T14:Z14" si="10">+T12*75%+T13*25%</f>
        <v>1077.4154300000002</v>
      </c>
      <c r="U14" s="111">
        <f t="shared" si="10"/>
        <v>1125.9411799999998</v>
      </c>
      <c r="V14" s="111">
        <f t="shared" si="10"/>
        <v>1113.01125</v>
      </c>
      <c r="W14" s="111">
        <f t="shared" si="10"/>
        <v>1135.3485000000001</v>
      </c>
      <c r="X14" s="111">
        <f t="shared" si="10"/>
        <v>1166.2611999999999</v>
      </c>
      <c r="Y14" s="111">
        <f t="shared" si="10"/>
        <v>1225.98125</v>
      </c>
      <c r="Z14" s="111">
        <f t="shared" si="10"/>
        <v>1272.19625</v>
      </c>
      <c r="AA14" s="111">
        <f t="shared" ref="AA14" si="11">+AA12*75%+AA13*25%</f>
        <v>1294.02</v>
      </c>
      <c r="AB14" s="79"/>
      <c r="AC14" s="80"/>
      <c r="AD14" s="80"/>
    </row>
    <row r="15" spans="1:30" x14ac:dyDescent="0.35">
      <c r="B15" s="79" t="s">
        <v>36</v>
      </c>
      <c r="C15" s="80">
        <v>0.16</v>
      </c>
      <c r="D15" s="80">
        <v>0.16</v>
      </c>
      <c r="E15" s="80">
        <v>0.16</v>
      </c>
      <c r="F15" s="80">
        <v>0.28000000000000003</v>
      </c>
      <c r="G15" s="80">
        <v>0.28000000000000003</v>
      </c>
      <c r="H15" s="80">
        <v>0.28000000000000003</v>
      </c>
      <c r="I15" s="80"/>
      <c r="K15" s="79" t="s">
        <v>36</v>
      </c>
      <c r="L15" s="80">
        <v>7.77</v>
      </c>
      <c r="M15" s="80">
        <v>7.77</v>
      </c>
      <c r="N15" s="80">
        <v>7.77</v>
      </c>
      <c r="O15" s="80">
        <v>7.77</v>
      </c>
      <c r="Q15" s="113" t="s">
        <v>37</v>
      </c>
      <c r="R15" s="117"/>
      <c r="S15" s="118">
        <f>+S14*1%</f>
        <v>10.559819400000002</v>
      </c>
      <c r="T15" s="118">
        <f t="shared" ref="T15:Z15" si="12">+T14*1%</f>
        <v>10.774154300000003</v>
      </c>
      <c r="U15" s="118">
        <f t="shared" si="12"/>
        <v>11.259411799999999</v>
      </c>
      <c r="V15" s="118">
        <f t="shared" si="12"/>
        <v>11.130112500000001</v>
      </c>
      <c r="W15" s="118">
        <f t="shared" si="12"/>
        <v>11.353485000000001</v>
      </c>
      <c r="X15" s="118">
        <f t="shared" si="12"/>
        <v>11.662611999999999</v>
      </c>
      <c r="Y15" s="118">
        <f t="shared" si="12"/>
        <v>12.259812500000001</v>
      </c>
      <c r="Z15" s="118">
        <f t="shared" si="12"/>
        <v>12.7219625</v>
      </c>
      <c r="AA15" s="118">
        <f t="shared" ref="AA15" si="13">+AA14*1%</f>
        <v>12.940200000000001</v>
      </c>
      <c r="AB15" s="79"/>
      <c r="AC15" s="80"/>
      <c r="AD15" s="80"/>
    </row>
    <row r="16" spans="1:30" x14ac:dyDescent="0.35">
      <c r="A16" s="81" t="s">
        <v>38</v>
      </c>
      <c r="B16" s="85" t="s">
        <v>39</v>
      </c>
      <c r="C16" s="84">
        <f t="shared" ref="C16:H16" si="14">SUM(C9:C15)</f>
        <v>29.894724115000002</v>
      </c>
      <c r="D16" s="84">
        <f t="shared" si="14"/>
        <v>31.30813414875</v>
      </c>
      <c r="E16" s="84">
        <f t="shared" si="14"/>
        <v>36.190823356249993</v>
      </c>
      <c r="F16" s="84">
        <f t="shared" si="14"/>
        <v>53.956199800000007</v>
      </c>
      <c r="G16" s="84">
        <f t="shared" si="14"/>
        <v>53.458497302500007</v>
      </c>
      <c r="H16" s="84">
        <f t="shared" si="14"/>
        <v>63.737843002499993</v>
      </c>
      <c r="I16" s="84"/>
      <c r="K16" s="85" t="s">
        <v>39</v>
      </c>
      <c r="L16" s="84">
        <f>SUM(L9:L15)</f>
        <v>57.911122500000005</v>
      </c>
      <c r="M16" s="84">
        <f>SUM(M9:M15)</f>
        <v>66.212200749999994</v>
      </c>
      <c r="N16" s="84">
        <f>SUM(N9:N15)</f>
        <v>57.66835846875</v>
      </c>
      <c r="O16" s="84">
        <f>SUM(O9:O15)</f>
        <v>65.880423240624992</v>
      </c>
      <c r="Q16" s="113" t="s">
        <v>40</v>
      </c>
      <c r="R16" s="119"/>
      <c r="S16" s="115">
        <f>+S15+S14</f>
        <v>1066.5417594</v>
      </c>
      <c r="T16" s="115">
        <f t="shared" ref="T16:Z16" si="15">+T15+T14</f>
        <v>1088.1895843000002</v>
      </c>
      <c r="U16" s="115">
        <f t="shared" si="15"/>
        <v>1137.2005917999998</v>
      </c>
      <c r="V16" s="115">
        <f t="shared" si="15"/>
        <v>1124.1413625</v>
      </c>
      <c r="W16" s="115">
        <f t="shared" si="15"/>
        <v>1146.7019850000001</v>
      </c>
      <c r="X16" s="115">
        <f t="shared" si="15"/>
        <v>1177.923812</v>
      </c>
      <c r="Y16" s="115">
        <f t="shared" si="15"/>
        <v>1238.2410625</v>
      </c>
      <c r="Z16" s="115">
        <f t="shared" si="15"/>
        <v>1284.9182125</v>
      </c>
      <c r="AA16" s="115">
        <f t="shared" ref="AA16" si="16">+AA15+AA14</f>
        <v>1306.9602</v>
      </c>
      <c r="AB16" s="85"/>
      <c r="AC16" s="84"/>
      <c r="AD16" s="84"/>
    </row>
    <row r="17" spans="2:30" x14ac:dyDescent="0.35">
      <c r="B17" s="85"/>
      <c r="C17" s="84"/>
      <c r="D17" s="84"/>
      <c r="E17" s="84"/>
      <c r="F17" s="84"/>
      <c r="G17" s="84"/>
      <c r="H17" s="84"/>
      <c r="I17" s="84"/>
      <c r="J17" s="94"/>
      <c r="L17" s="84"/>
      <c r="M17" s="84"/>
      <c r="N17" s="84"/>
      <c r="O17" s="84"/>
      <c r="Q17" s="85" t="s">
        <v>41</v>
      </c>
      <c r="R17" s="84"/>
      <c r="S17" s="120">
        <f>+D5</f>
        <v>1284.9182125</v>
      </c>
      <c r="T17" s="120">
        <f>+S17</f>
        <v>1284.9182125</v>
      </c>
      <c r="U17" s="120">
        <f>+T17</f>
        <v>1284.9182125</v>
      </c>
      <c r="V17" s="120">
        <f>+U17</f>
        <v>1284.9182125</v>
      </c>
      <c r="W17" s="120">
        <f t="shared" ref="W17:AA17" si="17">+V17</f>
        <v>1284.9182125</v>
      </c>
      <c r="X17" s="120">
        <f t="shared" si="17"/>
        <v>1284.9182125</v>
      </c>
      <c r="Y17" s="120">
        <f t="shared" si="17"/>
        <v>1284.9182125</v>
      </c>
      <c r="Z17" s="120">
        <f t="shared" si="17"/>
        <v>1284.9182125</v>
      </c>
      <c r="AA17" s="120">
        <f t="shared" si="17"/>
        <v>1284.9182125</v>
      </c>
      <c r="AC17" s="84"/>
      <c r="AD17" s="84"/>
    </row>
    <row r="18" spans="2:30" x14ac:dyDescent="0.35">
      <c r="J18" s="94"/>
      <c r="Q18" s="82"/>
      <c r="R18" s="82"/>
      <c r="S18" s="82"/>
      <c r="T18" s="82"/>
      <c r="V18" s="94"/>
      <c r="W18" s="94"/>
      <c r="X18" s="94"/>
      <c r="Y18" s="94"/>
      <c r="Z18" s="94"/>
      <c r="AA18" s="94"/>
      <c r="AC18" s="82"/>
      <c r="AD18" s="82"/>
    </row>
    <row r="19" spans="2:30" x14ac:dyDescent="0.35">
      <c r="AC19" s="82"/>
      <c r="AD19" s="82"/>
    </row>
    <row r="20" spans="2:30" x14ac:dyDescent="0.35">
      <c r="AC20" s="82"/>
      <c r="AD20" s="82"/>
    </row>
    <row r="25" spans="2:30" x14ac:dyDescent="0.35">
      <c r="L25" s="122" t="s">
        <v>61</v>
      </c>
      <c r="M25" s="123">
        <v>43180</v>
      </c>
    </row>
    <row r="32" spans="2:30" x14ac:dyDescent="0.35">
      <c r="B32" s="82" t="s">
        <v>51</v>
      </c>
      <c r="M32" s="82" t="s">
        <v>52</v>
      </c>
    </row>
  </sheetData>
  <mergeCells count="9">
    <mergeCell ref="B6:I6"/>
    <mergeCell ref="Q2:AD2"/>
    <mergeCell ref="B3:D3"/>
    <mergeCell ref="K3:L3"/>
    <mergeCell ref="Q3:S3"/>
    <mergeCell ref="AB3:AC3"/>
    <mergeCell ref="B4:D4"/>
    <mergeCell ref="K4:L4"/>
    <mergeCell ref="AB4:AC4"/>
  </mergeCells>
  <pageMargins left="0.7" right="0.7" top="0.75" bottom="0.75" header="0.3" footer="0.3"/>
  <customProperties>
    <customPr name="EpmWorksheetKeyString_GUID" r:id="rId1"/>
  </customPropertie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2:AE32"/>
  <sheetViews>
    <sheetView zoomScale="70" zoomScaleNormal="70" workbookViewId="0">
      <selection activeCell="AC7" sqref="AC7"/>
    </sheetView>
  </sheetViews>
  <sheetFormatPr defaultColWidth="11.453125" defaultRowHeight="14.5" x14ac:dyDescent="0.35"/>
  <cols>
    <col min="1" max="1" width="3.453125" style="81" customWidth="1"/>
    <col min="2" max="2" width="22.1796875" style="82" customWidth="1"/>
    <col min="3" max="3" width="12.1796875" style="82" customWidth="1"/>
    <col min="4" max="4" width="12.453125" style="82" customWidth="1"/>
    <col min="5" max="5" width="11" style="82" customWidth="1"/>
    <col min="6" max="6" width="11.81640625" style="82" customWidth="1"/>
    <col min="7" max="7" width="11" style="82" customWidth="1"/>
    <col min="8" max="8" width="11.54296875" style="82" customWidth="1"/>
    <col min="9" max="9" width="8.54296875" style="81" hidden="1" customWidth="1"/>
    <col min="10" max="10" width="3.1796875" style="81" hidden="1" customWidth="1"/>
    <col min="11" max="11" width="28.81640625" style="81" customWidth="1"/>
    <col min="12" max="12" width="17.81640625" style="82" customWidth="1"/>
    <col min="13" max="15" width="10.81640625" style="82" customWidth="1"/>
    <col min="16" max="16" width="11.81640625" style="82" bestFit="1" customWidth="1"/>
    <col min="17" max="17" width="2.81640625" style="81" customWidth="1"/>
    <col min="18" max="18" width="28.81640625" style="81" customWidth="1"/>
    <col min="19" max="19" width="1" style="81" hidden="1" customWidth="1"/>
    <col min="20" max="20" width="16.1796875" style="81" hidden="1" customWidth="1"/>
    <col min="21" max="21" width="17.54296875" style="81" hidden="1" customWidth="1"/>
    <col min="22" max="22" width="14.54296875" style="81" hidden="1" customWidth="1"/>
    <col min="23" max="23" width="16" style="81" hidden="1" customWidth="1"/>
    <col min="24" max="24" width="17.81640625" style="81" hidden="1" customWidth="1"/>
    <col min="25" max="25" width="17.1796875" style="81" bestFit="1" customWidth="1"/>
    <col min="26" max="28" width="14.453125" style="81" customWidth="1"/>
    <col min="29" max="16384" width="11.453125" style="81"/>
  </cols>
  <sheetData>
    <row r="2" spans="1:31" x14ac:dyDescent="0.35">
      <c r="B2" s="86"/>
      <c r="C2" s="86"/>
      <c r="D2" s="86"/>
      <c r="E2" s="87"/>
      <c r="F2" s="87"/>
      <c r="G2" s="87"/>
      <c r="H2" s="87"/>
      <c r="I2" s="87"/>
      <c r="J2" s="87"/>
      <c r="K2" s="87"/>
      <c r="L2" s="87"/>
      <c r="M2" s="87"/>
      <c r="N2" s="87"/>
      <c r="O2" s="87"/>
      <c r="P2" s="87"/>
      <c r="R2" s="574"/>
      <c r="S2" s="574"/>
      <c r="T2" s="574"/>
      <c r="U2" s="574"/>
      <c r="V2" s="574"/>
      <c r="W2" s="574"/>
      <c r="X2" s="574"/>
      <c r="Y2" s="574"/>
      <c r="Z2" s="574"/>
      <c r="AA2" s="574"/>
      <c r="AB2" s="574"/>
      <c r="AC2" s="574"/>
      <c r="AD2" s="574"/>
      <c r="AE2" s="574"/>
    </row>
    <row r="3" spans="1:31" x14ac:dyDescent="0.35">
      <c r="B3" s="575" t="s">
        <v>1</v>
      </c>
      <c r="C3" s="575"/>
      <c r="D3" s="575"/>
      <c r="E3" s="78">
        <f>+AB12</f>
        <v>1307.28</v>
      </c>
      <c r="G3" s="78"/>
      <c r="H3" s="78"/>
      <c r="I3" s="83">
        <v>0.05</v>
      </c>
      <c r="J3" s="88"/>
      <c r="K3" s="575" t="s">
        <v>1</v>
      </c>
      <c r="L3" s="575"/>
      <c r="M3" s="78">
        <f>+E3</f>
        <v>1307.28</v>
      </c>
      <c r="N3" s="78"/>
      <c r="O3" s="78"/>
      <c r="R3" s="573"/>
      <c r="S3" s="573"/>
      <c r="T3" s="573"/>
      <c r="U3" s="78"/>
      <c r="V3" s="83"/>
      <c r="W3" s="88"/>
      <c r="X3" s="88"/>
      <c r="Y3" s="88"/>
      <c r="Z3" s="88"/>
      <c r="AA3" s="88"/>
      <c r="AB3" s="88"/>
      <c r="AC3" s="573"/>
      <c r="AD3" s="573"/>
      <c r="AE3" s="78"/>
    </row>
    <row r="4" spans="1:31" x14ac:dyDescent="0.35">
      <c r="B4" s="575" t="s">
        <v>2</v>
      </c>
      <c r="C4" s="575"/>
      <c r="D4" s="575"/>
      <c r="E4" s="78">
        <f>+AB13</f>
        <v>1241.9159999999999</v>
      </c>
      <c r="G4" s="78"/>
      <c r="H4" s="78"/>
      <c r="I4" s="80">
        <f>+E3*I3</f>
        <v>65.364000000000004</v>
      </c>
      <c r="J4" s="88"/>
      <c r="K4" s="575" t="s">
        <v>3</v>
      </c>
      <c r="L4" s="575"/>
      <c r="M4" s="78">
        <f>+E4</f>
        <v>1241.9159999999999</v>
      </c>
      <c r="N4" s="78"/>
      <c r="O4" s="78"/>
      <c r="R4" s="89"/>
      <c r="S4" s="90"/>
      <c r="T4" s="90"/>
      <c r="U4" s="37"/>
      <c r="W4" s="88"/>
      <c r="X4" s="88"/>
      <c r="Y4" s="88"/>
      <c r="Z4" s="88"/>
      <c r="AA4" s="88"/>
      <c r="AB4" s="88"/>
      <c r="AC4" s="573"/>
      <c r="AD4" s="573"/>
      <c r="AE4" s="78"/>
    </row>
    <row r="5" spans="1:31" ht="23.5" x14ac:dyDescent="0.55000000000000004">
      <c r="B5" s="91"/>
      <c r="C5" s="92">
        <f>+(C9+C10)/C7*1000</f>
        <v>1303.8483899999999</v>
      </c>
      <c r="D5" s="92">
        <f t="shared" ref="D5:H5" si="0">+(D9+D10)/D7*1000</f>
        <v>1303.8483899999999</v>
      </c>
      <c r="E5" s="92">
        <f t="shared" si="0"/>
        <v>1303.8483899999999</v>
      </c>
      <c r="F5" s="92">
        <f t="shared" si="0"/>
        <v>1320.3527999999999</v>
      </c>
      <c r="G5" s="92">
        <f t="shared" si="0"/>
        <v>1303.8483899999999</v>
      </c>
      <c r="H5" s="92">
        <f t="shared" si="0"/>
        <v>1303.8483899999997</v>
      </c>
      <c r="J5" s="88"/>
      <c r="K5" s="91"/>
      <c r="L5" s="92">
        <f t="shared" ref="L5:M5" si="1">+(L9+L10)/L7*1000</f>
        <v>1313.8163999999999</v>
      </c>
      <c r="M5" s="92">
        <f t="shared" si="1"/>
        <v>1313.8163999999999</v>
      </c>
      <c r="N5" s="92"/>
      <c r="O5" s="92"/>
      <c r="P5" s="92"/>
      <c r="R5" s="93" t="s">
        <v>4</v>
      </c>
      <c r="S5" s="82"/>
      <c r="T5" s="82"/>
      <c r="U5" s="90"/>
      <c r="V5" s="94"/>
      <c r="W5" s="88"/>
      <c r="X5" s="88"/>
      <c r="Y5" s="88"/>
      <c r="Z5" s="88"/>
      <c r="AA5" s="88"/>
      <c r="AB5" s="88"/>
      <c r="AC5" s="91"/>
      <c r="AD5" s="91"/>
      <c r="AE5" s="78"/>
    </row>
    <row r="6" spans="1:31" s="95" customFormat="1" ht="43.5" x14ac:dyDescent="0.35">
      <c r="B6" s="573" t="s">
        <v>5</v>
      </c>
      <c r="C6" s="573"/>
      <c r="D6" s="573"/>
      <c r="E6" s="573"/>
      <c r="F6" s="573"/>
      <c r="G6" s="573"/>
      <c r="H6" s="573"/>
      <c r="I6" s="573"/>
      <c r="J6" s="88"/>
      <c r="K6" s="85" t="s">
        <v>6</v>
      </c>
      <c r="L6" s="96" t="s">
        <v>7</v>
      </c>
      <c r="M6" s="96" t="s">
        <v>8</v>
      </c>
      <c r="N6" s="96" t="s">
        <v>7</v>
      </c>
      <c r="O6" s="96" t="s">
        <v>8</v>
      </c>
      <c r="P6" s="96" t="s">
        <v>63</v>
      </c>
      <c r="R6" s="98"/>
      <c r="S6" s="98"/>
      <c r="T6" s="99" t="s">
        <v>54</v>
      </c>
      <c r="U6" s="99" t="s">
        <v>55</v>
      </c>
      <c r="V6" s="99" t="s">
        <v>56</v>
      </c>
      <c r="W6" s="99" t="s">
        <v>12</v>
      </c>
      <c r="X6" s="99" t="s">
        <v>57</v>
      </c>
      <c r="Y6" s="99" t="s">
        <v>58</v>
      </c>
      <c r="Z6" s="99" t="s">
        <v>59</v>
      </c>
      <c r="AA6" s="99" t="s">
        <v>60</v>
      </c>
      <c r="AB6" s="99" t="s">
        <v>62</v>
      </c>
      <c r="AC6" s="100"/>
      <c r="AD6" s="97"/>
      <c r="AE6" s="97"/>
    </row>
    <row r="7" spans="1:31" x14ac:dyDescent="0.35">
      <c r="B7" s="85" t="s">
        <v>13</v>
      </c>
      <c r="C7" s="101">
        <v>15.6</v>
      </c>
      <c r="D7" s="101">
        <v>16.7</v>
      </c>
      <c r="E7" s="101">
        <v>20.5</v>
      </c>
      <c r="F7" s="101">
        <v>30.6</v>
      </c>
      <c r="G7" s="101">
        <v>30.6</v>
      </c>
      <c r="H7" s="101">
        <v>38.6</v>
      </c>
      <c r="I7" s="101"/>
      <c r="K7" s="85" t="s">
        <v>13</v>
      </c>
      <c r="L7" s="101">
        <v>15</v>
      </c>
      <c r="M7" s="101">
        <v>20.5</v>
      </c>
      <c r="N7" s="101">
        <v>15</v>
      </c>
      <c r="O7" s="101">
        <v>20.5</v>
      </c>
      <c r="P7" s="101">
        <v>30.6</v>
      </c>
      <c r="R7" s="102" t="s">
        <v>14</v>
      </c>
      <c r="S7" s="103"/>
      <c r="T7" s="104">
        <v>938.13</v>
      </c>
      <c r="U7" s="105">
        <v>959</v>
      </c>
      <c r="V7" s="104">
        <v>1006.25</v>
      </c>
      <c r="W7" s="62">
        <v>993.75</v>
      </c>
      <c r="X7" s="70">
        <v>1015.5</v>
      </c>
      <c r="Y7" s="70">
        <v>1045.5999999999999</v>
      </c>
      <c r="Z7" s="51">
        <v>1103.75</v>
      </c>
      <c r="AA7" s="51">
        <v>1148.75</v>
      </c>
      <c r="AB7" s="51">
        <v>1167</v>
      </c>
      <c r="AC7" s="85"/>
      <c r="AD7" s="101"/>
      <c r="AE7" s="101"/>
    </row>
    <row r="8" spans="1:31" x14ac:dyDescent="0.35">
      <c r="B8" s="79" t="s">
        <v>16</v>
      </c>
      <c r="C8" s="91" t="s">
        <v>17</v>
      </c>
      <c r="D8" s="91" t="s">
        <v>17</v>
      </c>
      <c r="E8" s="91" t="s">
        <v>17</v>
      </c>
      <c r="F8" s="91" t="s">
        <v>17</v>
      </c>
      <c r="G8" s="91" t="s">
        <v>17</v>
      </c>
      <c r="H8" s="91" t="s">
        <v>17</v>
      </c>
      <c r="I8" s="91"/>
      <c r="K8" s="79" t="s">
        <v>16</v>
      </c>
      <c r="L8" s="91" t="s">
        <v>17</v>
      </c>
      <c r="M8" s="91" t="s">
        <v>17</v>
      </c>
      <c r="N8" s="91" t="s">
        <v>17</v>
      </c>
      <c r="O8" s="91" t="s">
        <v>17</v>
      </c>
      <c r="P8" s="91" t="s">
        <v>17</v>
      </c>
      <c r="R8" s="106" t="s">
        <v>18</v>
      </c>
      <c r="S8" s="107"/>
      <c r="T8" s="108">
        <v>25.09</v>
      </c>
      <c r="U8" s="108">
        <v>25.09</v>
      </c>
      <c r="V8" s="108">
        <v>25.09</v>
      </c>
      <c r="W8" s="108">
        <v>25</v>
      </c>
      <c r="X8" s="108">
        <v>25</v>
      </c>
      <c r="Y8" s="108">
        <v>25</v>
      </c>
      <c r="Z8" s="108">
        <v>25</v>
      </c>
      <c r="AA8" s="108">
        <v>25</v>
      </c>
      <c r="AB8" s="108">
        <v>25</v>
      </c>
      <c r="AC8" s="79"/>
      <c r="AD8" s="91"/>
      <c r="AE8" s="91"/>
    </row>
    <row r="9" spans="1:31" x14ac:dyDescent="0.35">
      <c r="B9" s="79" t="s">
        <v>19</v>
      </c>
      <c r="C9" s="80">
        <f>+(C7*E3/1000)*1.01*75%</f>
        <v>15.448127759999998</v>
      </c>
      <c r="D9" s="80">
        <f>+(D7*$E$3/1000)*1.01*75%</f>
        <v>16.537418819999999</v>
      </c>
      <c r="E9" s="80">
        <f>+(E7*$E$3/1000)*1.01*75%</f>
        <v>20.3004243</v>
      </c>
      <c r="F9" s="80">
        <f>+(F7*E3/1000)*1.01</f>
        <v>40.402795680000004</v>
      </c>
      <c r="G9" s="80">
        <f>+(G7*$E$3/1000)*1.01*75%</f>
        <v>30.302096760000005</v>
      </c>
      <c r="H9" s="80">
        <f>+(H7*$E$3/1000)*1.01*75%</f>
        <v>38.224213559999995</v>
      </c>
      <c r="I9" s="80"/>
      <c r="K9" s="79" t="s">
        <v>19</v>
      </c>
      <c r="L9" s="80">
        <f>+(L7*M3/1000)*1.005</f>
        <v>19.707245999999998</v>
      </c>
      <c r="M9" s="80">
        <f>+(M7*M3/1000)*1.005</f>
        <v>26.933236199999996</v>
      </c>
      <c r="N9" s="80">
        <f>+(N7*M3/1000)*1.005*75%</f>
        <v>14.780434499999998</v>
      </c>
      <c r="O9" s="80">
        <f>+(O7*M3/1000)*1.005*75%</f>
        <v>20.199927149999997</v>
      </c>
      <c r="P9" s="80">
        <f>+(P7*M3/1000)*1.005*75%</f>
        <v>30.15208638</v>
      </c>
      <c r="R9" s="109" t="s">
        <v>20</v>
      </c>
      <c r="S9" s="110"/>
      <c r="T9" s="104">
        <v>65</v>
      </c>
      <c r="U9" s="105">
        <v>65</v>
      </c>
      <c r="V9" s="104">
        <v>65</v>
      </c>
      <c r="W9" s="104">
        <v>65</v>
      </c>
      <c r="X9" s="104">
        <v>65</v>
      </c>
      <c r="Y9" s="104">
        <v>65</v>
      </c>
      <c r="Z9" s="104">
        <v>65</v>
      </c>
      <c r="AA9" s="104">
        <v>65</v>
      </c>
      <c r="AB9" s="104">
        <v>65</v>
      </c>
      <c r="AC9" s="79" t="s">
        <v>21</v>
      </c>
      <c r="AD9" s="80" t="s">
        <v>22</v>
      </c>
      <c r="AE9" s="80"/>
    </row>
    <row r="10" spans="1:31" x14ac:dyDescent="0.35">
      <c r="B10" s="75" t="s">
        <v>23</v>
      </c>
      <c r="C10" s="76">
        <f>+(C7*$E$4/1000)*1.01*25%</f>
        <v>4.8919071239999994</v>
      </c>
      <c r="D10" s="76">
        <f>+(D7*$E$4/1000)*1.01*25%</f>
        <v>5.2368492929999997</v>
      </c>
      <c r="E10" s="76">
        <f>+(E7*$E$4/1000)*1.01*25%</f>
        <v>6.4284676949999993</v>
      </c>
      <c r="F10" s="76">
        <v>0</v>
      </c>
      <c r="G10" s="76">
        <f>+(G7*$E$4/1000)*1.01*25%</f>
        <v>9.5956639739999989</v>
      </c>
      <c r="H10" s="76">
        <f>+(H7*$E$4/1000)*1.01*25%</f>
        <v>12.104334294000001</v>
      </c>
      <c r="I10" s="76"/>
      <c r="J10" s="121"/>
      <c r="K10" s="75" t="s">
        <v>23</v>
      </c>
      <c r="L10" s="76">
        <v>0</v>
      </c>
      <c r="M10" s="76">
        <v>0</v>
      </c>
      <c r="N10" s="76">
        <f>+(N7*M4/1000)*1.005*25%</f>
        <v>4.6804709249999989</v>
      </c>
      <c r="O10" s="76">
        <f>+(O7*M4/1000)*1.005*25%</f>
        <v>6.3966435974999989</v>
      </c>
      <c r="P10" s="76">
        <f>+(P7*M4/1000)*1.005*25%</f>
        <v>9.5481606869999993</v>
      </c>
      <c r="R10" s="102"/>
      <c r="S10" s="103"/>
      <c r="T10" s="104">
        <f>SUM(T7:T9)</f>
        <v>1028.22</v>
      </c>
      <c r="U10" s="104">
        <f>SUM(U7:U9)</f>
        <v>1049.0900000000001</v>
      </c>
      <c r="V10" s="104">
        <f>SUM(V7:V9)</f>
        <v>1096.3399999999999</v>
      </c>
      <c r="W10" s="104">
        <f>SUM(W7:W9)</f>
        <v>1083.75</v>
      </c>
      <c r="X10" s="104">
        <f t="shared" ref="X10:AB10" si="2">SUM(X7:X9)</f>
        <v>1105.5</v>
      </c>
      <c r="Y10" s="104">
        <f t="shared" si="2"/>
        <v>1135.5999999999999</v>
      </c>
      <c r="Z10" s="104">
        <f t="shared" si="2"/>
        <v>1193.75</v>
      </c>
      <c r="AA10" s="104">
        <f t="shared" si="2"/>
        <v>1238.75</v>
      </c>
      <c r="AB10" s="104">
        <f t="shared" si="2"/>
        <v>1257</v>
      </c>
      <c r="AC10" s="79" t="s">
        <v>24</v>
      </c>
      <c r="AD10" s="80"/>
      <c r="AE10" s="80"/>
    </row>
    <row r="11" spans="1:31" x14ac:dyDescent="0.35">
      <c r="B11" s="79" t="s">
        <v>25</v>
      </c>
      <c r="C11" s="80">
        <v>8.1999999999999993</v>
      </c>
      <c r="D11" s="80">
        <v>8.1999999999999993</v>
      </c>
      <c r="E11" s="80">
        <v>8.1999999999999993</v>
      </c>
      <c r="F11" s="80">
        <v>11.15</v>
      </c>
      <c r="G11" s="80">
        <v>11.15</v>
      </c>
      <c r="H11" s="80">
        <v>11.15</v>
      </c>
      <c r="I11" s="80"/>
      <c r="K11" s="79" t="s">
        <v>26</v>
      </c>
      <c r="L11" s="80">
        <v>27.2</v>
      </c>
      <c r="M11" s="80">
        <v>27.2</v>
      </c>
      <c r="N11" s="80">
        <v>27.2</v>
      </c>
      <c r="O11" s="80">
        <v>27.2</v>
      </c>
      <c r="P11" s="80">
        <f>11.15+28.25</f>
        <v>39.4</v>
      </c>
      <c r="R11" s="106" t="s">
        <v>27</v>
      </c>
      <c r="S11" s="107"/>
      <c r="T11" s="108">
        <f>+T10*4%</f>
        <v>41.128800000000005</v>
      </c>
      <c r="U11" s="104">
        <f>+U10*4%</f>
        <v>41.963600000000007</v>
      </c>
      <c r="V11" s="108">
        <f>+V10*4%</f>
        <v>43.8536</v>
      </c>
      <c r="W11" s="108">
        <f>+W10*4%</f>
        <v>43.35</v>
      </c>
      <c r="X11" s="108">
        <f t="shared" ref="X11:AB11" si="3">+X10*4%</f>
        <v>44.22</v>
      </c>
      <c r="Y11" s="108">
        <f t="shared" si="3"/>
        <v>45.423999999999999</v>
      </c>
      <c r="Z11" s="108">
        <f t="shared" si="3"/>
        <v>47.75</v>
      </c>
      <c r="AA11" s="108">
        <f t="shared" si="3"/>
        <v>49.550000000000004</v>
      </c>
      <c r="AB11" s="108">
        <f t="shared" si="3"/>
        <v>50.28</v>
      </c>
      <c r="AC11" s="79"/>
      <c r="AD11" s="80"/>
      <c r="AE11" s="80"/>
    </row>
    <row r="12" spans="1:31" x14ac:dyDescent="0.35">
      <c r="B12" s="79" t="s">
        <v>28</v>
      </c>
      <c r="C12" s="80">
        <v>0</v>
      </c>
      <c r="D12" s="80">
        <v>0</v>
      </c>
      <c r="E12" s="80">
        <v>0</v>
      </c>
      <c r="F12" s="80">
        <v>0</v>
      </c>
      <c r="G12" s="80">
        <v>0</v>
      </c>
      <c r="H12" s="80">
        <v>0</v>
      </c>
      <c r="I12" s="80"/>
      <c r="K12" s="79" t="s">
        <v>29</v>
      </c>
      <c r="L12" s="80">
        <v>0</v>
      </c>
      <c r="M12" s="80">
        <v>0</v>
      </c>
      <c r="N12" s="80">
        <v>0</v>
      </c>
      <c r="O12" s="80">
        <v>0</v>
      </c>
      <c r="P12" s="80">
        <v>0</v>
      </c>
      <c r="R12" s="109" t="s">
        <v>30</v>
      </c>
      <c r="S12" s="110"/>
      <c r="T12" s="111">
        <f>+T11+T10</f>
        <v>1069.3488</v>
      </c>
      <c r="U12" s="112">
        <f>+U11+U10</f>
        <v>1091.0536000000002</v>
      </c>
      <c r="V12" s="111">
        <f>+V11+V10</f>
        <v>1140.1935999999998</v>
      </c>
      <c r="W12" s="111">
        <f>+W11+W10</f>
        <v>1127.0999999999999</v>
      </c>
      <c r="X12" s="111">
        <f t="shared" ref="X12:AB12" si="4">+X11+X10</f>
        <v>1149.72</v>
      </c>
      <c r="Y12" s="111">
        <f t="shared" si="4"/>
        <v>1181.0239999999999</v>
      </c>
      <c r="Z12" s="111">
        <f t="shared" si="4"/>
        <v>1241.5</v>
      </c>
      <c r="AA12" s="111">
        <f t="shared" si="4"/>
        <v>1288.3</v>
      </c>
      <c r="AB12" s="111">
        <f t="shared" si="4"/>
        <v>1307.28</v>
      </c>
      <c r="AC12" s="79"/>
      <c r="AD12" s="80"/>
      <c r="AE12" s="80"/>
    </row>
    <row r="13" spans="1:31" x14ac:dyDescent="0.35">
      <c r="B13" s="79" t="s">
        <v>31</v>
      </c>
      <c r="C13" s="80">
        <v>1.3</v>
      </c>
      <c r="D13" s="80">
        <v>1.3</v>
      </c>
      <c r="E13" s="80">
        <v>1.3</v>
      </c>
      <c r="F13" s="80">
        <v>2.38</v>
      </c>
      <c r="G13" s="80">
        <v>2.38</v>
      </c>
      <c r="H13" s="80">
        <v>2.38</v>
      </c>
      <c r="I13" s="80"/>
      <c r="K13" s="79" t="s">
        <v>31</v>
      </c>
      <c r="L13" s="80">
        <v>0.81</v>
      </c>
      <c r="M13" s="80">
        <v>1.99</v>
      </c>
      <c r="N13" s="80">
        <v>0.81</v>
      </c>
      <c r="O13" s="80">
        <v>1.99</v>
      </c>
      <c r="P13" s="80">
        <v>2.97</v>
      </c>
      <c r="R13" s="113" t="s">
        <v>32</v>
      </c>
      <c r="S13" s="114"/>
      <c r="T13" s="115">
        <f>+T12*(1-5%)</f>
        <v>1015.88136</v>
      </c>
      <c r="U13" s="115">
        <f t="shared" ref="U13:AB13" si="5">+U12*(1-5%)</f>
        <v>1036.5009200000002</v>
      </c>
      <c r="V13" s="115">
        <f t="shared" si="5"/>
        <v>1083.1839199999997</v>
      </c>
      <c r="W13" s="115">
        <f t="shared" si="5"/>
        <v>1070.7449999999999</v>
      </c>
      <c r="X13" s="115">
        <f t="shared" si="5"/>
        <v>1092.2339999999999</v>
      </c>
      <c r="Y13" s="115">
        <f t="shared" si="5"/>
        <v>1121.9727999999998</v>
      </c>
      <c r="Z13" s="115">
        <f t="shared" si="5"/>
        <v>1179.425</v>
      </c>
      <c r="AA13" s="115">
        <f t="shared" si="5"/>
        <v>1223.885</v>
      </c>
      <c r="AB13" s="115">
        <f t="shared" si="5"/>
        <v>1241.9159999999999</v>
      </c>
      <c r="AC13" s="79" t="s">
        <v>33</v>
      </c>
      <c r="AD13" s="80"/>
      <c r="AE13" s="80"/>
    </row>
    <row r="14" spans="1:31" x14ac:dyDescent="0.35">
      <c r="B14" s="79" t="s">
        <v>34</v>
      </c>
      <c r="C14" s="80">
        <v>0.19</v>
      </c>
      <c r="D14" s="80">
        <v>0.19</v>
      </c>
      <c r="E14" s="80">
        <v>0.19</v>
      </c>
      <c r="F14" s="80">
        <v>0.33</v>
      </c>
      <c r="G14" s="80">
        <v>0.33</v>
      </c>
      <c r="H14" s="80">
        <v>0.33</v>
      </c>
      <c r="I14" s="80"/>
      <c r="K14" s="79" t="s">
        <v>34</v>
      </c>
      <c r="L14" s="80">
        <v>2.71</v>
      </c>
      <c r="M14" s="80">
        <v>2.71</v>
      </c>
      <c r="N14" s="80">
        <v>2.71</v>
      </c>
      <c r="O14" s="80">
        <v>2.71</v>
      </c>
      <c r="P14" s="80">
        <v>4.4400000000000004</v>
      </c>
      <c r="R14" s="109" t="s">
        <v>35</v>
      </c>
      <c r="S14" s="116"/>
      <c r="T14" s="111">
        <f>+T12*75%+T13*25%</f>
        <v>1055.9819400000001</v>
      </c>
      <c r="U14" s="111">
        <f t="shared" ref="U14:AB14" si="6">+U12*75%+U13*25%</f>
        <v>1077.4154300000002</v>
      </c>
      <c r="V14" s="111">
        <f t="shared" si="6"/>
        <v>1125.9411799999998</v>
      </c>
      <c r="W14" s="111">
        <f t="shared" si="6"/>
        <v>1113.01125</v>
      </c>
      <c r="X14" s="111">
        <f t="shared" si="6"/>
        <v>1135.3485000000001</v>
      </c>
      <c r="Y14" s="111">
        <f t="shared" si="6"/>
        <v>1166.2611999999999</v>
      </c>
      <c r="Z14" s="111">
        <f t="shared" si="6"/>
        <v>1225.98125</v>
      </c>
      <c r="AA14" s="111">
        <f t="shared" si="6"/>
        <v>1272.19625</v>
      </c>
      <c r="AB14" s="111">
        <f t="shared" si="6"/>
        <v>1290.9390000000001</v>
      </c>
      <c r="AC14" s="79"/>
      <c r="AD14" s="80"/>
      <c r="AE14" s="80"/>
    </row>
    <row r="15" spans="1:31" x14ac:dyDescent="0.35">
      <c r="B15" s="79" t="s">
        <v>36</v>
      </c>
      <c r="C15" s="80">
        <v>0.16</v>
      </c>
      <c r="D15" s="80">
        <v>0.16</v>
      </c>
      <c r="E15" s="80">
        <v>0.16</v>
      </c>
      <c r="F15" s="80">
        <v>0.28000000000000003</v>
      </c>
      <c r="G15" s="80">
        <v>0.28000000000000003</v>
      </c>
      <c r="H15" s="80">
        <v>0.28000000000000003</v>
      </c>
      <c r="I15" s="80"/>
      <c r="K15" s="79" t="s">
        <v>36</v>
      </c>
      <c r="L15" s="80">
        <v>7.77</v>
      </c>
      <c r="M15" s="80">
        <v>7.77</v>
      </c>
      <c r="N15" s="80">
        <v>7.77</v>
      </c>
      <c r="O15" s="80">
        <v>7.77</v>
      </c>
      <c r="P15" s="80">
        <v>15.99</v>
      </c>
      <c r="R15" s="113" t="s">
        <v>37</v>
      </c>
      <c r="S15" s="117"/>
      <c r="T15" s="118">
        <f>+T14*1%</f>
        <v>10.559819400000002</v>
      </c>
      <c r="U15" s="118">
        <f t="shared" ref="U15:AB15" si="7">+U14*1%</f>
        <v>10.774154300000003</v>
      </c>
      <c r="V15" s="118">
        <f t="shared" si="7"/>
        <v>11.259411799999999</v>
      </c>
      <c r="W15" s="118">
        <f t="shared" si="7"/>
        <v>11.130112500000001</v>
      </c>
      <c r="X15" s="118">
        <f t="shared" si="7"/>
        <v>11.353485000000001</v>
      </c>
      <c r="Y15" s="118">
        <f t="shared" si="7"/>
        <v>11.662611999999999</v>
      </c>
      <c r="Z15" s="118">
        <f t="shared" si="7"/>
        <v>12.259812500000001</v>
      </c>
      <c r="AA15" s="118">
        <f t="shared" si="7"/>
        <v>12.7219625</v>
      </c>
      <c r="AB15" s="118">
        <f t="shared" si="7"/>
        <v>12.909390000000002</v>
      </c>
      <c r="AC15" s="79"/>
      <c r="AD15" s="80"/>
      <c r="AE15" s="80"/>
    </row>
    <row r="16" spans="1:31" x14ac:dyDescent="0.35">
      <c r="A16" s="81" t="s">
        <v>38</v>
      </c>
      <c r="B16" s="85" t="s">
        <v>39</v>
      </c>
      <c r="C16" s="84">
        <f t="shared" ref="C16:H16" si="8">SUM(C9:C15)</f>
        <v>30.190034883999999</v>
      </c>
      <c r="D16" s="84">
        <f t="shared" si="8"/>
        <v>31.624268112999999</v>
      </c>
      <c r="E16" s="84">
        <f t="shared" si="8"/>
        <v>36.578891994999992</v>
      </c>
      <c r="F16" s="84">
        <f t="shared" si="8"/>
        <v>54.542795680000005</v>
      </c>
      <c r="G16" s="84">
        <f t="shared" si="8"/>
        <v>54.037760734000003</v>
      </c>
      <c r="H16" s="84">
        <f t="shared" si="8"/>
        <v>64.468547853999993</v>
      </c>
      <c r="I16" s="84"/>
      <c r="K16" s="85" t="s">
        <v>39</v>
      </c>
      <c r="L16" s="84">
        <f>SUM(L9:L15)</f>
        <v>58.197246000000007</v>
      </c>
      <c r="M16" s="84">
        <f>SUM(M9:M15)</f>
        <v>66.603236199999998</v>
      </c>
      <c r="N16" s="84">
        <f>SUM(N9:N15)</f>
        <v>57.950905425000002</v>
      </c>
      <c r="O16" s="84">
        <f>SUM(O9:O15)</f>
        <v>66.266570747499998</v>
      </c>
      <c r="P16" s="84">
        <f>SUM(P9:P15)</f>
        <v>102.50024706699999</v>
      </c>
      <c r="R16" s="113" t="s">
        <v>40</v>
      </c>
      <c r="S16" s="119"/>
      <c r="T16" s="115">
        <f>+T15+T14</f>
        <v>1066.5417594</v>
      </c>
      <c r="U16" s="115">
        <f t="shared" ref="U16:AB16" si="9">+U15+U14</f>
        <v>1088.1895843000002</v>
      </c>
      <c r="V16" s="115">
        <f t="shared" si="9"/>
        <v>1137.2005917999998</v>
      </c>
      <c r="W16" s="115">
        <f t="shared" si="9"/>
        <v>1124.1413625</v>
      </c>
      <c r="X16" s="115">
        <f t="shared" si="9"/>
        <v>1146.7019850000001</v>
      </c>
      <c r="Y16" s="115">
        <f t="shared" si="9"/>
        <v>1177.923812</v>
      </c>
      <c r="Z16" s="115">
        <f t="shared" si="9"/>
        <v>1238.2410625</v>
      </c>
      <c r="AA16" s="115">
        <f t="shared" si="9"/>
        <v>1284.9182125</v>
      </c>
      <c r="AB16" s="115">
        <f t="shared" si="9"/>
        <v>1303.8483900000001</v>
      </c>
      <c r="AC16" s="85"/>
      <c r="AD16" s="84"/>
      <c r="AE16" s="84"/>
    </row>
    <row r="17" spans="2:31" x14ac:dyDescent="0.35">
      <c r="B17" s="85"/>
      <c r="C17" s="84"/>
      <c r="D17" s="84"/>
      <c r="E17" s="84"/>
      <c r="F17" s="84"/>
      <c r="G17" s="84"/>
      <c r="H17" s="84"/>
      <c r="I17" s="84"/>
      <c r="J17" s="94"/>
      <c r="L17" s="84"/>
      <c r="M17" s="84"/>
      <c r="N17" s="84"/>
      <c r="O17" s="84"/>
      <c r="P17" s="84"/>
      <c r="R17" s="85" t="s">
        <v>41</v>
      </c>
      <c r="S17" s="84"/>
      <c r="T17" s="120">
        <f>+D5</f>
        <v>1303.8483899999999</v>
      </c>
      <c r="U17" s="120">
        <f>+T17</f>
        <v>1303.8483899999999</v>
      </c>
      <c r="V17" s="120">
        <f>+U17</f>
        <v>1303.8483899999999</v>
      </c>
      <c r="W17" s="120">
        <f>+V17</f>
        <v>1303.8483899999999</v>
      </c>
      <c r="X17" s="120">
        <f t="shared" ref="X17:AB17" si="10">+W17</f>
        <v>1303.8483899999999</v>
      </c>
      <c r="Y17" s="120">
        <f t="shared" si="10"/>
        <v>1303.8483899999999</v>
      </c>
      <c r="Z17" s="120">
        <f t="shared" si="10"/>
        <v>1303.8483899999999</v>
      </c>
      <c r="AA17" s="120">
        <f t="shared" si="10"/>
        <v>1303.8483899999999</v>
      </c>
      <c r="AB17" s="120">
        <f t="shared" si="10"/>
        <v>1303.8483899999999</v>
      </c>
      <c r="AD17" s="84"/>
      <c r="AE17" s="84"/>
    </row>
    <row r="18" spans="2:31" x14ac:dyDescent="0.35">
      <c r="J18" s="94"/>
      <c r="R18" s="82"/>
      <c r="S18" s="82"/>
      <c r="T18" s="82"/>
      <c r="U18" s="82"/>
      <c r="W18" s="94"/>
      <c r="X18" s="94"/>
      <c r="Y18" s="94"/>
      <c r="Z18" s="94"/>
      <c r="AA18" s="94"/>
      <c r="AB18" s="94"/>
      <c r="AD18" s="82"/>
      <c r="AE18" s="82"/>
    </row>
    <row r="19" spans="2:31" x14ac:dyDescent="0.35">
      <c r="AD19" s="82"/>
      <c r="AE19" s="82"/>
    </row>
    <row r="20" spans="2:31" x14ac:dyDescent="0.35">
      <c r="AD20" s="82"/>
      <c r="AE20" s="82"/>
    </row>
    <row r="25" spans="2:31" x14ac:dyDescent="0.35">
      <c r="L25" s="122"/>
      <c r="M25" s="123"/>
    </row>
    <row r="32" spans="2:31" x14ac:dyDescent="0.35">
      <c r="B32" s="82" t="s">
        <v>51</v>
      </c>
      <c r="M32" s="82" t="s">
        <v>52</v>
      </c>
    </row>
  </sheetData>
  <mergeCells count="9">
    <mergeCell ref="B6:I6"/>
    <mergeCell ref="R2:AE2"/>
    <mergeCell ref="B3:D3"/>
    <mergeCell ref="K3:L3"/>
    <mergeCell ref="R3:T3"/>
    <mergeCell ref="AC3:AD3"/>
    <mergeCell ref="B4:D4"/>
    <mergeCell ref="K4:L4"/>
    <mergeCell ref="AC4:AD4"/>
  </mergeCells>
  <pageMargins left="0.7" right="0.7" top="0.75" bottom="0.75" header="0.3" footer="0.3"/>
  <customProperties>
    <customPr name="EpmWorksheetKeyString_GUID" r:id="rId1"/>
  </customPropertie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dimension ref="A2:AF32"/>
  <sheetViews>
    <sheetView zoomScale="70" zoomScaleNormal="70" workbookViewId="0">
      <selection activeCell="AC7" sqref="AC7"/>
    </sheetView>
  </sheetViews>
  <sheetFormatPr defaultColWidth="11.453125" defaultRowHeight="14.5" x14ac:dyDescent="0.35"/>
  <cols>
    <col min="1" max="1" width="3.453125" style="81" customWidth="1"/>
    <col min="2" max="2" width="22.1796875" style="82" customWidth="1"/>
    <col min="3" max="3" width="12.1796875" style="82" customWidth="1"/>
    <col min="4" max="4" width="12.453125" style="82" customWidth="1"/>
    <col min="5" max="5" width="11" style="82" customWidth="1"/>
    <col min="6" max="6" width="11.81640625" style="82" customWidth="1"/>
    <col min="7" max="7" width="11" style="82" customWidth="1"/>
    <col min="8" max="8" width="11.54296875" style="82" customWidth="1"/>
    <col min="9" max="9" width="8.54296875" style="81" hidden="1" customWidth="1"/>
    <col min="10" max="10" width="3.1796875" style="81" hidden="1" customWidth="1"/>
    <col min="11" max="11" width="28.81640625" style="81" customWidth="1"/>
    <col min="12" max="12" width="17.81640625" style="82" customWidth="1"/>
    <col min="13" max="15" width="10.81640625" style="82" customWidth="1"/>
    <col min="16" max="16" width="11.81640625" style="82" bestFit="1" customWidth="1"/>
    <col min="17" max="17" width="2.81640625" style="81" customWidth="1"/>
    <col min="18" max="18" width="28.81640625" style="81" customWidth="1"/>
    <col min="19" max="19" width="1" style="81" hidden="1" customWidth="1"/>
    <col min="20" max="20" width="16.1796875" style="81" hidden="1" customWidth="1"/>
    <col min="21" max="21" width="17.54296875" style="81" hidden="1" customWidth="1"/>
    <col min="22" max="22" width="14.54296875" style="81" hidden="1" customWidth="1"/>
    <col min="23" max="23" width="16" style="81" hidden="1" customWidth="1"/>
    <col min="24" max="24" width="17.81640625" style="81" hidden="1" customWidth="1"/>
    <col min="25" max="25" width="17.1796875" style="81" hidden="1" customWidth="1"/>
    <col min="26" max="28" width="14.453125" style="81" hidden="1" customWidth="1"/>
    <col min="29" max="29" width="14.453125" style="81" customWidth="1"/>
    <col min="30" max="16384" width="11.453125" style="81"/>
  </cols>
  <sheetData>
    <row r="2" spans="1:32" x14ac:dyDescent="0.35">
      <c r="B2" s="86"/>
      <c r="C2" s="86"/>
      <c r="D2" s="86"/>
      <c r="E2" s="87"/>
      <c r="F2" s="87"/>
      <c r="G2" s="87"/>
      <c r="H2" s="87"/>
      <c r="I2" s="87"/>
      <c r="J2" s="87"/>
      <c r="K2" s="87"/>
      <c r="L2" s="87"/>
      <c r="M2" s="87"/>
      <c r="N2" s="87"/>
      <c r="O2" s="87"/>
      <c r="P2" s="87"/>
      <c r="R2" s="574"/>
      <c r="S2" s="574"/>
      <c r="T2" s="574"/>
      <c r="U2" s="574"/>
      <c r="V2" s="574"/>
      <c r="W2" s="574"/>
      <c r="X2" s="574"/>
      <c r="Y2" s="574"/>
      <c r="Z2" s="574"/>
      <c r="AA2" s="574"/>
      <c r="AB2" s="574"/>
      <c r="AC2" s="574"/>
      <c r="AD2" s="574"/>
      <c r="AE2" s="574"/>
      <c r="AF2" s="574"/>
    </row>
    <row r="3" spans="1:32" x14ac:dyDescent="0.35">
      <c r="B3" s="575" t="s">
        <v>1</v>
      </c>
      <c r="C3" s="575"/>
      <c r="D3" s="575"/>
      <c r="E3" s="78">
        <f>+AC12</f>
        <v>1363.7</v>
      </c>
      <c r="G3" s="78"/>
      <c r="H3" s="78"/>
      <c r="I3" s="83">
        <v>0.05</v>
      </c>
      <c r="J3" s="88"/>
      <c r="K3" s="575" t="s">
        <v>1</v>
      </c>
      <c r="L3" s="575"/>
      <c r="M3" s="78">
        <f>+E3</f>
        <v>1363.7</v>
      </c>
      <c r="N3" s="78"/>
      <c r="O3" s="78"/>
      <c r="R3" s="573"/>
      <c r="S3" s="573"/>
      <c r="T3" s="573"/>
      <c r="U3" s="78"/>
      <c r="V3" s="83"/>
      <c r="W3" s="88"/>
      <c r="X3" s="88"/>
      <c r="Y3" s="88"/>
      <c r="Z3" s="88"/>
      <c r="AA3" s="88"/>
      <c r="AB3" s="88"/>
      <c r="AC3" s="88"/>
      <c r="AD3" s="573"/>
      <c r="AE3" s="573"/>
      <c r="AF3" s="78"/>
    </row>
    <row r="4" spans="1:32" x14ac:dyDescent="0.35">
      <c r="B4" s="575" t="s">
        <v>2</v>
      </c>
      <c r="C4" s="575"/>
      <c r="D4" s="575"/>
      <c r="E4" s="78">
        <f>+AC13</f>
        <v>1295.5149999999999</v>
      </c>
      <c r="G4" s="78"/>
      <c r="H4" s="78"/>
      <c r="I4" s="80">
        <f>+E3*I3</f>
        <v>68.185000000000002</v>
      </c>
      <c r="J4" s="88"/>
      <c r="K4" s="575" t="s">
        <v>3</v>
      </c>
      <c r="L4" s="575"/>
      <c r="M4" s="78">
        <f>+E4</f>
        <v>1295.5149999999999</v>
      </c>
      <c r="N4" s="78"/>
      <c r="O4" s="78"/>
      <c r="R4" s="89"/>
      <c r="S4" s="90"/>
      <c r="T4" s="90"/>
      <c r="U4" s="37"/>
      <c r="W4" s="88"/>
      <c r="X4" s="88"/>
      <c r="Y4" s="88"/>
      <c r="Z4" s="88"/>
      <c r="AA4" s="88"/>
      <c r="AB4" s="88"/>
      <c r="AC4" s="88"/>
      <c r="AD4" s="573"/>
      <c r="AE4" s="573"/>
      <c r="AF4" s="78"/>
    </row>
    <row r="5" spans="1:32" ht="23.5" x14ac:dyDescent="0.55000000000000004">
      <c r="B5" s="91"/>
      <c r="C5" s="92">
        <f>+(C9+C10)/C7*1000</f>
        <v>1360.1202874999999</v>
      </c>
      <c r="D5" s="92">
        <f t="shared" ref="D5:H5" si="0">+(D9+D10)/D7*1000</f>
        <v>1360.1202875000004</v>
      </c>
      <c r="E5" s="92">
        <f t="shared" si="0"/>
        <v>1360.1202875000001</v>
      </c>
      <c r="F5" s="92">
        <f t="shared" si="0"/>
        <v>1377.3369999999998</v>
      </c>
      <c r="G5" s="92">
        <f t="shared" si="0"/>
        <v>1360.1202874999999</v>
      </c>
      <c r="H5" s="92">
        <f t="shared" si="0"/>
        <v>1360.1202875000004</v>
      </c>
      <c r="J5" s="88"/>
      <c r="K5" s="91"/>
      <c r="L5" s="92">
        <f t="shared" ref="L5:M5" si="1">+(L9+L10)/L7*1000</f>
        <v>1370.5184999999999</v>
      </c>
      <c r="M5" s="92">
        <f t="shared" si="1"/>
        <v>1370.5184999999999</v>
      </c>
      <c r="N5" s="92"/>
      <c r="O5" s="92"/>
      <c r="P5" s="92"/>
      <c r="R5" s="93" t="s">
        <v>4</v>
      </c>
      <c r="S5" s="82"/>
      <c r="T5" s="82"/>
      <c r="U5" s="90"/>
      <c r="V5" s="94"/>
      <c r="W5" s="88"/>
      <c r="X5" s="88"/>
      <c r="Y5" s="88"/>
      <c r="Z5" s="88"/>
      <c r="AA5" s="88"/>
      <c r="AB5" s="88"/>
      <c r="AC5" s="88"/>
      <c r="AD5" s="91"/>
      <c r="AE5" s="91"/>
      <c r="AF5" s="78"/>
    </row>
    <row r="6" spans="1:32" s="95" customFormat="1" ht="43.5" x14ac:dyDescent="0.35">
      <c r="B6" s="573" t="s">
        <v>5</v>
      </c>
      <c r="C6" s="573"/>
      <c r="D6" s="573"/>
      <c r="E6" s="573"/>
      <c r="F6" s="573"/>
      <c r="G6" s="573"/>
      <c r="H6" s="573"/>
      <c r="I6" s="573"/>
      <c r="J6" s="88"/>
      <c r="K6" s="85" t="s">
        <v>6</v>
      </c>
      <c r="L6" s="96" t="s">
        <v>7</v>
      </c>
      <c r="M6" s="96" t="s">
        <v>8</v>
      </c>
      <c r="N6" s="96" t="s">
        <v>7</v>
      </c>
      <c r="O6" s="96" t="s">
        <v>8</v>
      </c>
      <c r="P6" s="96" t="s">
        <v>63</v>
      </c>
      <c r="R6" s="98"/>
      <c r="S6" s="98"/>
      <c r="T6" s="99" t="s">
        <v>54</v>
      </c>
      <c r="U6" s="99" t="s">
        <v>55</v>
      </c>
      <c r="V6" s="99" t="s">
        <v>56</v>
      </c>
      <c r="W6" s="99" t="s">
        <v>12</v>
      </c>
      <c r="X6" s="99" t="s">
        <v>57</v>
      </c>
      <c r="Y6" s="99" t="s">
        <v>58</v>
      </c>
      <c r="Z6" s="99" t="s">
        <v>59</v>
      </c>
      <c r="AA6" s="99" t="s">
        <v>60</v>
      </c>
      <c r="AB6" s="99" t="s">
        <v>62</v>
      </c>
      <c r="AC6" s="99" t="s">
        <v>64</v>
      </c>
      <c r="AD6" s="100"/>
      <c r="AE6" s="97"/>
      <c r="AF6" s="97"/>
    </row>
    <row r="7" spans="1:32" x14ac:dyDescent="0.35">
      <c r="B7" s="85" t="s">
        <v>13</v>
      </c>
      <c r="C7" s="101">
        <v>15.6</v>
      </c>
      <c r="D7" s="101">
        <v>16.7</v>
      </c>
      <c r="E7" s="101">
        <v>20.5</v>
      </c>
      <c r="F7" s="101">
        <v>30.6</v>
      </c>
      <c r="G7" s="101">
        <v>30.6</v>
      </c>
      <c r="H7" s="101">
        <v>38.6</v>
      </c>
      <c r="I7" s="101"/>
      <c r="K7" s="85" t="s">
        <v>13</v>
      </c>
      <c r="L7" s="101">
        <v>15</v>
      </c>
      <c r="M7" s="101">
        <v>20.5</v>
      </c>
      <c r="N7" s="101">
        <v>15</v>
      </c>
      <c r="O7" s="101">
        <v>20.5</v>
      </c>
      <c r="P7" s="101">
        <v>30.6</v>
      </c>
      <c r="R7" s="102" t="s">
        <v>14</v>
      </c>
      <c r="S7" s="103"/>
      <c r="T7" s="104">
        <v>938.13</v>
      </c>
      <c r="U7" s="105">
        <v>959</v>
      </c>
      <c r="V7" s="104">
        <v>1006.25</v>
      </c>
      <c r="W7" s="62">
        <v>993.75</v>
      </c>
      <c r="X7" s="70">
        <v>1015.5</v>
      </c>
      <c r="Y7" s="70">
        <v>1045.5999999999999</v>
      </c>
      <c r="Z7" s="51">
        <v>1103.75</v>
      </c>
      <c r="AA7" s="51">
        <v>1148.75</v>
      </c>
      <c r="AB7" s="51">
        <v>1167</v>
      </c>
      <c r="AC7" s="51">
        <v>1221.25</v>
      </c>
      <c r="AD7" s="85"/>
      <c r="AE7" s="101"/>
      <c r="AF7" s="101"/>
    </row>
    <row r="8" spans="1:32" x14ac:dyDescent="0.35">
      <c r="B8" s="79" t="s">
        <v>16</v>
      </c>
      <c r="C8" s="91" t="s">
        <v>17</v>
      </c>
      <c r="D8" s="91" t="s">
        <v>17</v>
      </c>
      <c r="E8" s="91" t="s">
        <v>17</v>
      </c>
      <c r="F8" s="91" t="s">
        <v>17</v>
      </c>
      <c r="G8" s="91" t="s">
        <v>17</v>
      </c>
      <c r="H8" s="91" t="s">
        <v>17</v>
      </c>
      <c r="I8" s="91"/>
      <c r="K8" s="79" t="s">
        <v>16</v>
      </c>
      <c r="L8" s="91" t="s">
        <v>17</v>
      </c>
      <c r="M8" s="91" t="s">
        <v>17</v>
      </c>
      <c r="N8" s="91" t="s">
        <v>17</v>
      </c>
      <c r="O8" s="91" t="s">
        <v>17</v>
      </c>
      <c r="P8" s="91" t="s">
        <v>17</v>
      </c>
      <c r="R8" s="106" t="s">
        <v>18</v>
      </c>
      <c r="S8" s="107"/>
      <c r="T8" s="108">
        <v>25.09</v>
      </c>
      <c r="U8" s="108">
        <v>25.09</v>
      </c>
      <c r="V8" s="108">
        <v>25.09</v>
      </c>
      <c r="W8" s="108">
        <v>25</v>
      </c>
      <c r="X8" s="108">
        <v>25</v>
      </c>
      <c r="Y8" s="108">
        <v>25</v>
      </c>
      <c r="Z8" s="108">
        <v>25</v>
      </c>
      <c r="AA8" s="108">
        <v>25</v>
      </c>
      <c r="AB8" s="108">
        <v>25</v>
      </c>
      <c r="AC8" s="108">
        <v>25</v>
      </c>
      <c r="AD8" s="79"/>
      <c r="AE8" s="91"/>
      <c r="AF8" s="91"/>
    </row>
    <row r="9" spans="1:32" x14ac:dyDescent="0.35">
      <c r="B9" s="79" t="s">
        <v>19</v>
      </c>
      <c r="C9" s="80">
        <f>+(C7*E3/1000)*1.01*75%</f>
        <v>16.114842899999999</v>
      </c>
      <c r="D9" s="80">
        <f>+(D7*$E$3/1000)*1.01*75%</f>
        <v>17.251145925000003</v>
      </c>
      <c r="E9" s="80">
        <f>+(E7*$E$3/1000)*1.01*75%</f>
        <v>21.176556375000001</v>
      </c>
      <c r="F9" s="80">
        <f>+(F7*E3/1000)*1.01</f>
        <v>42.146512199999997</v>
      </c>
      <c r="G9" s="80">
        <f>+(G7*$E$3/1000)*1.01*75%</f>
        <v>31.609884149999999</v>
      </c>
      <c r="H9" s="80">
        <f>+(H7*$E$3/1000)*1.01*75%</f>
        <v>39.87390615000001</v>
      </c>
      <c r="I9" s="80"/>
      <c r="K9" s="79" t="s">
        <v>19</v>
      </c>
      <c r="L9" s="80">
        <f>+(L7*M3/1000)*1.005</f>
        <v>20.5577775</v>
      </c>
      <c r="M9" s="80">
        <f>+(M7*M3/1000)*1.005</f>
        <v>28.095629249999998</v>
      </c>
      <c r="N9" s="80">
        <f>+(N7*M3/1000)*1.005*75%</f>
        <v>15.418333125</v>
      </c>
      <c r="O9" s="80">
        <f>+(O7*M3/1000)*1.005*75%</f>
        <v>21.071721937499998</v>
      </c>
      <c r="P9" s="80">
        <f>+(P7*M3/1000)*1.005*75%</f>
        <v>31.453399574999995</v>
      </c>
      <c r="R9" s="109" t="s">
        <v>20</v>
      </c>
      <c r="S9" s="110"/>
      <c r="T9" s="104">
        <v>65</v>
      </c>
      <c r="U9" s="105">
        <v>65</v>
      </c>
      <c r="V9" s="104">
        <v>65</v>
      </c>
      <c r="W9" s="104">
        <v>65</v>
      </c>
      <c r="X9" s="104">
        <v>65</v>
      </c>
      <c r="Y9" s="104">
        <v>65</v>
      </c>
      <c r="Z9" s="104">
        <v>65</v>
      </c>
      <c r="AA9" s="104">
        <v>65</v>
      </c>
      <c r="AB9" s="104">
        <v>65</v>
      </c>
      <c r="AC9" s="104">
        <v>65</v>
      </c>
      <c r="AD9" s="79"/>
      <c r="AE9" s="80"/>
      <c r="AF9" s="80"/>
    </row>
    <row r="10" spans="1:32" x14ac:dyDescent="0.35">
      <c r="B10" s="75" t="s">
        <v>23</v>
      </c>
      <c r="C10" s="76">
        <f>+(C7*$E$4/1000)*1.01*25%</f>
        <v>5.1030335849999995</v>
      </c>
      <c r="D10" s="76">
        <f>+(D7*$E$4/1000)*1.01*25%</f>
        <v>5.4628628762499991</v>
      </c>
      <c r="E10" s="76">
        <f>+(E7*$E$4/1000)*1.01*25%</f>
        <v>6.7059095187500004</v>
      </c>
      <c r="F10" s="76">
        <v>0</v>
      </c>
      <c r="G10" s="76">
        <f>+(G7*$E$4/1000)*1.01*25%</f>
        <v>10.0097966475</v>
      </c>
      <c r="H10" s="76">
        <f>+(H7*$E$4/1000)*1.01*25%</f>
        <v>12.626736947499998</v>
      </c>
      <c r="I10" s="76"/>
      <c r="J10" s="121"/>
      <c r="K10" s="75" t="s">
        <v>23</v>
      </c>
      <c r="L10" s="76">
        <v>0</v>
      </c>
      <c r="M10" s="76">
        <v>0</v>
      </c>
      <c r="N10" s="76">
        <f>+(N7*M4/1000)*1.005*25%</f>
        <v>4.8824721562499986</v>
      </c>
      <c r="O10" s="76">
        <f>+(O7*M4/1000)*1.005*25%</f>
        <v>6.6727119468749994</v>
      </c>
      <c r="P10" s="76">
        <f>+(P7*M4/1000)*1.005*25%</f>
        <v>9.960243198749998</v>
      </c>
      <c r="R10" s="102"/>
      <c r="S10" s="103"/>
      <c r="T10" s="104">
        <f>SUM(T7:T9)</f>
        <v>1028.22</v>
      </c>
      <c r="U10" s="104">
        <f>SUM(U7:U9)</f>
        <v>1049.0900000000001</v>
      </c>
      <c r="V10" s="104">
        <f>SUM(V7:V9)</f>
        <v>1096.3399999999999</v>
      </c>
      <c r="W10" s="104">
        <f>SUM(W7:W9)</f>
        <v>1083.75</v>
      </c>
      <c r="X10" s="104">
        <f t="shared" ref="X10:AB10" si="2">SUM(X7:X9)</f>
        <v>1105.5</v>
      </c>
      <c r="Y10" s="104">
        <f t="shared" si="2"/>
        <v>1135.5999999999999</v>
      </c>
      <c r="Z10" s="104">
        <f t="shared" si="2"/>
        <v>1193.75</v>
      </c>
      <c r="AA10" s="104">
        <f t="shared" si="2"/>
        <v>1238.75</v>
      </c>
      <c r="AB10" s="104">
        <f t="shared" si="2"/>
        <v>1257</v>
      </c>
      <c r="AC10" s="104">
        <f t="shared" ref="AC10" si="3">SUM(AC7:AC9)</f>
        <v>1311.25</v>
      </c>
      <c r="AD10" s="79"/>
      <c r="AE10" s="80"/>
      <c r="AF10" s="80"/>
    </row>
    <row r="11" spans="1:32" x14ac:dyDescent="0.35">
      <c r="B11" s="79" t="s">
        <v>25</v>
      </c>
      <c r="C11" s="80">
        <v>8.1999999999999993</v>
      </c>
      <c r="D11" s="80">
        <v>8.1999999999999993</v>
      </c>
      <c r="E11" s="80">
        <v>8.1999999999999993</v>
      </c>
      <c r="F11" s="80">
        <v>11.15</v>
      </c>
      <c r="G11" s="80">
        <v>11.15</v>
      </c>
      <c r="H11" s="80">
        <v>11.15</v>
      </c>
      <c r="I11" s="80"/>
      <c r="K11" s="79" t="s">
        <v>26</v>
      </c>
      <c r="L11" s="80">
        <v>27.2</v>
      </c>
      <c r="M11" s="80">
        <v>27.2</v>
      </c>
      <c r="N11" s="80">
        <v>27.2</v>
      </c>
      <c r="O11" s="80">
        <v>27.2</v>
      </c>
      <c r="P11" s="80">
        <f>11.15+28.25</f>
        <v>39.4</v>
      </c>
      <c r="R11" s="106" t="s">
        <v>27</v>
      </c>
      <c r="S11" s="107"/>
      <c r="T11" s="108">
        <f>+T10*4%</f>
        <v>41.128800000000005</v>
      </c>
      <c r="U11" s="104">
        <f>+U10*4%</f>
        <v>41.963600000000007</v>
      </c>
      <c r="V11" s="108">
        <f>+V10*4%</f>
        <v>43.8536</v>
      </c>
      <c r="W11" s="108">
        <f>+W10*4%</f>
        <v>43.35</v>
      </c>
      <c r="X11" s="108">
        <f t="shared" ref="X11:AB11" si="4">+X10*4%</f>
        <v>44.22</v>
      </c>
      <c r="Y11" s="108">
        <f t="shared" si="4"/>
        <v>45.423999999999999</v>
      </c>
      <c r="Z11" s="108">
        <f t="shared" si="4"/>
        <v>47.75</v>
      </c>
      <c r="AA11" s="108">
        <f t="shared" si="4"/>
        <v>49.550000000000004</v>
      </c>
      <c r="AB11" s="108">
        <f t="shared" si="4"/>
        <v>50.28</v>
      </c>
      <c r="AC11" s="108">
        <f t="shared" ref="AC11" si="5">+AC10*4%</f>
        <v>52.45</v>
      </c>
      <c r="AD11" s="79"/>
      <c r="AE11" s="80"/>
      <c r="AF11" s="80"/>
    </row>
    <row r="12" spans="1:32" x14ac:dyDescent="0.35">
      <c r="B12" s="79" t="s">
        <v>28</v>
      </c>
      <c r="C12" s="80">
        <v>0</v>
      </c>
      <c r="D12" s="80">
        <v>0</v>
      </c>
      <c r="E12" s="80">
        <v>0</v>
      </c>
      <c r="F12" s="80">
        <v>0</v>
      </c>
      <c r="G12" s="80">
        <v>0</v>
      </c>
      <c r="H12" s="80">
        <v>0</v>
      </c>
      <c r="I12" s="80"/>
      <c r="K12" s="79" t="s">
        <v>29</v>
      </c>
      <c r="L12" s="80">
        <v>0</v>
      </c>
      <c r="M12" s="80">
        <v>0</v>
      </c>
      <c r="N12" s="80">
        <v>0</v>
      </c>
      <c r="O12" s="80">
        <v>0</v>
      </c>
      <c r="P12" s="80">
        <v>0</v>
      </c>
      <c r="R12" s="109" t="s">
        <v>30</v>
      </c>
      <c r="S12" s="110"/>
      <c r="T12" s="111">
        <f>+T11+T10</f>
        <v>1069.3488</v>
      </c>
      <c r="U12" s="112">
        <f>+U11+U10</f>
        <v>1091.0536000000002</v>
      </c>
      <c r="V12" s="111">
        <f>+V11+V10</f>
        <v>1140.1935999999998</v>
      </c>
      <c r="W12" s="111">
        <f>+W11+W10</f>
        <v>1127.0999999999999</v>
      </c>
      <c r="X12" s="111">
        <f t="shared" ref="X12:AB12" si="6">+X11+X10</f>
        <v>1149.72</v>
      </c>
      <c r="Y12" s="111">
        <f t="shared" si="6"/>
        <v>1181.0239999999999</v>
      </c>
      <c r="Z12" s="111">
        <f t="shared" si="6"/>
        <v>1241.5</v>
      </c>
      <c r="AA12" s="111">
        <f t="shared" si="6"/>
        <v>1288.3</v>
      </c>
      <c r="AB12" s="111">
        <f t="shared" si="6"/>
        <v>1307.28</v>
      </c>
      <c r="AC12" s="111">
        <f t="shared" ref="AC12" si="7">+AC11+AC10</f>
        <v>1363.7</v>
      </c>
      <c r="AD12" s="79"/>
      <c r="AE12" s="80"/>
      <c r="AF12" s="80"/>
    </row>
    <row r="13" spans="1:32" x14ac:dyDescent="0.35">
      <c r="B13" s="79" t="s">
        <v>31</v>
      </c>
      <c r="C13" s="80">
        <v>1.3</v>
      </c>
      <c r="D13" s="80">
        <v>1.3</v>
      </c>
      <c r="E13" s="80">
        <v>1.3</v>
      </c>
      <c r="F13" s="80">
        <v>2.38</v>
      </c>
      <c r="G13" s="80">
        <v>2.38</v>
      </c>
      <c r="H13" s="80">
        <v>2.38</v>
      </c>
      <c r="I13" s="80"/>
      <c r="K13" s="79" t="s">
        <v>31</v>
      </c>
      <c r="L13" s="80">
        <v>0.81</v>
      </c>
      <c r="M13" s="80">
        <v>1.99</v>
      </c>
      <c r="N13" s="80">
        <v>0.81</v>
      </c>
      <c r="O13" s="80">
        <v>1.99</v>
      </c>
      <c r="P13" s="80">
        <v>2.97</v>
      </c>
      <c r="R13" s="113" t="s">
        <v>32</v>
      </c>
      <c r="S13" s="114"/>
      <c r="T13" s="115">
        <f>+T12*(1-5%)</f>
        <v>1015.88136</v>
      </c>
      <c r="U13" s="115">
        <f t="shared" ref="U13:AB13" si="8">+U12*(1-5%)</f>
        <v>1036.5009200000002</v>
      </c>
      <c r="V13" s="115">
        <f t="shared" si="8"/>
        <v>1083.1839199999997</v>
      </c>
      <c r="W13" s="115">
        <f t="shared" si="8"/>
        <v>1070.7449999999999</v>
      </c>
      <c r="X13" s="115">
        <f t="shared" si="8"/>
        <v>1092.2339999999999</v>
      </c>
      <c r="Y13" s="115">
        <f t="shared" si="8"/>
        <v>1121.9727999999998</v>
      </c>
      <c r="Z13" s="115">
        <f t="shared" si="8"/>
        <v>1179.425</v>
      </c>
      <c r="AA13" s="115">
        <f t="shared" si="8"/>
        <v>1223.885</v>
      </c>
      <c r="AB13" s="115">
        <f t="shared" si="8"/>
        <v>1241.9159999999999</v>
      </c>
      <c r="AC13" s="115">
        <f t="shared" ref="AC13" si="9">+AC12*(1-5%)</f>
        <v>1295.5149999999999</v>
      </c>
      <c r="AD13" s="79"/>
      <c r="AE13" s="80"/>
      <c r="AF13" s="80"/>
    </row>
    <row r="14" spans="1:32" x14ac:dyDescent="0.35">
      <c r="B14" s="79" t="s">
        <v>34</v>
      </c>
      <c r="C14" s="80">
        <v>0.19</v>
      </c>
      <c r="D14" s="80">
        <v>0.19</v>
      </c>
      <c r="E14" s="80">
        <v>0.19</v>
      </c>
      <c r="F14" s="80">
        <v>0.33</v>
      </c>
      <c r="G14" s="80">
        <v>0.33</v>
      </c>
      <c r="H14" s="80">
        <v>0.33</v>
      </c>
      <c r="I14" s="80"/>
      <c r="K14" s="79" t="s">
        <v>34</v>
      </c>
      <c r="L14" s="80">
        <v>2.71</v>
      </c>
      <c r="M14" s="80">
        <v>2.71</v>
      </c>
      <c r="N14" s="80">
        <v>2.71</v>
      </c>
      <c r="O14" s="80">
        <v>2.71</v>
      </c>
      <c r="P14" s="80">
        <v>4.4400000000000004</v>
      </c>
      <c r="R14" s="109" t="s">
        <v>35</v>
      </c>
      <c r="S14" s="116"/>
      <c r="T14" s="111">
        <f>+T12*75%+T13*25%</f>
        <v>1055.9819400000001</v>
      </c>
      <c r="U14" s="111">
        <f t="shared" ref="U14:AB14" si="10">+U12*75%+U13*25%</f>
        <v>1077.4154300000002</v>
      </c>
      <c r="V14" s="111">
        <f t="shared" si="10"/>
        <v>1125.9411799999998</v>
      </c>
      <c r="W14" s="111">
        <f t="shared" si="10"/>
        <v>1113.01125</v>
      </c>
      <c r="X14" s="111">
        <f t="shared" si="10"/>
        <v>1135.3485000000001</v>
      </c>
      <c r="Y14" s="111">
        <f t="shared" si="10"/>
        <v>1166.2611999999999</v>
      </c>
      <c r="Z14" s="111">
        <f t="shared" si="10"/>
        <v>1225.98125</v>
      </c>
      <c r="AA14" s="111">
        <f t="shared" si="10"/>
        <v>1272.19625</v>
      </c>
      <c r="AB14" s="111">
        <f t="shared" si="10"/>
        <v>1290.9390000000001</v>
      </c>
      <c r="AC14" s="111">
        <f>+AC12*75%+AC13*25%</f>
        <v>1346.6537499999999</v>
      </c>
      <c r="AD14" s="79"/>
      <c r="AE14" s="80"/>
      <c r="AF14" s="80"/>
    </row>
    <row r="15" spans="1:32" x14ac:dyDescent="0.35">
      <c r="B15" s="79" t="s">
        <v>36</v>
      </c>
      <c r="C15" s="80">
        <v>0.16</v>
      </c>
      <c r="D15" s="80">
        <v>0.16</v>
      </c>
      <c r="E15" s="80">
        <v>0.16</v>
      </c>
      <c r="F15" s="80">
        <v>0.28000000000000003</v>
      </c>
      <c r="G15" s="80">
        <v>0.28000000000000003</v>
      </c>
      <c r="H15" s="80">
        <v>0.28000000000000003</v>
      </c>
      <c r="I15" s="80"/>
      <c r="K15" s="79" t="s">
        <v>36</v>
      </c>
      <c r="L15" s="80">
        <v>7.77</v>
      </c>
      <c r="M15" s="80">
        <v>7.77</v>
      </c>
      <c r="N15" s="80">
        <v>7.77</v>
      </c>
      <c r="O15" s="80">
        <v>7.77</v>
      </c>
      <c r="P15" s="80">
        <v>15.99</v>
      </c>
      <c r="R15" s="113" t="s">
        <v>37</v>
      </c>
      <c r="S15" s="117"/>
      <c r="T15" s="118">
        <f>+T14*1%</f>
        <v>10.559819400000002</v>
      </c>
      <c r="U15" s="118">
        <f t="shared" ref="U15:AB15" si="11">+U14*1%</f>
        <v>10.774154300000003</v>
      </c>
      <c r="V15" s="118">
        <f t="shared" si="11"/>
        <v>11.259411799999999</v>
      </c>
      <c r="W15" s="118">
        <f t="shared" si="11"/>
        <v>11.130112500000001</v>
      </c>
      <c r="X15" s="118">
        <f t="shared" si="11"/>
        <v>11.353485000000001</v>
      </c>
      <c r="Y15" s="118">
        <f t="shared" si="11"/>
        <v>11.662611999999999</v>
      </c>
      <c r="Z15" s="118">
        <f t="shared" si="11"/>
        <v>12.259812500000001</v>
      </c>
      <c r="AA15" s="118">
        <f t="shared" si="11"/>
        <v>12.7219625</v>
      </c>
      <c r="AB15" s="118">
        <f t="shared" si="11"/>
        <v>12.909390000000002</v>
      </c>
      <c r="AC15" s="118">
        <f t="shared" ref="AC15" si="12">+AC14*1%</f>
        <v>13.466537499999999</v>
      </c>
      <c r="AD15" s="79"/>
      <c r="AE15" s="80"/>
      <c r="AF15" s="80"/>
    </row>
    <row r="16" spans="1:32" x14ac:dyDescent="0.35">
      <c r="A16" s="81" t="s">
        <v>38</v>
      </c>
      <c r="B16" s="85" t="s">
        <v>39</v>
      </c>
      <c r="C16" s="84">
        <f t="shared" ref="C16:H16" si="13">SUM(C9:C15)</f>
        <v>31.067876484999999</v>
      </c>
      <c r="D16" s="84">
        <f t="shared" si="13"/>
        <v>32.564008801249997</v>
      </c>
      <c r="E16" s="84">
        <f t="shared" si="13"/>
        <v>37.732465893749989</v>
      </c>
      <c r="F16" s="84">
        <f t="shared" si="13"/>
        <v>56.286512199999997</v>
      </c>
      <c r="G16" s="84">
        <f t="shared" si="13"/>
        <v>55.759680797499996</v>
      </c>
      <c r="H16" s="84">
        <f t="shared" si="13"/>
        <v>66.640643097500003</v>
      </c>
      <c r="I16" s="84"/>
      <c r="K16" s="85" t="s">
        <v>39</v>
      </c>
      <c r="L16" s="84">
        <f>SUM(L9:L15)</f>
        <v>59.047777500000009</v>
      </c>
      <c r="M16" s="84">
        <f>SUM(M9:M15)</f>
        <v>67.765629250000003</v>
      </c>
      <c r="N16" s="84">
        <f>SUM(N9:N15)</f>
        <v>58.790805281250002</v>
      </c>
      <c r="O16" s="84">
        <f>SUM(O9:O15)</f>
        <v>67.414433884375001</v>
      </c>
      <c r="P16" s="84">
        <f>SUM(P9:P15)</f>
        <v>104.21364277374998</v>
      </c>
      <c r="R16" s="113" t="s">
        <v>40</v>
      </c>
      <c r="S16" s="119"/>
      <c r="T16" s="115">
        <f>+T15+T14</f>
        <v>1066.5417594</v>
      </c>
      <c r="U16" s="115">
        <f t="shared" ref="U16:AB16" si="14">+U15+U14</f>
        <v>1088.1895843000002</v>
      </c>
      <c r="V16" s="115">
        <f t="shared" si="14"/>
        <v>1137.2005917999998</v>
      </c>
      <c r="W16" s="115">
        <f t="shared" si="14"/>
        <v>1124.1413625</v>
      </c>
      <c r="X16" s="115">
        <f t="shared" si="14"/>
        <v>1146.7019850000001</v>
      </c>
      <c r="Y16" s="115">
        <f t="shared" si="14"/>
        <v>1177.923812</v>
      </c>
      <c r="Z16" s="115">
        <f t="shared" si="14"/>
        <v>1238.2410625</v>
      </c>
      <c r="AA16" s="115">
        <f t="shared" si="14"/>
        <v>1284.9182125</v>
      </c>
      <c r="AB16" s="115">
        <f t="shared" si="14"/>
        <v>1303.8483900000001</v>
      </c>
      <c r="AC16" s="115">
        <f t="shared" ref="AC16" si="15">+AC15+AC14</f>
        <v>1360.1202874999999</v>
      </c>
      <c r="AD16" s="85"/>
      <c r="AE16" s="84"/>
      <c r="AF16" s="84"/>
    </row>
    <row r="17" spans="2:32" hidden="1" x14ac:dyDescent="0.35">
      <c r="B17" s="85"/>
      <c r="C17" s="84"/>
      <c r="D17" s="84"/>
      <c r="E17" s="84"/>
      <c r="F17" s="84"/>
      <c r="G17" s="84"/>
      <c r="H17" s="84"/>
      <c r="I17" s="84"/>
      <c r="J17" s="94"/>
      <c r="L17" s="84"/>
      <c r="M17" s="84"/>
      <c r="N17" s="84"/>
      <c r="O17" s="84"/>
      <c r="P17" s="84"/>
      <c r="R17" s="85" t="s">
        <v>41</v>
      </c>
      <c r="S17" s="84"/>
      <c r="T17" s="120">
        <f>+D5</f>
        <v>1360.1202875000004</v>
      </c>
      <c r="U17" s="120">
        <f>+T17</f>
        <v>1360.1202875000004</v>
      </c>
      <c r="V17" s="120">
        <f>+U17</f>
        <v>1360.1202875000004</v>
      </c>
      <c r="W17" s="120">
        <f>+V17</f>
        <v>1360.1202875000004</v>
      </c>
      <c r="X17" s="120">
        <f t="shared" ref="X17:AC17" si="16">+W17</f>
        <v>1360.1202875000004</v>
      </c>
      <c r="Y17" s="120">
        <f t="shared" si="16"/>
        <v>1360.1202875000004</v>
      </c>
      <c r="Z17" s="120">
        <f t="shared" si="16"/>
        <v>1360.1202875000004</v>
      </c>
      <c r="AA17" s="120">
        <f t="shared" si="16"/>
        <v>1360.1202875000004</v>
      </c>
      <c r="AB17" s="120">
        <f t="shared" si="16"/>
        <v>1360.1202875000004</v>
      </c>
      <c r="AC17" s="120">
        <f t="shared" si="16"/>
        <v>1360.1202875000004</v>
      </c>
      <c r="AE17" s="84"/>
      <c r="AF17" s="84"/>
    </row>
    <row r="18" spans="2:32" x14ac:dyDescent="0.35">
      <c r="J18" s="94"/>
      <c r="R18" s="82"/>
      <c r="S18" s="82"/>
      <c r="T18" s="82"/>
      <c r="U18" s="82"/>
      <c r="W18" s="94"/>
      <c r="X18" s="94"/>
      <c r="Y18" s="94"/>
      <c r="Z18" s="94"/>
      <c r="AA18" s="94"/>
      <c r="AB18" s="94"/>
      <c r="AC18" s="94"/>
      <c r="AE18" s="82"/>
      <c r="AF18" s="82"/>
    </row>
    <row r="19" spans="2:32" x14ac:dyDescent="0.35">
      <c r="AE19" s="82"/>
      <c r="AF19" s="82"/>
    </row>
    <row r="20" spans="2:32" x14ac:dyDescent="0.35">
      <c r="AE20" s="82"/>
      <c r="AF20" s="82"/>
    </row>
    <row r="25" spans="2:32" x14ac:dyDescent="0.35">
      <c r="L25" s="122"/>
      <c r="M25" s="123"/>
    </row>
    <row r="32" spans="2:32" x14ac:dyDescent="0.35">
      <c r="B32" s="82" t="s">
        <v>51</v>
      </c>
      <c r="M32" s="82" t="s">
        <v>52</v>
      </c>
    </row>
  </sheetData>
  <mergeCells count="9">
    <mergeCell ref="B6:I6"/>
    <mergeCell ref="R2:AF2"/>
    <mergeCell ref="B3:D3"/>
    <mergeCell ref="K3:L3"/>
    <mergeCell ref="R3:T3"/>
    <mergeCell ref="AD3:AE3"/>
    <mergeCell ref="B4:D4"/>
    <mergeCell ref="K4:L4"/>
    <mergeCell ref="AD4:AE4"/>
  </mergeCells>
  <pageMargins left="0.7" right="0.7" top="0.75" bottom="0.75" header="0.3" footer="0.3"/>
  <customProperties>
    <customPr name="EpmWorksheetKeyString_GUID" r:id="rId1"/>
  </customPropertie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2"/>
  <dimension ref="A2:AF32"/>
  <sheetViews>
    <sheetView zoomScale="70" zoomScaleNormal="70" workbookViewId="0">
      <selection activeCell="AC7" sqref="AC7"/>
    </sheetView>
  </sheetViews>
  <sheetFormatPr defaultColWidth="11.453125" defaultRowHeight="14.5" x14ac:dyDescent="0.35"/>
  <cols>
    <col min="1" max="1" width="3.453125" style="81" customWidth="1"/>
    <col min="2" max="2" width="22.1796875" style="82" customWidth="1"/>
    <col min="3" max="3" width="12.1796875" style="82" customWidth="1"/>
    <col min="4" max="4" width="12.453125" style="82" customWidth="1"/>
    <col min="5" max="5" width="11" style="82" customWidth="1"/>
    <col min="6" max="6" width="11.81640625" style="82" customWidth="1"/>
    <col min="7" max="7" width="11" style="82" customWidth="1"/>
    <col min="8" max="8" width="11.54296875" style="82" customWidth="1"/>
    <col min="9" max="9" width="8.54296875" style="81" hidden="1" customWidth="1"/>
    <col min="10" max="10" width="3.1796875" style="81" hidden="1" customWidth="1"/>
    <col min="11" max="11" width="28.81640625" style="81" customWidth="1"/>
    <col min="12" max="14" width="10.81640625" style="82" customWidth="1"/>
    <col min="15" max="15" width="11.81640625" style="82" bestFit="1" customWidth="1"/>
    <col min="16" max="16" width="2.81640625" style="81" customWidth="1"/>
    <col min="17" max="17" width="28.81640625" style="81" customWidth="1"/>
    <col min="18" max="18" width="1" style="81" hidden="1" customWidth="1"/>
    <col min="19" max="19" width="16.1796875" style="81" hidden="1" customWidth="1"/>
    <col min="20" max="20" width="17.54296875" style="81" hidden="1" customWidth="1"/>
    <col min="21" max="21" width="14.54296875" style="81" hidden="1" customWidth="1"/>
    <col min="22" max="22" width="16" style="81" hidden="1" customWidth="1"/>
    <col min="23" max="23" width="17.81640625" style="81" hidden="1" customWidth="1"/>
    <col min="24" max="24" width="17.1796875" style="81" hidden="1" customWidth="1"/>
    <col min="25" max="28" width="14.453125" style="81" hidden="1" customWidth="1"/>
    <col min="29" max="29" width="14.453125" style="81" customWidth="1"/>
    <col min="30" max="16384" width="11.453125" style="81"/>
  </cols>
  <sheetData>
    <row r="2" spans="1:32" x14ac:dyDescent="0.35">
      <c r="B2" s="86"/>
      <c r="C2" s="86"/>
      <c r="D2" s="86"/>
      <c r="E2" s="87"/>
      <c r="F2" s="87"/>
      <c r="G2" s="87"/>
      <c r="H2" s="87"/>
      <c r="I2" s="87"/>
      <c r="J2" s="87"/>
      <c r="K2" s="87"/>
      <c r="L2" s="87"/>
      <c r="M2" s="87"/>
      <c r="N2" s="87"/>
      <c r="O2" s="87"/>
      <c r="Q2" s="574"/>
      <c r="R2" s="574"/>
      <c r="S2" s="574"/>
      <c r="T2" s="574"/>
      <c r="U2" s="574"/>
      <c r="V2" s="574"/>
      <c r="W2" s="574"/>
      <c r="X2" s="574"/>
      <c r="Y2" s="574"/>
      <c r="Z2" s="574"/>
      <c r="AA2" s="574"/>
      <c r="AB2" s="574"/>
      <c r="AC2" s="574"/>
      <c r="AD2" s="574"/>
      <c r="AE2" s="574"/>
      <c r="AF2" s="574"/>
    </row>
    <row r="3" spans="1:32" x14ac:dyDescent="0.35">
      <c r="B3" s="575" t="s">
        <v>1</v>
      </c>
      <c r="C3" s="575"/>
      <c r="D3" s="575"/>
      <c r="E3" s="78">
        <f>+AC12</f>
        <v>1476.8</v>
      </c>
      <c r="G3" s="78"/>
      <c r="H3" s="78"/>
      <c r="I3" s="83">
        <v>0.05</v>
      </c>
      <c r="J3" s="88"/>
      <c r="K3" s="124" t="s">
        <v>1</v>
      </c>
      <c r="L3" s="78">
        <f>+E3</f>
        <v>1476.8</v>
      </c>
      <c r="M3" s="78"/>
      <c r="N3" s="78"/>
      <c r="Q3" s="573"/>
      <c r="R3" s="573"/>
      <c r="S3" s="573"/>
      <c r="T3" s="78"/>
      <c r="U3" s="83"/>
      <c r="V3" s="88"/>
      <c r="W3" s="88"/>
      <c r="X3" s="88"/>
      <c r="Y3" s="88"/>
      <c r="Z3" s="88"/>
      <c r="AA3" s="88"/>
      <c r="AB3" s="88"/>
      <c r="AC3" s="88"/>
      <c r="AD3" s="573"/>
      <c r="AE3" s="573"/>
      <c r="AF3" s="78"/>
    </row>
    <row r="4" spans="1:32" x14ac:dyDescent="0.35">
      <c r="B4" s="575" t="s">
        <v>2</v>
      </c>
      <c r="C4" s="575"/>
      <c r="D4" s="575"/>
      <c r="E4" s="78">
        <f>+AC13</f>
        <v>1402.9599999999998</v>
      </c>
      <c r="G4" s="78"/>
      <c r="H4" s="78"/>
      <c r="I4" s="80">
        <f>+E3*I3</f>
        <v>73.84</v>
      </c>
      <c r="J4" s="88"/>
      <c r="K4" s="124" t="s">
        <v>3</v>
      </c>
      <c r="L4" s="78">
        <f>+E4</f>
        <v>1402.9599999999998</v>
      </c>
      <c r="M4" s="78"/>
      <c r="N4" s="78"/>
      <c r="Q4" s="89"/>
      <c r="R4" s="90"/>
      <c r="S4" s="90"/>
      <c r="T4" s="37"/>
      <c r="V4" s="88"/>
      <c r="W4" s="88"/>
      <c r="X4" s="88"/>
      <c r="Y4" s="88"/>
      <c r="Z4" s="88"/>
      <c r="AA4" s="88"/>
      <c r="AB4" s="88"/>
      <c r="AC4" s="88"/>
      <c r="AD4" s="573"/>
      <c r="AE4" s="573"/>
      <c r="AF4" s="78"/>
    </row>
    <row r="5" spans="1:32" ht="23.5" x14ac:dyDescent="0.55000000000000004">
      <c r="B5" s="91"/>
      <c r="C5" s="92">
        <f>+(C9+C10)/C7*1000</f>
        <v>1472.9233999999994</v>
      </c>
      <c r="D5" s="92">
        <f t="shared" ref="D5:H5" si="0">+(D9+D10)/D7*1000</f>
        <v>1472.9233999999999</v>
      </c>
      <c r="E5" s="92">
        <f t="shared" si="0"/>
        <v>1472.9233999999997</v>
      </c>
      <c r="F5" s="92">
        <f t="shared" si="0"/>
        <v>1491.568</v>
      </c>
      <c r="G5" s="92">
        <f t="shared" si="0"/>
        <v>1472.9233999999999</v>
      </c>
      <c r="H5" s="92">
        <f t="shared" si="0"/>
        <v>1472.9233999999997</v>
      </c>
      <c r="J5" s="88"/>
      <c r="K5" s="91"/>
      <c r="L5" s="92">
        <f t="shared" ref="L5" si="1">+(L9+L10)/L7*1000</f>
        <v>1484.1839999999997</v>
      </c>
      <c r="M5" s="92"/>
      <c r="N5" s="92"/>
      <c r="O5" s="92"/>
      <c r="Q5" s="93" t="s">
        <v>4</v>
      </c>
      <c r="R5" s="82"/>
      <c r="S5" s="82"/>
      <c r="T5" s="90"/>
      <c r="U5" s="94"/>
      <c r="V5" s="88"/>
      <c r="W5" s="88"/>
      <c r="X5" s="88"/>
      <c r="Y5" s="88"/>
      <c r="Z5" s="88"/>
      <c r="AA5" s="88"/>
      <c r="AB5" s="88"/>
      <c r="AC5" s="88"/>
      <c r="AD5" s="91"/>
      <c r="AE5" s="91"/>
      <c r="AF5" s="78"/>
    </row>
    <row r="6" spans="1:32" s="95" customFormat="1" ht="43.5" x14ac:dyDescent="0.35">
      <c r="B6" s="573" t="s">
        <v>5</v>
      </c>
      <c r="C6" s="573"/>
      <c r="D6" s="573"/>
      <c r="E6" s="573"/>
      <c r="F6" s="573"/>
      <c r="G6" s="573"/>
      <c r="H6" s="573"/>
      <c r="I6" s="573"/>
      <c r="J6" s="88"/>
      <c r="K6" s="85" t="s">
        <v>6</v>
      </c>
      <c r="L6" s="96" t="s">
        <v>8</v>
      </c>
      <c r="M6" s="96" t="s">
        <v>7</v>
      </c>
      <c r="N6" s="96" t="s">
        <v>8</v>
      </c>
      <c r="O6" s="96" t="s">
        <v>63</v>
      </c>
      <c r="Q6" s="98"/>
      <c r="R6" s="98"/>
      <c r="S6" s="99" t="s">
        <v>54</v>
      </c>
      <c r="T6" s="99" t="s">
        <v>55</v>
      </c>
      <c r="U6" s="99" t="s">
        <v>56</v>
      </c>
      <c r="V6" s="99" t="s">
        <v>12</v>
      </c>
      <c r="W6" s="99" t="s">
        <v>57</v>
      </c>
      <c r="X6" s="99" t="s">
        <v>58</v>
      </c>
      <c r="Y6" s="99" t="s">
        <v>59</v>
      </c>
      <c r="Z6" s="99" t="s">
        <v>60</v>
      </c>
      <c r="AA6" s="99" t="s">
        <v>62</v>
      </c>
      <c r="AB6" s="99" t="s">
        <v>64</v>
      </c>
      <c r="AC6" s="99" t="s">
        <v>65</v>
      </c>
      <c r="AD6" s="100"/>
      <c r="AE6" s="97"/>
      <c r="AF6" s="97"/>
    </row>
    <row r="7" spans="1:32" x14ac:dyDescent="0.35">
      <c r="B7" s="85" t="s">
        <v>13</v>
      </c>
      <c r="C7" s="101">
        <v>15.6</v>
      </c>
      <c r="D7" s="101">
        <v>16.7</v>
      </c>
      <c r="E7" s="101">
        <v>20.5</v>
      </c>
      <c r="F7" s="101">
        <v>30.6</v>
      </c>
      <c r="G7" s="101">
        <v>30.6</v>
      </c>
      <c r="H7" s="101">
        <v>38.6</v>
      </c>
      <c r="I7" s="101"/>
      <c r="K7" s="85" t="s">
        <v>13</v>
      </c>
      <c r="L7" s="101">
        <v>20.5</v>
      </c>
      <c r="M7" s="101">
        <v>15</v>
      </c>
      <c r="N7" s="101">
        <v>20.5</v>
      </c>
      <c r="O7" s="101">
        <v>30.6</v>
      </c>
      <c r="Q7" s="102" t="s">
        <v>14</v>
      </c>
      <c r="R7" s="103"/>
      <c r="S7" s="104">
        <v>938.13</v>
      </c>
      <c r="T7" s="105">
        <v>959</v>
      </c>
      <c r="U7" s="104">
        <v>1006.25</v>
      </c>
      <c r="V7" s="62">
        <v>993.75</v>
      </c>
      <c r="W7" s="70">
        <v>1015.5</v>
      </c>
      <c r="X7" s="70">
        <v>1045.5999999999999</v>
      </c>
      <c r="Y7" s="51">
        <v>1103.75</v>
      </c>
      <c r="Z7" s="51">
        <v>1148.75</v>
      </c>
      <c r="AA7" s="51">
        <v>1167</v>
      </c>
      <c r="AB7" s="51">
        <v>1221.25</v>
      </c>
      <c r="AC7" s="51">
        <v>1330</v>
      </c>
      <c r="AD7" s="85"/>
      <c r="AE7" s="101"/>
      <c r="AF7" s="101"/>
    </row>
    <row r="8" spans="1:32" x14ac:dyDescent="0.35">
      <c r="B8" s="79" t="s">
        <v>16</v>
      </c>
      <c r="C8" s="91" t="s">
        <v>17</v>
      </c>
      <c r="D8" s="91" t="s">
        <v>17</v>
      </c>
      <c r="E8" s="91" t="s">
        <v>17</v>
      </c>
      <c r="F8" s="91" t="s">
        <v>17</v>
      </c>
      <c r="G8" s="91" t="s">
        <v>17</v>
      </c>
      <c r="H8" s="91" t="s">
        <v>17</v>
      </c>
      <c r="I8" s="91"/>
      <c r="K8" s="79" t="s">
        <v>16</v>
      </c>
      <c r="L8" s="91" t="s">
        <v>17</v>
      </c>
      <c r="M8" s="91" t="s">
        <v>17</v>
      </c>
      <c r="N8" s="91" t="s">
        <v>17</v>
      </c>
      <c r="O8" s="91" t="s">
        <v>17</v>
      </c>
      <c r="Q8" s="106" t="s">
        <v>18</v>
      </c>
      <c r="R8" s="107"/>
      <c r="S8" s="108">
        <v>25.09</v>
      </c>
      <c r="T8" s="108">
        <v>25.09</v>
      </c>
      <c r="U8" s="108">
        <v>25.09</v>
      </c>
      <c r="V8" s="108">
        <v>25</v>
      </c>
      <c r="W8" s="108">
        <v>25</v>
      </c>
      <c r="X8" s="108">
        <v>25</v>
      </c>
      <c r="Y8" s="108">
        <v>25</v>
      </c>
      <c r="Z8" s="108">
        <v>25</v>
      </c>
      <c r="AA8" s="108">
        <v>25</v>
      </c>
      <c r="AB8" s="108">
        <v>25</v>
      </c>
      <c r="AC8" s="108">
        <v>25</v>
      </c>
      <c r="AD8" s="79"/>
      <c r="AE8" s="91"/>
      <c r="AF8" s="91"/>
    </row>
    <row r="9" spans="1:32" x14ac:dyDescent="0.35">
      <c r="B9" s="79" t="s">
        <v>19</v>
      </c>
      <c r="C9" s="80">
        <f>+(C7*E3/1000)*1.01*75%</f>
        <v>17.451345599999996</v>
      </c>
      <c r="D9" s="80">
        <f>+(D7*$E$3/1000)*1.01*75%</f>
        <v>18.681889200000001</v>
      </c>
      <c r="E9" s="80">
        <f>+(E7*$E$3/1000)*1.01*75%</f>
        <v>22.932857999999996</v>
      </c>
      <c r="F9" s="80">
        <f>+(F7*E3/1000)*1.01</f>
        <v>45.641980799999999</v>
      </c>
      <c r="G9" s="80">
        <f>+(G7*$E$3/1000)*1.01*75%</f>
        <v>34.231485599999999</v>
      </c>
      <c r="H9" s="80">
        <f>+(H7*$E$3/1000)*1.01*75%</f>
        <v>43.180893599999997</v>
      </c>
      <c r="I9" s="80"/>
      <c r="K9" s="79" t="s">
        <v>19</v>
      </c>
      <c r="L9" s="80">
        <f>+(L7*L3/1000)*1.005</f>
        <v>30.425771999999995</v>
      </c>
      <c r="M9" s="80">
        <f>+(M7*L3/1000)*1.005*75%</f>
        <v>16.69707</v>
      </c>
      <c r="N9" s="80">
        <f>+(N7*L3/1000)*1.005*75%</f>
        <v>22.819328999999996</v>
      </c>
      <c r="O9" s="80">
        <f>+(O7*L3/1000)*1.005*75%</f>
        <v>34.062022799999994</v>
      </c>
      <c r="Q9" s="109" t="s">
        <v>20</v>
      </c>
      <c r="R9" s="110"/>
      <c r="S9" s="104">
        <v>65</v>
      </c>
      <c r="T9" s="105">
        <v>65</v>
      </c>
      <c r="U9" s="104">
        <v>65</v>
      </c>
      <c r="V9" s="104">
        <v>65</v>
      </c>
      <c r="W9" s="104">
        <v>65</v>
      </c>
      <c r="X9" s="104">
        <v>65</v>
      </c>
      <c r="Y9" s="104">
        <v>65</v>
      </c>
      <c r="Z9" s="104">
        <v>65</v>
      </c>
      <c r="AA9" s="104">
        <v>65</v>
      </c>
      <c r="AB9" s="104">
        <v>65</v>
      </c>
      <c r="AC9" s="104">
        <v>65</v>
      </c>
      <c r="AD9" s="79"/>
      <c r="AE9" s="80"/>
      <c r="AF9" s="80"/>
    </row>
    <row r="10" spans="1:32" x14ac:dyDescent="0.35">
      <c r="B10" s="75" t="s">
        <v>23</v>
      </c>
      <c r="C10" s="76">
        <f>+(C7*$E$4/1000)*1.01*25%</f>
        <v>5.5262594399999987</v>
      </c>
      <c r="D10" s="76">
        <f>+(D7*$E$4/1000)*1.01*25%</f>
        <v>5.9159315799999996</v>
      </c>
      <c r="E10" s="76">
        <f>+(E7*$E$4/1000)*1.01*25%</f>
        <v>7.262071699999999</v>
      </c>
      <c r="F10" s="76">
        <v>0</v>
      </c>
      <c r="G10" s="76">
        <f>+(G7*$E$4/1000)*1.01*25%</f>
        <v>10.839970439999998</v>
      </c>
      <c r="H10" s="76">
        <f>+(H7*$E$4/1000)*1.01*25%</f>
        <v>13.67394964</v>
      </c>
      <c r="I10" s="76"/>
      <c r="J10" s="121"/>
      <c r="K10" s="75" t="s">
        <v>23</v>
      </c>
      <c r="L10" s="76">
        <v>0</v>
      </c>
      <c r="M10" s="76">
        <f>+(M7*L4/1000)*1.005*25%</f>
        <v>5.2874054999999993</v>
      </c>
      <c r="N10" s="76">
        <f>+(N7*L4/1000)*1.005*25%</f>
        <v>7.2261208499999983</v>
      </c>
      <c r="O10" s="76">
        <f>+(O7*L4/1000)*1.005*25%</f>
        <v>10.786307219999998</v>
      </c>
      <c r="Q10" s="102"/>
      <c r="R10" s="103"/>
      <c r="S10" s="104">
        <f>SUM(S7:S9)</f>
        <v>1028.22</v>
      </c>
      <c r="T10" s="104">
        <f>SUM(T7:T9)</f>
        <v>1049.0900000000001</v>
      </c>
      <c r="U10" s="104">
        <f>SUM(U7:U9)</f>
        <v>1096.3399999999999</v>
      </c>
      <c r="V10" s="104">
        <f>SUM(V7:V9)</f>
        <v>1083.75</v>
      </c>
      <c r="W10" s="104">
        <f t="shared" ref="W10:AB10" si="2">SUM(W7:W9)</f>
        <v>1105.5</v>
      </c>
      <c r="X10" s="104">
        <f t="shared" si="2"/>
        <v>1135.5999999999999</v>
      </c>
      <c r="Y10" s="104">
        <f t="shared" si="2"/>
        <v>1193.75</v>
      </c>
      <c r="Z10" s="104">
        <f t="shared" si="2"/>
        <v>1238.75</v>
      </c>
      <c r="AA10" s="104">
        <f t="shared" si="2"/>
        <v>1257</v>
      </c>
      <c r="AB10" s="104">
        <f t="shared" si="2"/>
        <v>1311.25</v>
      </c>
      <c r="AC10" s="104">
        <f t="shared" ref="AC10" si="3">SUM(AC7:AC9)</f>
        <v>1420</v>
      </c>
      <c r="AD10" s="79"/>
      <c r="AE10" s="80"/>
      <c r="AF10" s="80"/>
    </row>
    <row r="11" spans="1:32" x14ac:dyDescent="0.35">
      <c r="B11" s="79" t="s">
        <v>25</v>
      </c>
      <c r="C11" s="80">
        <v>8.1999999999999993</v>
      </c>
      <c r="D11" s="80">
        <v>8.1999999999999993</v>
      </c>
      <c r="E11" s="80">
        <v>8.1999999999999993</v>
      </c>
      <c r="F11" s="80">
        <v>11.15</v>
      </c>
      <c r="G11" s="80">
        <v>11.15</v>
      </c>
      <c r="H11" s="80">
        <v>11.15</v>
      </c>
      <c r="I11" s="80"/>
      <c r="K11" s="79" t="s">
        <v>26</v>
      </c>
      <c r="L11" s="80">
        <v>27.2</v>
      </c>
      <c r="M11" s="80">
        <v>27.2</v>
      </c>
      <c r="N11" s="80">
        <v>27.2</v>
      </c>
      <c r="O11" s="80">
        <f>11.15+28.25</f>
        <v>39.4</v>
      </c>
      <c r="Q11" s="106" t="s">
        <v>27</v>
      </c>
      <c r="R11" s="107"/>
      <c r="S11" s="108">
        <f>+S10*4%</f>
        <v>41.128800000000005</v>
      </c>
      <c r="T11" s="104">
        <f>+T10*4%</f>
        <v>41.963600000000007</v>
      </c>
      <c r="U11" s="108">
        <f>+U10*4%</f>
        <v>43.8536</v>
      </c>
      <c r="V11" s="108">
        <f>+V10*4%</f>
        <v>43.35</v>
      </c>
      <c r="W11" s="108">
        <f t="shared" ref="W11:AB11" si="4">+W10*4%</f>
        <v>44.22</v>
      </c>
      <c r="X11" s="108">
        <f t="shared" si="4"/>
        <v>45.423999999999999</v>
      </c>
      <c r="Y11" s="108">
        <f t="shared" si="4"/>
        <v>47.75</v>
      </c>
      <c r="Z11" s="108">
        <f t="shared" si="4"/>
        <v>49.550000000000004</v>
      </c>
      <c r="AA11" s="108">
        <f t="shared" si="4"/>
        <v>50.28</v>
      </c>
      <c r="AB11" s="108">
        <f t="shared" si="4"/>
        <v>52.45</v>
      </c>
      <c r="AC11" s="108">
        <f t="shared" ref="AC11" si="5">+AC10*4%</f>
        <v>56.800000000000004</v>
      </c>
      <c r="AD11" s="79"/>
      <c r="AE11" s="80"/>
      <c r="AF11" s="80"/>
    </row>
    <row r="12" spans="1:32" x14ac:dyDescent="0.35">
      <c r="B12" s="79" t="s">
        <v>28</v>
      </c>
      <c r="C12" s="80">
        <v>0</v>
      </c>
      <c r="D12" s="80">
        <v>0</v>
      </c>
      <c r="E12" s="80">
        <v>0</v>
      </c>
      <c r="F12" s="80">
        <v>0</v>
      </c>
      <c r="G12" s="80">
        <v>0</v>
      </c>
      <c r="H12" s="80">
        <v>0</v>
      </c>
      <c r="I12" s="80"/>
      <c r="K12" s="79" t="s">
        <v>29</v>
      </c>
      <c r="L12" s="80">
        <v>0</v>
      </c>
      <c r="M12" s="80">
        <v>0</v>
      </c>
      <c r="N12" s="80">
        <v>0</v>
      </c>
      <c r="O12" s="80">
        <v>0</v>
      </c>
      <c r="Q12" s="109" t="s">
        <v>30</v>
      </c>
      <c r="R12" s="110"/>
      <c r="S12" s="111">
        <f>+S11+S10</f>
        <v>1069.3488</v>
      </c>
      <c r="T12" s="112">
        <f>+T11+T10</f>
        <v>1091.0536000000002</v>
      </c>
      <c r="U12" s="111">
        <f>+U11+U10</f>
        <v>1140.1935999999998</v>
      </c>
      <c r="V12" s="111">
        <f>+V11+V10</f>
        <v>1127.0999999999999</v>
      </c>
      <c r="W12" s="111">
        <f t="shared" ref="W12:AB12" si="6">+W11+W10</f>
        <v>1149.72</v>
      </c>
      <c r="X12" s="111">
        <f t="shared" si="6"/>
        <v>1181.0239999999999</v>
      </c>
      <c r="Y12" s="111">
        <f t="shared" si="6"/>
        <v>1241.5</v>
      </c>
      <c r="Z12" s="111">
        <f t="shared" si="6"/>
        <v>1288.3</v>
      </c>
      <c r="AA12" s="111">
        <f t="shared" si="6"/>
        <v>1307.28</v>
      </c>
      <c r="AB12" s="111">
        <f t="shared" si="6"/>
        <v>1363.7</v>
      </c>
      <c r="AC12" s="111">
        <f t="shared" ref="AC12" si="7">+AC11+AC10</f>
        <v>1476.8</v>
      </c>
      <c r="AD12" s="79"/>
      <c r="AE12" s="80"/>
      <c r="AF12" s="80"/>
    </row>
    <row r="13" spans="1:32" x14ac:dyDescent="0.35">
      <c r="B13" s="79" t="s">
        <v>31</v>
      </c>
      <c r="C13" s="80">
        <v>1.3</v>
      </c>
      <c r="D13" s="80">
        <v>1.3</v>
      </c>
      <c r="E13" s="80">
        <v>1.3</v>
      </c>
      <c r="F13" s="80">
        <v>2.38</v>
      </c>
      <c r="G13" s="80">
        <v>2.38</v>
      </c>
      <c r="H13" s="80">
        <v>2.38</v>
      </c>
      <c r="I13" s="80"/>
      <c r="K13" s="79" t="s">
        <v>31</v>
      </c>
      <c r="L13" s="80">
        <v>1.99</v>
      </c>
      <c r="M13" s="80">
        <v>0.81</v>
      </c>
      <c r="N13" s="80">
        <v>1.99</v>
      </c>
      <c r="O13" s="80">
        <v>2.97</v>
      </c>
      <c r="Q13" s="113" t="s">
        <v>32</v>
      </c>
      <c r="R13" s="114"/>
      <c r="S13" s="115">
        <f>+S12*(1-5%)</f>
        <v>1015.88136</v>
      </c>
      <c r="T13" s="115">
        <f t="shared" ref="T13:AB13" si="8">+T12*(1-5%)</f>
        <v>1036.5009200000002</v>
      </c>
      <c r="U13" s="115">
        <f t="shared" si="8"/>
        <v>1083.1839199999997</v>
      </c>
      <c r="V13" s="115">
        <f t="shared" si="8"/>
        <v>1070.7449999999999</v>
      </c>
      <c r="W13" s="115">
        <f t="shared" si="8"/>
        <v>1092.2339999999999</v>
      </c>
      <c r="X13" s="115">
        <f t="shared" si="8"/>
        <v>1121.9727999999998</v>
      </c>
      <c r="Y13" s="115">
        <f t="shared" si="8"/>
        <v>1179.425</v>
      </c>
      <c r="Z13" s="115">
        <f t="shared" si="8"/>
        <v>1223.885</v>
      </c>
      <c r="AA13" s="115">
        <f t="shared" si="8"/>
        <v>1241.9159999999999</v>
      </c>
      <c r="AB13" s="115">
        <f t="shared" si="8"/>
        <v>1295.5149999999999</v>
      </c>
      <c r="AC13" s="115">
        <f t="shared" ref="AC13" si="9">+AC12*(1-5%)</f>
        <v>1402.9599999999998</v>
      </c>
      <c r="AD13" s="79"/>
      <c r="AE13" s="80"/>
      <c r="AF13" s="80"/>
    </row>
    <row r="14" spans="1:32" x14ac:dyDescent="0.35">
      <c r="B14" s="79" t="s">
        <v>34</v>
      </c>
      <c r="C14" s="80">
        <v>0.19</v>
      </c>
      <c r="D14" s="80">
        <v>0.19</v>
      </c>
      <c r="E14" s="80">
        <v>0.19</v>
      </c>
      <c r="F14" s="80">
        <v>0.33</v>
      </c>
      <c r="G14" s="80">
        <v>0.33</v>
      </c>
      <c r="H14" s="80">
        <v>0.33</v>
      </c>
      <c r="I14" s="80"/>
      <c r="K14" s="79" t="s">
        <v>34</v>
      </c>
      <c r="L14" s="80">
        <v>2.71</v>
      </c>
      <c r="M14" s="80">
        <v>2.71</v>
      </c>
      <c r="N14" s="80">
        <v>2.71</v>
      </c>
      <c r="O14" s="80">
        <v>4.4400000000000004</v>
      </c>
      <c r="Q14" s="109" t="s">
        <v>35</v>
      </c>
      <c r="R14" s="116"/>
      <c r="S14" s="111">
        <f>+S12*75%+S13*25%</f>
        <v>1055.9819400000001</v>
      </c>
      <c r="T14" s="111">
        <f t="shared" ref="T14:AA14" si="10">+T12*75%+T13*25%</f>
        <v>1077.4154300000002</v>
      </c>
      <c r="U14" s="111">
        <f t="shared" si="10"/>
        <v>1125.9411799999998</v>
      </c>
      <c r="V14" s="111">
        <f t="shared" si="10"/>
        <v>1113.01125</v>
      </c>
      <c r="W14" s="111">
        <f t="shared" si="10"/>
        <v>1135.3485000000001</v>
      </c>
      <c r="X14" s="111">
        <f t="shared" si="10"/>
        <v>1166.2611999999999</v>
      </c>
      <c r="Y14" s="111">
        <f t="shared" si="10"/>
        <v>1225.98125</v>
      </c>
      <c r="Z14" s="111">
        <f t="shared" si="10"/>
        <v>1272.19625</v>
      </c>
      <c r="AA14" s="111">
        <f t="shared" si="10"/>
        <v>1290.9390000000001</v>
      </c>
      <c r="AB14" s="111">
        <f>+AB12*75%+AB13*25%</f>
        <v>1346.6537499999999</v>
      </c>
      <c r="AC14" s="111">
        <f>+AC12*75%+AC13*25%</f>
        <v>1458.34</v>
      </c>
      <c r="AD14" s="79"/>
      <c r="AE14" s="80"/>
      <c r="AF14" s="80"/>
    </row>
    <row r="15" spans="1:32" x14ac:dyDescent="0.35">
      <c r="B15" s="79" t="s">
        <v>36</v>
      </c>
      <c r="C15" s="80">
        <v>0.16</v>
      </c>
      <c r="D15" s="80">
        <v>0.16</v>
      </c>
      <c r="E15" s="80">
        <v>0.16</v>
      </c>
      <c r="F15" s="80">
        <v>0.28000000000000003</v>
      </c>
      <c r="G15" s="80">
        <v>0.28000000000000003</v>
      </c>
      <c r="H15" s="80">
        <v>0.28000000000000003</v>
      </c>
      <c r="I15" s="80"/>
      <c r="K15" s="79" t="s">
        <v>36</v>
      </c>
      <c r="L15" s="80">
        <v>7.77</v>
      </c>
      <c r="M15" s="80">
        <v>7.77</v>
      </c>
      <c r="N15" s="80">
        <v>7.77</v>
      </c>
      <c r="O15" s="80">
        <v>15.99</v>
      </c>
      <c r="Q15" s="113" t="s">
        <v>37</v>
      </c>
      <c r="R15" s="117"/>
      <c r="S15" s="118">
        <f>+S14*1%</f>
        <v>10.559819400000002</v>
      </c>
      <c r="T15" s="118">
        <f t="shared" ref="T15:AB15" si="11">+T14*1%</f>
        <v>10.774154300000003</v>
      </c>
      <c r="U15" s="118">
        <f t="shared" si="11"/>
        <v>11.259411799999999</v>
      </c>
      <c r="V15" s="118">
        <f t="shared" si="11"/>
        <v>11.130112500000001</v>
      </c>
      <c r="W15" s="118">
        <f t="shared" si="11"/>
        <v>11.353485000000001</v>
      </c>
      <c r="X15" s="118">
        <f t="shared" si="11"/>
        <v>11.662611999999999</v>
      </c>
      <c r="Y15" s="118">
        <f t="shared" si="11"/>
        <v>12.259812500000001</v>
      </c>
      <c r="Z15" s="118">
        <f t="shared" si="11"/>
        <v>12.7219625</v>
      </c>
      <c r="AA15" s="118">
        <f t="shared" si="11"/>
        <v>12.909390000000002</v>
      </c>
      <c r="AB15" s="118">
        <f t="shared" si="11"/>
        <v>13.466537499999999</v>
      </c>
      <c r="AC15" s="118">
        <f t="shared" ref="AC15" si="12">+AC14*1%</f>
        <v>14.583399999999999</v>
      </c>
      <c r="AD15" s="79"/>
      <c r="AE15" s="80"/>
      <c r="AF15" s="80"/>
    </row>
    <row r="16" spans="1:32" x14ac:dyDescent="0.35">
      <c r="A16" s="81" t="s">
        <v>38</v>
      </c>
      <c r="B16" s="85" t="s">
        <v>39</v>
      </c>
      <c r="C16" s="84">
        <f t="shared" ref="C16:H16" si="13">SUM(C9:C15)</f>
        <v>32.827605039999987</v>
      </c>
      <c r="D16" s="84">
        <f t="shared" si="13"/>
        <v>34.447820779999986</v>
      </c>
      <c r="E16" s="84">
        <f t="shared" si="13"/>
        <v>40.044929699999983</v>
      </c>
      <c r="F16" s="84">
        <f t="shared" si="13"/>
        <v>59.781980799999999</v>
      </c>
      <c r="G16" s="84">
        <f t="shared" si="13"/>
        <v>59.211456040000002</v>
      </c>
      <c r="H16" s="84">
        <f t="shared" si="13"/>
        <v>70.994843239999994</v>
      </c>
      <c r="I16" s="84"/>
      <c r="K16" s="85" t="s">
        <v>39</v>
      </c>
      <c r="L16" s="84">
        <f>SUM(L9:L15)</f>
        <v>70.095771999999997</v>
      </c>
      <c r="M16" s="84">
        <f>SUM(M9:M15)</f>
        <v>60.474475499999997</v>
      </c>
      <c r="N16" s="84">
        <f>SUM(N9:N15)</f>
        <v>69.715449849999999</v>
      </c>
      <c r="O16" s="84">
        <f>SUM(O9:O15)</f>
        <v>107.64833001999999</v>
      </c>
      <c r="Q16" s="113" t="s">
        <v>40</v>
      </c>
      <c r="R16" s="119"/>
      <c r="S16" s="115">
        <f>+S15+S14</f>
        <v>1066.5417594</v>
      </c>
      <c r="T16" s="115">
        <f t="shared" ref="T16:AB16" si="14">+T15+T14</f>
        <v>1088.1895843000002</v>
      </c>
      <c r="U16" s="115">
        <f t="shared" si="14"/>
        <v>1137.2005917999998</v>
      </c>
      <c r="V16" s="115">
        <f t="shared" si="14"/>
        <v>1124.1413625</v>
      </c>
      <c r="W16" s="115">
        <f t="shared" si="14"/>
        <v>1146.7019850000001</v>
      </c>
      <c r="X16" s="115">
        <f t="shared" si="14"/>
        <v>1177.923812</v>
      </c>
      <c r="Y16" s="115">
        <f t="shared" si="14"/>
        <v>1238.2410625</v>
      </c>
      <c r="Z16" s="115">
        <f t="shared" si="14"/>
        <v>1284.9182125</v>
      </c>
      <c r="AA16" s="115">
        <f t="shared" si="14"/>
        <v>1303.8483900000001</v>
      </c>
      <c r="AB16" s="115">
        <f t="shared" si="14"/>
        <v>1360.1202874999999</v>
      </c>
      <c r="AC16" s="115">
        <f t="shared" ref="AC16" si="15">+AC15+AC14</f>
        <v>1472.9233999999999</v>
      </c>
      <c r="AD16" s="85"/>
      <c r="AE16" s="84"/>
      <c r="AF16" s="84"/>
    </row>
    <row r="17" spans="2:32" hidden="1" x14ac:dyDescent="0.35">
      <c r="B17" s="85"/>
      <c r="C17" s="84"/>
      <c r="D17" s="84"/>
      <c r="E17" s="84"/>
      <c r="F17" s="84"/>
      <c r="G17" s="84"/>
      <c r="H17" s="84"/>
      <c r="I17" s="84"/>
      <c r="J17" s="94"/>
      <c r="L17" s="84"/>
      <c r="M17" s="84"/>
      <c r="N17" s="84"/>
      <c r="O17" s="84"/>
      <c r="Q17" s="85" t="s">
        <v>41</v>
      </c>
      <c r="R17" s="84"/>
      <c r="S17" s="120">
        <f>+D5</f>
        <v>1472.9233999999999</v>
      </c>
      <c r="T17" s="120">
        <f>+S17</f>
        <v>1472.9233999999999</v>
      </c>
      <c r="U17" s="120">
        <f>+T17</f>
        <v>1472.9233999999999</v>
      </c>
      <c r="V17" s="120">
        <f>+U17</f>
        <v>1472.9233999999999</v>
      </c>
      <c r="W17" s="120">
        <f t="shared" ref="W17:AC17" si="16">+V17</f>
        <v>1472.9233999999999</v>
      </c>
      <c r="X17" s="120">
        <f t="shared" si="16"/>
        <v>1472.9233999999999</v>
      </c>
      <c r="Y17" s="120">
        <f t="shared" si="16"/>
        <v>1472.9233999999999</v>
      </c>
      <c r="Z17" s="120">
        <f t="shared" si="16"/>
        <v>1472.9233999999999</v>
      </c>
      <c r="AA17" s="120">
        <f t="shared" si="16"/>
        <v>1472.9233999999999</v>
      </c>
      <c r="AB17" s="120">
        <f t="shared" si="16"/>
        <v>1472.9233999999999</v>
      </c>
      <c r="AC17" s="120">
        <f t="shared" si="16"/>
        <v>1472.9233999999999</v>
      </c>
      <c r="AE17" s="84"/>
      <c r="AF17" s="84"/>
    </row>
    <row r="18" spans="2:32" x14ac:dyDescent="0.35">
      <c r="J18" s="94"/>
      <c r="Q18" s="82"/>
      <c r="R18" s="82"/>
      <c r="S18" s="82"/>
      <c r="T18" s="82"/>
      <c r="V18" s="94"/>
      <c r="W18" s="94"/>
      <c r="X18" s="94"/>
      <c r="Y18" s="94"/>
      <c r="Z18" s="94"/>
      <c r="AA18" s="94"/>
      <c r="AB18" s="94"/>
      <c r="AC18" s="94"/>
      <c r="AE18" s="82"/>
      <c r="AF18" s="82"/>
    </row>
    <row r="19" spans="2:32" x14ac:dyDescent="0.35">
      <c r="AE19" s="82"/>
      <c r="AF19" s="82"/>
    </row>
    <row r="20" spans="2:32" x14ac:dyDescent="0.35">
      <c r="AE20" s="82"/>
      <c r="AF20" s="82"/>
    </row>
    <row r="25" spans="2:32" x14ac:dyDescent="0.35">
      <c r="L25" s="123"/>
    </row>
    <row r="32" spans="2:32" x14ac:dyDescent="0.35">
      <c r="B32" s="82" t="s">
        <v>51</v>
      </c>
    </row>
  </sheetData>
  <mergeCells count="7">
    <mergeCell ref="B6:I6"/>
    <mergeCell ref="Q2:AF2"/>
    <mergeCell ref="B3:D3"/>
    <mergeCell ref="Q3:S3"/>
    <mergeCell ref="AD3:AE3"/>
    <mergeCell ref="B4:D4"/>
    <mergeCell ref="AD4:AE4"/>
  </mergeCells>
  <pageMargins left="0.7" right="0.7" top="0.75" bottom="0.75" header="0.3" footer="0.3"/>
  <customProperties>
    <customPr name="EpmWorksheetKeyString_GUID" r:id="rId1"/>
  </customPropertie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3"/>
  <dimension ref="A2:AF32"/>
  <sheetViews>
    <sheetView zoomScale="85" zoomScaleNormal="85" workbookViewId="0">
      <selection activeCell="AC7" sqref="AC7"/>
    </sheetView>
  </sheetViews>
  <sheetFormatPr defaultColWidth="11.453125" defaultRowHeight="14.5" x14ac:dyDescent="0.35"/>
  <cols>
    <col min="1" max="1" width="3.453125" style="81" customWidth="1"/>
    <col min="2" max="2" width="14.1796875" style="82" customWidth="1"/>
    <col min="3" max="3" width="10.81640625" style="82" customWidth="1"/>
    <col min="4" max="4" width="10.54296875" style="82" customWidth="1"/>
    <col min="5" max="5" width="11" style="82" customWidth="1"/>
    <col min="6" max="6" width="11.1796875" style="82" bestFit="1" customWidth="1"/>
    <col min="7" max="7" width="11" style="82" customWidth="1"/>
    <col min="8" max="8" width="11.54296875" style="82" customWidth="1"/>
    <col min="9" max="9" width="8.54296875" style="81" hidden="1" customWidth="1"/>
    <col min="10" max="10" width="2.81640625" style="81" customWidth="1"/>
    <col min="11" max="11" width="15.1796875" style="81" customWidth="1"/>
    <col min="12" max="14" width="10.81640625" style="82" customWidth="1"/>
    <col min="15" max="15" width="11.81640625" style="82" bestFit="1" customWidth="1"/>
    <col min="16" max="16" width="2.81640625" style="81" customWidth="1"/>
    <col min="17" max="17" width="28.81640625" style="81" customWidth="1"/>
    <col min="18" max="18" width="16.1796875" style="81" hidden="1" customWidth="1"/>
    <col min="19" max="19" width="17.54296875" style="81" hidden="1" customWidth="1"/>
    <col min="20" max="20" width="14.54296875" style="81" hidden="1" customWidth="1"/>
    <col min="21" max="21" width="16" style="81" hidden="1" customWidth="1"/>
    <col min="22" max="22" width="17.81640625" style="81" hidden="1" customWidth="1"/>
    <col min="23" max="23" width="17.1796875" style="81" hidden="1" customWidth="1"/>
    <col min="24" max="28" width="14.453125" style="81" hidden="1" customWidth="1"/>
    <col min="29" max="29" width="14.453125" style="81" customWidth="1"/>
    <col min="30" max="32" width="11.453125" style="81" customWidth="1"/>
    <col min="33" max="16384" width="11.453125" style="81"/>
  </cols>
  <sheetData>
    <row r="2" spans="1:32" x14ac:dyDescent="0.35">
      <c r="B2" s="86"/>
      <c r="C2" s="86"/>
      <c r="D2" s="86"/>
      <c r="E2" s="87"/>
      <c r="F2" s="87"/>
      <c r="G2" s="87"/>
      <c r="H2" s="87"/>
      <c r="I2" s="87"/>
      <c r="J2" s="87"/>
      <c r="K2" s="87"/>
      <c r="L2" s="87"/>
      <c r="M2" s="87"/>
      <c r="N2" s="87"/>
      <c r="O2" s="87"/>
      <c r="Q2" s="574"/>
      <c r="R2" s="574"/>
      <c r="S2" s="574"/>
      <c r="T2" s="574"/>
      <c r="U2" s="574"/>
      <c r="V2" s="574"/>
      <c r="W2" s="574"/>
      <c r="X2" s="574"/>
      <c r="Y2" s="574"/>
      <c r="Z2" s="574"/>
      <c r="AA2" s="574"/>
      <c r="AB2" s="574"/>
      <c r="AC2" s="574"/>
      <c r="AD2" s="574"/>
      <c r="AE2" s="574"/>
      <c r="AF2" s="574"/>
    </row>
    <row r="3" spans="1:32" s="142" customFormat="1" ht="15" customHeight="1" x14ac:dyDescent="0.35">
      <c r="B3" s="576" t="s">
        <v>66</v>
      </c>
      <c r="C3" s="576"/>
      <c r="D3" s="576"/>
      <c r="E3" s="141">
        <f>+AC12</f>
        <v>1438.4653150684931</v>
      </c>
      <c r="G3" s="141"/>
      <c r="H3" s="141"/>
      <c r="I3" s="143">
        <v>0.05</v>
      </c>
      <c r="J3" s="144"/>
      <c r="K3" s="145"/>
      <c r="L3" s="141"/>
      <c r="M3" s="141"/>
      <c r="N3" s="141"/>
      <c r="Q3" s="576"/>
      <c r="R3" s="576"/>
      <c r="S3" s="141"/>
      <c r="T3" s="143"/>
      <c r="U3" s="144"/>
      <c r="V3" s="144"/>
      <c r="W3" s="144"/>
      <c r="X3" s="144"/>
      <c r="Y3" s="144"/>
      <c r="Z3" s="144"/>
      <c r="AA3" s="144"/>
      <c r="AB3" s="144"/>
      <c r="AC3" s="144"/>
      <c r="AD3" s="576"/>
      <c r="AE3" s="576"/>
      <c r="AF3" s="141"/>
    </row>
    <row r="4" spans="1:32" s="133" customFormat="1" ht="15" customHeight="1" x14ac:dyDescent="0.35">
      <c r="B4" s="576" t="s">
        <v>67</v>
      </c>
      <c r="C4" s="576"/>
      <c r="D4" s="576"/>
      <c r="E4" s="134">
        <f>+AC13</f>
        <v>1366.5420493150684</v>
      </c>
      <c r="F4" s="135"/>
      <c r="G4" s="134"/>
      <c r="H4" s="134"/>
      <c r="I4" s="137">
        <f>+E3*I3</f>
        <v>71.923265753424658</v>
      </c>
      <c r="J4" s="136"/>
      <c r="K4" s="146"/>
      <c r="L4" s="134"/>
      <c r="M4" s="134"/>
      <c r="N4" s="134"/>
      <c r="O4" s="135"/>
      <c r="Q4" s="138"/>
      <c r="R4" s="139"/>
      <c r="S4" s="140"/>
      <c r="U4" s="136"/>
      <c r="V4" s="136"/>
      <c r="W4" s="136"/>
      <c r="X4" s="136"/>
      <c r="Y4" s="136"/>
      <c r="Z4" s="136"/>
      <c r="AA4" s="136"/>
      <c r="AB4" s="136"/>
      <c r="AC4" s="136"/>
      <c r="AD4" s="577"/>
      <c r="AE4" s="577"/>
      <c r="AF4" s="134"/>
    </row>
    <row r="5" spans="1:32" ht="23.5" x14ac:dyDescent="0.55000000000000004">
      <c r="B5" s="91"/>
      <c r="C5" s="92">
        <f>+(C9+C10)/C7*1000</f>
        <v>1434.689343616438</v>
      </c>
      <c r="D5" s="92">
        <f t="shared" ref="D5:H5" si="0">+(D9+D10)/D7*1000</f>
        <v>1434.689343616438</v>
      </c>
      <c r="E5" s="92">
        <f t="shared" si="0"/>
        <v>1434.6893436164382</v>
      </c>
      <c r="F5" s="92">
        <f t="shared" si="0"/>
        <v>1452.849968219178</v>
      </c>
      <c r="G5" s="92">
        <f t="shared" si="0"/>
        <v>1434.6893436164382</v>
      </c>
      <c r="H5" s="92">
        <f t="shared" si="0"/>
        <v>1434.6893436164385</v>
      </c>
      <c r="J5" s="88"/>
      <c r="K5" s="91"/>
      <c r="L5" s="92"/>
      <c r="M5" s="92"/>
      <c r="N5" s="92"/>
      <c r="O5" s="92"/>
      <c r="Q5" s="93"/>
      <c r="R5" s="82"/>
      <c r="S5" s="90"/>
      <c r="T5" s="94"/>
      <c r="U5" s="88"/>
      <c r="V5" s="88"/>
      <c r="W5" s="88"/>
      <c r="X5" s="88"/>
      <c r="Y5" s="88"/>
      <c r="Z5" s="88"/>
      <c r="AA5" s="88"/>
      <c r="AB5" s="88"/>
      <c r="AC5" s="88"/>
      <c r="AD5" s="91"/>
      <c r="AE5" s="91"/>
      <c r="AF5" s="78"/>
    </row>
    <row r="6" spans="1:32" s="95" customFormat="1" ht="33.75" customHeight="1" x14ac:dyDescent="0.35">
      <c r="B6" s="85" t="s">
        <v>5</v>
      </c>
      <c r="C6" s="85" t="s">
        <v>68</v>
      </c>
      <c r="D6" s="85" t="s">
        <v>69</v>
      </c>
      <c r="E6" s="85" t="s">
        <v>69</v>
      </c>
      <c r="F6" s="85" t="s">
        <v>70</v>
      </c>
      <c r="G6" s="85" t="s">
        <v>70</v>
      </c>
      <c r="H6" s="85" t="s">
        <v>70</v>
      </c>
      <c r="I6" s="85"/>
      <c r="J6" s="88"/>
      <c r="K6" s="85" t="s">
        <v>71</v>
      </c>
      <c r="L6" s="96" t="s">
        <v>8</v>
      </c>
      <c r="M6" s="96" t="s">
        <v>7</v>
      </c>
      <c r="N6" s="96" t="s">
        <v>8</v>
      </c>
      <c r="O6" s="96" t="s">
        <v>63</v>
      </c>
      <c r="Q6" s="147" t="s">
        <v>72</v>
      </c>
      <c r="R6" s="99" t="s">
        <v>54</v>
      </c>
      <c r="S6" s="99" t="s">
        <v>55</v>
      </c>
      <c r="T6" s="99" t="s">
        <v>56</v>
      </c>
      <c r="U6" s="99" t="s">
        <v>12</v>
      </c>
      <c r="V6" s="99" t="s">
        <v>57</v>
      </c>
      <c r="W6" s="99" t="s">
        <v>58</v>
      </c>
      <c r="X6" s="99" t="s">
        <v>59</v>
      </c>
      <c r="Y6" s="99" t="s">
        <v>60</v>
      </c>
      <c r="Z6" s="99" t="s">
        <v>62</v>
      </c>
      <c r="AA6" s="99" t="s">
        <v>64</v>
      </c>
      <c r="AB6" s="99" t="s">
        <v>65</v>
      </c>
      <c r="AC6" s="99" t="s">
        <v>73</v>
      </c>
      <c r="AD6" s="100"/>
      <c r="AE6" s="97"/>
      <c r="AF6" s="97"/>
    </row>
    <row r="7" spans="1:32" x14ac:dyDescent="0.35">
      <c r="B7" s="85" t="s">
        <v>13</v>
      </c>
      <c r="C7" s="101">
        <v>16.7</v>
      </c>
      <c r="D7" s="101">
        <v>16.7</v>
      </c>
      <c r="E7" s="101">
        <v>20.5</v>
      </c>
      <c r="F7" s="101">
        <v>30.6</v>
      </c>
      <c r="G7" s="101">
        <v>30.6</v>
      </c>
      <c r="H7" s="101">
        <v>38.6</v>
      </c>
      <c r="I7" s="101"/>
      <c r="K7" s="85" t="s">
        <v>13</v>
      </c>
      <c r="L7" s="101">
        <v>20.5</v>
      </c>
      <c r="M7" s="101">
        <v>15</v>
      </c>
      <c r="N7" s="101">
        <v>20.5</v>
      </c>
      <c r="O7" s="101">
        <v>30.6</v>
      </c>
      <c r="Q7" s="102" t="s">
        <v>14</v>
      </c>
      <c r="R7" s="104">
        <v>938.13</v>
      </c>
      <c r="S7" s="105">
        <v>959</v>
      </c>
      <c r="T7" s="104">
        <v>1006.25</v>
      </c>
      <c r="U7" s="130">
        <v>993.75</v>
      </c>
      <c r="V7" s="131">
        <v>1015.5</v>
      </c>
      <c r="W7" s="131">
        <v>1045.5999999999999</v>
      </c>
      <c r="X7" s="43">
        <v>1103.75</v>
      </c>
      <c r="Y7" s="43">
        <v>1148.75</v>
      </c>
      <c r="Z7" s="43">
        <v>1167</v>
      </c>
      <c r="AA7" s="43">
        <v>1221.25</v>
      </c>
      <c r="AB7" s="43">
        <v>1330</v>
      </c>
      <c r="AC7" s="43">
        <f>+'IHS (Mod)'!I5</f>
        <v>1280</v>
      </c>
      <c r="AD7" s="85"/>
      <c r="AE7" s="101"/>
      <c r="AF7" s="101"/>
    </row>
    <row r="8" spans="1:32" x14ac:dyDescent="0.35">
      <c r="B8" s="79" t="s">
        <v>16</v>
      </c>
      <c r="C8" s="91" t="s">
        <v>17</v>
      </c>
      <c r="D8" s="91" t="s">
        <v>17</v>
      </c>
      <c r="E8" s="91" t="s">
        <v>17</v>
      </c>
      <c r="F8" s="91" t="s">
        <v>17</v>
      </c>
      <c r="G8" s="91" t="s">
        <v>17</v>
      </c>
      <c r="H8" s="91" t="s">
        <v>17</v>
      </c>
      <c r="I8" s="91"/>
      <c r="K8" s="79" t="s">
        <v>16</v>
      </c>
      <c r="L8" s="91" t="s">
        <v>17</v>
      </c>
      <c r="M8" s="91" t="s">
        <v>17</v>
      </c>
      <c r="N8" s="91" t="s">
        <v>17</v>
      </c>
      <c r="O8" s="91" t="s">
        <v>17</v>
      </c>
      <c r="Q8" s="128" t="s">
        <v>18</v>
      </c>
      <c r="R8" s="129">
        <v>25.09</v>
      </c>
      <c r="S8" s="129">
        <v>25.09</v>
      </c>
      <c r="T8" s="129">
        <v>25.09</v>
      </c>
      <c r="U8" s="129">
        <v>25</v>
      </c>
      <c r="V8" s="129">
        <v>25</v>
      </c>
      <c r="W8" s="129">
        <v>25</v>
      </c>
      <c r="X8" s="129">
        <v>25</v>
      </c>
      <c r="Y8" s="129">
        <v>25</v>
      </c>
      <c r="Z8" s="129">
        <v>25</v>
      </c>
      <c r="AA8" s="129">
        <v>25</v>
      </c>
      <c r="AB8" s="129">
        <v>25</v>
      </c>
      <c r="AC8" s="129">
        <f>+AF8</f>
        <v>33.139726027397259</v>
      </c>
      <c r="AD8" s="79">
        <f>+AC7*4.5%</f>
        <v>57.599999999999994</v>
      </c>
      <c r="AE8" s="91">
        <f>+AD8/365</f>
        <v>0.15780821917808219</v>
      </c>
      <c r="AF8" s="91">
        <f>+AE8*210</f>
        <v>33.139726027397259</v>
      </c>
    </row>
    <row r="9" spans="1:32" x14ac:dyDescent="0.35">
      <c r="B9" s="79" t="s">
        <v>19</v>
      </c>
      <c r="C9" s="80">
        <f>+(C7*E3/1000)*1.01*75%</f>
        <v>18.196945851945202</v>
      </c>
      <c r="D9" s="80">
        <f>+(D7*$E$3/1000)*1.01*75%</f>
        <v>18.196945851945202</v>
      </c>
      <c r="E9" s="80">
        <f>+(E7*$E$3/1000)*1.01*75%</f>
        <v>22.33756826136986</v>
      </c>
      <c r="F9" s="80">
        <f>+(F7*E3/1000)*1.01</f>
        <v>44.457209027506849</v>
      </c>
      <c r="G9" s="80">
        <f>+(G7*$E$3/1000)*1.01*75%</f>
        <v>33.342906770630137</v>
      </c>
      <c r="H9" s="80">
        <f>+(H7*$E$3/1000)*1.01*75%</f>
        <v>42.06000657994521</v>
      </c>
      <c r="I9" s="80"/>
      <c r="K9" s="79" t="s">
        <v>19</v>
      </c>
      <c r="L9" s="80">
        <f>+(L7*E3/1000)*1.005</f>
        <v>29.635981653698625</v>
      </c>
      <c r="M9" s="80">
        <f>+(M7*E3/1000)*1.005*75%</f>
        <v>16.263648468493148</v>
      </c>
      <c r="N9" s="80">
        <f>+(N7*E3/1000)*1.005*75%</f>
        <v>22.22698624027397</v>
      </c>
      <c r="O9" s="80">
        <f>+(O7*E3/1000)*1.005*75%</f>
        <v>33.177842875726022</v>
      </c>
      <c r="Q9" s="125" t="s">
        <v>20</v>
      </c>
      <c r="R9" s="126">
        <v>65</v>
      </c>
      <c r="S9" s="127">
        <v>65</v>
      </c>
      <c r="T9" s="126">
        <v>65</v>
      </c>
      <c r="U9" s="126">
        <v>65</v>
      </c>
      <c r="V9" s="126">
        <v>65</v>
      </c>
      <c r="W9" s="126">
        <v>65</v>
      </c>
      <c r="X9" s="126">
        <v>65</v>
      </c>
      <c r="Y9" s="126">
        <v>65</v>
      </c>
      <c r="Z9" s="126">
        <v>65</v>
      </c>
      <c r="AA9" s="126">
        <v>65</v>
      </c>
      <c r="AB9" s="126">
        <v>65</v>
      </c>
      <c r="AC9" s="126">
        <v>70</v>
      </c>
      <c r="AD9" s="79"/>
      <c r="AE9" s="80"/>
      <c r="AF9" s="80"/>
    </row>
    <row r="10" spans="1:32" x14ac:dyDescent="0.35">
      <c r="B10" s="75" t="s">
        <v>23</v>
      </c>
      <c r="C10" s="76">
        <f>+(C7*$E$4/1000)*1.01*25%</f>
        <v>5.7623661864493148</v>
      </c>
      <c r="D10" s="76">
        <f>+(D7*$E$4/1000)*1.01*25%</f>
        <v>5.7623661864493148</v>
      </c>
      <c r="E10" s="76">
        <f>+(E7*$E$4/1000)*1.01*25%</f>
        <v>7.0735632827671235</v>
      </c>
      <c r="F10" s="76">
        <v>0</v>
      </c>
      <c r="G10" s="76">
        <f>+(G7*$E$4/1000)*1.01*25%</f>
        <v>10.558587144032877</v>
      </c>
      <c r="H10" s="76">
        <f>+(H7*$E$4/1000)*1.01*25%</f>
        <v>13.319002083649316</v>
      </c>
      <c r="I10" s="76"/>
      <c r="J10" s="121"/>
      <c r="K10" s="75" t="s">
        <v>23</v>
      </c>
      <c r="L10" s="76">
        <v>0</v>
      </c>
      <c r="M10" s="76">
        <f>+(M7*E4/1000)*1.005*25%</f>
        <v>5.1501553483561642</v>
      </c>
      <c r="N10" s="76">
        <f>+(N7*E4/1000)*1.005*25%</f>
        <v>7.0385456427534239</v>
      </c>
      <c r="O10" s="76">
        <f>+(O7*E4/1000)*1.005*25%</f>
        <v>10.506316910646575</v>
      </c>
      <c r="Q10" s="102"/>
      <c r="R10" s="104">
        <f>SUM(R7:R9)</f>
        <v>1028.22</v>
      </c>
      <c r="S10" s="104">
        <f>SUM(S7:S9)</f>
        <v>1049.0900000000001</v>
      </c>
      <c r="T10" s="104">
        <f>SUM(T7:T9)</f>
        <v>1096.3399999999999</v>
      </c>
      <c r="U10" s="104">
        <f>SUM(U7:U9)</f>
        <v>1083.75</v>
      </c>
      <c r="V10" s="104">
        <f t="shared" ref="V10:AB10" si="1">SUM(V7:V9)</f>
        <v>1105.5</v>
      </c>
      <c r="W10" s="104">
        <f t="shared" si="1"/>
        <v>1135.5999999999999</v>
      </c>
      <c r="X10" s="104">
        <f t="shared" si="1"/>
        <v>1193.75</v>
      </c>
      <c r="Y10" s="104">
        <f t="shared" si="1"/>
        <v>1238.75</v>
      </c>
      <c r="Z10" s="104">
        <f t="shared" si="1"/>
        <v>1257</v>
      </c>
      <c r="AA10" s="104">
        <f t="shared" si="1"/>
        <v>1311.25</v>
      </c>
      <c r="AB10" s="104">
        <f t="shared" si="1"/>
        <v>1420</v>
      </c>
      <c r="AC10" s="104">
        <f t="shared" ref="AC10" si="2">SUM(AC7:AC9)</f>
        <v>1383.1397260273973</v>
      </c>
      <c r="AD10" s="79"/>
      <c r="AE10" s="80"/>
      <c r="AF10" s="80"/>
    </row>
    <row r="11" spans="1:32" x14ac:dyDescent="0.35">
      <c r="B11" s="79" t="s">
        <v>26</v>
      </c>
      <c r="C11" s="80">
        <v>8.1999999999999993</v>
      </c>
      <c r="D11" s="80">
        <v>8.1999999999999993</v>
      </c>
      <c r="E11" s="80">
        <v>8.1999999999999993</v>
      </c>
      <c r="F11" s="80">
        <v>11.15</v>
      </c>
      <c r="G11" s="80">
        <v>11.15</v>
      </c>
      <c r="H11" s="80">
        <v>11.15</v>
      </c>
      <c r="I11" s="80"/>
      <c r="K11" s="79" t="s">
        <v>26</v>
      </c>
      <c r="L11" s="80">
        <v>27.2</v>
      </c>
      <c r="M11" s="80">
        <v>27.2</v>
      </c>
      <c r="N11" s="80">
        <v>27.2</v>
      </c>
      <c r="O11" s="80">
        <f>11.15+28.25</f>
        <v>39.4</v>
      </c>
      <c r="Q11" s="106" t="s">
        <v>27</v>
      </c>
      <c r="R11" s="108">
        <f>+R10*4%</f>
        <v>41.128800000000005</v>
      </c>
      <c r="S11" s="104">
        <f>+S10*4%</f>
        <v>41.963600000000007</v>
      </c>
      <c r="T11" s="108">
        <f>+T10*4%</f>
        <v>43.8536</v>
      </c>
      <c r="U11" s="108">
        <f>+U10*4%</f>
        <v>43.35</v>
      </c>
      <c r="V11" s="108">
        <f t="shared" ref="V11:AB11" si="3">+V10*4%</f>
        <v>44.22</v>
      </c>
      <c r="W11" s="108">
        <f t="shared" si="3"/>
        <v>45.423999999999999</v>
      </c>
      <c r="X11" s="108">
        <f t="shared" si="3"/>
        <v>47.75</v>
      </c>
      <c r="Y11" s="108">
        <f t="shared" si="3"/>
        <v>49.550000000000004</v>
      </c>
      <c r="Z11" s="108">
        <f t="shared" si="3"/>
        <v>50.28</v>
      </c>
      <c r="AA11" s="108">
        <f t="shared" si="3"/>
        <v>52.45</v>
      </c>
      <c r="AB11" s="108">
        <f t="shared" si="3"/>
        <v>56.800000000000004</v>
      </c>
      <c r="AC11" s="108">
        <f t="shared" ref="AC11" si="4">+AC10*4%</f>
        <v>55.325589041095895</v>
      </c>
      <c r="AD11" s="79"/>
      <c r="AE11" s="80"/>
      <c r="AF11" s="80"/>
    </row>
    <row r="12" spans="1:32" x14ac:dyDescent="0.35">
      <c r="B12" s="79" t="s">
        <v>31</v>
      </c>
      <c r="C12" s="80">
        <v>1.3</v>
      </c>
      <c r="D12" s="80">
        <v>1.3</v>
      </c>
      <c r="E12" s="80">
        <v>1.3</v>
      </c>
      <c r="F12" s="80">
        <v>2.38</v>
      </c>
      <c r="G12" s="80">
        <v>2.38</v>
      </c>
      <c r="H12" s="80">
        <v>2.38</v>
      </c>
      <c r="I12" s="80"/>
      <c r="K12" s="79" t="s">
        <v>31</v>
      </c>
      <c r="L12" s="80">
        <v>1.99</v>
      </c>
      <c r="M12" s="80">
        <v>0.81</v>
      </c>
      <c r="N12" s="80">
        <v>1.99</v>
      </c>
      <c r="O12" s="80">
        <v>2.97</v>
      </c>
      <c r="Q12" s="109" t="s">
        <v>30</v>
      </c>
      <c r="R12" s="111">
        <f>+R11+R10</f>
        <v>1069.3488</v>
      </c>
      <c r="S12" s="112">
        <f>+S11+S10</f>
        <v>1091.0536000000002</v>
      </c>
      <c r="T12" s="111">
        <f>+T11+T10</f>
        <v>1140.1935999999998</v>
      </c>
      <c r="U12" s="111">
        <f>+U11+U10</f>
        <v>1127.0999999999999</v>
      </c>
      <c r="V12" s="111">
        <f t="shared" ref="V12:AB12" si="5">+V11+V10</f>
        <v>1149.72</v>
      </c>
      <c r="W12" s="111">
        <f t="shared" si="5"/>
        <v>1181.0239999999999</v>
      </c>
      <c r="X12" s="111">
        <f t="shared" si="5"/>
        <v>1241.5</v>
      </c>
      <c r="Y12" s="111">
        <f t="shared" si="5"/>
        <v>1288.3</v>
      </c>
      <c r="Z12" s="111">
        <f t="shared" si="5"/>
        <v>1307.28</v>
      </c>
      <c r="AA12" s="111">
        <f t="shared" si="5"/>
        <v>1363.7</v>
      </c>
      <c r="AB12" s="111">
        <f t="shared" si="5"/>
        <v>1476.8</v>
      </c>
      <c r="AC12" s="111">
        <f t="shared" ref="AC12" si="6">+AC11+AC10</f>
        <v>1438.4653150684931</v>
      </c>
      <c r="AD12" s="79"/>
      <c r="AE12" s="80"/>
      <c r="AF12" s="80"/>
    </row>
    <row r="13" spans="1:32" x14ac:dyDescent="0.35">
      <c r="B13" s="79" t="s">
        <v>34</v>
      </c>
      <c r="C13" s="80">
        <v>0.19</v>
      </c>
      <c r="D13" s="80">
        <v>0.19</v>
      </c>
      <c r="E13" s="80">
        <v>0.19</v>
      </c>
      <c r="F13" s="80">
        <v>0.33</v>
      </c>
      <c r="G13" s="80">
        <v>0.33</v>
      </c>
      <c r="H13" s="80">
        <v>0.33</v>
      </c>
      <c r="I13" s="80"/>
      <c r="K13" s="79" t="s">
        <v>34</v>
      </c>
      <c r="L13" s="80">
        <v>2.71</v>
      </c>
      <c r="M13" s="80">
        <v>2.71</v>
      </c>
      <c r="N13" s="80">
        <v>2.71</v>
      </c>
      <c r="O13" s="80">
        <v>4.4400000000000004</v>
      </c>
      <c r="Q13" s="113" t="s">
        <v>32</v>
      </c>
      <c r="R13" s="115">
        <f>+R12*(1-5%)</f>
        <v>1015.88136</v>
      </c>
      <c r="S13" s="115">
        <f t="shared" ref="S13:AB13" si="7">+S12*(1-5%)</f>
        <v>1036.5009200000002</v>
      </c>
      <c r="T13" s="115">
        <f t="shared" si="7"/>
        <v>1083.1839199999997</v>
      </c>
      <c r="U13" s="115">
        <f t="shared" si="7"/>
        <v>1070.7449999999999</v>
      </c>
      <c r="V13" s="115">
        <f t="shared" si="7"/>
        <v>1092.2339999999999</v>
      </c>
      <c r="W13" s="115">
        <f t="shared" si="7"/>
        <v>1121.9727999999998</v>
      </c>
      <c r="X13" s="115">
        <f t="shared" si="7"/>
        <v>1179.425</v>
      </c>
      <c r="Y13" s="115">
        <f t="shared" si="7"/>
        <v>1223.885</v>
      </c>
      <c r="Z13" s="115">
        <f t="shared" si="7"/>
        <v>1241.9159999999999</v>
      </c>
      <c r="AA13" s="115">
        <f t="shared" si="7"/>
        <v>1295.5149999999999</v>
      </c>
      <c r="AB13" s="115">
        <f t="shared" si="7"/>
        <v>1402.9599999999998</v>
      </c>
      <c r="AC13" s="115">
        <f t="shared" ref="AC13" si="8">+AC12*(1-5%)</f>
        <v>1366.5420493150684</v>
      </c>
      <c r="AD13" s="79"/>
      <c r="AE13" s="80"/>
      <c r="AF13" s="80"/>
    </row>
    <row r="14" spans="1:32" x14ac:dyDescent="0.35">
      <c r="B14" s="79" t="s">
        <v>36</v>
      </c>
      <c r="C14" s="80">
        <v>0.16</v>
      </c>
      <c r="D14" s="80">
        <v>0.16</v>
      </c>
      <c r="E14" s="80">
        <v>0.16</v>
      </c>
      <c r="F14" s="80">
        <v>0.28000000000000003</v>
      </c>
      <c r="G14" s="80">
        <v>0.28000000000000003</v>
      </c>
      <c r="H14" s="80">
        <v>0.28000000000000003</v>
      </c>
      <c r="I14" s="80"/>
      <c r="K14" s="79" t="s">
        <v>36</v>
      </c>
      <c r="L14" s="80">
        <v>7.77</v>
      </c>
      <c r="M14" s="80">
        <v>7.77</v>
      </c>
      <c r="N14" s="80">
        <v>7.77</v>
      </c>
      <c r="O14" s="80">
        <v>15.99</v>
      </c>
      <c r="Q14" s="109" t="s">
        <v>35</v>
      </c>
      <c r="R14" s="111">
        <f>+R12*75%+R13*25%</f>
        <v>1055.9819400000001</v>
      </c>
      <c r="S14" s="111">
        <f t="shared" ref="S14:Z14" si="9">+S12*75%+S13*25%</f>
        <v>1077.4154300000002</v>
      </c>
      <c r="T14" s="111">
        <f t="shared" si="9"/>
        <v>1125.9411799999998</v>
      </c>
      <c r="U14" s="111">
        <f t="shared" si="9"/>
        <v>1113.01125</v>
      </c>
      <c r="V14" s="111">
        <f t="shared" si="9"/>
        <v>1135.3485000000001</v>
      </c>
      <c r="W14" s="111">
        <f t="shared" si="9"/>
        <v>1166.2611999999999</v>
      </c>
      <c r="X14" s="111">
        <f t="shared" si="9"/>
        <v>1225.98125</v>
      </c>
      <c r="Y14" s="111">
        <f t="shared" si="9"/>
        <v>1272.19625</v>
      </c>
      <c r="Z14" s="111">
        <f t="shared" si="9"/>
        <v>1290.9390000000001</v>
      </c>
      <c r="AA14" s="111">
        <f>+AA12*75%+AA13*25%</f>
        <v>1346.6537499999999</v>
      </c>
      <c r="AB14" s="111">
        <f>+AB12*75%+AB13*25%</f>
        <v>1458.34</v>
      </c>
      <c r="AC14" s="111">
        <f>+AC12*75%+AC13*25%</f>
        <v>1420.4844986301368</v>
      </c>
      <c r="AD14" s="79"/>
      <c r="AE14" s="80"/>
      <c r="AF14" s="80"/>
    </row>
    <row r="15" spans="1:32" x14ac:dyDescent="0.35">
      <c r="B15" s="85" t="s">
        <v>39</v>
      </c>
      <c r="C15" s="84">
        <f t="shared" ref="C15:H15" si="10">SUM(C9:C14)</f>
        <v>33.809312038394509</v>
      </c>
      <c r="D15" s="84">
        <f t="shared" si="10"/>
        <v>33.809312038394509</v>
      </c>
      <c r="E15" s="84">
        <f t="shared" si="10"/>
        <v>39.261131544136973</v>
      </c>
      <c r="F15" s="84">
        <f t="shared" si="10"/>
        <v>58.59720902750685</v>
      </c>
      <c r="G15" s="84">
        <f t="shared" si="10"/>
        <v>58.041493914663015</v>
      </c>
      <c r="H15" s="84">
        <f t="shared" si="10"/>
        <v>69.519008663594519</v>
      </c>
      <c r="I15" s="84"/>
      <c r="K15" s="85" t="s">
        <v>39</v>
      </c>
      <c r="L15" s="84">
        <f>SUM(L9:L14)</f>
        <v>69.305981653698623</v>
      </c>
      <c r="M15" s="84">
        <f>SUM(M9:M14)</f>
        <v>59.903803816849319</v>
      </c>
      <c r="N15" s="84">
        <f>SUM(N9:N14)</f>
        <v>68.935531883027394</v>
      </c>
      <c r="O15" s="84">
        <f>SUM(O9:O14)</f>
        <v>106.48415978637259</v>
      </c>
      <c r="Q15" s="113" t="s">
        <v>37</v>
      </c>
      <c r="R15" s="118">
        <f>+R14*1%</f>
        <v>10.559819400000002</v>
      </c>
      <c r="S15" s="118">
        <f t="shared" ref="S15:AB15" si="11">+S14*1%</f>
        <v>10.774154300000003</v>
      </c>
      <c r="T15" s="118">
        <f t="shared" si="11"/>
        <v>11.259411799999999</v>
      </c>
      <c r="U15" s="118">
        <f t="shared" si="11"/>
        <v>11.130112500000001</v>
      </c>
      <c r="V15" s="118">
        <f t="shared" si="11"/>
        <v>11.353485000000001</v>
      </c>
      <c r="W15" s="118">
        <f t="shared" si="11"/>
        <v>11.662611999999999</v>
      </c>
      <c r="X15" s="118">
        <f t="shared" si="11"/>
        <v>12.259812500000001</v>
      </c>
      <c r="Y15" s="118">
        <f t="shared" si="11"/>
        <v>12.7219625</v>
      </c>
      <c r="Z15" s="118">
        <f t="shared" si="11"/>
        <v>12.909390000000002</v>
      </c>
      <c r="AA15" s="118">
        <f t="shared" si="11"/>
        <v>13.466537499999999</v>
      </c>
      <c r="AB15" s="118">
        <f t="shared" si="11"/>
        <v>14.583399999999999</v>
      </c>
      <c r="AC15" s="118">
        <f t="shared" ref="AC15" si="12">+AC14*1%</f>
        <v>14.204844986301369</v>
      </c>
      <c r="AD15" s="79"/>
      <c r="AE15" s="80"/>
      <c r="AF15" s="80"/>
    </row>
    <row r="16" spans="1:32" x14ac:dyDescent="0.35">
      <c r="A16" s="81" t="s">
        <v>38</v>
      </c>
      <c r="Q16" s="113" t="s">
        <v>74</v>
      </c>
      <c r="R16" s="115">
        <f>+R15+R14</f>
        <v>1066.5417594</v>
      </c>
      <c r="S16" s="115">
        <f t="shared" ref="S16:AB16" si="13">+S15+S14</f>
        <v>1088.1895843000002</v>
      </c>
      <c r="T16" s="115">
        <f t="shared" si="13"/>
        <v>1137.2005917999998</v>
      </c>
      <c r="U16" s="115">
        <f t="shared" si="13"/>
        <v>1124.1413625</v>
      </c>
      <c r="V16" s="115">
        <f t="shared" si="13"/>
        <v>1146.7019850000001</v>
      </c>
      <c r="W16" s="115">
        <f t="shared" si="13"/>
        <v>1177.923812</v>
      </c>
      <c r="X16" s="115">
        <f t="shared" si="13"/>
        <v>1238.2410625</v>
      </c>
      <c r="Y16" s="115">
        <f t="shared" si="13"/>
        <v>1284.9182125</v>
      </c>
      <c r="Z16" s="115">
        <f t="shared" si="13"/>
        <v>1303.8483900000001</v>
      </c>
      <c r="AA16" s="115">
        <f t="shared" si="13"/>
        <v>1360.1202874999999</v>
      </c>
      <c r="AB16" s="115">
        <f t="shared" si="13"/>
        <v>1472.9233999999999</v>
      </c>
      <c r="AC16" s="115">
        <f t="shared" ref="AC16" si="14">+AC15+AC14</f>
        <v>1434.6893436164382</v>
      </c>
      <c r="AD16" s="85"/>
      <c r="AE16" s="84"/>
      <c r="AF16" s="84"/>
    </row>
    <row r="17" spans="2:32" hidden="1" x14ac:dyDescent="0.35">
      <c r="B17" s="85"/>
      <c r="C17" s="84"/>
      <c r="D17" s="84"/>
      <c r="E17" s="84"/>
      <c r="F17" s="84"/>
      <c r="G17" s="84"/>
      <c r="H17" s="84"/>
      <c r="I17" s="84"/>
      <c r="J17" s="94"/>
      <c r="L17" s="84"/>
      <c r="M17" s="84"/>
      <c r="N17" s="84"/>
      <c r="O17" s="84"/>
      <c r="Q17" s="85" t="s">
        <v>41</v>
      </c>
      <c r="R17" s="120">
        <f>+D5</f>
        <v>1434.689343616438</v>
      </c>
      <c r="S17" s="120">
        <f>+R17</f>
        <v>1434.689343616438</v>
      </c>
      <c r="T17" s="120">
        <f>+S17</f>
        <v>1434.689343616438</v>
      </c>
      <c r="U17" s="120">
        <f>+T17</f>
        <v>1434.689343616438</v>
      </c>
      <c r="V17" s="120">
        <f t="shared" ref="V17:AC17" si="15">+U17</f>
        <v>1434.689343616438</v>
      </c>
      <c r="W17" s="120">
        <f t="shared" si="15"/>
        <v>1434.689343616438</v>
      </c>
      <c r="X17" s="120">
        <f t="shared" si="15"/>
        <v>1434.689343616438</v>
      </c>
      <c r="Y17" s="120">
        <f t="shared" si="15"/>
        <v>1434.689343616438</v>
      </c>
      <c r="Z17" s="120">
        <f t="shared" si="15"/>
        <v>1434.689343616438</v>
      </c>
      <c r="AA17" s="120">
        <f t="shared" si="15"/>
        <v>1434.689343616438</v>
      </c>
      <c r="AB17" s="120">
        <f t="shared" si="15"/>
        <v>1434.689343616438</v>
      </c>
      <c r="AC17" s="120">
        <f t="shared" si="15"/>
        <v>1434.689343616438</v>
      </c>
      <c r="AE17" s="84"/>
      <c r="AF17" s="84"/>
    </row>
    <row r="18" spans="2:32" x14ac:dyDescent="0.35">
      <c r="C18" s="132"/>
      <c r="J18" s="94"/>
      <c r="Q18" s="82"/>
      <c r="R18" s="82"/>
      <c r="S18" s="82"/>
      <c r="U18" s="94"/>
      <c r="V18" s="94"/>
      <c r="W18" s="94"/>
      <c r="X18" s="94"/>
      <c r="Y18" s="94"/>
      <c r="Z18" s="94"/>
      <c r="AA18" s="94"/>
      <c r="AB18" s="94"/>
      <c r="AC18" s="94"/>
      <c r="AE18" s="82"/>
      <c r="AF18" s="82"/>
    </row>
    <row r="19" spans="2:32" x14ac:dyDescent="0.35">
      <c r="AE19" s="82"/>
      <c r="AF19" s="82"/>
    </row>
    <row r="20" spans="2:32" x14ac:dyDescent="0.35">
      <c r="M20" s="86" t="s">
        <v>75</v>
      </c>
      <c r="AE20" s="82"/>
      <c r="AF20" s="82"/>
    </row>
    <row r="25" spans="2:32" x14ac:dyDescent="0.35">
      <c r="L25" s="123"/>
    </row>
    <row r="32" spans="2:32" x14ac:dyDescent="0.35">
      <c r="B32" s="82" t="s">
        <v>51</v>
      </c>
    </row>
  </sheetData>
  <mergeCells count="6">
    <mergeCell ref="B3:D3"/>
    <mergeCell ref="B4:D4"/>
    <mergeCell ref="Q2:AF2"/>
    <mergeCell ref="Q3:R3"/>
    <mergeCell ref="AD3:AE3"/>
    <mergeCell ref="AD4:AE4"/>
  </mergeCells>
  <pageMargins left="0.7" right="0.7" top="0.75" bottom="0.75" header="0.3" footer="0.3"/>
  <customProperties>
    <customPr name="EpmWorksheetKeyString_GUID" r:id="rId1"/>
  </customPropertie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4"/>
  <dimension ref="A2:AG32"/>
  <sheetViews>
    <sheetView topLeftCell="F1" zoomScale="85" zoomScaleNormal="85" workbookViewId="0">
      <selection activeCell="AC7" sqref="AC7"/>
    </sheetView>
  </sheetViews>
  <sheetFormatPr defaultColWidth="11.453125" defaultRowHeight="14.5" x14ac:dyDescent="0.35"/>
  <cols>
    <col min="1" max="1" width="3.453125" style="81" customWidth="1"/>
    <col min="2" max="2" width="14.1796875" style="82" customWidth="1"/>
    <col min="3" max="3" width="10.81640625" style="82" customWidth="1"/>
    <col min="4" max="4" width="10.54296875" style="82" customWidth="1"/>
    <col min="5" max="5" width="11" style="82" customWidth="1"/>
    <col min="6" max="6" width="11.1796875" style="82" bestFit="1" customWidth="1"/>
    <col min="7" max="7" width="11" style="82" customWidth="1"/>
    <col min="8" max="8" width="11.54296875" style="82" customWidth="1"/>
    <col min="9" max="9" width="8.54296875" style="81" hidden="1" customWidth="1"/>
    <col min="10" max="10" width="2.81640625" style="81" customWidth="1"/>
    <col min="11" max="11" width="15.1796875" style="81" customWidth="1"/>
    <col min="12" max="14" width="10.81640625" style="82" customWidth="1"/>
    <col min="15" max="15" width="11.81640625" style="82" bestFit="1" customWidth="1"/>
    <col min="16" max="16" width="2.81640625" style="81" customWidth="1"/>
    <col min="17" max="17" width="28.81640625" style="81" customWidth="1"/>
    <col min="18" max="18" width="16.1796875" style="81" hidden="1" customWidth="1"/>
    <col min="19" max="19" width="17.54296875" style="81" hidden="1" customWidth="1"/>
    <col min="20" max="20" width="14.54296875" style="81" hidden="1" customWidth="1"/>
    <col min="21" max="21" width="16" style="81" hidden="1" customWidth="1"/>
    <col min="22" max="22" width="17.81640625" style="81" hidden="1" customWidth="1"/>
    <col min="23" max="23" width="17.1796875" style="81" hidden="1" customWidth="1"/>
    <col min="24" max="28" width="14.453125" style="81" hidden="1" customWidth="1"/>
    <col min="29" max="29" width="14.453125" style="81" customWidth="1"/>
    <col min="30" max="30" width="16.453125" style="81" customWidth="1"/>
    <col min="31" max="31" width="12.453125" style="82" bestFit="1" customWidth="1"/>
    <col min="32" max="33" width="11.453125" style="82" customWidth="1"/>
    <col min="34" max="16384" width="11.453125" style="81"/>
  </cols>
  <sheetData>
    <row r="2" spans="1:33" x14ac:dyDescent="0.35">
      <c r="B2" s="86"/>
      <c r="C2" s="86"/>
      <c r="D2" s="86"/>
      <c r="E2" s="87"/>
      <c r="F2" s="87"/>
      <c r="G2" s="87"/>
      <c r="H2" s="87"/>
      <c r="I2" s="87"/>
      <c r="J2" s="87"/>
      <c r="K2" s="87"/>
      <c r="L2" s="87"/>
      <c r="M2" s="87"/>
      <c r="N2" s="87"/>
      <c r="O2" s="87"/>
      <c r="Q2" s="574"/>
      <c r="R2" s="574"/>
      <c r="S2" s="574"/>
      <c r="T2" s="574"/>
      <c r="U2" s="574"/>
      <c r="V2" s="574"/>
      <c r="W2" s="574"/>
      <c r="X2" s="574"/>
      <c r="Y2" s="574"/>
      <c r="Z2" s="574"/>
      <c r="AA2" s="574"/>
      <c r="AB2" s="574"/>
      <c r="AC2" s="574"/>
      <c r="AD2" s="574"/>
      <c r="AE2" s="574"/>
      <c r="AF2" s="574"/>
      <c r="AG2" s="574"/>
    </row>
    <row r="3" spans="1:33" s="142" customFormat="1" ht="15" customHeight="1" x14ac:dyDescent="0.35">
      <c r="B3" s="576" t="s">
        <v>66</v>
      </c>
      <c r="C3" s="576"/>
      <c r="D3" s="576"/>
      <c r="E3" s="141">
        <f>+AD12</f>
        <v>1437.8038262661369</v>
      </c>
      <c r="G3" s="141"/>
      <c r="H3" s="141"/>
      <c r="I3" s="143">
        <v>0.05</v>
      </c>
      <c r="J3" s="144"/>
      <c r="K3" s="145"/>
      <c r="L3" s="141"/>
      <c r="M3" s="141"/>
      <c r="N3" s="141"/>
      <c r="Q3" s="576"/>
      <c r="R3" s="576"/>
      <c r="S3" s="141"/>
      <c r="T3" s="143"/>
      <c r="U3" s="144"/>
      <c r="V3" s="144"/>
      <c r="W3" s="144"/>
      <c r="X3" s="144"/>
      <c r="Y3" s="144"/>
      <c r="Z3" s="144"/>
      <c r="AA3" s="144"/>
      <c r="AB3" s="144"/>
      <c r="AC3" s="144"/>
      <c r="AD3" s="144"/>
      <c r="AE3" s="576"/>
      <c r="AF3" s="576"/>
      <c r="AG3" s="141"/>
    </row>
    <row r="4" spans="1:33" s="133" customFormat="1" ht="15" customHeight="1" x14ac:dyDescent="0.35">
      <c r="B4" s="576" t="s">
        <v>67</v>
      </c>
      <c r="C4" s="576"/>
      <c r="D4" s="576"/>
      <c r="E4" s="134">
        <f>+AD13</f>
        <v>1365.9136349528299</v>
      </c>
      <c r="F4" s="135"/>
      <c r="G4" s="134"/>
      <c r="H4" s="134"/>
      <c r="I4" s="137">
        <f>+E3*I3</f>
        <v>71.890191313306843</v>
      </c>
      <c r="J4" s="136"/>
      <c r="K4" s="146"/>
      <c r="L4" s="134"/>
      <c r="M4" s="134"/>
      <c r="N4" s="134"/>
      <c r="O4" s="135"/>
      <c r="Q4" s="138"/>
      <c r="R4" s="139"/>
      <c r="S4" s="140"/>
      <c r="U4" s="136"/>
      <c r="V4" s="136"/>
      <c r="W4" s="136"/>
      <c r="X4" s="136"/>
      <c r="Y4" s="136"/>
      <c r="Z4" s="136"/>
      <c r="AA4" s="136"/>
      <c r="AB4" s="136"/>
      <c r="AC4" s="136"/>
      <c r="AD4" s="136"/>
      <c r="AE4" s="577"/>
      <c r="AF4" s="577"/>
      <c r="AG4" s="134"/>
    </row>
    <row r="5" spans="1:33" ht="23.5" x14ac:dyDescent="0.55000000000000004">
      <c r="B5" s="91"/>
      <c r="C5" s="92">
        <f>+(C9+C10)/C7*1000</f>
        <v>1434.0295912221882</v>
      </c>
      <c r="D5" s="92">
        <f t="shared" ref="D5:H5" si="0">+(D9+D10)/D7*1000</f>
        <v>1434.0295912221882</v>
      </c>
      <c r="E5" s="92">
        <f t="shared" si="0"/>
        <v>1434.0295912221884</v>
      </c>
      <c r="F5" s="92">
        <f t="shared" si="0"/>
        <v>1452.1818645287983</v>
      </c>
      <c r="G5" s="92">
        <f t="shared" si="0"/>
        <v>1434.0295912221884</v>
      </c>
      <c r="H5" s="92">
        <f t="shared" si="0"/>
        <v>1434.0295912221884</v>
      </c>
      <c r="J5" s="88"/>
      <c r="K5" s="91"/>
      <c r="L5" s="92"/>
      <c r="M5" s="92"/>
      <c r="N5" s="92"/>
      <c r="O5" s="92"/>
      <c r="Q5" s="93"/>
      <c r="R5" s="82"/>
      <c r="S5" s="90"/>
      <c r="T5" s="94"/>
      <c r="U5" s="88"/>
      <c r="V5" s="88"/>
      <c r="W5" s="88"/>
      <c r="X5" s="88"/>
      <c r="Y5" s="88"/>
      <c r="Z5" s="88"/>
      <c r="AA5" s="88"/>
      <c r="AB5" s="88"/>
      <c r="AC5" s="88"/>
      <c r="AD5" s="88"/>
      <c r="AE5" s="91"/>
      <c r="AF5" s="91"/>
      <c r="AG5" s="78"/>
    </row>
    <row r="6" spans="1:33" s="95" customFormat="1" ht="33.75" customHeight="1" x14ac:dyDescent="0.35">
      <c r="B6" s="85" t="s">
        <v>5</v>
      </c>
      <c r="C6" s="85" t="s">
        <v>68</v>
      </c>
      <c r="D6" s="85" t="s">
        <v>69</v>
      </c>
      <c r="E6" s="85" t="s">
        <v>69</v>
      </c>
      <c r="F6" s="85" t="s">
        <v>70</v>
      </c>
      <c r="G6" s="85" t="s">
        <v>70</v>
      </c>
      <c r="H6" s="85" t="s">
        <v>70</v>
      </c>
      <c r="I6" s="85"/>
      <c r="J6" s="88"/>
      <c r="K6" s="85" t="s">
        <v>71</v>
      </c>
      <c r="L6" s="96" t="s">
        <v>8</v>
      </c>
      <c r="M6" s="96" t="s">
        <v>7</v>
      </c>
      <c r="N6" s="96" t="s">
        <v>8</v>
      </c>
      <c r="O6" s="96" t="s">
        <v>63</v>
      </c>
      <c r="Q6" s="147" t="s">
        <v>72</v>
      </c>
      <c r="R6" s="99" t="s">
        <v>54</v>
      </c>
      <c r="S6" s="99" t="s">
        <v>55</v>
      </c>
      <c r="T6" s="99" t="s">
        <v>56</v>
      </c>
      <c r="U6" s="99" t="s">
        <v>12</v>
      </c>
      <c r="V6" s="99" t="s">
        <v>57</v>
      </c>
      <c r="W6" s="99" t="s">
        <v>58</v>
      </c>
      <c r="X6" s="99" t="s">
        <v>59</v>
      </c>
      <c r="Y6" s="99" t="s">
        <v>60</v>
      </c>
      <c r="Z6" s="99" t="s">
        <v>62</v>
      </c>
      <c r="AA6" s="99" t="s">
        <v>64</v>
      </c>
      <c r="AB6" s="99" t="s">
        <v>65</v>
      </c>
      <c r="AC6" s="99" t="s">
        <v>73</v>
      </c>
      <c r="AD6" s="99" t="s">
        <v>53</v>
      </c>
      <c r="AE6" s="162"/>
      <c r="AF6" s="97"/>
      <c r="AG6" s="97"/>
    </row>
    <row r="7" spans="1:33" x14ac:dyDescent="0.35">
      <c r="B7" s="85" t="s">
        <v>13</v>
      </c>
      <c r="C7" s="101">
        <v>16.7</v>
      </c>
      <c r="D7" s="101">
        <v>16.7</v>
      </c>
      <c r="E7" s="101">
        <v>20.5</v>
      </c>
      <c r="F7" s="101">
        <v>30.6</v>
      </c>
      <c r="G7" s="101">
        <v>30.6</v>
      </c>
      <c r="H7" s="101">
        <v>38.6</v>
      </c>
      <c r="I7" s="101"/>
      <c r="K7" s="85" t="s">
        <v>13</v>
      </c>
      <c r="L7" s="101">
        <v>20.5</v>
      </c>
      <c r="M7" s="101">
        <v>15</v>
      </c>
      <c r="N7" s="101">
        <v>20.5</v>
      </c>
      <c r="O7" s="101">
        <v>30.6</v>
      </c>
      <c r="Q7" s="102" t="s">
        <v>14</v>
      </c>
      <c r="R7" s="104">
        <v>938.13</v>
      </c>
      <c r="S7" s="105">
        <v>959</v>
      </c>
      <c r="T7" s="104">
        <v>1006.25</v>
      </c>
      <c r="U7" s="130">
        <v>993.75</v>
      </c>
      <c r="V7" s="131">
        <v>1015.5</v>
      </c>
      <c r="W7" s="131">
        <v>1045.5999999999999</v>
      </c>
      <c r="X7" s="43">
        <v>1103.75</v>
      </c>
      <c r="Y7" s="43">
        <v>1148.75</v>
      </c>
      <c r="Z7" s="43">
        <v>1167</v>
      </c>
      <c r="AA7" s="43">
        <v>1221.25</v>
      </c>
      <c r="AB7" s="43">
        <v>1330</v>
      </c>
      <c r="AC7" s="43">
        <f>+'IHS (Mod)'!I5</f>
        <v>1280</v>
      </c>
      <c r="AD7" s="43">
        <f>+'IHS (Mod)'!J5</f>
        <v>1279.380005</v>
      </c>
      <c r="AE7" s="91" t="s">
        <v>76</v>
      </c>
      <c r="AF7" s="101"/>
      <c r="AG7" s="101"/>
    </row>
    <row r="8" spans="1:33" x14ac:dyDescent="0.35">
      <c r="B8" s="79" t="s">
        <v>16</v>
      </c>
      <c r="C8" s="91" t="s">
        <v>17</v>
      </c>
      <c r="D8" s="91" t="s">
        <v>17</v>
      </c>
      <c r="E8" s="91" t="s">
        <v>17</v>
      </c>
      <c r="F8" s="91" t="s">
        <v>17</v>
      </c>
      <c r="G8" s="91" t="s">
        <v>17</v>
      </c>
      <c r="H8" s="91" t="s">
        <v>17</v>
      </c>
      <c r="I8" s="91"/>
      <c r="K8" s="79" t="s">
        <v>16</v>
      </c>
      <c r="L8" s="91" t="s">
        <v>17</v>
      </c>
      <c r="M8" s="91" t="s">
        <v>17</v>
      </c>
      <c r="N8" s="91" t="s">
        <v>17</v>
      </c>
      <c r="O8" s="91" t="s">
        <v>17</v>
      </c>
      <c r="Q8" s="128" t="s">
        <v>18</v>
      </c>
      <c r="R8" s="129">
        <v>25.09</v>
      </c>
      <c r="S8" s="129">
        <v>25.09</v>
      </c>
      <c r="T8" s="129">
        <v>25.09</v>
      </c>
      <c r="U8" s="129">
        <v>25</v>
      </c>
      <c r="V8" s="129">
        <v>25</v>
      </c>
      <c r="W8" s="129">
        <v>25</v>
      </c>
      <c r="X8" s="129">
        <v>25</v>
      </c>
      <c r="Y8" s="129">
        <v>25</v>
      </c>
      <c r="Z8" s="129">
        <v>25</v>
      </c>
      <c r="AA8" s="129">
        <v>25</v>
      </c>
      <c r="AB8" s="129">
        <v>25</v>
      </c>
      <c r="AC8" s="129">
        <v>33.139726027397259</v>
      </c>
      <c r="AD8" s="129">
        <f>+AG8</f>
        <v>33.1236741020548</v>
      </c>
      <c r="AE8" s="163">
        <f>+AD7*4.5%</f>
        <v>57.572100225</v>
      </c>
      <c r="AF8" s="163">
        <f>+AE8/365</f>
        <v>0.15773178143835617</v>
      </c>
      <c r="AG8" s="163">
        <f>+AF8*210</f>
        <v>33.1236741020548</v>
      </c>
    </row>
    <row r="9" spans="1:33" x14ac:dyDescent="0.35">
      <c r="B9" s="79" t="s">
        <v>19</v>
      </c>
      <c r="C9" s="80">
        <f>+(C7*E3/1000)*1.01*75%</f>
        <v>18.188577853223197</v>
      </c>
      <c r="D9" s="80">
        <f>+(D7*$E$3/1000)*1.01*75%</f>
        <v>18.188577853223197</v>
      </c>
      <c r="E9" s="80">
        <f>+(E7*$E$3/1000)*1.01*75%</f>
        <v>22.327296167130271</v>
      </c>
      <c r="F9" s="80">
        <f>+(F7*E3/1000)*1.01</f>
        <v>44.43676505458123</v>
      </c>
      <c r="G9" s="80">
        <f>+(G7*$E$3/1000)*1.01*75%</f>
        <v>33.327573790935922</v>
      </c>
      <c r="H9" s="80">
        <f>+(H7*$E$3/1000)*1.01*75%</f>
        <v>42.040664978108708</v>
      </c>
      <c r="I9" s="80"/>
      <c r="K9" s="79" t="s">
        <v>19</v>
      </c>
      <c r="L9" s="80">
        <f>+(L7*E3/1000)*1.005</f>
        <v>29.622353330648078</v>
      </c>
      <c r="M9" s="80">
        <f>+(M7*E3/1000)*1.005*75%</f>
        <v>16.256169510721509</v>
      </c>
      <c r="N9" s="80">
        <f>+(N7*E3/1000)*1.005*75%</f>
        <v>22.216764997986058</v>
      </c>
      <c r="O9" s="80">
        <f>+(O7*E3/1000)*1.005*75%</f>
        <v>33.162585801871884</v>
      </c>
      <c r="Q9" s="125" t="s">
        <v>20</v>
      </c>
      <c r="R9" s="126">
        <v>65</v>
      </c>
      <c r="S9" s="127">
        <v>65</v>
      </c>
      <c r="T9" s="126">
        <v>65</v>
      </c>
      <c r="U9" s="126">
        <v>65</v>
      </c>
      <c r="V9" s="126">
        <v>65</v>
      </c>
      <c r="W9" s="126">
        <v>65</v>
      </c>
      <c r="X9" s="126">
        <v>65</v>
      </c>
      <c r="Y9" s="126">
        <v>65</v>
      </c>
      <c r="Z9" s="126">
        <v>65</v>
      </c>
      <c r="AA9" s="126">
        <v>65</v>
      </c>
      <c r="AB9" s="126">
        <v>65</v>
      </c>
      <c r="AC9" s="126">
        <v>70</v>
      </c>
      <c r="AD9" s="126">
        <v>70</v>
      </c>
      <c r="AE9" s="101"/>
      <c r="AF9" s="80"/>
      <c r="AG9" s="80"/>
    </row>
    <row r="10" spans="1:33" x14ac:dyDescent="0.35">
      <c r="B10" s="75" t="s">
        <v>23</v>
      </c>
      <c r="C10" s="76">
        <f>+(C7*$E$4/1000)*1.01*25%</f>
        <v>5.7597163201873451</v>
      </c>
      <c r="D10" s="76">
        <f>+(D7*$E$4/1000)*1.01*25%</f>
        <v>5.7597163201873451</v>
      </c>
      <c r="E10" s="76">
        <f>+(E7*$E$4/1000)*1.01*25%</f>
        <v>7.0703104529245859</v>
      </c>
      <c r="F10" s="76">
        <v>0</v>
      </c>
      <c r="G10" s="76">
        <f>+(G7*$E$4/1000)*1.01*25%</f>
        <v>10.553731700463041</v>
      </c>
      <c r="H10" s="76">
        <f>+(H7*$E$4/1000)*1.01*25%</f>
        <v>13.312877243067756</v>
      </c>
      <c r="I10" s="76"/>
      <c r="J10" s="121"/>
      <c r="K10" s="75" t="s">
        <v>23</v>
      </c>
      <c r="L10" s="76">
        <v>0</v>
      </c>
      <c r="M10" s="76">
        <f>+(M7*E4/1000)*1.005*25%</f>
        <v>5.147787011728477</v>
      </c>
      <c r="N10" s="76">
        <f>+(N7*E4/1000)*1.005*25%</f>
        <v>7.0353089160289182</v>
      </c>
      <c r="O10" s="76">
        <f>+(O7*E4/1000)*1.005*25%</f>
        <v>10.501485503926094</v>
      </c>
      <c r="Q10" s="102"/>
      <c r="R10" s="104">
        <f>SUM(R7:R9)</f>
        <v>1028.22</v>
      </c>
      <c r="S10" s="104">
        <f>SUM(S7:S9)</f>
        <v>1049.0900000000001</v>
      </c>
      <c r="T10" s="104">
        <f>SUM(T7:T9)</f>
        <v>1096.3399999999999</v>
      </c>
      <c r="U10" s="104">
        <f>SUM(U7:U9)</f>
        <v>1083.75</v>
      </c>
      <c r="V10" s="104">
        <f t="shared" ref="V10:AC10" si="1">SUM(V7:V9)</f>
        <v>1105.5</v>
      </c>
      <c r="W10" s="104">
        <f t="shared" si="1"/>
        <v>1135.5999999999999</v>
      </c>
      <c r="X10" s="104">
        <f t="shared" si="1"/>
        <v>1193.75</v>
      </c>
      <c r="Y10" s="104">
        <f t="shared" si="1"/>
        <v>1238.75</v>
      </c>
      <c r="Z10" s="104">
        <f t="shared" si="1"/>
        <v>1257</v>
      </c>
      <c r="AA10" s="104">
        <f t="shared" si="1"/>
        <v>1311.25</v>
      </c>
      <c r="AB10" s="104">
        <f t="shared" si="1"/>
        <v>1420</v>
      </c>
      <c r="AC10" s="104">
        <f t="shared" si="1"/>
        <v>1383.1397260273973</v>
      </c>
      <c r="AD10" s="104">
        <f t="shared" ref="AD10" si="2">SUM(AD7:AD9)</f>
        <v>1382.5036791020548</v>
      </c>
      <c r="AE10" s="101"/>
      <c r="AF10" s="80"/>
      <c r="AG10" s="80"/>
    </row>
    <row r="11" spans="1:33" x14ac:dyDescent="0.35">
      <c r="B11" s="79" t="s">
        <v>26</v>
      </c>
      <c r="C11" s="80">
        <v>8.1999999999999993</v>
      </c>
      <c r="D11" s="80">
        <v>8.1999999999999993</v>
      </c>
      <c r="E11" s="80">
        <v>8.1999999999999993</v>
      </c>
      <c r="F11" s="80">
        <v>11.15</v>
      </c>
      <c r="G11" s="80">
        <v>11.15</v>
      </c>
      <c r="H11" s="80">
        <v>11.15</v>
      </c>
      <c r="I11" s="80"/>
      <c r="K11" s="79" t="s">
        <v>26</v>
      </c>
      <c r="L11" s="80">
        <v>27.2</v>
      </c>
      <c r="M11" s="80">
        <v>27.2</v>
      </c>
      <c r="N11" s="80">
        <v>27.2</v>
      </c>
      <c r="O11" s="80">
        <f>11.15+28.25</f>
        <v>39.4</v>
      </c>
      <c r="Q11" s="106" t="s">
        <v>27</v>
      </c>
      <c r="R11" s="108">
        <f>+R10*4%</f>
        <v>41.128800000000005</v>
      </c>
      <c r="S11" s="104">
        <f>+S10*4%</f>
        <v>41.963600000000007</v>
      </c>
      <c r="T11" s="108">
        <f>+T10*4%</f>
        <v>43.8536</v>
      </c>
      <c r="U11" s="108">
        <f>+U10*4%</f>
        <v>43.35</v>
      </c>
      <c r="V11" s="108">
        <f t="shared" ref="V11:AC11" si="3">+V10*4%</f>
        <v>44.22</v>
      </c>
      <c r="W11" s="108">
        <f t="shared" si="3"/>
        <v>45.423999999999999</v>
      </c>
      <c r="X11" s="108">
        <f t="shared" si="3"/>
        <v>47.75</v>
      </c>
      <c r="Y11" s="108">
        <f t="shared" si="3"/>
        <v>49.550000000000004</v>
      </c>
      <c r="Z11" s="108">
        <f t="shared" si="3"/>
        <v>50.28</v>
      </c>
      <c r="AA11" s="108">
        <f t="shared" si="3"/>
        <v>52.45</v>
      </c>
      <c r="AB11" s="108">
        <f t="shared" si="3"/>
        <v>56.800000000000004</v>
      </c>
      <c r="AC11" s="108">
        <f t="shared" si="3"/>
        <v>55.325589041095895</v>
      </c>
      <c r="AD11" s="108">
        <f t="shared" ref="AD11" si="4">+AD10*4%</f>
        <v>55.30014716408219</v>
      </c>
      <c r="AE11" s="101"/>
      <c r="AF11" s="80"/>
      <c r="AG11" s="80"/>
    </row>
    <row r="12" spans="1:33" x14ac:dyDescent="0.35">
      <c r="B12" s="79" t="s">
        <v>31</v>
      </c>
      <c r="C12" s="80">
        <v>1.3</v>
      </c>
      <c r="D12" s="80">
        <v>1.3</v>
      </c>
      <c r="E12" s="80">
        <v>1.3</v>
      </c>
      <c r="F12" s="80">
        <v>2.38</v>
      </c>
      <c r="G12" s="80">
        <v>2.38</v>
      </c>
      <c r="H12" s="80">
        <v>2.38</v>
      </c>
      <c r="I12" s="80"/>
      <c r="K12" s="79" t="s">
        <v>31</v>
      </c>
      <c r="L12" s="80">
        <v>1.99</v>
      </c>
      <c r="M12" s="80">
        <v>0.81</v>
      </c>
      <c r="N12" s="80">
        <v>1.99</v>
      </c>
      <c r="O12" s="80">
        <v>2.97</v>
      </c>
      <c r="Q12" s="109" t="s">
        <v>30</v>
      </c>
      <c r="R12" s="111">
        <f>+R11+R10</f>
        <v>1069.3488</v>
      </c>
      <c r="S12" s="112">
        <f>+S11+S10</f>
        <v>1091.0536000000002</v>
      </c>
      <c r="T12" s="111">
        <f>+T11+T10</f>
        <v>1140.1935999999998</v>
      </c>
      <c r="U12" s="111">
        <f>+U11+U10</f>
        <v>1127.0999999999999</v>
      </c>
      <c r="V12" s="111">
        <f t="shared" ref="V12:AC12" si="5">+V11+V10</f>
        <v>1149.72</v>
      </c>
      <c r="W12" s="111">
        <f t="shared" si="5"/>
        <v>1181.0239999999999</v>
      </c>
      <c r="X12" s="111">
        <f t="shared" si="5"/>
        <v>1241.5</v>
      </c>
      <c r="Y12" s="111">
        <f t="shared" si="5"/>
        <v>1288.3</v>
      </c>
      <c r="Z12" s="111">
        <f t="shared" si="5"/>
        <v>1307.28</v>
      </c>
      <c r="AA12" s="111">
        <f t="shared" si="5"/>
        <v>1363.7</v>
      </c>
      <c r="AB12" s="111">
        <f t="shared" si="5"/>
        <v>1476.8</v>
      </c>
      <c r="AC12" s="111">
        <f t="shared" si="5"/>
        <v>1438.4653150684931</v>
      </c>
      <c r="AD12" s="111">
        <f t="shared" ref="AD12" si="6">+AD11+AD10</f>
        <v>1437.8038262661369</v>
      </c>
      <c r="AE12" s="101"/>
      <c r="AF12" s="80"/>
      <c r="AG12" s="80"/>
    </row>
    <row r="13" spans="1:33" x14ac:dyDescent="0.35">
      <c r="B13" s="79" t="s">
        <v>34</v>
      </c>
      <c r="C13" s="80">
        <v>0.19</v>
      </c>
      <c r="D13" s="80">
        <v>0.19</v>
      </c>
      <c r="E13" s="80">
        <v>0.19</v>
      </c>
      <c r="F13" s="80">
        <v>0.33</v>
      </c>
      <c r="G13" s="80">
        <v>0.33</v>
      </c>
      <c r="H13" s="80">
        <v>0.33</v>
      </c>
      <c r="I13" s="80"/>
      <c r="K13" s="79" t="s">
        <v>34</v>
      </c>
      <c r="L13" s="80">
        <v>2.71</v>
      </c>
      <c r="M13" s="80">
        <v>2.71</v>
      </c>
      <c r="N13" s="80">
        <v>2.71</v>
      </c>
      <c r="O13" s="80">
        <v>4.4400000000000004</v>
      </c>
      <c r="Q13" s="113" t="s">
        <v>32</v>
      </c>
      <c r="R13" s="115">
        <f>+R12*(1-5%)</f>
        <v>1015.88136</v>
      </c>
      <c r="S13" s="115">
        <f t="shared" ref="S13:AC13" si="7">+S12*(1-5%)</f>
        <v>1036.5009200000002</v>
      </c>
      <c r="T13" s="115">
        <f t="shared" si="7"/>
        <v>1083.1839199999997</v>
      </c>
      <c r="U13" s="115">
        <f t="shared" si="7"/>
        <v>1070.7449999999999</v>
      </c>
      <c r="V13" s="115">
        <f t="shared" si="7"/>
        <v>1092.2339999999999</v>
      </c>
      <c r="W13" s="115">
        <f t="shared" si="7"/>
        <v>1121.9727999999998</v>
      </c>
      <c r="X13" s="115">
        <f t="shared" si="7"/>
        <v>1179.425</v>
      </c>
      <c r="Y13" s="115">
        <f t="shared" si="7"/>
        <v>1223.885</v>
      </c>
      <c r="Z13" s="115">
        <f t="shared" si="7"/>
        <v>1241.9159999999999</v>
      </c>
      <c r="AA13" s="115">
        <f t="shared" si="7"/>
        <v>1295.5149999999999</v>
      </c>
      <c r="AB13" s="115">
        <f t="shared" si="7"/>
        <v>1402.9599999999998</v>
      </c>
      <c r="AC13" s="115">
        <f t="shared" si="7"/>
        <v>1366.5420493150684</v>
      </c>
      <c r="AD13" s="115">
        <f t="shared" ref="AD13" si="8">+AD12*(1-5%)</f>
        <v>1365.9136349528299</v>
      </c>
      <c r="AE13" s="101"/>
      <c r="AF13" s="80"/>
      <c r="AG13" s="80"/>
    </row>
    <row r="14" spans="1:33" x14ac:dyDescent="0.35">
      <c r="B14" s="79" t="s">
        <v>36</v>
      </c>
      <c r="C14" s="80">
        <v>0.16</v>
      </c>
      <c r="D14" s="80">
        <v>0.16</v>
      </c>
      <c r="E14" s="80">
        <v>0.16</v>
      </c>
      <c r="F14" s="80">
        <v>0.28000000000000003</v>
      </c>
      <c r="G14" s="80">
        <v>0.28000000000000003</v>
      </c>
      <c r="H14" s="80">
        <v>0.28000000000000003</v>
      </c>
      <c r="I14" s="80"/>
      <c r="K14" s="79" t="s">
        <v>36</v>
      </c>
      <c r="L14" s="80">
        <v>7.77</v>
      </c>
      <c r="M14" s="80">
        <v>7.77</v>
      </c>
      <c r="N14" s="80">
        <v>7.77</v>
      </c>
      <c r="O14" s="80">
        <v>15.99</v>
      </c>
      <c r="Q14" s="109" t="s">
        <v>35</v>
      </c>
      <c r="R14" s="111">
        <f>+R12*75%+R13*25%</f>
        <v>1055.9819400000001</v>
      </c>
      <c r="S14" s="111">
        <f t="shared" ref="S14:Z14" si="9">+S12*75%+S13*25%</f>
        <v>1077.4154300000002</v>
      </c>
      <c r="T14" s="111">
        <f t="shared" si="9"/>
        <v>1125.9411799999998</v>
      </c>
      <c r="U14" s="111">
        <f t="shared" si="9"/>
        <v>1113.01125</v>
      </c>
      <c r="V14" s="111">
        <f t="shared" si="9"/>
        <v>1135.3485000000001</v>
      </c>
      <c r="W14" s="111">
        <f t="shared" si="9"/>
        <v>1166.2611999999999</v>
      </c>
      <c r="X14" s="111">
        <f t="shared" si="9"/>
        <v>1225.98125</v>
      </c>
      <c r="Y14" s="111">
        <f t="shared" si="9"/>
        <v>1272.19625</v>
      </c>
      <c r="Z14" s="111">
        <f t="shared" si="9"/>
        <v>1290.9390000000001</v>
      </c>
      <c r="AA14" s="111">
        <f>+AA12*75%+AA13*25%</f>
        <v>1346.6537499999999</v>
      </c>
      <c r="AB14" s="111">
        <f>+AB12*75%+AB13*25%</f>
        <v>1458.34</v>
      </c>
      <c r="AC14" s="111">
        <f>+AC12*75%+AC13*25%</f>
        <v>1420.4844986301368</v>
      </c>
      <c r="AD14" s="111">
        <f>+AD12*75%+AD13*25%</f>
        <v>1419.8312784378102</v>
      </c>
      <c r="AE14" s="101"/>
      <c r="AF14" s="80"/>
      <c r="AG14" s="80"/>
    </row>
    <row r="15" spans="1:33" x14ac:dyDescent="0.35">
      <c r="B15" s="85" t="s">
        <v>39</v>
      </c>
      <c r="C15" s="84">
        <f t="shared" ref="C15:H15" si="10">SUM(C9:C14)</f>
        <v>33.798294173410532</v>
      </c>
      <c r="D15" s="84">
        <f t="shared" si="10"/>
        <v>33.798294173410532</v>
      </c>
      <c r="E15" s="84">
        <f t="shared" si="10"/>
        <v>39.247606620054853</v>
      </c>
      <c r="F15" s="84">
        <f t="shared" si="10"/>
        <v>58.57676505458123</v>
      </c>
      <c r="G15" s="84">
        <f t="shared" si="10"/>
        <v>58.021305491398962</v>
      </c>
      <c r="H15" s="84">
        <f t="shared" si="10"/>
        <v>69.493542221176469</v>
      </c>
      <c r="I15" s="84"/>
      <c r="K15" s="85" t="s">
        <v>39</v>
      </c>
      <c r="L15" s="84">
        <f>SUM(L9:L14)</f>
        <v>69.292353330648083</v>
      </c>
      <c r="M15" s="84">
        <f>SUM(M9:M14)</f>
        <v>59.893956522449997</v>
      </c>
      <c r="N15" s="84">
        <f>SUM(N9:N14)</f>
        <v>68.922073914014973</v>
      </c>
      <c r="O15" s="84">
        <f>SUM(O9:O14)</f>
        <v>106.46407130579796</v>
      </c>
      <c r="Q15" s="113" t="s">
        <v>37</v>
      </c>
      <c r="R15" s="118">
        <f>+R14*1%</f>
        <v>10.559819400000002</v>
      </c>
      <c r="S15" s="118">
        <f t="shared" ref="S15:AC15" si="11">+S14*1%</f>
        <v>10.774154300000003</v>
      </c>
      <c r="T15" s="118">
        <f t="shared" si="11"/>
        <v>11.259411799999999</v>
      </c>
      <c r="U15" s="118">
        <f t="shared" si="11"/>
        <v>11.130112500000001</v>
      </c>
      <c r="V15" s="118">
        <f t="shared" si="11"/>
        <v>11.353485000000001</v>
      </c>
      <c r="W15" s="118">
        <f t="shared" si="11"/>
        <v>11.662611999999999</v>
      </c>
      <c r="X15" s="118">
        <f t="shared" si="11"/>
        <v>12.259812500000001</v>
      </c>
      <c r="Y15" s="118">
        <f t="shared" si="11"/>
        <v>12.7219625</v>
      </c>
      <c r="Z15" s="118">
        <f t="shared" si="11"/>
        <v>12.909390000000002</v>
      </c>
      <c r="AA15" s="118">
        <f t="shared" si="11"/>
        <v>13.466537499999999</v>
      </c>
      <c r="AB15" s="118">
        <f t="shared" si="11"/>
        <v>14.583399999999999</v>
      </c>
      <c r="AC15" s="118">
        <f t="shared" si="11"/>
        <v>14.204844986301369</v>
      </c>
      <c r="AD15" s="118">
        <f t="shared" ref="AD15" si="12">+AD14*1%</f>
        <v>14.198312784378102</v>
      </c>
      <c r="AE15" s="101"/>
      <c r="AF15" s="80"/>
      <c r="AG15" s="80"/>
    </row>
    <row r="16" spans="1:33" x14ac:dyDescent="0.35">
      <c r="A16" s="81" t="s">
        <v>38</v>
      </c>
      <c r="Q16" s="113" t="s">
        <v>74</v>
      </c>
      <c r="R16" s="115">
        <f>+R15+R14</f>
        <v>1066.5417594</v>
      </c>
      <c r="S16" s="115">
        <f t="shared" ref="S16:AC16" si="13">+S15+S14</f>
        <v>1088.1895843000002</v>
      </c>
      <c r="T16" s="115">
        <f t="shared" si="13"/>
        <v>1137.2005917999998</v>
      </c>
      <c r="U16" s="115">
        <f t="shared" si="13"/>
        <v>1124.1413625</v>
      </c>
      <c r="V16" s="115">
        <f t="shared" si="13"/>
        <v>1146.7019850000001</v>
      </c>
      <c r="W16" s="115">
        <f t="shared" si="13"/>
        <v>1177.923812</v>
      </c>
      <c r="X16" s="115">
        <f t="shared" si="13"/>
        <v>1238.2410625</v>
      </c>
      <c r="Y16" s="115">
        <f t="shared" si="13"/>
        <v>1284.9182125</v>
      </c>
      <c r="Z16" s="115">
        <f t="shared" si="13"/>
        <v>1303.8483900000001</v>
      </c>
      <c r="AA16" s="115">
        <f t="shared" si="13"/>
        <v>1360.1202874999999</v>
      </c>
      <c r="AB16" s="115">
        <f t="shared" si="13"/>
        <v>1472.9233999999999</v>
      </c>
      <c r="AC16" s="115">
        <f t="shared" si="13"/>
        <v>1434.6893436164382</v>
      </c>
      <c r="AD16" s="115">
        <f t="shared" ref="AD16" si="14">+AD15+AD14</f>
        <v>1434.0295912221882</v>
      </c>
      <c r="AE16" s="91"/>
      <c r="AF16" s="84"/>
      <c r="AG16" s="84"/>
    </row>
    <row r="17" spans="2:33" hidden="1" x14ac:dyDescent="0.35">
      <c r="B17" s="85"/>
      <c r="C17" s="84"/>
      <c r="D17" s="84"/>
      <c r="E17" s="84"/>
      <c r="F17" s="84"/>
      <c r="G17" s="84"/>
      <c r="H17" s="84"/>
      <c r="I17" s="84"/>
      <c r="J17" s="94"/>
      <c r="L17" s="84"/>
      <c r="M17" s="84"/>
      <c r="N17" s="84"/>
      <c r="O17" s="84"/>
      <c r="Q17" s="85" t="s">
        <v>41</v>
      </c>
      <c r="R17" s="120">
        <f>+D5</f>
        <v>1434.0295912221882</v>
      </c>
      <c r="S17" s="120">
        <f>+R17</f>
        <v>1434.0295912221882</v>
      </c>
      <c r="T17" s="120">
        <f>+S17</f>
        <v>1434.0295912221882</v>
      </c>
      <c r="U17" s="120">
        <f>+T17</f>
        <v>1434.0295912221882</v>
      </c>
      <c r="V17" s="120">
        <f t="shared" ref="V17:AD17" si="15">+U17</f>
        <v>1434.0295912221882</v>
      </c>
      <c r="W17" s="120">
        <f t="shared" si="15"/>
        <v>1434.0295912221882</v>
      </c>
      <c r="X17" s="120">
        <f t="shared" si="15"/>
        <v>1434.0295912221882</v>
      </c>
      <c r="Y17" s="120">
        <f t="shared" si="15"/>
        <v>1434.0295912221882</v>
      </c>
      <c r="Z17" s="120">
        <f t="shared" si="15"/>
        <v>1434.0295912221882</v>
      </c>
      <c r="AA17" s="120">
        <f t="shared" si="15"/>
        <v>1434.0295912221882</v>
      </c>
      <c r="AB17" s="120">
        <f t="shared" si="15"/>
        <v>1434.0295912221882</v>
      </c>
      <c r="AC17" s="120">
        <f t="shared" si="15"/>
        <v>1434.0295912221882</v>
      </c>
      <c r="AD17" s="120">
        <f t="shared" si="15"/>
        <v>1434.0295912221882</v>
      </c>
      <c r="AF17" s="84"/>
      <c r="AG17" s="84"/>
    </row>
    <row r="18" spans="2:33" x14ac:dyDescent="0.35">
      <c r="C18" s="132"/>
      <c r="J18" s="94"/>
      <c r="Q18" s="82"/>
      <c r="R18" s="82"/>
      <c r="S18" s="82"/>
      <c r="U18" s="94"/>
      <c r="V18" s="94"/>
      <c r="W18" s="94"/>
      <c r="X18" s="94"/>
      <c r="Y18" s="94"/>
      <c r="Z18" s="94"/>
      <c r="AA18" s="94"/>
      <c r="AB18" s="94"/>
      <c r="AC18" s="94"/>
      <c r="AD18" s="94"/>
    </row>
    <row r="20" spans="2:33" x14ac:dyDescent="0.35">
      <c r="M20" s="86" t="s">
        <v>75</v>
      </c>
    </row>
    <row r="25" spans="2:33" x14ac:dyDescent="0.35">
      <c r="L25" s="123"/>
    </row>
    <row r="32" spans="2:33" x14ac:dyDescent="0.35">
      <c r="B32" s="82" t="s">
        <v>51</v>
      </c>
    </row>
  </sheetData>
  <mergeCells count="6">
    <mergeCell ref="Q2:AG2"/>
    <mergeCell ref="B3:D3"/>
    <mergeCell ref="Q3:R3"/>
    <mergeCell ref="AE3:AF3"/>
    <mergeCell ref="B4:D4"/>
    <mergeCell ref="AE4:AF4"/>
  </mergeCells>
  <pageMargins left="0.7" right="0.7" top="0.75" bottom="0.75" header="0.3" footer="0.3"/>
  <customProperties>
    <customPr name="EpmWorksheetKeyString_GUID" r:id="rId1"/>
  </customPropertie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5"/>
  <dimension ref="A2:AH32"/>
  <sheetViews>
    <sheetView zoomScale="85" zoomScaleNormal="85" workbookViewId="0">
      <selection activeCell="AP5" sqref="AP5"/>
    </sheetView>
  </sheetViews>
  <sheetFormatPr defaultColWidth="11.453125" defaultRowHeight="14.5" x14ac:dyDescent="0.35"/>
  <cols>
    <col min="1" max="1" width="3.453125" style="81" customWidth="1"/>
    <col min="2" max="2" width="14.1796875" style="82" customWidth="1"/>
    <col min="3" max="3" width="10.81640625" style="82" customWidth="1"/>
    <col min="4" max="4" width="10.54296875" style="82" customWidth="1"/>
    <col min="5" max="5" width="11" style="82" customWidth="1"/>
    <col min="6" max="6" width="11.1796875" style="82" hidden="1" customWidth="1"/>
    <col min="7" max="7" width="11" style="82" hidden="1" customWidth="1"/>
    <col min="8" max="8" width="11.54296875" style="82" customWidth="1"/>
    <col min="9" max="9" width="8.54296875" style="81" hidden="1" customWidth="1"/>
    <col min="10" max="10" width="2.81640625" style="81" customWidth="1"/>
    <col min="11" max="11" width="15.1796875" style="81" customWidth="1"/>
    <col min="12" max="14" width="10.81640625" style="82" customWidth="1"/>
    <col min="15" max="15" width="11.81640625" style="82" bestFit="1" customWidth="1"/>
    <col min="16" max="16" width="2.81640625" style="81" customWidth="1"/>
    <col min="17" max="17" width="28.81640625" style="81" customWidth="1"/>
    <col min="18" max="18" width="16.1796875" style="81" hidden="1" customWidth="1"/>
    <col min="19" max="19" width="17.54296875" style="81" hidden="1" customWidth="1"/>
    <col min="20" max="20" width="14.54296875" style="81" hidden="1" customWidth="1"/>
    <col min="21" max="21" width="16" style="81" hidden="1" customWidth="1"/>
    <col min="22" max="22" width="17.81640625" style="81" hidden="1" customWidth="1"/>
    <col min="23" max="23" width="17.1796875" style="81" hidden="1" customWidth="1"/>
    <col min="24" max="29" width="14.453125" style="81" hidden="1" customWidth="1"/>
    <col min="30" max="30" width="16.453125" style="81" hidden="1" customWidth="1"/>
    <col min="31" max="31" width="14.81640625" style="81" customWidth="1"/>
    <col min="32" max="34" width="11.453125" style="81" customWidth="1"/>
    <col min="35" max="16384" width="11.453125" style="81"/>
  </cols>
  <sheetData>
    <row r="2" spans="1:34" x14ac:dyDescent="0.35">
      <c r="B2" s="86"/>
      <c r="C2" s="86"/>
      <c r="D2" s="86"/>
      <c r="E2" s="87"/>
      <c r="F2" s="87"/>
      <c r="G2" s="87"/>
      <c r="H2" s="87"/>
      <c r="I2" s="87"/>
      <c r="J2" s="87"/>
      <c r="K2" s="87"/>
      <c r="L2" s="87"/>
      <c r="M2" s="87"/>
      <c r="N2" s="87"/>
      <c r="O2" s="87"/>
      <c r="Q2" s="574"/>
      <c r="R2" s="574"/>
      <c r="S2" s="574"/>
      <c r="T2" s="574"/>
      <c r="U2" s="574"/>
      <c r="V2" s="574"/>
      <c r="W2" s="574"/>
      <c r="X2" s="574"/>
      <c r="Y2" s="574"/>
      <c r="Z2" s="574"/>
      <c r="AA2" s="574"/>
      <c r="AB2" s="574"/>
      <c r="AC2" s="574"/>
      <c r="AD2" s="574"/>
      <c r="AE2" s="574"/>
      <c r="AF2" s="574"/>
      <c r="AG2" s="574"/>
      <c r="AH2" s="574"/>
    </row>
    <row r="3" spans="1:34" s="142" customFormat="1" ht="15" customHeight="1" x14ac:dyDescent="0.35">
      <c r="B3" s="576" t="s">
        <v>66</v>
      </c>
      <c r="C3" s="576"/>
      <c r="D3" s="576"/>
      <c r="E3" s="141">
        <f>+AE12</f>
        <v>1433.6641479452055</v>
      </c>
      <c r="G3" s="141"/>
      <c r="H3" s="141"/>
      <c r="I3" s="143">
        <v>0.05</v>
      </c>
      <c r="J3" s="144"/>
      <c r="K3" s="145"/>
      <c r="L3" s="141"/>
      <c r="M3" s="141"/>
      <c r="N3" s="141"/>
      <c r="Q3" s="576"/>
      <c r="R3" s="576"/>
      <c r="S3" s="141"/>
      <c r="T3" s="143"/>
      <c r="U3" s="144"/>
      <c r="V3" s="144"/>
      <c r="W3" s="144"/>
      <c r="X3" s="144"/>
      <c r="Y3" s="144"/>
      <c r="Z3" s="144"/>
      <c r="AA3" s="144"/>
      <c r="AB3" s="144"/>
      <c r="AC3" s="144"/>
      <c r="AD3" s="144"/>
      <c r="AE3" s="144"/>
      <c r="AF3" s="576"/>
      <c r="AG3" s="576"/>
      <c r="AH3" s="141"/>
    </row>
    <row r="4" spans="1:34" s="133" customFormat="1" ht="15" customHeight="1" x14ac:dyDescent="0.35">
      <c r="B4" s="576" t="s">
        <v>67</v>
      </c>
      <c r="C4" s="576"/>
      <c r="D4" s="576"/>
      <c r="E4" s="134">
        <f>+AE13</f>
        <v>1361.9809405479452</v>
      </c>
      <c r="F4" s="135"/>
      <c r="G4" s="134"/>
      <c r="H4" s="134"/>
      <c r="I4" s="137">
        <f>+E3*I3</f>
        <v>71.683207397260276</v>
      </c>
      <c r="J4" s="136"/>
      <c r="K4" s="146"/>
      <c r="L4" s="134"/>
      <c r="M4" s="134"/>
      <c r="N4" s="134"/>
      <c r="O4" s="135"/>
      <c r="Q4" s="138"/>
      <c r="R4" s="139"/>
      <c r="S4" s="140"/>
      <c r="U4" s="136"/>
      <c r="V4" s="136"/>
      <c r="W4" s="136"/>
      <c r="X4" s="136"/>
      <c r="Y4" s="136"/>
      <c r="Z4" s="136"/>
      <c r="AA4" s="136"/>
      <c r="AB4" s="136"/>
      <c r="AC4" s="136"/>
      <c r="AD4" s="136"/>
      <c r="AE4" s="136"/>
      <c r="AF4" s="577"/>
      <c r="AG4" s="577"/>
      <c r="AH4" s="134"/>
    </row>
    <row r="5" spans="1:34" ht="23.5" x14ac:dyDescent="0.55000000000000004">
      <c r="B5" s="91"/>
      <c r="C5" s="92">
        <f>+(C9+C10)/C7*1000</f>
        <v>1429.9007795568493</v>
      </c>
      <c r="D5" s="92">
        <f t="shared" ref="D5:H5" si="0">+(D9+D10)/D7*1000</f>
        <v>1429.9007795568493</v>
      </c>
      <c r="E5" s="92">
        <f t="shared" si="0"/>
        <v>1429.9007795568496</v>
      </c>
      <c r="F5" s="92">
        <f t="shared" si="0"/>
        <v>1448.0007894246576</v>
      </c>
      <c r="G5" s="92">
        <f t="shared" si="0"/>
        <v>1429.9007795568496</v>
      </c>
      <c r="H5" s="92">
        <f t="shared" si="0"/>
        <v>1429.9007795568493</v>
      </c>
      <c r="J5" s="88"/>
      <c r="K5" s="91"/>
      <c r="L5" s="92"/>
      <c r="M5" s="92"/>
      <c r="N5" s="92"/>
      <c r="O5" s="92"/>
      <c r="Q5" s="93"/>
      <c r="R5" s="82"/>
      <c r="S5" s="90"/>
      <c r="T5" s="94"/>
      <c r="U5" s="88"/>
      <c r="V5" s="88"/>
      <c r="W5" s="88"/>
      <c r="X5" s="88"/>
      <c r="Y5" s="88"/>
      <c r="Z5" s="88"/>
      <c r="AA5" s="88"/>
      <c r="AB5" s="88"/>
      <c r="AC5" s="88"/>
      <c r="AD5" s="88"/>
      <c r="AE5" s="88"/>
      <c r="AF5" s="91"/>
      <c r="AG5" s="91"/>
      <c r="AH5" s="78"/>
    </row>
    <row r="6" spans="1:34" s="95" customFormat="1" ht="33.75" customHeight="1" x14ac:dyDescent="0.35">
      <c r="B6" s="85" t="s">
        <v>5</v>
      </c>
      <c r="C6" s="85" t="s">
        <v>68</v>
      </c>
      <c r="D6" s="85" t="s">
        <v>69</v>
      </c>
      <c r="E6" s="85" t="s">
        <v>69</v>
      </c>
      <c r="F6" s="85" t="s">
        <v>70</v>
      </c>
      <c r="G6" s="85" t="s">
        <v>70</v>
      </c>
      <c r="H6" s="85" t="s">
        <v>70</v>
      </c>
      <c r="I6" s="85"/>
      <c r="J6" s="88"/>
      <c r="K6" s="85" t="s">
        <v>71</v>
      </c>
      <c r="L6" s="96" t="s">
        <v>8</v>
      </c>
      <c r="M6" s="96" t="s">
        <v>7</v>
      </c>
      <c r="N6" s="96" t="s">
        <v>8</v>
      </c>
      <c r="O6" s="96" t="s">
        <v>63</v>
      </c>
      <c r="Q6" s="147" t="s">
        <v>72</v>
      </c>
      <c r="R6" s="99" t="s">
        <v>54</v>
      </c>
      <c r="S6" s="99" t="s">
        <v>55</v>
      </c>
      <c r="T6" s="99" t="s">
        <v>56</v>
      </c>
      <c r="U6" s="99" t="s">
        <v>12</v>
      </c>
      <c r="V6" s="99" t="s">
        <v>57</v>
      </c>
      <c r="W6" s="99" t="s">
        <v>58</v>
      </c>
      <c r="X6" s="99" t="s">
        <v>59</v>
      </c>
      <c r="Y6" s="99" t="s">
        <v>60</v>
      </c>
      <c r="Z6" s="99" t="s">
        <v>62</v>
      </c>
      <c r="AA6" s="99" t="s">
        <v>64</v>
      </c>
      <c r="AB6" s="99" t="s">
        <v>65</v>
      </c>
      <c r="AC6" s="99" t="s">
        <v>73</v>
      </c>
      <c r="AD6" s="99" t="s">
        <v>53</v>
      </c>
      <c r="AE6" s="99" t="s">
        <v>77</v>
      </c>
      <c r="AF6" s="100"/>
      <c r="AG6" s="97"/>
      <c r="AH6" s="97"/>
    </row>
    <row r="7" spans="1:34" x14ac:dyDescent="0.35">
      <c r="B7" s="85" t="s">
        <v>13</v>
      </c>
      <c r="C7" s="101">
        <v>16.7</v>
      </c>
      <c r="D7" s="101">
        <v>16.7</v>
      </c>
      <c r="E7" s="101">
        <v>20.5</v>
      </c>
      <c r="F7" s="101">
        <v>30.6</v>
      </c>
      <c r="G7" s="101">
        <v>30.6</v>
      </c>
      <c r="H7" s="101">
        <v>38.6</v>
      </c>
      <c r="I7" s="101"/>
      <c r="K7" s="85" t="s">
        <v>13</v>
      </c>
      <c r="L7" s="101">
        <v>20.5</v>
      </c>
      <c r="M7" s="101">
        <v>15</v>
      </c>
      <c r="N7" s="101">
        <v>20.5</v>
      </c>
      <c r="O7" s="101">
        <v>30.6</v>
      </c>
      <c r="Q7" s="102" t="s">
        <v>14</v>
      </c>
      <c r="R7" s="104">
        <v>938.13</v>
      </c>
      <c r="S7" s="105">
        <v>959</v>
      </c>
      <c r="T7" s="104">
        <v>1006.25</v>
      </c>
      <c r="U7" s="130">
        <v>993.75</v>
      </c>
      <c r="V7" s="131">
        <v>1015.5</v>
      </c>
      <c r="W7" s="131">
        <v>1045.5999999999999</v>
      </c>
      <c r="X7" s="43">
        <v>1103.75</v>
      </c>
      <c r="Y7" s="43">
        <v>1148.75</v>
      </c>
      <c r="Z7" s="43">
        <v>1167</v>
      </c>
      <c r="AA7" s="43">
        <v>1221.25</v>
      </c>
      <c r="AB7" s="43">
        <v>1330</v>
      </c>
      <c r="AC7" s="43">
        <f>+'IHS (Mod)'!I5</f>
        <v>1280</v>
      </c>
      <c r="AD7" s="43">
        <f>+'IHS (Mod)'!J5</f>
        <v>1279.380005</v>
      </c>
      <c r="AE7" s="43">
        <v>1275.5</v>
      </c>
      <c r="AF7" s="85"/>
      <c r="AG7" s="101"/>
      <c r="AH7" s="101"/>
    </row>
    <row r="8" spans="1:34" x14ac:dyDescent="0.35">
      <c r="B8" s="79" t="s">
        <v>16</v>
      </c>
      <c r="C8" s="91" t="s">
        <v>17</v>
      </c>
      <c r="D8" s="91" t="s">
        <v>17</v>
      </c>
      <c r="E8" s="91" t="s">
        <v>17</v>
      </c>
      <c r="F8" s="91" t="s">
        <v>17</v>
      </c>
      <c r="G8" s="91" t="s">
        <v>17</v>
      </c>
      <c r="H8" s="91" t="s">
        <v>17</v>
      </c>
      <c r="I8" s="91"/>
      <c r="K8" s="79" t="s">
        <v>16</v>
      </c>
      <c r="L8" s="91" t="s">
        <v>17</v>
      </c>
      <c r="M8" s="91" t="s">
        <v>17</v>
      </c>
      <c r="N8" s="91" t="s">
        <v>17</v>
      </c>
      <c r="O8" s="91" t="s">
        <v>17</v>
      </c>
      <c r="Q8" s="128" t="s">
        <v>18</v>
      </c>
      <c r="R8" s="129">
        <v>25.09</v>
      </c>
      <c r="S8" s="129">
        <v>25.09</v>
      </c>
      <c r="T8" s="129">
        <v>25.09</v>
      </c>
      <c r="U8" s="129">
        <v>25</v>
      </c>
      <c r="V8" s="129">
        <v>25</v>
      </c>
      <c r="W8" s="129">
        <v>25</v>
      </c>
      <c r="X8" s="129">
        <v>25</v>
      </c>
      <c r="Y8" s="129">
        <v>25</v>
      </c>
      <c r="Z8" s="129">
        <v>25</v>
      </c>
      <c r="AA8" s="129">
        <v>25</v>
      </c>
      <c r="AB8" s="129">
        <v>25</v>
      </c>
      <c r="AC8" s="129">
        <v>33.139726027397259</v>
      </c>
      <c r="AD8" s="129">
        <f>+Septiembre18!AD8</f>
        <v>33.1236741020548</v>
      </c>
      <c r="AE8" s="129">
        <f>+AH8</f>
        <v>33.023219178082194</v>
      </c>
      <c r="AF8" s="79">
        <f>+AE7*4.5%</f>
        <v>57.397500000000001</v>
      </c>
      <c r="AG8" s="91">
        <f>+AF8/365</f>
        <v>0.15725342465753425</v>
      </c>
      <c r="AH8" s="91">
        <f>+AG8*210</f>
        <v>33.023219178082194</v>
      </c>
    </row>
    <row r="9" spans="1:34" x14ac:dyDescent="0.35">
      <c r="B9" s="79" t="s">
        <v>19</v>
      </c>
      <c r="C9" s="80">
        <f>+(C7*E3/1000)*1.01*75%</f>
        <v>18.136209887543835</v>
      </c>
      <c r="D9" s="80">
        <f>+(D7*$E$3/1000)*1.01*75%</f>
        <v>18.136209887543835</v>
      </c>
      <c r="E9" s="80">
        <f>+(E7*$E$3/1000)*1.01*75%</f>
        <v>22.263012137404111</v>
      </c>
      <c r="F9" s="80">
        <f>+(F7*E3/1000)*1.01</f>
        <v>44.308824156394522</v>
      </c>
      <c r="G9" s="80">
        <f>+(G7*$E$3/1000)*1.01*75%</f>
        <v>33.231618117295895</v>
      </c>
      <c r="H9" s="80">
        <f>+(H7*$E$3/1000)*1.01*75%</f>
        <v>41.919622853843833</v>
      </c>
      <c r="I9" s="80"/>
      <c r="K9" s="79" t="s">
        <v>19</v>
      </c>
      <c r="L9" s="80">
        <f>+(L7*E3/1000)*1.005</f>
        <v>29.537065608041093</v>
      </c>
      <c r="M9" s="80">
        <f>+(M7*E3/1000)*1.005*75%</f>
        <v>16.20936527270548</v>
      </c>
      <c r="N9" s="80">
        <f>+(N7*E3/1000)*1.005*75%</f>
        <v>22.152799206030821</v>
      </c>
      <c r="O9" s="80">
        <f>+(O7*E3/1000)*1.005*75%</f>
        <v>33.067105156319172</v>
      </c>
      <c r="Q9" s="125" t="s">
        <v>20</v>
      </c>
      <c r="R9" s="126">
        <v>65</v>
      </c>
      <c r="S9" s="127">
        <v>65</v>
      </c>
      <c r="T9" s="126">
        <v>65</v>
      </c>
      <c r="U9" s="126">
        <v>65</v>
      </c>
      <c r="V9" s="126">
        <v>65</v>
      </c>
      <c r="W9" s="126">
        <v>65</v>
      </c>
      <c r="X9" s="126">
        <v>65</v>
      </c>
      <c r="Y9" s="126">
        <v>65</v>
      </c>
      <c r="Z9" s="126">
        <v>65</v>
      </c>
      <c r="AA9" s="126">
        <v>65</v>
      </c>
      <c r="AB9" s="126">
        <v>65</v>
      </c>
      <c r="AC9" s="126">
        <v>70</v>
      </c>
      <c r="AD9" s="126">
        <v>70</v>
      </c>
      <c r="AE9" s="126">
        <v>70</v>
      </c>
      <c r="AF9" s="79"/>
      <c r="AG9" s="80"/>
      <c r="AH9" s="80"/>
    </row>
    <row r="10" spans="1:34" x14ac:dyDescent="0.35">
      <c r="B10" s="75" t="s">
        <v>23</v>
      </c>
      <c r="C10" s="76">
        <f>+(C7*$E$4/1000)*1.01*25%</f>
        <v>5.743133131055548</v>
      </c>
      <c r="D10" s="76">
        <f>+(D7*$E$4/1000)*1.01*25%</f>
        <v>5.743133131055548</v>
      </c>
      <c r="E10" s="76">
        <f>+(E7*$E$4/1000)*1.01*25%</f>
        <v>7.0499538435113021</v>
      </c>
      <c r="F10" s="76">
        <v>0</v>
      </c>
      <c r="G10" s="76">
        <f>+(G7*$E$4/1000)*1.01*25%</f>
        <v>10.523345737143698</v>
      </c>
      <c r="H10" s="76">
        <f>+(H7*$E$4/1000)*1.01*25%</f>
        <v>13.274547237050548</v>
      </c>
      <c r="I10" s="76"/>
      <c r="J10" s="121"/>
      <c r="K10" s="75" t="s">
        <v>23</v>
      </c>
      <c r="L10" s="76">
        <v>0</v>
      </c>
      <c r="M10" s="76">
        <f>+(M7*E4/1000)*1.005*25%</f>
        <v>5.1329656696900674</v>
      </c>
      <c r="N10" s="76">
        <f>+(N7*E4/1000)*1.005*25%</f>
        <v>7.0150530819097598</v>
      </c>
      <c r="O10" s="76">
        <f>+(O7*E4/1000)*1.005*25%</f>
        <v>10.471249966167738</v>
      </c>
      <c r="Q10" s="102"/>
      <c r="R10" s="104">
        <f>SUM(R7:R9)</f>
        <v>1028.22</v>
      </c>
      <c r="S10" s="104">
        <f>SUM(S7:S9)</f>
        <v>1049.0900000000001</v>
      </c>
      <c r="T10" s="104">
        <f>SUM(T7:T9)</f>
        <v>1096.3399999999999</v>
      </c>
      <c r="U10" s="104">
        <f>SUM(U7:U9)</f>
        <v>1083.75</v>
      </c>
      <c r="V10" s="104">
        <f t="shared" ref="V10:AD10" si="1">SUM(V7:V9)</f>
        <v>1105.5</v>
      </c>
      <c r="W10" s="104">
        <f t="shared" si="1"/>
        <v>1135.5999999999999</v>
      </c>
      <c r="X10" s="104">
        <f t="shared" si="1"/>
        <v>1193.75</v>
      </c>
      <c r="Y10" s="104">
        <f t="shared" si="1"/>
        <v>1238.75</v>
      </c>
      <c r="Z10" s="104">
        <f t="shared" si="1"/>
        <v>1257</v>
      </c>
      <c r="AA10" s="104">
        <f t="shared" si="1"/>
        <v>1311.25</v>
      </c>
      <c r="AB10" s="104">
        <f t="shared" si="1"/>
        <v>1420</v>
      </c>
      <c r="AC10" s="104">
        <f t="shared" si="1"/>
        <v>1383.1397260273973</v>
      </c>
      <c r="AD10" s="104">
        <f t="shared" si="1"/>
        <v>1382.5036791020548</v>
      </c>
      <c r="AE10" s="104">
        <f t="shared" ref="AE10" si="2">SUM(AE7:AE9)</f>
        <v>1378.5232191780822</v>
      </c>
      <c r="AF10" s="79"/>
      <c r="AG10" s="80"/>
      <c r="AH10" s="80"/>
    </row>
    <row r="11" spans="1:34" x14ac:dyDescent="0.35">
      <c r="B11" s="79" t="s">
        <v>26</v>
      </c>
      <c r="C11" s="80">
        <v>8.1999999999999993</v>
      </c>
      <c r="D11" s="80">
        <v>8.1999999999999993</v>
      </c>
      <c r="E11" s="80">
        <v>8.1999999999999993</v>
      </c>
      <c r="F11" s="80">
        <v>11.15</v>
      </c>
      <c r="G11" s="80">
        <v>11.15</v>
      </c>
      <c r="H11" s="80">
        <v>11.15</v>
      </c>
      <c r="I11" s="80"/>
      <c r="K11" s="79" t="s">
        <v>26</v>
      </c>
      <c r="L11" s="80">
        <v>27.2</v>
      </c>
      <c r="M11" s="80">
        <v>27.2</v>
      </c>
      <c r="N11" s="80">
        <v>27.2</v>
      </c>
      <c r="O11" s="80">
        <f>11.15+28.25</f>
        <v>39.4</v>
      </c>
      <c r="Q11" s="106" t="s">
        <v>27</v>
      </c>
      <c r="R11" s="108">
        <f>+R10*4%</f>
        <v>41.128800000000005</v>
      </c>
      <c r="S11" s="104">
        <f>+S10*4%</f>
        <v>41.963600000000007</v>
      </c>
      <c r="T11" s="108">
        <f>+T10*4%</f>
        <v>43.8536</v>
      </c>
      <c r="U11" s="108">
        <f>+U10*4%</f>
        <v>43.35</v>
      </c>
      <c r="V11" s="108">
        <f t="shared" ref="V11:AD11" si="3">+V10*4%</f>
        <v>44.22</v>
      </c>
      <c r="W11" s="108">
        <f t="shared" si="3"/>
        <v>45.423999999999999</v>
      </c>
      <c r="X11" s="108">
        <f t="shared" si="3"/>
        <v>47.75</v>
      </c>
      <c r="Y11" s="108">
        <f t="shared" si="3"/>
        <v>49.550000000000004</v>
      </c>
      <c r="Z11" s="108">
        <f t="shared" si="3"/>
        <v>50.28</v>
      </c>
      <c r="AA11" s="108">
        <f t="shared" si="3"/>
        <v>52.45</v>
      </c>
      <c r="AB11" s="108">
        <f t="shared" si="3"/>
        <v>56.800000000000004</v>
      </c>
      <c r="AC11" s="108">
        <f t="shared" si="3"/>
        <v>55.325589041095895</v>
      </c>
      <c r="AD11" s="108">
        <f t="shared" si="3"/>
        <v>55.30014716408219</v>
      </c>
      <c r="AE11" s="108">
        <f t="shared" ref="AE11" si="4">+AE10*4%</f>
        <v>55.140928767123285</v>
      </c>
      <c r="AF11" s="79"/>
      <c r="AG11" s="80"/>
      <c r="AH11" s="80"/>
    </row>
    <row r="12" spans="1:34" x14ac:dyDescent="0.35">
      <c r="B12" s="79" t="s">
        <v>31</v>
      </c>
      <c r="C12" s="80">
        <v>1.3</v>
      </c>
      <c r="D12" s="80">
        <v>1.3</v>
      </c>
      <c r="E12" s="80">
        <v>1.3</v>
      </c>
      <c r="F12" s="80">
        <v>2.38</v>
      </c>
      <c r="G12" s="80">
        <v>2.38</v>
      </c>
      <c r="H12" s="80">
        <v>2.38</v>
      </c>
      <c r="I12" s="80"/>
      <c r="K12" s="79" t="s">
        <v>31</v>
      </c>
      <c r="L12" s="80">
        <v>1.99</v>
      </c>
      <c r="M12" s="80">
        <v>0.81</v>
      </c>
      <c r="N12" s="80">
        <v>1.99</v>
      </c>
      <c r="O12" s="80">
        <v>2.97</v>
      </c>
      <c r="Q12" s="157" t="s">
        <v>30</v>
      </c>
      <c r="R12" s="158">
        <f>+R11+R10</f>
        <v>1069.3488</v>
      </c>
      <c r="S12" s="159">
        <f>+S11+S10</f>
        <v>1091.0536000000002</v>
      </c>
      <c r="T12" s="158">
        <f>+T11+T10</f>
        <v>1140.1935999999998</v>
      </c>
      <c r="U12" s="158">
        <f>+U11+U10</f>
        <v>1127.0999999999999</v>
      </c>
      <c r="V12" s="158">
        <f t="shared" ref="V12:AD12" si="5">+V11+V10</f>
        <v>1149.72</v>
      </c>
      <c r="W12" s="158">
        <f t="shared" si="5"/>
        <v>1181.0239999999999</v>
      </c>
      <c r="X12" s="158">
        <f t="shared" si="5"/>
        <v>1241.5</v>
      </c>
      <c r="Y12" s="158">
        <f t="shared" si="5"/>
        <v>1288.3</v>
      </c>
      <c r="Z12" s="158">
        <f t="shared" si="5"/>
        <v>1307.28</v>
      </c>
      <c r="AA12" s="158">
        <f t="shared" si="5"/>
        <v>1363.7</v>
      </c>
      <c r="AB12" s="158">
        <f t="shared" si="5"/>
        <v>1476.8</v>
      </c>
      <c r="AC12" s="158">
        <f t="shared" si="5"/>
        <v>1438.4653150684931</v>
      </c>
      <c r="AD12" s="158">
        <f t="shared" si="5"/>
        <v>1437.8038262661369</v>
      </c>
      <c r="AE12" s="158">
        <f t="shared" ref="AE12" si="6">+AE11+AE10</f>
        <v>1433.6641479452055</v>
      </c>
      <c r="AF12" s="79"/>
      <c r="AG12" s="80"/>
      <c r="AH12" s="80"/>
    </row>
    <row r="13" spans="1:34" x14ac:dyDescent="0.35">
      <c r="B13" s="79" t="s">
        <v>34</v>
      </c>
      <c r="C13" s="80">
        <v>0.19</v>
      </c>
      <c r="D13" s="80">
        <v>0.19</v>
      </c>
      <c r="E13" s="80">
        <v>0.19</v>
      </c>
      <c r="F13" s="80">
        <v>0.33</v>
      </c>
      <c r="G13" s="80">
        <v>0.33</v>
      </c>
      <c r="H13" s="80">
        <v>0.33</v>
      </c>
      <c r="I13" s="80"/>
      <c r="K13" s="79" t="s">
        <v>34</v>
      </c>
      <c r="L13" s="80">
        <v>2.71</v>
      </c>
      <c r="M13" s="80">
        <v>2.71</v>
      </c>
      <c r="N13" s="80">
        <v>2.71</v>
      </c>
      <c r="O13" s="80">
        <v>4.4400000000000004</v>
      </c>
      <c r="Q13" s="160" t="s">
        <v>32</v>
      </c>
      <c r="R13" s="161">
        <f>+R12*(1-5%)</f>
        <v>1015.88136</v>
      </c>
      <c r="S13" s="161">
        <f t="shared" ref="S13:AD13" si="7">+S12*(1-5%)</f>
        <v>1036.5009200000002</v>
      </c>
      <c r="T13" s="161">
        <f t="shared" si="7"/>
        <v>1083.1839199999997</v>
      </c>
      <c r="U13" s="161">
        <f t="shared" si="7"/>
        <v>1070.7449999999999</v>
      </c>
      <c r="V13" s="161">
        <f t="shared" si="7"/>
        <v>1092.2339999999999</v>
      </c>
      <c r="W13" s="161">
        <f t="shared" si="7"/>
        <v>1121.9727999999998</v>
      </c>
      <c r="X13" s="161">
        <f t="shared" si="7"/>
        <v>1179.425</v>
      </c>
      <c r="Y13" s="161">
        <f t="shared" si="7"/>
        <v>1223.885</v>
      </c>
      <c r="Z13" s="161">
        <f t="shared" si="7"/>
        <v>1241.9159999999999</v>
      </c>
      <c r="AA13" s="161">
        <f t="shared" si="7"/>
        <v>1295.5149999999999</v>
      </c>
      <c r="AB13" s="161">
        <f t="shared" si="7"/>
        <v>1402.9599999999998</v>
      </c>
      <c r="AC13" s="161">
        <f t="shared" si="7"/>
        <v>1366.5420493150684</v>
      </c>
      <c r="AD13" s="161">
        <f t="shared" si="7"/>
        <v>1365.9136349528299</v>
      </c>
      <c r="AE13" s="161">
        <f t="shared" ref="AE13" si="8">+AE12*(1-5%)</f>
        <v>1361.9809405479452</v>
      </c>
      <c r="AF13" s="79"/>
      <c r="AG13" s="80"/>
      <c r="AH13" s="80"/>
    </row>
    <row r="14" spans="1:34" x14ac:dyDescent="0.35">
      <c r="B14" s="79" t="s">
        <v>36</v>
      </c>
      <c r="C14" s="80">
        <v>0.16</v>
      </c>
      <c r="D14" s="80">
        <v>0.16</v>
      </c>
      <c r="E14" s="80">
        <v>0.16</v>
      </c>
      <c r="F14" s="80">
        <v>0.28000000000000003</v>
      </c>
      <c r="G14" s="80">
        <v>0.28000000000000003</v>
      </c>
      <c r="H14" s="80">
        <v>0.28000000000000003</v>
      </c>
      <c r="I14" s="80"/>
      <c r="K14" s="79" t="s">
        <v>36</v>
      </c>
      <c r="L14" s="80">
        <v>7.77</v>
      </c>
      <c r="M14" s="80">
        <v>7.77</v>
      </c>
      <c r="N14" s="80">
        <v>7.77</v>
      </c>
      <c r="O14" s="80">
        <v>15.99</v>
      </c>
      <c r="Q14" s="157" t="s">
        <v>35</v>
      </c>
      <c r="R14" s="158">
        <f>+R12*75%+R13*25%</f>
        <v>1055.9819400000001</v>
      </c>
      <c r="S14" s="158">
        <f t="shared" ref="S14:Z14" si="9">+S12*75%+S13*25%</f>
        <v>1077.4154300000002</v>
      </c>
      <c r="T14" s="158">
        <f t="shared" si="9"/>
        <v>1125.9411799999998</v>
      </c>
      <c r="U14" s="158">
        <f t="shared" si="9"/>
        <v>1113.01125</v>
      </c>
      <c r="V14" s="158">
        <f t="shared" si="9"/>
        <v>1135.3485000000001</v>
      </c>
      <c r="W14" s="158">
        <f t="shared" si="9"/>
        <v>1166.2611999999999</v>
      </c>
      <c r="X14" s="158">
        <f t="shared" si="9"/>
        <v>1225.98125</v>
      </c>
      <c r="Y14" s="158">
        <f t="shared" si="9"/>
        <v>1272.19625</v>
      </c>
      <c r="Z14" s="158">
        <f t="shared" si="9"/>
        <v>1290.9390000000001</v>
      </c>
      <c r="AA14" s="158">
        <f>+AA12*75%+AA13*25%</f>
        <v>1346.6537499999999</v>
      </c>
      <c r="AB14" s="158">
        <f>+AB12*75%+AB13*25%</f>
        <v>1458.34</v>
      </c>
      <c r="AC14" s="158">
        <f>+AC12*75%+AC13*25%</f>
        <v>1420.4844986301368</v>
      </c>
      <c r="AD14" s="158">
        <f>+AD12*75%+AD13*25%</f>
        <v>1419.8312784378102</v>
      </c>
      <c r="AE14" s="158">
        <f>+AE12*75%+AE13*25%</f>
        <v>1415.7433460958905</v>
      </c>
      <c r="AF14" s="79"/>
      <c r="AG14" s="80"/>
      <c r="AH14" s="80"/>
    </row>
    <row r="15" spans="1:34" x14ac:dyDescent="0.35">
      <c r="B15" s="85" t="s">
        <v>39</v>
      </c>
      <c r="C15" s="84">
        <f t="shared" ref="C15:H15" si="10">SUM(C9:C14)</f>
        <v>33.729343018599373</v>
      </c>
      <c r="D15" s="84">
        <f t="shared" si="10"/>
        <v>33.729343018599373</v>
      </c>
      <c r="E15" s="84">
        <f t="shared" si="10"/>
        <v>39.162965980915402</v>
      </c>
      <c r="F15" s="84">
        <f t="shared" si="10"/>
        <v>58.448824156394522</v>
      </c>
      <c r="G15" s="84">
        <f t="shared" si="10"/>
        <v>57.894963854439595</v>
      </c>
      <c r="H15" s="84">
        <f t="shared" si="10"/>
        <v>69.334170090894375</v>
      </c>
      <c r="I15" s="84"/>
      <c r="K15" s="85" t="s">
        <v>39</v>
      </c>
      <c r="L15" s="84">
        <f>SUM(L9:L14)</f>
        <v>69.207065608041091</v>
      </c>
      <c r="M15" s="84">
        <f>SUM(M9:M14)</f>
        <v>59.832330942395558</v>
      </c>
      <c r="N15" s="84">
        <f>SUM(N9:N14)</f>
        <v>68.837852287940578</v>
      </c>
      <c r="O15" s="84">
        <f>SUM(O9:O14)</f>
        <v>106.3383551224869</v>
      </c>
      <c r="Q15" s="113" t="s">
        <v>37</v>
      </c>
      <c r="R15" s="118">
        <f>+R14*1%</f>
        <v>10.559819400000002</v>
      </c>
      <c r="S15" s="118">
        <f t="shared" ref="S15:AD15" si="11">+S14*1%</f>
        <v>10.774154300000003</v>
      </c>
      <c r="T15" s="118">
        <f t="shared" si="11"/>
        <v>11.259411799999999</v>
      </c>
      <c r="U15" s="118">
        <f t="shared" si="11"/>
        <v>11.130112500000001</v>
      </c>
      <c r="V15" s="118">
        <f t="shared" si="11"/>
        <v>11.353485000000001</v>
      </c>
      <c r="W15" s="118">
        <f t="shared" si="11"/>
        <v>11.662611999999999</v>
      </c>
      <c r="X15" s="118">
        <f t="shared" si="11"/>
        <v>12.259812500000001</v>
      </c>
      <c r="Y15" s="118">
        <f t="shared" si="11"/>
        <v>12.7219625</v>
      </c>
      <c r="Z15" s="118">
        <f t="shared" si="11"/>
        <v>12.909390000000002</v>
      </c>
      <c r="AA15" s="118">
        <f t="shared" si="11"/>
        <v>13.466537499999999</v>
      </c>
      <c r="AB15" s="118">
        <f t="shared" si="11"/>
        <v>14.583399999999999</v>
      </c>
      <c r="AC15" s="118">
        <f t="shared" si="11"/>
        <v>14.204844986301369</v>
      </c>
      <c r="AD15" s="118">
        <f t="shared" si="11"/>
        <v>14.198312784378102</v>
      </c>
      <c r="AE15" s="118">
        <f t="shared" ref="AE15" si="12">+AE14*1%</f>
        <v>14.157433460958906</v>
      </c>
      <c r="AF15" s="79"/>
      <c r="AG15" s="80"/>
      <c r="AH15" s="80"/>
    </row>
    <row r="16" spans="1:34" x14ac:dyDescent="0.35">
      <c r="A16" s="81" t="s">
        <v>38</v>
      </c>
      <c r="Q16" s="113" t="s">
        <v>74</v>
      </c>
      <c r="R16" s="115">
        <f>+R15+R14</f>
        <v>1066.5417594</v>
      </c>
      <c r="S16" s="115">
        <f t="shared" ref="S16:AD16" si="13">+S15+S14</f>
        <v>1088.1895843000002</v>
      </c>
      <c r="T16" s="115">
        <f t="shared" si="13"/>
        <v>1137.2005917999998</v>
      </c>
      <c r="U16" s="115">
        <f t="shared" si="13"/>
        <v>1124.1413625</v>
      </c>
      <c r="V16" s="115">
        <f t="shared" si="13"/>
        <v>1146.7019850000001</v>
      </c>
      <c r="W16" s="115">
        <f t="shared" si="13"/>
        <v>1177.923812</v>
      </c>
      <c r="X16" s="115">
        <f t="shared" si="13"/>
        <v>1238.2410625</v>
      </c>
      <c r="Y16" s="115">
        <f t="shared" si="13"/>
        <v>1284.9182125</v>
      </c>
      <c r="Z16" s="115">
        <f t="shared" si="13"/>
        <v>1303.8483900000001</v>
      </c>
      <c r="AA16" s="115">
        <f t="shared" si="13"/>
        <v>1360.1202874999999</v>
      </c>
      <c r="AB16" s="115">
        <f t="shared" si="13"/>
        <v>1472.9233999999999</v>
      </c>
      <c r="AC16" s="115">
        <f t="shared" si="13"/>
        <v>1434.6893436164382</v>
      </c>
      <c r="AD16" s="115">
        <f t="shared" si="13"/>
        <v>1434.0295912221882</v>
      </c>
      <c r="AE16" s="115">
        <f t="shared" ref="AE16" si="14">+AE15+AE14</f>
        <v>1429.9007795568493</v>
      </c>
      <c r="AF16" s="85"/>
      <c r="AG16" s="84"/>
      <c r="AH16" s="84"/>
    </row>
    <row r="17" spans="2:34" hidden="1" x14ac:dyDescent="0.35">
      <c r="B17" s="85"/>
      <c r="C17" s="84"/>
      <c r="D17" s="84"/>
      <c r="E17" s="84"/>
      <c r="F17" s="84"/>
      <c r="G17" s="84"/>
      <c r="H17" s="84"/>
      <c r="I17" s="84"/>
      <c r="J17" s="94"/>
      <c r="L17" s="84"/>
      <c r="M17" s="84"/>
      <c r="N17" s="84"/>
      <c r="O17" s="84"/>
      <c r="Q17" s="85" t="s">
        <v>41</v>
      </c>
      <c r="R17" s="120">
        <f>+D5</f>
        <v>1429.9007795568493</v>
      </c>
      <c r="S17" s="120">
        <f>+R17</f>
        <v>1429.9007795568493</v>
      </c>
      <c r="T17" s="120">
        <f>+S17</f>
        <v>1429.9007795568493</v>
      </c>
      <c r="U17" s="120">
        <f>+T17</f>
        <v>1429.9007795568493</v>
      </c>
      <c r="V17" s="120">
        <f t="shared" ref="V17:AE17" si="15">+U17</f>
        <v>1429.9007795568493</v>
      </c>
      <c r="W17" s="120">
        <f t="shared" si="15"/>
        <v>1429.9007795568493</v>
      </c>
      <c r="X17" s="120">
        <f t="shared" si="15"/>
        <v>1429.9007795568493</v>
      </c>
      <c r="Y17" s="120">
        <f t="shared" si="15"/>
        <v>1429.9007795568493</v>
      </c>
      <c r="Z17" s="120">
        <f t="shared" si="15"/>
        <v>1429.9007795568493</v>
      </c>
      <c r="AA17" s="120">
        <f t="shared" si="15"/>
        <v>1429.9007795568493</v>
      </c>
      <c r="AB17" s="120">
        <f t="shared" si="15"/>
        <v>1429.9007795568493</v>
      </c>
      <c r="AC17" s="120">
        <f t="shared" si="15"/>
        <v>1429.9007795568493</v>
      </c>
      <c r="AD17" s="120">
        <f t="shared" si="15"/>
        <v>1429.9007795568493</v>
      </c>
      <c r="AE17" s="120">
        <f t="shared" si="15"/>
        <v>1429.9007795568493</v>
      </c>
      <c r="AG17" s="84"/>
      <c r="AH17" s="84"/>
    </row>
    <row r="18" spans="2:34" x14ac:dyDescent="0.35">
      <c r="C18" s="132"/>
      <c r="J18" s="94"/>
      <c r="Q18" s="82"/>
      <c r="R18" s="82"/>
      <c r="S18" s="82"/>
      <c r="U18" s="94"/>
      <c r="V18" s="94"/>
      <c r="W18" s="94"/>
      <c r="X18" s="94"/>
      <c r="Y18" s="94"/>
      <c r="Z18" s="94"/>
      <c r="AA18" s="94"/>
      <c r="AB18" s="94"/>
      <c r="AC18" s="94"/>
      <c r="AD18" s="94"/>
      <c r="AE18" s="94"/>
      <c r="AG18" s="82"/>
      <c r="AH18" s="82"/>
    </row>
    <row r="19" spans="2:34" x14ac:dyDescent="0.35">
      <c r="AG19" s="82"/>
      <c r="AH19" s="82"/>
    </row>
    <row r="20" spans="2:34" x14ac:dyDescent="0.35">
      <c r="M20" s="86" t="s">
        <v>75</v>
      </c>
      <c r="AG20" s="82"/>
      <c r="AH20" s="82"/>
    </row>
    <row r="25" spans="2:34" x14ac:dyDescent="0.35">
      <c r="L25" s="123"/>
    </row>
    <row r="32" spans="2:34" x14ac:dyDescent="0.35">
      <c r="B32" s="82" t="s">
        <v>51</v>
      </c>
    </row>
  </sheetData>
  <mergeCells count="6">
    <mergeCell ref="Q2:AH2"/>
    <mergeCell ref="B3:D3"/>
    <mergeCell ref="Q3:R3"/>
    <mergeCell ref="AF3:AG3"/>
    <mergeCell ref="B4:D4"/>
    <mergeCell ref="AF4:AG4"/>
  </mergeCells>
  <pageMargins left="0.7" right="0.7" top="0.75" bottom="0.75" header="0.3" footer="0.3"/>
  <customProperties>
    <customPr name="EpmWorksheetKeyString_GUID" r:id="rId1"/>
  </customPropertie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6"/>
  <dimension ref="A2:AI32"/>
  <sheetViews>
    <sheetView zoomScale="85" zoomScaleNormal="85" workbookViewId="0">
      <selection activeCell="AP5" sqref="AP5"/>
    </sheetView>
  </sheetViews>
  <sheetFormatPr defaultColWidth="11.453125" defaultRowHeight="14.5" x14ac:dyDescent="0.35"/>
  <cols>
    <col min="1" max="1" width="3.453125" style="81" customWidth="1"/>
    <col min="2" max="2" width="14.1796875" style="82" customWidth="1"/>
    <col min="3" max="3" width="10.81640625" style="82" customWidth="1"/>
    <col min="4" max="4" width="10.54296875" style="82" customWidth="1"/>
    <col min="5" max="5" width="11" style="82" customWidth="1"/>
    <col min="6" max="6" width="11.1796875" style="82" hidden="1" customWidth="1"/>
    <col min="7" max="7" width="11" style="82" hidden="1" customWidth="1"/>
    <col min="8" max="8" width="11.54296875" style="82" customWidth="1"/>
    <col min="9" max="9" width="8.54296875" style="81" hidden="1" customWidth="1"/>
    <col min="10" max="10" width="2.81640625" style="81" customWidth="1"/>
    <col min="11" max="11" width="15.1796875" style="81" customWidth="1"/>
    <col min="12" max="14" width="10.81640625" style="82" customWidth="1"/>
    <col min="15" max="15" width="11.81640625" style="82" bestFit="1" customWidth="1"/>
    <col min="16" max="16" width="2.81640625" style="81" customWidth="1"/>
    <col min="17" max="17" width="28.81640625" style="81" customWidth="1"/>
    <col min="18" max="18" width="16.1796875" style="81" hidden="1" customWidth="1"/>
    <col min="19" max="19" width="17.54296875" style="81" hidden="1" customWidth="1"/>
    <col min="20" max="20" width="14.54296875" style="81" hidden="1" customWidth="1"/>
    <col min="21" max="21" width="16" style="81" hidden="1" customWidth="1"/>
    <col min="22" max="22" width="17.81640625" style="81" hidden="1" customWidth="1"/>
    <col min="23" max="23" width="17.1796875" style="81" hidden="1" customWidth="1"/>
    <col min="24" max="29" width="14.453125" style="81" hidden="1" customWidth="1"/>
    <col min="30" max="30" width="16.453125" style="81" hidden="1" customWidth="1"/>
    <col min="31" max="32" width="14.81640625" style="81" customWidth="1"/>
    <col min="33" max="35" width="11.453125" style="81" hidden="1" customWidth="1"/>
    <col min="36" max="36" width="0" style="81" hidden="1" customWidth="1"/>
    <col min="37" max="16384" width="11.453125" style="81"/>
  </cols>
  <sheetData>
    <row r="2" spans="1:35" x14ac:dyDescent="0.35">
      <c r="B2" s="86"/>
      <c r="C2" s="86"/>
      <c r="D2" s="86"/>
      <c r="E2" s="87"/>
      <c r="F2" s="87"/>
      <c r="G2" s="87"/>
      <c r="H2" s="87"/>
      <c r="I2" s="87"/>
      <c r="J2" s="87"/>
      <c r="K2" s="87"/>
      <c r="L2" s="87"/>
      <c r="M2" s="87"/>
      <c r="N2" s="87"/>
      <c r="O2" s="87"/>
      <c r="Q2" s="574"/>
      <c r="R2" s="574"/>
      <c r="S2" s="574"/>
      <c r="T2" s="574"/>
      <c r="U2" s="574"/>
      <c r="V2" s="574"/>
      <c r="W2" s="574"/>
      <c r="X2" s="574"/>
      <c r="Y2" s="574"/>
      <c r="Z2" s="574"/>
      <c r="AA2" s="574"/>
      <c r="AB2" s="574"/>
      <c r="AC2" s="574"/>
      <c r="AD2" s="574"/>
      <c r="AE2" s="574"/>
      <c r="AF2" s="574"/>
      <c r="AG2" s="574"/>
      <c r="AH2" s="574"/>
      <c r="AI2" s="574"/>
    </row>
    <row r="3" spans="1:35" s="142" customFormat="1" ht="15" customHeight="1" x14ac:dyDescent="0.35">
      <c r="B3" s="576" t="s">
        <v>66</v>
      </c>
      <c r="C3" s="576"/>
      <c r="D3" s="576"/>
      <c r="E3" s="141" t="e">
        <f>+AF12</f>
        <v>#REF!</v>
      </c>
      <c r="G3" s="141"/>
      <c r="H3" s="141"/>
      <c r="I3" s="143">
        <v>0.05</v>
      </c>
      <c r="J3" s="144"/>
      <c r="K3" s="145"/>
      <c r="L3" s="141"/>
      <c r="M3" s="141"/>
      <c r="N3" s="141"/>
      <c r="Q3" s="576"/>
      <c r="R3" s="576"/>
      <c r="S3" s="141"/>
      <c r="T3" s="143"/>
      <c r="U3" s="144"/>
      <c r="V3" s="144"/>
      <c r="W3" s="144"/>
      <c r="X3" s="144"/>
      <c r="Y3" s="144"/>
      <c r="Z3" s="144"/>
      <c r="AA3" s="144"/>
      <c r="AB3" s="144"/>
      <c r="AC3" s="144"/>
      <c r="AD3" s="144"/>
      <c r="AE3" s="144"/>
      <c r="AF3" s="144"/>
      <c r="AG3" s="576"/>
      <c r="AH3" s="576"/>
      <c r="AI3" s="141"/>
    </row>
    <row r="4" spans="1:35" s="133" customFormat="1" ht="15" customHeight="1" x14ac:dyDescent="0.35">
      <c r="B4" s="576" t="s">
        <v>67</v>
      </c>
      <c r="C4" s="576"/>
      <c r="D4" s="576"/>
      <c r="E4" s="134" t="e">
        <f>+AF13</f>
        <v>#REF!</v>
      </c>
      <c r="F4" s="135"/>
      <c r="G4" s="134"/>
      <c r="H4" s="134"/>
      <c r="I4" s="137" t="e">
        <f>+E3*I3</f>
        <v>#REF!</v>
      </c>
      <c r="J4" s="136"/>
      <c r="K4" s="146"/>
      <c r="L4" s="134"/>
      <c r="M4" s="134"/>
      <c r="N4" s="134"/>
      <c r="O4" s="135"/>
      <c r="Q4" s="138"/>
      <c r="R4" s="139"/>
      <c r="S4" s="140"/>
      <c r="U4" s="136"/>
      <c r="V4" s="136"/>
      <c r="W4" s="136"/>
      <c r="X4" s="136"/>
      <c r="Y4" s="136"/>
      <c r="Z4" s="136"/>
      <c r="AA4" s="136"/>
      <c r="AB4" s="136"/>
      <c r="AC4" s="136"/>
      <c r="AD4" s="136"/>
      <c r="AE4" s="136"/>
      <c r="AF4" s="136"/>
      <c r="AG4" s="577"/>
      <c r="AH4" s="577"/>
      <c r="AI4" s="134"/>
    </row>
    <row r="5" spans="1:35" ht="23.5" x14ac:dyDescent="0.55000000000000004">
      <c r="B5" s="91"/>
      <c r="C5" s="92" t="e">
        <f>+(C9+C10)/C7*1000</f>
        <v>#REF!</v>
      </c>
      <c r="D5" s="92" t="e">
        <f t="shared" ref="D5:H5" si="0">+(D9+D10)/D7*1000</f>
        <v>#REF!</v>
      </c>
      <c r="E5" s="92" t="e">
        <f t="shared" si="0"/>
        <v>#REF!</v>
      </c>
      <c r="F5" s="92" t="e">
        <f t="shared" si="0"/>
        <v>#REF!</v>
      </c>
      <c r="G5" s="92" t="e">
        <f t="shared" si="0"/>
        <v>#REF!</v>
      </c>
      <c r="H5" s="92" t="e">
        <f t="shared" si="0"/>
        <v>#REF!</v>
      </c>
      <c r="J5" s="88"/>
      <c r="K5" s="91"/>
      <c r="L5" s="92"/>
      <c r="M5" s="92"/>
      <c r="N5" s="92"/>
      <c r="O5" s="92"/>
      <c r="Q5" s="93"/>
      <c r="R5" s="82"/>
      <c r="S5" s="90"/>
      <c r="T5" s="94"/>
      <c r="U5" s="88"/>
      <c r="V5" s="88"/>
      <c r="W5" s="88"/>
      <c r="X5" s="88"/>
      <c r="Y5" s="88"/>
      <c r="Z5" s="88"/>
      <c r="AA5" s="88"/>
      <c r="AB5" s="88"/>
      <c r="AC5" s="88"/>
      <c r="AD5" s="88"/>
      <c r="AE5" s="88"/>
      <c r="AF5" s="88"/>
      <c r="AG5" s="91"/>
      <c r="AH5" s="91"/>
      <c r="AI5" s="78"/>
    </row>
    <row r="6" spans="1:35" s="95" customFormat="1" ht="33.75" customHeight="1" x14ac:dyDescent="0.35">
      <c r="B6" s="85" t="s">
        <v>5</v>
      </c>
      <c r="C6" s="85" t="s">
        <v>68</v>
      </c>
      <c r="D6" s="85" t="s">
        <v>69</v>
      </c>
      <c r="E6" s="85" t="s">
        <v>69</v>
      </c>
      <c r="F6" s="85" t="s">
        <v>70</v>
      </c>
      <c r="G6" s="85" t="s">
        <v>70</v>
      </c>
      <c r="H6" s="85" t="s">
        <v>70</v>
      </c>
      <c r="I6" s="85"/>
      <c r="J6" s="88"/>
      <c r="K6" s="85" t="s">
        <v>71</v>
      </c>
      <c r="L6" s="96" t="s">
        <v>8</v>
      </c>
      <c r="M6" s="96" t="s">
        <v>7</v>
      </c>
      <c r="N6" s="96" t="s">
        <v>8</v>
      </c>
      <c r="O6" s="96" t="s">
        <v>63</v>
      </c>
      <c r="Q6" s="147" t="s">
        <v>72</v>
      </c>
      <c r="R6" s="99" t="s">
        <v>54</v>
      </c>
      <c r="S6" s="99" t="s">
        <v>55</v>
      </c>
      <c r="T6" s="99" t="s">
        <v>56</v>
      </c>
      <c r="U6" s="99" t="s">
        <v>12</v>
      </c>
      <c r="V6" s="99" t="s">
        <v>57</v>
      </c>
      <c r="W6" s="99" t="s">
        <v>58</v>
      </c>
      <c r="X6" s="99" t="s">
        <v>59</v>
      </c>
      <c r="Y6" s="99" t="s">
        <v>60</v>
      </c>
      <c r="Z6" s="99" t="s">
        <v>62</v>
      </c>
      <c r="AA6" s="99" t="s">
        <v>64</v>
      </c>
      <c r="AB6" s="99" t="s">
        <v>65</v>
      </c>
      <c r="AC6" s="99" t="s">
        <v>73</v>
      </c>
      <c r="AD6" s="99" t="s">
        <v>53</v>
      </c>
      <c r="AE6" s="99" t="s">
        <v>77</v>
      </c>
      <c r="AF6" s="99" t="s">
        <v>78</v>
      </c>
      <c r="AG6" s="100"/>
      <c r="AH6" s="97"/>
      <c r="AI6" s="97"/>
    </row>
    <row r="7" spans="1:35" x14ac:dyDescent="0.35">
      <c r="B7" s="85" t="s">
        <v>13</v>
      </c>
      <c r="C7" s="101">
        <v>16.7</v>
      </c>
      <c r="D7" s="101">
        <v>16.7</v>
      </c>
      <c r="E7" s="101">
        <v>20.5</v>
      </c>
      <c r="F7" s="101">
        <v>30.6</v>
      </c>
      <c r="G7" s="101">
        <v>30.6</v>
      </c>
      <c r="H7" s="101">
        <v>38.6</v>
      </c>
      <c r="I7" s="101"/>
      <c r="K7" s="85" t="s">
        <v>13</v>
      </c>
      <c r="L7" s="101">
        <v>20.5</v>
      </c>
      <c r="M7" s="101">
        <v>15</v>
      </c>
      <c r="N7" s="101">
        <v>20.5</v>
      </c>
      <c r="O7" s="101">
        <v>30.6</v>
      </c>
      <c r="Q7" s="102" t="s">
        <v>14</v>
      </c>
      <c r="R7" s="104">
        <v>938.13</v>
      </c>
      <c r="S7" s="105">
        <v>959</v>
      </c>
      <c r="T7" s="104">
        <v>1006.25</v>
      </c>
      <c r="U7" s="130">
        <v>993.75</v>
      </c>
      <c r="V7" s="131">
        <v>1015.5</v>
      </c>
      <c r="W7" s="131">
        <v>1045.5999999999999</v>
      </c>
      <c r="X7" s="43">
        <v>1103.75</v>
      </c>
      <c r="Y7" s="43">
        <v>1148.75</v>
      </c>
      <c r="Z7" s="43">
        <v>1167</v>
      </c>
      <c r="AA7" s="43">
        <v>1221.25</v>
      </c>
      <c r="AB7" s="43">
        <v>1330</v>
      </c>
      <c r="AC7" s="43">
        <f>+'IHS (Mod)'!I5</f>
        <v>1280</v>
      </c>
      <c r="AD7" s="43">
        <f>+'IHS (Mod)'!J5</f>
        <v>1279.380005</v>
      </c>
      <c r="AE7" s="43">
        <v>1275.5</v>
      </c>
      <c r="AF7" s="43" t="e">
        <f>+#REF!</f>
        <v>#REF!</v>
      </c>
      <c r="AG7" s="85"/>
      <c r="AH7" s="101"/>
      <c r="AI7" s="101"/>
    </row>
    <row r="8" spans="1:35" x14ac:dyDescent="0.35">
      <c r="B8" s="79" t="s">
        <v>16</v>
      </c>
      <c r="C8" s="91" t="s">
        <v>17</v>
      </c>
      <c r="D8" s="91" t="s">
        <v>17</v>
      </c>
      <c r="E8" s="91" t="s">
        <v>17</v>
      </c>
      <c r="F8" s="91" t="s">
        <v>17</v>
      </c>
      <c r="G8" s="91" t="s">
        <v>17</v>
      </c>
      <c r="H8" s="91" t="s">
        <v>17</v>
      </c>
      <c r="I8" s="91"/>
      <c r="K8" s="79" t="s">
        <v>16</v>
      </c>
      <c r="L8" s="91" t="s">
        <v>17</v>
      </c>
      <c r="M8" s="91" t="s">
        <v>17</v>
      </c>
      <c r="N8" s="91" t="s">
        <v>17</v>
      </c>
      <c r="O8" s="91" t="s">
        <v>17</v>
      </c>
      <c r="Q8" s="128" t="s">
        <v>18</v>
      </c>
      <c r="R8" s="129">
        <v>25.09</v>
      </c>
      <c r="S8" s="129">
        <v>25.09</v>
      </c>
      <c r="T8" s="129">
        <v>25.09</v>
      </c>
      <c r="U8" s="129">
        <v>25</v>
      </c>
      <c r="V8" s="129">
        <v>25</v>
      </c>
      <c r="W8" s="129">
        <v>25</v>
      </c>
      <c r="X8" s="129">
        <v>25</v>
      </c>
      <c r="Y8" s="129">
        <v>25</v>
      </c>
      <c r="Z8" s="129">
        <v>25</v>
      </c>
      <c r="AA8" s="129">
        <v>25</v>
      </c>
      <c r="AB8" s="129">
        <v>25</v>
      </c>
      <c r="AC8" s="129">
        <v>33.139726027397259</v>
      </c>
      <c r="AD8" s="129">
        <f>+Septiembre18!AD8</f>
        <v>33.1236741020548</v>
      </c>
      <c r="AE8" s="129">
        <v>33.023219178082194</v>
      </c>
      <c r="AF8" s="129">
        <v>33.023219178082194</v>
      </c>
      <c r="AG8" s="79">
        <f>+AE7*4.5%</f>
        <v>57.397500000000001</v>
      </c>
      <c r="AH8" s="91">
        <f>+AG8/365</f>
        <v>0.15725342465753425</v>
      </c>
      <c r="AI8" s="91">
        <f>+AH8*210</f>
        <v>33.023219178082194</v>
      </c>
    </row>
    <row r="9" spans="1:35" x14ac:dyDescent="0.35">
      <c r="B9" s="79" t="s">
        <v>19</v>
      </c>
      <c r="C9" s="80" t="e">
        <f>+(C7*E3/1000)*1.01*75%</f>
        <v>#REF!</v>
      </c>
      <c r="D9" s="80" t="e">
        <f>+(D7*$E$3/1000)*1.01*75%</f>
        <v>#REF!</v>
      </c>
      <c r="E9" s="80" t="e">
        <f>+(E7*$E$3/1000)*1.01*75%</f>
        <v>#REF!</v>
      </c>
      <c r="F9" s="80" t="e">
        <f>+(F7*E3/1000)*1.01</f>
        <v>#REF!</v>
      </c>
      <c r="G9" s="80" t="e">
        <f>+(G7*$E$3/1000)*1.01*75%</f>
        <v>#REF!</v>
      </c>
      <c r="H9" s="80" t="e">
        <f>+(H7*$E$3/1000)*1.01*75%</f>
        <v>#REF!</v>
      </c>
      <c r="I9" s="80"/>
      <c r="K9" s="79" t="s">
        <v>19</v>
      </c>
      <c r="L9" s="80" t="e">
        <f>+(L7*E3/1000)*1.005</f>
        <v>#REF!</v>
      </c>
      <c r="M9" s="80" t="e">
        <f>+(M7*E3/1000)*1.005*75%</f>
        <v>#REF!</v>
      </c>
      <c r="N9" s="80" t="e">
        <f>+(N7*E3/1000)*1.005*75%</f>
        <v>#REF!</v>
      </c>
      <c r="O9" s="80" t="e">
        <f>+(O7*E3/1000)*1.005*75%</f>
        <v>#REF!</v>
      </c>
      <c r="Q9" s="125" t="s">
        <v>20</v>
      </c>
      <c r="R9" s="126">
        <v>65</v>
      </c>
      <c r="S9" s="127">
        <v>65</v>
      </c>
      <c r="T9" s="126">
        <v>65</v>
      </c>
      <c r="U9" s="126">
        <v>65</v>
      </c>
      <c r="V9" s="126">
        <v>65</v>
      </c>
      <c r="W9" s="126">
        <v>65</v>
      </c>
      <c r="X9" s="126">
        <v>65</v>
      </c>
      <c r="Y9" s="126">
        <v>65</v>
      </c>
      <c r="Z9" s="126">
        <v>65</v>
      </c>
      <c r="AA9" s="126">
        <v>65</v>
      </c>
      <c r="AB9" s="126">
        <v>65</v>
      </c>
      <c r="AC9" s="126">
        <v>70</v>
      </c>
      <c r="AD9" s="126">
        <v>70</v>
      </c>
      <c r="AE9" s="126">
        <v>70</v>
      </c>
      <c r="AF9" s="126">
        <v>70</v>
      </c>
      <c r="AG9" s="79"/>
      <c r="AH9" s="80"/>
      <c r="AI9" s="80"/>
    </row>
    <row r="10" spans="1:35" x14ac:dyDescent="0.35">
      <c r="B10" s="75" t="s">
        <v>23</v>
      </c>
      <c r="C10" s="76" t="e">
        <f>+(C7*$E$4/1000)*1.01*25%</f>
        <v>#REF!</v>
      </c>
      <c r="D10" s="76" t="e">
        <f>+(D7*$E$4/1000)*1.01*25%</f>
        <v>#REF!</v>
      </c>
      <c r="E10" s="76" t="e">
        <f>+(E7*$E$4/1000)*1.01*25%</f>
        <v>#REF!</v>
      </c>
      <c r="F10" s="76">
        <v>0</v>
      </c>
      <c r="G10" s="76" t="e">
        <f>+(G7*$E$4/1000)*1.01*25%</f>
        <v>#REF!</v>
      </c>
      <c r="H10" s="76" t="e">
        <f>+(H7*$E$4/1000)*1.01*25%</f>
        <v>#REF!</v>
      </c>
      <c r="I10" s="76"/>
      <c r="J10" s="121"/>
      <c r="K10" s="75" t="s">
        <v>23</v>
      </c>
      <c r="L10" s="76">
        <v>0</v>
      </c>
      <c r="M10" s="76" t="e">
        <f>+(M7*E4/1000)*1.005*25%</f>
        <v>#REF!</v>
      </c>
      <c r="N10" s="76" t="e">
        <f>+(N7*E4/1000)*1.005*25%</f>
        <v>#REF!</v>
      </c>
      <c r="O10" s="76" t="e">
        <f>+(O7*E4/1000)*1.005*25%</f>
        <v>#REF!</v>
      </c>
      <c r="Q10" s="102"/>
      <c r="R10" s="104">
        <f>SUM(R7:R9)</f>
        <v>1028.22</v>
      </c>
      <c r="S10" s="104">
        <f>SUM(S7:S9)</f>
        <v>1049.0900000000001</v>
      </c>
      <c r="T10" s="104">
        <f>SUM(T7:T9)</f>
        <v>1096.3399999999999</v>
      </c>
      <c r="U10" s="104">
        <f>SUM(U7:U9)</f>
        <v>1083.75</v>
      </c>
      <c r="V10" s="104">
        <f t="shared" ref="V10:AE10" si="1">SUM(V7:V9)</f>
        <v>1105.5</v>
      </c>
      <c r="W10" s="104">
        <f t="shared" si="1"/>
        <v>1135.5999999999999</v>
      </c>
      <c r="X10" s="104">
        <f t="shared" si="1"/>
        <v>1193.75</v>
      </c>
      <c r="Y10" s="104">
        <f t="shared" si="1"/>
        <v>1238.75</v>
      </c>
      <c r="Z10" s="104">
        <f t="shared" si="1"/>
        <v>1257</v>
      </c>
      <c r="AA10" s="104">
        <f t="shared" si="1"/>
        <v>1311.25</v>
      </c>
      <c r="AB10" s="104">
        <f t="shared" si="1"/>
        <v>1420</v>
      </c>
      <c r="AC10" s="104">
        <f t="shared" si="1"/>
        <v>1383.1397260273973</v>
      </c>
      <c r="AD10" s="104">
        <f t="shared" si="1"/>
        <v>1382.5036791020548</v>
      </c>
      <c r="AE10" s="104">
        <f t="shared" si="1"/>
        <v>1378.5232191780822</v>
      </c>
      <c r="AF10" s="104" t="e">
        <f t="shared" ref="AF10" si="2">SUM(AF7:AF9)</f>
        <v>#REF!</v>
      </c>
      <c r="AG10" s="79"/>
      <c r="AH10" s="80"/>
      <c r="AI10" s="80"/>
    </row>
    <row r="11" spans="1:35" x14ac:dyDescent="0.35">
      <c r="B11" s="79" t="s">
        <v>26</v>
      </c>
      <c r="C11" s="80">
        <v>8.1999999999999993</v>
      </c>
      <c r="D11" s="80">
        <v>8.1999999999999993</v>
      </c>
      <c r="E11" s="80">
        <v>8.1999999999999993</v>
      </c>
      <c r="F11" s="80">
        <v>11.15</v>
      </c>
      <c r="G11" s="80">
        <v>11.15</v>
      </c>
      <c r="H11" s="80">
        <v>11.15</v>
      </c>
      <c r="I11" s="80"/>
      <c r="K11" s="79" t="s">
        <v>26</v>
      </c>
      <c r="L11" s="80">
        <v>27.2</v>
      </c>
      <c r="M11" s="80">
        <v>27.2</v>
      </c>
      <c r="N11" s="80">
        <v>27.2</v>
      </c>
      <c r="O11" s="80">
        <f>11.15+28.25</f>
        <v>39.4</v>
      </c>
      <c r="Q11" s="106" t="s">
        <v>27</v>
      </c>
      <c r="R11" s="108">
        <f>+R10*4%</f>
        <v>41.128800000000005</v>
      </c>
      <c r="S11" s="104">
        <f>+S10*4%</f>
        <v>41.963600000000007</v>
      </c>
      <c r="T11" s="108">
        <f>+T10*4%</f>
        <v>43.8536</v>
      </c>
      <c r="U11" s="108">
        <f>+U10*4%</f>
        <v>43.35</v>
      </c>
      <c r="V11" s="108">
        <f t="shared" ref="V11:AE11" si="3">+V10*4%</f>
        <v>44.22</v>
      </c>
      <c r="W11" s="108">
        <f t="shared" si="3"/>
        <v>45.423999999999999</v>
      </c>
      <c r="X11" s="108">
        <f t="shared" si="3"/>
        <v>47.75</v>
      </c>
      <c r="Y11" s="108">
        <f t="shared" si="3"/>
        <v>49.550000000000004</v>
      </c>
      <c r="Z11" s="108">
        <f t="shared" si="3"/>
        <v>50.28</v>
      </c>
      <c r="AA11" s="108">
        <f t="shared" si="3"/>
        <v>52.45</v>
      </c>
      <c r="AB11" s="108">
        <f t="shared" si="3"/>
        <v>56.800000000000004</v>
      </c>
      <c r="AC11" s="108">
        <f t="shared" si="3"/>
        <v>55.325589041095895</v>
      </c>
      <c r="AD11" s="108">
        <f t="shared" si="3"/>
        <v>55.30014716408219</v>
      </c>
      <c r="AE11" s="108">
        <f t="shared" si="3"/>
        <v>55.140928767123285</v>
      </c>
      <c r="AF11" s="108" t="e">
        <f t="shared" ref="AF11" si="4">+AF10*4%</f>
        <v>#REF!</v>
      </c>
      <c r="AG11" s="79"/>
      <c r="AH11" s="80"/>
      <c r="AI11" s="80"/>
    </row>
    <row r="12" spans="1:35" x14ac:dyDescent="0.35">
      <c r="B12" s="79" t="s">
        <v>31</v>
      </c>
      <c r="C12" s="80">
        <v>1.3</v>
      </c>
      <c r="D12" s="80">
        <v>1.3</v>
      </c>
      <c r="E12" s="80">
        <v>1.3</v>
      </c>
      <c r="F12" s="80">
        <v>2.38</v>
      </c>
      <c r="G12" s="80">
        <v>2.38</v>
      </c>
      <c r="H12" s="80">
        <v>2.38</v>
      </c>
      <c r="I12" s="80"/>
      <c r="K12" s="79" t="s">
        <v>31</v>
      </c>
      <c r="L12" s="80">
        <v>1.99</v>
      </c>
      <c r="M12" s="80">
        <v>0.81</v>
      </c>
      <c r="N12" s="80">
        <v>1.99</v>
      </c>
      <c r="O12" s="80">
        <v>2.97</v>
      </c>
      <c r="Q12" s="157" t="s">
        <v>30</v>
      </c>
      <c r="R12" s="158">
        <f>+R11+R10</f>
        <v>1069.3488</v>
      </c>
      <c r="S12" s="159">
        <f>+S11+S10</f>
        <v>1091.0536000000002</v>
      </c>
      <c r="T12" s="158">
        <f>+T11+T10</f>
        <v>1140.1935999999998</v>
      </c>
      <c r="U12" s="158">
        <f>+U11+U10</f>
        <v>1127.0999999999999</v>
      </c>
      <c r="V12" s="158">
        <f t="shared" ref="V12:AE12" si="5">+V11+V10</f>
        <v>1149.72</v>
      </c>
      <c r="W12" s="158">
        <f t="shared" si="5"/>
        <v>1181.0239999999999</v>
      </c>
      <c r="X12" s="158">
        <f t="shared" si="5"/>
        <v>1241.5</v>
      </c>
      <c r="Y12" s="158">
        <f t="shared" si="5"/>
        <v>1288.3</v>
      </c>
      <c r="Z12" s="158">
        <f t="shared" si="5"/>
        <v>1307.28</v>
      </c>
      <c r="AA12" s="158">
        <f t="shared" si="5"/>
        <v>1363.7</v>
      </c>
      <c r="AB12" s="158">
        <f t="shared" si="5"/>
        <v>1476.8</v>
      </c>
      <c r="AC12" s="158">
        <f t="shared" si="5"/>
        <v>1438.4653150684931</v>
      </c>
      <c r="AD12" s="158">
        <f t="shared" si="5"/>
        <v>1437.8038262661369</v>
      </c>
      <c r="AE12" s="158">
        <f t="shared" si="5"/>
        <v>1433.6641479452055</v>
      </c>
      <c r="AF12" s="158" t="e">
        <f t="shared" ref="AF12" si="6">+AF11+AF10</f>
        <v>#REF!</v>
      </c>
      <c r="AG12" s="79"/>
      <c r="AH12" s="80"/>
      <c r="AI12" s="80"/>
    </row>
    <row r="13" spans="1:35" x14ac:dyDescent="0.35">
      <c r="B13" s="79" t="s">
        <v>34</v>
      </c>
      <c r="C13" s="80">
        <v>0.19</v>
      </c>
      <c r="D13" s="80">
        <v>0.19</v>
      </c>
      <c r="E13" s="80">
        <v>0.19</v>
      </c>
      <c r="F13" s="80">
        <v>0.33</v>
      </c>
      <c r="G13" s="80">
        <v>0.33</v>
      </c>
      <c r="H13" s="80">
        <v>0.33</v>
      </c>
      <c r="I13" s="80"/>
      <c r="K13" s="79" t="s">
        <v>34</v>
      </c>
      <c r="L13" s="80">
        <v>2.71</v>
      </c>
      <c r="M13" s="80">
        <v>2.71</v>
      </c>
      <c r="N13" s="80">
        <v>2.71</v>
      </c>
      <c r="O13" s="80">
        <v>4.4400000000000004</v>
      </c>
      <c r="Q13" s="160" t="s">
        <v>32</v>
      </c>
      <c r="R13" s="161">
        <f>+R12*(1-5%)</f>
        <v>1015.88136</v>
      </c>
      <c r="S13" s="161">
        <f t="shared" ref="S13:AE13" si="7">+S12*(1-5%)</f>
        <v>1036.5009200000002</v>
      </c>
      <c r="T13" s="161">
        <f t="shared" si="7"/>
        <v>1083.1839199999997</v>
      </c>
      <c r="U13" s="161">
        <f t="shared" si="7"/>
        <v>1070.7449999999999</v>
      </c>
      <c r="V13" s="161">
        <f t="shared" si="7"/>
        <v>1092.2339999999999</v>
      </c>
      <c r="W13" s="161">
        <f t="shared" si="7"/>
        <v>1121.9727999999998</v>
      </c>
      <c r="X13" s="161">
        <f t="shared" si="7"/>
        <v>1179.425</v>
      </c>
      <c r="Y13" s="161">
        <f t="shared" si="7"/>
        <v>1223.885</v>
      </c>
      <c r="Z13" s="161">
        <f t="shared" si="7"/>
        <v>1241.9159999999999</v>
      </c>
      <c r="AA13" s="161">
        <f t="shared" si="7"/>
        <v>1295.5149999999999</v>
      </c>
      <c r="AB13" s="161">
        <f t="shared" si="7"/>
        <v>1402.9599999999998</v>
      </c>
      <c r="AC13" s="161">
        <f t="shared" si="7"/>
        <v>1366.5420493150684</v>
      </c>
      <c r="AD13" s="161">
        <f t="shared" si="7"/>
        <v>1365.9136349528299</v>
      </c>
      <c r="AE13" s="161">
        <f t="shared" si="7"/>
        <v>1361.9809405479452</v>
      </c>
      <c r="AF13" s="161" t="e">
        <f t="shared" ref="AF13" si="8">+AF12*(1-5%)</f>
        <v>#REF!</v>
      </c>
      <c r="AG13" s="79"/>
      <c r="AH13" s="80"/>
      <c r="AI13" s="80"/>
    </row>
    <row r="14" spans="1:35" x14ac:dyDescent="0.35">
      <c r="B14" s="79" t="s">
        <v>36</v>
      </c>
      <c r="C14" s="80">
        <v>0.16</v>
      </c>
      <c r="D14" s="80">
        <v>0.16</v>
      </c>
      <c r="E14" s="80">
        <v>0.16</v>
      </c>
      <c r="F14" s="80">
        <v>0.28000000000000003</v>
      </c>
      <c r="G14" s="80">
        <v>0.28000000000000003</v>
      </c>
      <c r="H14" s="80">
        <v>0.28000000000000003</v>
      </c>
      <c r="I14" s="80"/>
      <c r="K14" s="79" t="s">
        <v>36</v>
      </c>
      <c r="L14" s="80">
        <v>7.77</v>
      </c>
      <c r="M14" s="80">
        <v>7.77</v>
      </c>
      <c r="N14" s="80">
        <v>7.77</v>
      </c>
      <c r="O14" s="80">
        <v>15.99</v>
      </c>
      <c r="Q14" s="157" t="s">
        <v>35</v>
      </c>
      <c r="R14" s="158">
        <f>+R12*75%+R13*25%</f>
        <v>1055.9819400000001</v>
      </c>
      <c r="S14" s="158">
        <f t="shared" ref="S14:Z14" si="9">+S12*75%+S13*25%</f>
        <v>1077.4154300000002</v>
      </c>
      <c r="T14" s="158">
        <f t="shared" si="9"/>
        <v>1125.9411799999998</v>
      </c>
      <c r="U14" s="158">
        <f t="shared" si="9"/>
        <v>1113.01125</v>
      </c>
      <c r="V14" s="158">
        <f t="shared" si="9"/>
        <v>1135.3485000000001</v>
      </c>
      <c r="W14" s="158">
        <f t="shared" si="9"/>
        <v>1166.2611999999999</v>
      </c>
      <c r="X14" s="158">
        <f t="shared" si="9"/>
        <v>1225.98125</v>
      </c>
      <c r="Y14" s="158">
        <f t="shared" si="9"/>
        <v>1272.19625</v>
      </c>
      <c r="Z14" s="158">
        <f t="shared" si="9"/>
        <v>1290.9390000000001</v>
      </c>
      <c r="AA14" s="158">
        <f t="shared" ref="AA14:AF14" si="10">+AA12*75%+AA13*25%</f>
        <v>1346.6537499999999</v>
      </c>
      <c r="AB14" s="158">
        <f t="shared" si="10"/>
        <v>1458.34</v>
      </c>
      <c r="AC14" s="158">
        <f t="shared" si="10"/>
        <v>1420.4844986301368</v>
      </c>
      <c r="AD14" s="158">
        <f t="shared" si="10"/>
        <v>1419.8312784378102</v>
      </c>
      <c r="AE14" s="158">
        <f t="shared" si="10"/>
        <v>1415.7433460958905</v>
      </c>
      <c r="AF14" s="158" t="e">
        <f t="shared" si="10"/>
        <v>#REF!</v>
      </c>
      <c r="AG14" s="79"/>
      <c r="AH14" s="80"/>
      <c r="AI14" s="80"/>
    </row>
    <row r="15" spans="1:35" x14ac:dyDescent="0.35">
      <c r="B15" s="85" t="s">
        <v>39</v>
      </c>
      <c r="C15" s="84" t="e">
        <f t="shared" ref="C15:H15" si="11">SUM(C9:C14)</f>
        <v>#REF!</v>
      </c>
      <c r="D15" s="84" t="e">
        <f t="shared" si="11"/>
        <v>#REF!</v>
      </c>
      <c r="E15" s="84" t="e">
        <f t="shared" si="11"/>
        <v>#REF!</v>
      </c>
      <c r="F15" s="84" t="e">
        <f t="shared" si="11"/>
        <v>#REF!</v>
      </c>
      <c r="G15" s="84" t="e">
        <f t="shared" si="11"/>
        <v>#REF!</v>
      </c>
      <c r="H15" s="84" t="e">
        <f t="shared" si="11"/>
        <v>#REF!</v>
      </c>
      <c r="I15" s="84"/>
      <c r="K15" s="85" t="s">
        <v>39</v>
      </c>
      <c r="L15" s="84" t="e">
        <f>SUM(L9:L14)</f>
        <v>#REF!</v>
      </c>
      <c r="M15" s="84" t="e">
        <f>SUM(M9:M14)</f>
        <v>#REF!</v>
      </c>
      <c r="N15" s="84" t="e">
        <f>SUM(N9:N14)</f>
        <v>#REF!</v>
      </c>
      <c r="O15" s="84" t="e">
        <f>SUM(O9:O14)</f>
        <v>#REF!</v>
      </c>
      <c r="Q15" s="113" t="s">
        <v>37</v>
      </c>
      <c r="R15" s="118">
        <f>+R14*1%</f>
        <v>10.559819400000002</v>
      </c>
      <c r="S15" s="118">
        <f t="shared" ref="S15:AE15" si="12">+S14*1%</f>
        <v>10.774154300000003</v>
      </c>
      <c r="T15" s="118">
        <f t="shared" si="12"/>
        <v>11.259411799999999</v>
      </c>
      <c r="U15" s="118">
        <f t="shared" si="12"/>
        <v>11.130112500000001</v>
      </c>
      <c r="V15" s="118">
        <f t="shared" si="12"/>
        <v>11.353485000000001</v>
      </c>
      <c r="W15" s="118">
        <f t="shared" si="12"/>
        <v>11.662611999999999</v>
      </c>
      <c r="X15" s="118">
        <f t="shared" si="12"/>
        <v>12.259812500000001</v>
      </c>
      <c r="Y15" s="118">
        <f t="shared" si="12"/>
        <v>12.7219625</v>
      </c>
      <c r="Z15" s="118">
        <f t="shared" si="12"/>
        <v>12.909390000000002</v>
      </c>
      <c r="AA15" s="118">
        <f t="shared" si="12"/>
        <v>13.466537499999999</v>
      </c>
      <c r="AB15" s="118">
        <f t="shared" si="12"/>
        <v>14.583399999999999</v>
      </c>
      <c r="AC15" s="118">
        <f t="shared" si="12"/>
        <v>14.204844986301369</v>
      </c>
      <c r="AD15" s="118">
        <f t="shared" si="12"/>
        <v>14.198312784378102</v>
      </c>
      <c r="AE15" s="118">
        <f t="shared" si="12"/>
        <v>14.157433460958906</v>
      </c>
      <c r="AF15" s="118" t="e">
        <f t="shared" ref="AF15" si="13">+AF14*1%</f>
        <v>#REF!</v>
      </c>
      <c r="AG15" s="79"/>
      <c r="AH15" s="80"/>
      <c r="AI15" s="80"/>
    </row>
    <row r="16" spans="1:35" x14ac:dyDescent="0.35">
      <c r="A16" s="81" t="s">
        <v>38</v>
      </c>
      <c r="Q16" s="113" t="s">
        <v>74</v>
      </c>
      <c r="R16" s="115">
        <f>+R15+R14</f>
        <v>1066.5417594</v>
      </c>
      <c r="S16" s="115">
        <f t="shared" ref="S16:AE16" si="14">+S15+S14</f>
        <v>1088.1895843000002</v>
      </c>
      <c r="T16" s="115">
        <f t="shared" si="14"/>
        <v>1137.2005917999998</v>
      </c>
      <c r="U16" s="115">
        <f t="shared" si="14"/>
        <v>1124.1413625</v>
      </c>
      <c r="V16" s="115">
        <f t="shared" si="14"/>
        <v>1146.7019850000001</v>
      </c>
      <c r="W16" s="115">
        <f t="shared" si="14"/>
        <v>1177.923812</v>
      </c>
      <c r="X16" s="115">
        <f t="shared" si="14"/>
        <v>1238.2410625</v>
      </c>
      <c r="Y16" s="115">
        <f t="shared" si="14"/>
        <v>1284.9182125</v>
      </c>
      <c r="Z16" s="115">
        <f t="shared" si="14"/>
        <v>1303.8483900000001</v>
      </c>
      <c r="AA16" s="115">
        <f t="shared" si="14"/>
        <v>1360.1202874999999</v>
      </c>
      <c r="AB16" s="115">
        <f t="shared" si="14"/>
        <v>1472.9233999999999</v>
      </c>
      <c r="AC16" s="115">
        <f t="shared" si="14"/>
        <v>1434.6893436164382</v>
      </c>
      <c r="AD16" s="115">
        <f t="shared" si="14"/>
        <v>1434.0295912221882</v>
      </c>
      <c r="AE16" s="115">
        <f t="shared" si="14"/>
        <v>1429.9007795568493</v>
      </c>
      <c r="AF16" s="115" t="e">
        <f t="shared" ref="AF16" si="15">+AF15+AF14</f>
        <v>#REF!</v>
      </c>
      <c r="AG16" s="85"/>
      <c r="AH16" s="84"/>
      <c r="AI16" s="84"/>
    </row>
    <row r="17" spans="2:35" hidden="1" x14ac:dyDescent="0.35">
      <c r="B17" s="85"/>
      <c r="C17" s="84"/>
      <c r="D17" s="84"/>
      <c r="E17" s="84"/>
      <c r="F17" s="84"/>
      <c r="G17" s="84"/>
      <c r="H17" s="84"/>
      <c r="I17" s="84"/>
      <c r="J17" s="94"/>
      <c r="L17" s="84"/>
      <c r="M17" s="84"/>
      <c r="N17" s="84"/>
      <c r="O17" s="84"/>
      <c r="Q17" s="85" t="s">
        <v>41</v>
      </c>
      <c r="R17" s="120" t="e">
        <f>+D5</f>
        <v>#REF!</v>
      </c>
      <c r="S17" s="120" t="e">
        <f>+R17</f>
        <v>#REF!</v>
      </c>
      <c r="T17" s="120" t="e">
        <f>+S17</f>
        <v>#REF!</v>
      </c>
      <c r="U17" s="120" t="e">
        <f>+T17</f>
        <v>#REF!</v>
      </c>
      <c r="V17" s="120" t="e">
        <f t="shared" ref="V17:AF17" si="16">+U17</f>
        <v>#REF!</v>
      </c>
      <c r="W17" s="120" t="e">
        <f t="shared" si="16"/>
        <v>#REF!</v>
      </c>
      <c r="X17" s="120" t="e">
        <f t="shared" si="16"/>
        <v>#REF!</v>
      </c>
      <c r="Y17" s="120" t="e">
        <f t="shared" si="16"/>
        <v>#REF!</v>
      </c>
      <c r="Z17" s="120" t="e">
        <f t="shared" si="16"/>
        <v>#REF!</v>
      </c>
      <c r="AA17" s="120" t="e">
        <f t="shared" si="16"/>
        <v>#REF!</v>
      </c>
      <c r="AB17" s="120" t="e">
        <f t="shared" si="16"/>
        <v>#REF!</v>
      </c>
      <c r="AC17" s="120" t="e">
        <f t="shared" si="16"/>
        <v>#REF!</v>
      </c>
      <c r="AD17" s="120" t="e">
        <f t="shared" si="16"/>
        <v>#REF!</v>
      </c>
      <c r="AE17" s="120" t="e">
        <f t="shared" si="16"/>
        <v>#REF!</v>
      </c>
      <c r="AF17" s="120" t="e">
        <f t="shared" si="16"/>
        <v>#REF!</v>
      </c>
      <c r="AH17" s="84"/>
      <c r="AI17" s="84"/>
    </row>
    <row r="18" spans="2:35" x14ac:dyDescent="0.35">
      <c r="C18" s="132"/>
      <c r="J18" s="94"/>
      <c r="Q18" s="82"/>
      <c r="R18" s="82"/>
      <c r="S18" s="82"/>
      <c r="U18" s="94"/>
      <c r="V18" s="94"/>
      <c r="W18" s="94"/>
      <c r="X18" s="94"/>
      <c r="Y18" s="94"/>
      <c r="Z18" s="94"/>
      <c r="AA18" s="94"/>
      <c r="AB18" s="94"/>
      <c r="AC18" s="94"/>
      <c r="AD18" s="94"/>
      <c r="AE18" s="94"/>
      <c r="AF18" s="94"/>
      <c r="AH18" s="82"/>
      <c r="AI18" s="82"/>
    </row>
    <row r="19" spans="2:35" x14ac:dyDescent="0.35">
      <c r="AH19" s="82"/>
      <c r="AI19" s="82"/>
    </row>
    <row r="20" spans="2:35" x14ac:dyDescent="0.35">
      <c r="M20" s="86" t="s">
        <v>75</v>
      </c>
      <c r="AH20" s="82"/>
      <c r="AI20" s="82"/>
    </row>
    <row r="25" spans="2:35" x14ac:dyDescent="0.35">
      <c r="L25" s="123"/>
    </row>
    <row r="32" spans="2:35" x14ac:dyDescent="0.35">
      <c r="B32" s="82" t="s">
        <v>51</v>
      </c>
    </row>
  </sheetData>
  <mergeCells count="6">
    <mergeCell ref="Q2:AI2"/>
    <mergeCell ref="B3:D3"/>
    <mergeCell ref="Q3:R3"/>
    <mergeCell ref="AG3:AH3"/>
    <mergeCell ref="B4:D4"/>
    <mergeCell ref="AG4:AH4"/>
  </mergeCells>
  <pageMargins left="0.7" right="0.7" top="0.75" bottom="0.75" header="0.3" footer="0.3"/>
  <customProperties>
    <customPr name="EpmWorksheetKeyString_GUID" r:id="rId1"/>
  </customPropertie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7"/>
  <dimension ref="A2:AJ32"/>
  <sheetViews>
    <sheetView zoomScale="85" zoomScaleNormal="85" workbookViewId="0">
      <selection activeCell="AP5" sqref="AP5"/>
    </sheetView>
  </sheetViews>
  <sheetFormatPr defaultColWidth="11.453125" defaultRowHeight="14.5" x14ac:dyDescent="0.35"/>
  <cols>
    <col min="1" max="1" width="3.453125" style="81" customWidth="1"/>
    <col min="2" max="2" width="14.1796875" style="82" customWidth="1"/>
    <col min="3" max="3" width="10.81640625" style="82" customWidth="1"/>
    <col min="4" max="4" width="10.54296875" style="82" customWidth="1"/>
    <col min="5" max="5" width="11" style="82" customWidth="1"/>
    <col min="6" max="6" width="11.1796875" style="82" hidden="1" customWidth="1"/>
    <col min="7" max="7" width="11" style="82" hidden="1" customWidth="1"/>
    <col min="8" max="8" width="11.54296875" style="82" customWidth="1"/>
    <col min="9" max="9" width="8.54296875" style="81" hidden="1" customWidth="1"/>
    <col min="10" max="10" width="2.81640625" style="81" customWidth="1"/>
    <col min="11" max="11" width="15.1796875" style="81" customWidth="1"/>
    <col min="12" max="14" width="10.81640625" style="82" customWidth="1"/>
    <col min="15" max="15" width="11.81640625" style="82" bestFit="1" customWidth="1"/>
    <col min="16" max="16" width="2.81640625" style="81" customWidth="1"/>
    <col min="17" max="17" width="28.81640625" style="81" customWidth="1"/>
    <col min="18" max="18" width="16.1796875" style="81" hidden="1" customWidth="1"/>
    <col min="19" max="19" width="17.54296875" style="81" hidden="1" customWidth="1"/>
    <col min="20" max="20" width="14.54296875" style="81" hidden="1" customWidth="1"/>
    <col min="21" max="21" width="16" style="81" hidden="1" customWidth="1"/>
    <col min="22" max="22" width="17.81640625" style="81" hidden="1" customWidth="1"/>
    <col min="23" max="23" width="17.1796875" style="81" hidden="1" customWidth="1"/>
    <col min="24" max="29" width="14.453125" style="81" hidden="1" customWidth="1"/>
    <col min="30" max="30" width="16.453125" style="81" hidden="1" customWidth="1"/>
    <col min="31" max="33" width="14.81640625" style="81" customWidth="1"/>
    <col min="34" max="36" width="11.453125" style="81" hidden="1" customWidth="1"/>
    <col min="37" max="16384" width="11.453125" style="81"/>
  </cols>
  <sheetData>
    <row r="2" spans="1:36" x14ac:dyDescent="0.35">
      <c r="B2" s="86"/>
      <c r="C2" s="86"/>
      <c r="D2" s="86"/>
      <c r="E2" s="87"/>
      <c r="F2" s="87"/>
      <c r="G2" s="87"/>
      <c r="H2" s="87"/>
      <c r="I2" s="87"/>
      <c r="J2" s="87"/>
      <c r="K2" s="87"/>
      <c r="L2" s="87"/>
      <c r="M2" s="87"/>
      <c r="N2" s="87"/>
      <c r="O2" s="87"/>
      <c r="Q2" s="574"/>
      <c r="R2" s="574"/>
      <c r="S2" s="574"/>
      <c r="T2" s="574"/>
      <c r="U2" s="574"/>
      <c r="V2" s="574"/>
      <c r="W2" s="574"/>
      <c r="X2" s="574"/>
      <c r="Y2" s="574"/>
      <c r="Z2" s="574"/>
      <c r="AA2" s="574"/>
      <c r="AB2" s="574"/>
      <c r="AC2" s="574"/>
      <c r="AD2" s="574"/>
      <c r="AE2" s="574"/>
      <c r="AF2" s="574"/>
      <c r="AG2" s="574"/>
      <c r="AH2" s="574"/>
      <c r="AI2" s="574"/>
      <c r="AJ2" s="574"/>
    </row>
    <row r="3" spans="1:36" s="142" customFormat="1" ht="15" customHeight="1" x14ac:dyDescent="0.35">
      <c r="B3" s="576" t="s">
        <v>66</v>
      </c>
      <c r="C3" s="576"/>
      <c r="D3" s="576"/>
      <c r="E3" s="141" t="e">
        <f>+AG12</f>
        <v>#REF!</v>
      </c>
      <c r="G3" s="141"/>
      <c r="H3" s="141"/>
      <c r="I3" s="143">
        <v>0.05</v>
      </c>
      <c r="J3" s="144"/>
      <c r="K3" s="145"/>
      <c r="L3" s="141"/>
      <c r="M3" s="141"/>
      <c r="N3" s="141"/>
      <c r="Q3" s="576"/>
      <c r="R3" s="576"/>
      <c r="S3" s="141"/>
      <c r="T3" s="143"/>
      <c r="U3" s="144"/>
      <c r="V3" s="144"/>
      <c r="W3" s="144"/>
      <c r="X3" s="144"/>
      <c r="Y3" s="144"/>
      <c r="Z3" s="144"/>
      <c r="AA3" s="144"/>
      <c r="AB3" s="144"/>
      <c r="AC3" s="144"/>
      <c r="AD3" s="144"/>
      <c r="AE3" s="144"/>
      <c r="AF3" s="144"/>
      <c r="AG3" s="144"/>
      <c r="AH3" s="576"/>
      <c r="AI3" s="576"/>
      <c r="AJ3" s="141"/>
    </row>
    <row r="4" spans="1:36" s="133" customFormat="1" ht="15" customHeight="1" x14ac:dyDescent="0.35">
      <c r="B4" s="576" t="s">
        <v>67</v>
      </c>
      <c r="C4" s="576"/>
      <c r="D4" s="576"/>
      <c r="E4" s="134" t="e">
        <f>+AG13</f>
        <v>#REF!</v>
      </c>
      <c r="F4" s="135"/>
      <c r="G4" s="134"/>
      <c r="H4" s="134"/>
      <c r="I4" s="137" t="e">
        <f>+E3*I3</f>
        <v>#REF!</v>
      </c>
      <c r="J4" s="136"/>
      <c r="K4" s="146"/>
      <c r="L4" s="134"/>
      <c r="M4" s="134"/>
      <c r="N4" s="134"/>
      <c r="O4" s="135"/>
      <c r="Q4" s="138"/>
      <c r="R4" s="139"/>
      <c r="S4" s="140"/>
      <c r="U4" s="136"/>
      <c r="V4" s="136"/>
      <c r="W4" s="136"/>
      <c r="X4" s="136"/>
      <c r="Y4" s="136"/>
      <c r="Z4" s="136"/>
      <c r="AA4" s="136"/>
      <c r="AB4" s="136"/>
      <c r="AC4" s="136"/>
      <c r="AD4" s="136"/>
      <c r="AE4" s="136"/>
      <c r="AF4" s="136"/>
      <c r="AG4" s="136"/>
      <c r="AH4" s="577"/>
      <c r="AI4" s="577"/>
      <c r="AJ4" s="134"/>
    </row>
    <row r="5" spans="1:36" ht="23.5" x14ac:dyDescent="0.55000000000000004">
      <c r="B5" s="91"/>
      <c r="C5" s="92" t="e">
        <f>+(C9+C10)/C7*1000</f>
        <v>#REF!</v>
      </c>
      <c r="D5" s="92" t="e">
        <f t="shared" ref="D5:H5" si="0">+(D9+D10)/D7*1000</f>
        <v>#REF!</v>
      </c>
      <c r="E5" s="92" t="e">
        <f t="shared" si="0"/>
        <v>#REF!</v>
      </c>
      <c r="F5" s="92" t="e">
        <f t="shared" si="0"/>
        <v>#REF!</v>
      </c>
      <c r="G5" s="92" t="e">
        <f t="shared" si="0"/>
        <v>#REF!</v>
      </c>
      <c r="H5" s="92" t="e">
        <f t="shared" si="0"/>
        <v>#REF!</v>
      </c>
      <c r="J5" s="88"/>
      <c r="K5" s="91"/>
      <c r="L5" s="92"/>
      <c r="M5" s="92"/>
      <c r="N5" s="92"/>
      <c r="O5" s="92"/>
      <c r="Q5" s="93"/>
      <c r="R5" s="82"/>
      <c r="S5" s="90"/>
      <c r="T5" s="94"/>
      <c r="U5" s="88"/>
      <c r="V5" s="88"/>
      <c r="W5" s="88"/>
      <c r="X5" s="88"/>
      <c r="Y5" s="88"/>
      <c r="Z5" s="88"/>
      <c r="AA5" s="88"/>
      <c r="AB5" s="88"/>
      <c r="AC5" s="88"/>
      <c r="AD5" s="88"/>
      <c r="AE5" s="88"/>
      <c r="AF5" s="88"/>
      <c r="AG5" s="88"/>
      <c r="AH5" s="91"/>
      <c r="AI5" s="91"/>
      <c r="AJ5" s="78"/>
    </row>
    <row r="6" spans="1:36" s="95" customFormat="1" ht="33.75" customHeight="1" x14ac:dyDescent="0.35">
      <c r="B6" s="85" t="s">
        <v>5</v>
      </c>
      <c r="C6" s="85" t="s">
        <v>68</v>
      </c>
      <c r="D6" s="85" t="s">
        <v>69</v>
      </c>
      <c r="E6" s="85" t="s">
        <v>69</v>
      </c>
      <c r="F6" s="85" t="s">
        <v>70</v>
      </c>
      <c r="G6" s="85" t="s">
        <v>70</v>
      </c>
      <c r="H6" s="85" t="s">
        <v>70</v>
      </c>
      <c r="I6" s="85"/>
      <c r="J6" s="88"/>
      <c r="K6" s="85" t="s">
        <v>71</v>
      </c>
      <c r="L6" s="96" t="s">
        <v>8</v>
      </c>
      <c r="M6" s="96" t="s">
        <v>7</v>
      </c>
      <c r="N6" s="96" t="s">
        <v>8</v>
      </c>
      <c r="O6" s="96" t="s">
        <v>63</v>
      </c>
      <c r="Q6" s="147" t="s">
        <v>72</v>
      </c>
      <c r="R6" s="99" t="s">
        <v>54</v>
      </c>
      <c r="S6" s="99" t="s">
        <v>55</v>
      </c>
      <c r="T6" s="99" t="s">
        <v>56</v>
      </c>
      <c r="U6" s="99" t="s">
        <v>12</v>
      </c>
      <c r="V6" s="99" t="s">
        <v>57</v>
      </c>
      <c r="W6" s="99" t="s">
        <v>58</v>
      </c>
      <c r="X6" s="99" t="s">
        <v>59</v>
      </c>
      <c r="Y6" s="99" t="s">
        <v>60</v>
      </c>
      <c r="Z6" s="99" t="s">
        <v>62</v>
      </c>
      <c r="AA6" s="99" t="s">
        <v>64</v>
      </c>
      <c r="AB6" s="99" t="s">
        <v>65</v>
      </c>
      <c r="AC6" s="99" t="s">
        <v>73</v>
      </c>
      <c r="AD6" s="99" t="s">
        <v>53</v>
      </c>
      <c r="AE6" s="99" t="s">
        <v>77</v>
      </c>
      <c r="AF6" s="99" t="s">
        <v>78</v>
      </c>
      <c r="AG6" s="99" t="s">
        <v>79</v>
      </c>
      <c r="AH6" s="100"/>
      <c r="AI6" s="97"/>
      <c r="AJ6" s="97"/>
    </row>
    <row r="7" spans="1:36" x14ac:dyDescent="0.35">
      <c r="B7" s="85" t="s">
        <v>13</v>
      </c>
      <c r="C7" s="101">
        <v>16.7</v>
      </c>
      <c r="D7" s="101">
        <v>16.7</v>
      </c>
      <c r="E7" s="101">
        <v>20.5</v>
      </c>
      <c r="F7" s="101">
        <v>30.6</v>
      </c>
      <c r="G7" s="101">
        <v>30.6</v>
      </c>
      <c r="H7" s="101">
        <v>38.6</v>
      </c>
      <c r="I7" s="101"/>
      <c r="K7" s="85" t="s">
        <v>13</v>
      </c>
      <c r="L7" s="101">
        <v>20.5</v>
      </c>
      <c r="M7" s="101">
        <v>15</v>
      </c>
      <c r="N7" s="101">
        <v>20.5</v>
      </c>
      <c r="O7" s="101">
        <v>30.6</v>
      </c>
      <c r="Q7" s="102" t="s">
        <v>14</v>
      </c>
      <c r="R7" s="104">
        <v>938.13</v>
      </c>
      <c r="S7" s="105">
        <v>959</v>
      </c>
      <c r="T7" s="104">
        <v>1006.25</v>
      </c>
      <c r="U7" s="130">
        <v>993.75</v>
      </c>
      <c r="V7" s="131">
        <v>1015.5</v>
      </c>
      <c r="W7" s="131">
        <v>1045.5999999999999</v>
      </c>
      <c r="X7" s="43">
        <v>1103.75</v>
      </c>
      <c r="Y7" s="43">
        <v>1148.75</v>
      </c>
      <c r="Z7" s="43">
        <v>1167</v>
      </c>
      <c r="AA7" s="43">
        <v>1221.25</v>
      </c>
      <c r="AB7" s="43">
        <v>1330</v>
      </c>
      <c r="AC7" s="43">
        <f>+'IHS (Mod)'!I5</f>
        <v>1280</v>
      </c>
      <c r="AD7" s="43">
        <f>+'IHS (Mod)'!J5</f>
        <v>1279.380005</v>
      </c>
      <c r="AE7" s="43">
        <v>1275.5</v>
      </c>
      <c r="AF7" s="43" t="e">
        <f>+#REF!</f>
        <v>#REF!</v>
      </c>
      <c r="AG7" s="43" t="e">
        <f>+#REF!</f>
        <v>#REF!</v>
      </c>
      <c r="AH7" s="85"/>
      <c r="AI7" s="101"/>
      <c r="AJ7" s="101"/>
    </row>
    <row r="8" spans="1:36" x14ac:dyDescent="0.35">
      <c r="B8" s="79" t="s">
        <v>16</v>
      </c>
      <c r="C8" s="91" t="s">
        <v>17</v>
      </c>
      <c r="D8" s="91" t="s">
        <v>17</v>
      </c>
      <c r="E8" s="91" t="s">
        <v>17</v>
      </c>
      <c r="F8" s="91" t="s">
        <v>17</v>
      </c>
      <c r="G8" s="91" t="s">
        <v>17</v>
      </c>
      <c r="H8" s="91" t="s">
        <v>17</v>
      </c>
      <c r="I8" s="91"/>
      <c r="K8" s="79" t="s">
        <v>16</v>
      </c>
      <c r="L8" s="91" t="s">
        <v>17</v>
      </c>
      <c r="M8" s="91" t="s">
        <v>17</v>
      </c>
      <c r="N8" s="91" t="s">
        <v>17</v>
      </c>
      <c r="O8" s="91" t="s">
        <v>17</v>
      </c>
      <c r="Q8" s="128" t="s">
        <v>18</v>
      </c>
      <c r="R8" s="129">
        <v>25.09</v>
      </c>
      <c r="S8" s="129">
        <v>25.09</v>
      </c>
      <c r="T8" s="129">
        <v>25.09</v>
      </c>
      <c r="U8" s="129">
        <v>25</v>
      </c>
      <c r="V8" s="129">
        <v>25</v>
      </c>
      <c r="W8" s="129">
        <v>25</v>
      </c>
      <c r="X8" s="129">
        <v>25</v>
      </c>
      <c r="Y8" s="129">
        <v>25</v>
      </c>
      <c r="Z8" s="129">
        <v>25</v>
      </c>
      <c r="AA8" s="129">
        <v>25</v>
      </c>
      <c r="AB8" s="129">
        <v>25</v>
      </c>
      <c r="AC8" s="129">
        <v>33.139726027397259</v>
      </c>
      <c r="AD8" s="129">
        <f>+Septiembre18!AD8</f>
        <v>33.1236741020548</v>
      </c>
      <c r="AE8" s="129">
        <v>33.023219178082194</v>
      </c>
      <c r="AF8" s="129">
        <v>33.023219178082194</v>
      </c>
      <c r="AG8" s="129" t="e">
        <f>+AJ8</f>
        <v>#REF!</v>
      </c>
      <c r="AH8" s="79" t="e">
        <f>+AG7*4.5%</f>
        <v>#REF!</v>
      </c>
      <c r="AI8" s="91" t="e">
        <f>+AH8/365</f>
        <v>#REF!</v>
      </c>
      <c r="AJ8" s="91" t="e">
        <f>+AI8*210</f>
        <v>#REF!</v>
      </c>
    </row>
    <row r="9" spans="1:36" x14ac:dyDescent="0.35">
      <c r="B9" s="79" t="s">
        <v>19</v>
      </c>
      <c r="C9" s="80" t="e">
        <f>+(C7*E3/1000)*1.01*75%</f>
        <v>#REF!</v>
      </c>
      <c r="D9" s="80" t="e">
        <f>+(D7*$E$3/1000)*1.01*75%</f>
        <v>#REF!</v>
      </c>
      <c r="E9" s="80" t="e">
        <f>+(E7*$E$3/1000)*1.01*75%</f>
        <v>#REF!</v>
      </c>
      <c r="F9" s="80" t="e">
        <f>+(F7*E3/1000)*1.01</f>
        <v>#REF!</v>
      </c>
      <c r="G9" s="80" t="e">
        <f>+(G7*$E$3/1000)*1.01*75%</f>
        <v>#REF!</v>
      </c>
      <c r="H9" s="80" t="e">
        <f>+(H7*$E$3/1000)*1.01*75%</f>
        <v>#REF!</v>
      </c>
      <c r="I9" s="80"/>
      <c r="K9" s="79" t="s">
        <v>19</v>
      </c>
      <c r="L9" s="80" t="e">
        <f>+(L7*E3/1000)*1.005</f>
        <v>#REF!</v>
      </c>
      <c r="M9" s="80" t="e">
        <f>+(M7*E3/1000)*1.005*75%</f>
        <v>#REF!</v>
      </c>
      <c r="N9" s="80" t="e">
        <f>+(N7*E3/1000)*1.005*75%</f>
        <v>#REF!</v>
      </c>
      <c r="O9" s="80" t="e">
        <f>+(O7*E3/1000)*1.005*75%</f>
        <v>#REF!</v>
      </c>
      <c r="Q9" s="125" t="s">
        <v>20</v>
      </c>
      <c r="R9" s="126">
        <v>65</v>
      </c>
      <c r="S9" s="127">
        <v>65</v>
      </c>
      <c r="T9" s="126">
        <v>65</v>
      </c>
      <c r="U9" s="126">
        <v>65</v>
      </c>
      <c r="V9" s="126">
        <v>65</v>
      </c>
      <c r="W9" s="126">
        <v>65</v>
      </c>
      <c r="X9" s="126">
        <v>65</v>
      </c>
      <c r="Y9" s="126">
        <v>65</v>
      </c>
      <c r="Z9" s="126">
        <v>65</v>
      </c>
      <c r="AA9" s="126">
        <v>65</v>
      </c>
      <c r="AB9" s="126">
        <v>65</v>
      </c>
      <c r="AC9" s="126">
        <v>70</v>
      </c>
      <c r="AD9" s="126">
        <v>70</v>
      </c>
      <c r="AE9" s="126">
        <v>70</v>
      </c>
      <c r="AF9" s="126">
        <v>70</v>
      </c>
      <c r="AG9" s="126">
        <v>70</v>
      </c>
      <c r="AH9" s="79"/>
      <c r="AI9" s="80"/>
      <c r="AJ9" s="80"/>
    </row>
    <row r="10" spans="1:36" x14ac:dyDescent="0.35">
      <c r="B10" s="75" t="s">
        <v>23</v>
      </c>
      <c r="C10" s="76" t="e">
        <f>+(C7*$E$4/1000)*1.01*25%</f>
        <v>#REF!</v>
      </c>
      <c r="D10" s="76" t="e">
        <f>+(D7*$E$4/1000)*1.01*25%</f>
        <v>#REF!</v>
      </c>
      <c r="E10" s="76" t="e">
        <f>+(E7*$E$4/1000)*1.01*25%</f>
        <v>#REF!</v>
      </c>
      <c r="F10" s="76">
        <v>0</v>
      </c>
      <c r="G10" s="76" t="e">
        <f>+(G7*$E$4/1000)*1.01*25%</f>
        <v>#REF!</v>
      </c>
      <c r="H10" s="76" t="e">
        <f>+(H7*$E$4/1000)*1.01*25%</f>
        <v>#REF!</v>
      </c>
      <c r="I10" s="76"/>
      <c r="J10" s="121"/>
      <c r="K10" s="75" t="s">
        <v>23</v>
      </c>
      <c r="L10" s="76">
        <v>0</v>
      </c>
      <c r="M10" s="76" t="e">
        <f>+(M7*E4/1000)*1.005*25%</f>
        <v>#REF!</v>
      </c>
      <c r="N10" s="76" t="e">
        <f>+(N7*E4/1000)*1.005*25%</f>
        <v>#REF!</v>
      </c>
      <c r="O10" s="76" t="e">
        <f>+(O7*E4/1000)*1.005*25%</f>
        <v>#REF!</v>
      </c>
      <c r="Q10" s="102"/>
      <c r="R10" s="104">
        <f>SUM(R7:R9)</f>
        <v>1028.22</v>
      </c>
      <c r="S10" s="104">
        <f>SUM(S7:S9)</f>
        <v>1049.0900000000001</v>
      </c>
      <c r="T10" s="104">
        <f>SUM(T7:T9)</f>
        <v>1096.3399999999999</v>
      </c>
      <c r="U10" s="104">
        <f>SUM(U7:U9)</f>
        <v>1083.75</v>
      </c>
      <c r="V10" s="104">
        <f t="shared" ref="V10:AG10" si="1">SUM(V7:V9)</f>
        <v>1105.5</v>
      </c>
      <c r="W10" s="104">
        <f t="shared" si="1"/>
        <v>1135.5999999999999</v>
      </c>
      <c r="X10" s="104">
        <f t="shared" si="1"/>
        <v>1193.75</v>
      </c>
      <c r="Y10" s="104">
        <f t="shared" si="1"/>
        <v>1238.75</v>
      </c>
      <c r="Z10" s="104">
        <f t="shared" si="1"/>
        <v>1257</v>
      </c>
      <c r="AA10" s="104">
        <f t="shared" si="1"/>
        <v>1311.25</v>
      </c>
      <c r="AB10" s="104">
        <f t="shared" si="1"/>
        <v>1420</v>
      </c>
      <c r="AC10" s="104">
        <f t="shared" si="1"/>
        <v>1383.1397260273973</v>
      </c>
      <c r="AD10" s="104">
        <f t="shared" si="1"/>
        <v>1382.5036791020548</v>
      </c>
      <c r="AE10" s="104">
        <f t="shared" si="1"/>
        <v>1378.5232191780822</v>
      </c>
      <c r="AF10" s="104" t="e">
        <f t="shared" si="1"/>
        <v>#REF!</v>
      </c>
      <c r="AG10" s="104" t="e">
        <f t="shared" si="1"/>
        <v>#REF!</v>
      </c>
      <c r="AH10" s="79"/>
      <c r="AI10" s="80"/>
      <c r="AJ10" s="80"/>
    </row>
    <row r="11" spans="1:36" x14ac:dyDescent="0.35">
      <c r="B11" s="79" t="s">
        <v>26</v>
      </c>
      <c r="C11" s="80">
        <v>8.1999999999999993</v>
      </c>
      <c r="D11" s="80">
        <v>8.1999999999999993</v>
      </c>
      <c r="E11" s="80">
        <v>8.1999999999999993</v>
      </c>
      <c r="F11" s="80">
        <v>11.15</v>
      </c>
      <c r="G11" s="80">
        <v>11.15</v>
      </c>
      <c r="H11" s="80">
        <v>11.15</v>
      </c>
      <c r="I11" s="80"/>
      <c r="K11" s="79" t="s">
        <v>26</v>
      </c>
      <c r="L11" s="80">
        <v>27.2</v>
      </c>
      <c r="M11" s="80">
        <v>27.2</v>
      </c>
      <c r="N11" s="80">
        <v>27.2</v>
      </c>
      <c r="O11" s="80">
        <f>11.15+28.25</f>
        <v>39.4</v>
      </c>
      <c r="Q11" s="106" t="s">
        <v>27</v>
      </c>
      <c r="R11" s="108">
        <f>+R10*4%</f>
        <v>41.128800000000005</v>
      </c>
      <c r="S11" s="104">
        <f>+S10*4%</f>
        <v>41.963600000000007</v>
      </c>
      <c r="T11" s="108">
        <f>+T10*4%</f>
        <v>43.8536</v>
      </c>
      <c r="U11" s="108">
        <f>+U10*4%</f>
        <v>43.35</v>
      </c>
      <c r="V11" s="108">
        <f t="shared" ref="V11:AG11" si="2">+V10*4%</f>
        <v>44.22</v>
      </c>
      <c r="W11" s="108">
        <f t="shared" si="2"/>
        <v>45.423999999999999</v>
      </c>
      <c r="X11" s="108">
        <f t="shared" si="2"/>
        <v>47.75</v>
      </c>
      <c r="Y11" s="108">
        <f t="shared" si="2"/>
        <v>49.550000000000004</v>
      </c>
      <c r="Z11" s="108">
        <f t="shared" si="2"/>
        <v>50.28</v>
      </c>
      <c r="AA11" s="108">
        <f t="shared" si="2"/>
        <v>52.45</v>
      </c>
      <c r="AB11" s="108">
        <f t="shared" si="2"/>
        <v>56.800000000000004</v>
      </c>
      <c r="AC11" s="108">
        <f t="shared" si="2"/>
        <v>55.325589041095895</v>
      </c>
      <c r="AD11" s="108">
        <f t="shared" si="2"/>
        <v>55.30014716408219</v>
      </c>
      <c r="AE11" s="108">
        <f t="shared" si="2"/>
        <v>55.140928767123285</v>
      </c>
      <c r="AF11" s="108" t="e">
        <f t="shared" si="2"/>
        <v>#REF!</v>
      </c>
      <c r="AG11" s="108" t="e">
        <f t="shared" si="2"/>
        <v>#REF!</v>
      </c>
      <c r="AH11" s="79"/>
      <c r="AI11" s="80"/>
      <c r="AJ11" s="80"/>
    </row>
    <row r="12" spans="1:36" x14ac:dyDescent="0.35">
      <c r="B12" s="79" t="s">
        <v>31</v>
      </c>
      <c r="C12" s="80">
        <v>1.3</v>
      </c>
      <c r="D12" s="80">
        <v>1.3</v>
      </c>
      <c r="E12" s="80">
        <v>1.3</v>
      </c>
      <c r="F12" s="80">
        <v>2.38</v>
      </c>
      <c r="G12" s="80">
        <v>2.38</v>
      </c>
      <c r="H12" s="80">
        <v>2.38</v>
      </c>
      <c r="I12" s="80"/>
      <c r="K12" s="79" t="s">
        <v>31</v>
      </c>
      <c r="L12" s="80">
        <v>1.99</v>
      </c>
      <c r="M12" s="80">
        <v>0.81</v>
      </c>
      <c r="N12" s="80">
        <v>1.99</v>
      </c>
      <c r="O12" s="80">
        <v>2.97</v>
      </c>
      <c r="Q12" s="157" t="s">
        <v>30</v>
      </c>
      <c r="R12" s="158">
        <f>+R11+R10</f>
        <v>1069.3488</v>
      </c>
      <c r="S12" s="159">
        <f>+S11+S10</f>
        <v>1091.0536000000002</v>
      </c>
      <c r="T12" s="158">
        <f>+T11+T10</f>
        <v>1140.1935999999998</v>
      </c>
      <c r="U12" s="158">
        <f>+U11+U10</f>
        <v>1127.0999999999999</v>
      </c>
      <c r="V12" s="158">
        <f t="shared" ref="V12:AG12" si="3">+V11+V10</f>
        <v>1149.72</v>
      </c>
      <c r="W12" s="158">
        <f t="shared" si="3"/>
        <v>1181.0239999999999</v>
      </c>
      <c r="X12" s="158">
        <f t="shared" si="3"/>
        <v>1241.5</v>
      </c>
      <c r="Y12" s="158">
        <f t="shared" si="3"/>
        <v>1288.3</v>
      </c>
      <c r="Z12" s="158">
        <f t="shared" si="3"/>
        <v>1307.28</v>
      </c>
      <c r="AA12" s="158">
        <f t="shared" si="3"/>
        <v>1363.7</v>
      </c>
      <c r="AB12" s="158">
        <f t="shared" si="3"/>
        <v>1476.8</v>
      </c>
      <c r="AC12" s="158">
        <f t="shared" si="3"/>
        <v>1438.4653150684931</v>
      </c>
      <c r="AD12" s="158">
        <f t="shared" si="3"/>
        <v>1437.8038262661369</v>
      </c>
      <c r="AE12" s="158">
        <f t="shared" si="3"/>
        <v>1433.6641479452055</v>
      </c>
      <c r="AF12" s="158" t="e">
        <f t="shared" si="3"/>
        <v>#REF!</v>
      </c>
      <c r="AG12" s="158" t="e">
        <f t="shared" si="3"/>
        <v>#REF!</v>
      </c>
      <c r="AH12" s="79"/>
      <c r="AI12" s="80"/>
      <c r="AJ12" s="80"/>
    </row>
    <row r="13" spans="1:36" x14ac:dyDescent="0.35">
      <c r="B13" s="79" t="s">
        <v>34</v>
      </c>
      <c r="C13" s="80">
        <v>0.19</v>
      </c>
      <c r="D13" s="80">
        <v>0.19</v>
      </c>
      <c r="E13" s="80">
        <v>0.19</v>
      </c>
      <c r="F13" s="80">
        <v>0.33</v>
      </c>
      <c r="G13" s="80">
        <v>0.33</v>
      </c>
      <c r="H13" s="80">
        <v>0.33</v>
      </c>
      <c r="I13" s="80"/>
      <c r="K13" s="79" t="s">
        <v>34</v>
      </c>
      <c r="L13" s="80">
        <v>2.71</v>
      </c>
      <c r="M13" s="80">
        <v>2.71</v>
      </c>
      <c r="N13" s="80">
        <v>2.71</v>
      </c>
      <c r="O13" s="80">
        <v>4.4400000000000004</v>
      </c>
      <c r="Q13" s="160" t="s">
        <v>32</v>
      </c>
      <c r="R13" s="161">
        <f>+R12*(1-5%)</f>
        <v>1015.88136</v>
      </c>
      <c r="S13" s="161">
        <f t="shared" ref="S13:AG13" si="4">+S12*(1-5%)</f>
        <v>1036.5009200000002</v>
      </c>
      <c r="T13" s="161">
        <f t="shared" si="4"/>
        <v>1083.1839199999997</v>
      </c>
      <c r="U13" s="161">
        <f t="shared" si="4"/>
        <v>1070.7449999999999</v>
      </c>
      <c r="V13" s="161">
        <f t="shared" si="4"/>
        <v>1092.2339999999999</v>
      </c>
      <c r="W13" s="161">
        <f t="shared" si="4"/>
        <v>1121.9727999999998</v>
      </c>
      <c r="X13" s="161">
        <f t="shared" si="4"/>
        <v>1179.425</v>
      </c>
      <c r="Y13" s="161">
        <f t="shared" si="4"/>
        <v>1223.885</v>
      </c>
      <c r="Z13" s="161">
        <f t="shared" si="4"/>
        <v>1241.9159999999999</v>
      </c>
      <c r="AA13" s="161">
        <f t="shared" si="4"/>
        <v>1295.5149999999999</v>
      </c>
      <c r="AB13" s="161">
        <f t="shared" si="4"/>
        <v>1402.9599999999998</v>
      </c>
      <c r="AC13" s="161">
        <f t="shared" si="4"/>
        <v>1366.5420493150684</v>
      </c>
      <c r="AD13" s="161">
        <f t="shared" si="4"/>
        <v>1365.9136349528299</v>
      </c>
      <c r="AE13" s="161">
        <f t="shared" si="4"/>
        <v>1361.9809405479452</v>
      </c>
      <c r="AF13" s="161" t="e">
        <f t="shared" si="4"/>
        <v>#REF!</v>
      </c>
      <c r="AG13" s="161" t="e">
        <f t="shared" si="4"/>
        <v>#REF!</v>
      </c>
      <c r="AH13" s="79"/>
      <c r="AI13" s="80"/>
      <c r="AJ13" s="80"/>
    </row>
    <row r="14" spans="1:36" x14ac:dyDescent="0.35">
      <c r="B14" s="79" t="s">
        <v>36</v>
      </c>
      <c r="C14" s="80">
        <v>0.16</v>
      </c>
      <c r="D14" s="80">
        <v>0.16</v>
      </c>
      <c r="E14" s="80">
        <v>0.16</v>
      </c>
      <c r="F14" s="80">
        <v>0.28000000000000003</v>
      </c>
      <c r="G14" s="80">
        <v>0.28000000000000003</v>
      </c>
      <c r="H14" s="80">
        <v>0.28000000000000003</v>
      </c>
      <c r="I14" s="80"/>
      <c r="K14" s="79" t="s">
        <v>36</v>
      </c>
      <c r="L14" s="80">
        <v>7.77</v>
      </c>
      <c r="M14" s="80">
        <v>7.77</v>
      </c>
      <c r="N14" s="80">
        <v>7.77</v>
      </c>
      <c r="O14" s="80">
        <v>15.99</v>
      </c>
      <c r="Q14" s="157" t="s">
        <v>35</v>
      </c>
      <c r="R14" s="158">
        <f>+R12*75%+R13*25%</f>
        <v>1055.9819400000001</v>
      </c>
      <c r="S14" s="158">
        <f t="shared" ref="S14:AG14" si="5">+S12*75%+S13*25%</f>
        <v>1077.4154300000002</v>
      </c>
      <c r="T14" s="158">
        <f t="shared" si="5"/>
        <v>1125.9411799999998</v>
      </c>
      <c r="U14" s="158">
        <f t="shared" si="5"/>
        <v>1113.01125</v>
      </c>
      <c r="V14" s="158">
        <f t="shared" si="5"/>
        <v>1135.3485000000001</v>
      </c>
      <c r="W14" s="158">
        <f t="shared" si="5"/>
        <v>1166.2611999999999</v>
      </c>
      <c r="X14" s="158">
        <f t="shared" si="5"/>
        <v>1225.98125</v>
      </c>
      <c r="Y14" s="158">
        <f t="shared" si="5"/>
        <v>1272.19625</v>
      </c>
      <c r="Z14" s="158">
        <f t="shared" si="5"/>
        <v>1290.9390000000001</v>
      </c>
      <c r="AA14" s="158">
        <f t="shared" si="5"/>
        <v>1346.6537499999999</v>
      </c>
      <c r="AB14" s="158">
        <f t="shared" si="5"/>
        <v>1458.34</v>
      </c>
      <c r="AC14" s="158">
        <f t="shared" si="5"/>
        <v>1420.4844986301368</v>
      </c>
      <c r="AD14" s="158">
        <f t="shared" si="5"/>
        <v>1419.8312784378102</v>
      </c>
      <c r="AE14" s="158">
        <f t="shared" si="5"/>
        <v>1415.7433460958905</v>
      </c>
      <c r="AF14" s="158" t="e">
        <f t="shared" si="5"/>
        <v>#REF!</v>
      </c>
      <c r="AG14" s="158" t="e">
        <f t="shared" si="5"/>
        <v>#REF!</v>
      </c>
      <c r="AH14" s="79"/>
      <c r="AI14" s="80"/>
      <c r="AJ14" s="80"/>
    </row>
    <row r="15" spans="1:36" x14ac:dyDescent="0.35">
      <c r="B15" s="85" t="s">
        <v>39</v>
      </c>
      <c r="C15" s="84" t="e">
        <f t="shared" ref="C15:H15" si="6">SUM(C9:C14)</f>
        <v>#REF!</v>
      </c>
      <c r="D15" s="84" t="e">
        <f t="shared" si="6"/>
        <v>#REF!</v>
      </c>
      <c r="E15" s="84" t="e">
        <f t="shared" si="6"/>
        <v>#REF!</v>
      </c>
      <c r="F15" s="84" t="e">
        <f t="shared" si="6"/>
        <v>#REF!</v>
      </c>
      <c r="G15" s="84" t="e">
        <f t="shared" si="6"/>
        <v>#REF!</v>
      </c>
      <c r="H15" s="84" t="e">
        <f t="shared" si="6"/>
        <v>#REF!</v>
      </c>
      <c r="I15" s="84"/>
      <c r="K15" s="85" t="s">
        <v>39</v>
      </c>
      <c r="L15" s="84" t="e">
        <f>SUM(L9:L14)</f>
        <v>#REF!</v>
      </c>
      <c r="M15" s="84" t="e">
        <f>SUM(M9:M14)</f>
        <v>#REF!</v>
      </c>
      <c r="N15" s="84" t="e">
        <f>SUM(N9:N14)</f>
        <v>#REF!</v>
      </c>
      <c r="O15" s="84" t="e">
        <f>SUM(O9:O14)</f>
        <v>#REF!</v>
      </c>
      <c r="Q15" s="113" t="s">
        <v>37</v>
      </c>
      <c r="R15" s="118">
        <f>+R14*1%</f>
        <v>10.559819400000002</v>
      </c>
      <c r="S15" s="118">
        <f t="shared" ref="S15:AG15" si="7">+S14*1%</f>
        <v>10.774154300000003</v>
      </c>
      <c r="T15" s="118">
        <f t="shared" si="7"/>
        <v>11.259411799999999</v>
      </c>
      <c r="U15" s="118">
        <f t="shared" si="7"/>
        <v>11.130112500000001</v>
      </c>
      <c r="V15" s="118">
        <f t="shared" si="7"/>
        <v>11.353485000000001</v>
      </c>
      <c r="W15" s="118">
        <f t="shared" si="7"/>
        <v>11.662611999999999</v>
      </c>
      <c r="X15" s="118">
        <f t="shared" si="7"/>
        <v>12.259812500000001</v>
      </c>
      <c r="Y15" s="118">
        <f t="shared" si="7"/>
        <v>12.7219625</v>
      </c>
      <c r="Z15" s="118">
        <f t="shared" si="7"/>
        <v>12.909390000000002</v>
      </c>
      <c r="AA15" s="118">
        <f t="shared" si="7"/>
        <v>13.466537499999999</v>
      </c>
      <c r="AB15" s="118">
        <f t="shared" si="7"/>
        <v>14.583399999999999</v>
      </c>
      <c r="AC15" s="118">
        <f t="shared" si="7"/>
        <v>14.204844986301369</v>
      </c>
      <c r="AD15" s="118">
        <f t="shared" si="7"/>
        <v>14.198312784378102</v>
      </c>
      <c r="AE15" s="118">
        <f t="shared" si="7"/>
        <v>14.157433460958906</v>
      </c>
      <c r="AF15" s="118" t="e">
        <f t="shared" si="7"/>
        <v>#REF!</v>
      </c>
      <c r="AG15" s="118" t="e">
        <f t="shared" si="7"/>
        <v>#REF!</v>
      </c>
      <c r="AH15" s="79"/>
      <c r="AI15" s="80"/>
      <c r="AJ15" s="80"/>
    </row>
    <row r="16" spans="1:36" x14ac:dyDescent="0.35">
      <c r="A16" s="81" t="s">
        <v>38</v>
      </c>
      <c r="Q16" s="113" t="s">
        <v>74</v>
      </c>
      <c r="R16" s="115">
        <f>+R15+R14</f>
        <v>1066.5417594</v>
      </c>
      <c r="S16" s="115">
        <f t="shared" ref="S16:AG16" si="8">+S15+S14</f>
        <v>1088.1895843000002</v>
      </c>
      <c r="T16" s="115">
        <f t="shared" si="8"/>
        <v>1137.2005917999998</v>
      </c>
      <c r="U16" s="115">
        <f t="shared" si="8"/>
        <v>1124.1413625</v>
      </c>
      <c r="V16" s="115">
        <f t="shared" si="8"/>
        <v>1146.7019850000001</v>
      </c>
      <c r="W16" s="115">
        <f t="shared" si="8"/>
        <v>1177.923812</v>
      </c>
      <c r="X16" s="115">
        <f t="shared" si="8"/>
        <v>1238.2410625</v>
      </c>
      <c r="Y16" s="115">
        <f t="shared" si="8"/>
        <v>1284.9182125</v>
      </c>
      <c r="Z16" s="115">
        <f t="shared" si="8"/>
        <v>1303.8483900000001</v>
      </c>
      <c r="AA16" s="115">
        <f t="shared" si="8"/>
        <v>1360.1202874999999</v>
      </c>
      <c r="AB16" s="115">
        <f t="shared" si="8"/>
        <v>1472.9233999999999</v>
      </c>
      <c r="AC16" s="115">
        <f t="shared" si="8"/>
        <v>1434.6893436164382</v>
      </c>
      <c r="AD16" s="115">
        <f t="shared" si="8"/>
        <v>1434.0295912221882</v>
      </c>
      <c r="AE16" s="115">
        <f t="shared" si="8"/>
        <v>1429.9007795568493</v>
      </c>
      <c r="AF16" s="115" t="e">
        <f t="shared" si="8"/>
        <v>#REF!</v>
      </c>
      <c r="AG16" s="115" t="e">
        <f t="shared" si="8"/>
        <v>#REF!</v>
      </c>
      <c r="AH16" s="85"/>
      <c r="AI16" s="84"/>
      <c r="AJ16" s="84"/>
    </row>
    <row r="17" spans="2:36" hidden="1" x14ac:dyDescent="0.35">
      <c r="B17" s="85"/>
      <c r="C17" s="84"/>
      <c r="D17" s="84"/>
      <c r="E17" s="84"/>
      <c r="F17" s="84"/>
      <c r="G17" s="84"/>
      <c r="H17" s="84"/>
      <c r="I17" s="84"/>
      <c r="J17" s="94"/>
      <c r="L17" s="84"/>
      <c r="M17" s="84"/>
      <c r="N17" s="84"/>
      <c r="O17" s="84"/>
      <c r="Q17" s="85" t="s">
        <v>41</v>
      </c>
      <c r="R17" s="120" t="e">
        <f>+D5</f>
        <v>#REF!</v>
      </c>
      <c r="S17" s="120" t="e">
        <f>+R17</f>
        <v>#REF!</v>
      </c>
      <c r="T17" s="120" t="e">
        <f>+S17</f>
        <v>#REF!</v>
      </c>
      <c r="U17" s="120" t="e">
        <f>+T17</f>
        <v>#REF!</v>
      </c>
      <c r="V17" s="120" t="e">
        <f t="shared" ref="V17:AG17" si="9">+U17</f>
        <v>#REF!</v>
      </c>
      <c r="W17" s="120" t="e">
        <f t="shared" si="9"/>
        <v>#REF!</v>
      </c>
      <c r="X17" s="120" t="e">
        <f t="shared" si="9"/>
        <v>#REF!</v>
      </c>
      <c r="Y17" s="120" t="e">
        <f t="shared" si="9"/>
        <v>#REF!</v>
      </c>
      <c r="Z17" s="120" t="e">
        <f t="shared" si="9"/>
        <v>#REF!</v>
      </c>
      <c r="AA17" s="120" t="e">
        <f t="shared" si="9"/>
        <v>#REF!</v>
      </c>
      <c r="AB17" s="120" t="e">
        <f t="shared" si="9"/>
        <v>#REF!</v>
      </c>
      <c r="AC17" s="120" t="e">
        <f t="shared" si="9"/>
        <v>#REF!</v>
      </c>
      <c r="AD17" s="120" t="e">
        <f t="shared" si="9"/>
        <v>#REF!</v>
      </c>
      <c r="AE17" s="120" t="e">
        <f t="shared" si="9"/>
        <v>#REF!</v>
      </c>
      <c r="AF17" s="120" t="e">
        <f t="shared" si="9"/>
        <v>#REF!</v>
      </c>
      <c r="AG17" s="120" t="e">
        <f t="shared" si="9"/>
        <v>#REF!</v>
      </c>
      <c r="AI17" s="84"/>
      <c r="AJ17" s="84"/>
    </row>
    <row r="18" spans="2:36" x14ac:dyDescent="0.35">
      <c r="C18" s="132"/>
      <c r="J18" s="94"/>
      <c r="Q18" s="82"/>
      <c r="R18" s="82"/>
      <c r="S18" s="82"/>
      <c r="U18" s="94"/>
      <c r="V18" s="94"/>
      <c r="W18" s="94"/>
      <c r="X18" s="94"/>
      <c r="Y18" s="94"/>
      <c r="Z18" s="94"/>
      <c r="AA18" s="94"/>
      <c r="AB18" s="94"/>
      <c r="AC18" s="94"/>
      <c r="AD18" s="94"/>
      <c r="AE18" s="94"/>
      <c r="AF18" s="94"/>
      <c r="AG18" s="94"/>
      <c r="AI18" s="82"/>
      <c r="AJ18" s="82"/>
    </row>
    <row r="19" spans="2:36" x14ac:dyDescent="0.35">
      <c r="AI19" s="82"/>
      <c r="AJ19" s="82"/>
    </row>
    <row r="20" spans="2:36" x14ac:dyDescent="0.35">
      <c r="M20" s="86" t="s">
        <v>75</v>
      </c>
      <c r="AI20" s="82"/>
      <c r="AJ20" s="82"/>
    </row>
    <row r="25" spans="2:36" x14ac:dyDescent="0.35">
      <c r="L25" s="123"/>
    </row>
    <row r="32" spans="2:36" x14ac:dyDescent="0.35">
      <c r="B32" s="82" t="s">
        <v>51</v>
      </c>
    </row>
  </sheetData>
  <mergeCells count="6">
    <mergeCell ref="Q2:AJ2"/>
    <mergeCell ref="B3:D3"/>
    <mergeCell ref="Q3:R3"/>
    <mergeCell ref="AH3:AI3"/>
    <mergeCell ref="B4:D4"/>
    <mergeCell ref="AH4:AI4"/>
  </mergeCells>
  <pageMargins left="0.7" right="0.7" top="0.75" bottom="0.75" header="0.3" footer="0.3"/>
  <customProperties>
    <customPr name="EpmWorksheetKeyString_GUID" r:id="rId1"/>
  </customPropertie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Hoja33"/>
  <dimension ref="A1:L35"/>
  <sheetViews>
    <sheetView zoomScale="70" zoomScaleNormal="70" workbookViewId="0">
      <selection activeCell="H24" sqref="H24"/>
    </sheetView>
  </sheetViews>
  <sheetFormatPr defaultColWidth="11.453125" defaultRowHeight="14.5" x14ac:dyDescent="0.35"/>
  <cols>
    <col min="1" max="1" width="7.54296875" customWidth="1"/>
    <col min="2" max="2" width="22.1796875" style="1" customWidth="1"/>
    <col min="3" max="3" width="15.81640625" style="1" customWidth="1"/>
    <col min="4" max="5" width="14.81640625" style="1" customWidth="1"/>
    <col min="6" max="6" width="11.453125" hidden="1" customWidth="1"/>
    <col min="7" max="7" width="3.1796875" customWidth="1"/>
    <col min="8" max="8" width="23.1796875" customWidth="1"/>
    <col min="9" max="9" width="17.54296875" style="1" customWidth="1"/>
    <col min="10" max="10" width="11.453125" style="1"/>
    <col min="12" max="12" width="86.81640625" customWidth="1"/>
  </cols>
  <sheetData>
    <row r="1" spans="1:12" x14ac:dyDescent="0.35">
      <c r="G1" s="2"/>
      <c r="H1" s="2"/>
    </row>
    <row r="2" spans="1:12" x14ac:dyDescent="0.35">
      <c r="B2" s="571" t="s">
        <v>1</v>
      </c>
      <c r="C2" s="571"/>
      <c r="D2" s="571"/>
      <c r="E2" s="3">
        <f>+D26</f>
        <v>1055</v>
      </c>
      <c r="F2" s="4">
        <v>0.05</v>
      </c>
      <c r="G2" s="2"/>
      <c r="H2" s="571" t="s">
        <v>1</v>
      </c>
      <c r="I2" s="571"/>
      <c r="J2" s="3">
        <f>+D26</f>
        <v>1055</v>
      </c>
    </row>
    <row r="3" spans="1:12" x14ac:dyDescent="0.35">
      <c r="B3" s="571" t="s">
        <v>2</v>
      </c>
      <c r="C3" s="571"/>
      <c r="D3" s="571"/>
      <c r="E3" s="5">
        <f>+E2-F3</f>
        <v>1002.25</v>
      </c>
      <c r="F3" s="6">
        <f>+E2*F2</f>
        <v>52.75</v>
      </c>
      <c r="G3" s="2"/>
      <c r="H3" s="571" t="s">
        <v>3</v>
      </c>
      <c r="I3" s="571"/>
      <c r="J3" s="3">
        <v>0</v>
      </c>
    </row>
    <row r="4" spans="1:12" x14ac:dyDescent="0.35">
      <c r="B4" s="7"/>
      <c r="C4" s="7"/>
      <c r="D4" s="7"/>
      <c r="E4" s="3"/>
      <c r="G4" s="2"/>
      <c r="H4" s="7"/>
      <c r="I4" s="7"/>
      <c r="J4" s="3"/>
    </row>
    <row r="5" spans="1:12" x14ac:dyDescent="0.35">
      <c r="B5" s="571" t="s">
        <v>5</v>
      </c>
      <c r="C5" s="571"/>
      <c r="D5" s="571"/>
      <c r="E5" s="571"/>
      <c r="F5" s="571"/>
      <c r="G5" s="2"/>
      <c r="H5" s="8" t="s">
        <v>6</v>
      </c>
      <c r="I5" s="9" t="s">
        <v>7</v>
      </c>
      <c r="J5" s="9" t="s">
        <v>8</v>
      </c>
    </row>
    <row r="6" spans="1:12" x14ac:dyDescent="0.35">
      <c r="B6" s="8" t="s">
        <v>13</v>
      </c>
      <c r="C6" s="10">
        <v>15.6</v>
      </c>
      <c r="D6" s="10">
        <v>16.7</v>
      </c>
      <c r="E6" s="10">
        <v>30.6</v>
      </c>
      <c r="F6" s="10"/>
      <c r="H6" s="8" t="s">
        <v>13</v>
      </c>
      <c r="I6" s="10">
        <v>15</v>
      </c>
      <c r="J6" s="10">
        <v>20.5</v>
      </c>
    </row>
    <row r="7" spans="1:12" x14ac:dyDescent="0.35">
      <c r="B7" s="11" t="s">
        <v>16</v>
      </c>
      <c r="C7" s="7" t="s">
        <v>17</v>
      </c>
      <c r="D7" s="7" t="s">
        <v>17</v>
      </c>
      <c r="E7" s="7" t="s">
        <v>17</v>
      </c>
      <c r="F7" s="7"/>
      <c r="H7" s="11" t="s">
        <v>16</v>
      </c>
      <c r="I7" s="7" t="s">
        <v>17</v>
      </c>
      <c r="J7" s="7" t="s">
        <v>17</v>
      </c>
    </row>
    <row r="8" spans="1:12" x14ac:dyDescent="0.35">
      <c r="B8" s="11" t="s">
        <v>19</v>
      </c>
      <c r="C8" s="63">
        <f>+(C6*E2/1000)*1.01*75%</f>
        <v>12.466934999999999</v>
      </c>
      <c r="D8" s="69">
        <f>+(D6*$E$2/1000)*1.01*75%-0.01</f>
        <v>13.336013750000001</v>
      </c>
      <c r="E8" s="63">
        <f>+(E6*E2/1000)*1.01</f>
        <v>32.605830000000005</v>
      </c>
      <c r="F8" s="63"/>
      <c r="G8" s="64"/>
      <c r="H8" s="65" t="s">
        <v>19</v>
      </c>
      <c r="I8" s="69">
        <f>+(I6*J2/1000)*1.005-0.004</f>
        <v>15.900124999999997</v>
      </c>
      <c r="J8" s="63">
        <f>+(J6*J2/1000)*1.005+0.007</f>
        <v>21.742637500000001</v>
      </c>
      <c r="L8" s="66"/>
    </row>
    <row r="9" spans="1:12" x14ac:dyDescent="0.35">
      <c r="B9" s="11" t="s">
        <v>23</v>
      </c>
      <c r="C9" s="63">
        <f>+(C6*$E$3/1000)*1.01*25%</f>
        <v>3.9478627500000001</v>
      </c>
      <c r="D9" s="69">
        <f>+(D6*$E$3/1000)*1.01*25%</f>
        <v>4.2262376875000003</v>
      </c>
      <c r="E9" s="63">
        <v>0</v>
      </c>
      <c r="F9" s="63"/>
      <c r="G9" s="64"/>
      <c r="H9" s="65" t="s">
        <v>23</v>
      </c>
      <c r="I9" s="63">
        <v>0</v>
      </c>
      <c r="J9" s="63">
        <v>0</v>
      </c>
      <c r="L9" s="66"/>
    </row>
    <row r="10" spans="1:12" x14ac:dyDescent="0.35">
      <c r="B10" s="11" t="s">
        <v>25</v>
      </c>
      <c r="C10" s="6">
        <f>C35</f>
        <v>13.806908577633008</v>
      </c>
      <c r="D10" s="68">
        <f>D35</f>
        <v>13.806908577633008</v>
      </c>
      <c r="E10" s="6">
        <f>E35</f>
        <v>16.175542453854508</v>
      </c>
      <c r="F10" s="6"/>
      <c r="H10" s="11" t="s">
        <v>26</v>
      </c>
      <c r="I10" s="6">
        <f t="shared" ref="I10:J10" si="0">I35</f>
        <v>28.109813137893592</v>
      </c>
      <c r="J10" s="6">
        <f t="shared" si="0"/>
        <v>28.109813137893592</v>
      </c>
      <c r="L10" s="578"/>
    </row>
    <row r="11" spans="1:12" x14ac:dyDescent="0.35">
      <c r="B11" s="11" t="s">
        <v>28</v>
      </c>
      <c r="C11" s="6">
        <v>0</v>
      </c>
      <c r="D11" s="6">
        <v>0</v>
      </c>
      <c r="E11" s="6">
        <v>0</v>
      </c>
      <c r="F11" s="6"/>
      <c r="H11" s="11" t="s">
        <v>29</v>
      </c>
      <c r="I11" s="6">
        <v>0</v>
      </c>
      <c r="J11" s="6">
        <v>0</v>
      </c>
      <c r="L11" s="578"/>
    </row>
    <row r="12" spans="1:12" x14ac:dyDescent="0.35">
      <c r="B12" s="11" t="s">
        <v>31</v>
      </c>
      <c r="C12" s="6">
        <v>1.635</v>
      </c>
      <c r="D12" s="6">
        <v>1.7575000000000001</v>
      </c>
      <c r="E12" s="6">
        <v>2.97</v>
      </c>
      <c r="F12" s="6"/>
      <c r="H12" s="11" t="s">
        <v>31</v>
      </c>
      <c r="I12" s="6">
        <v>1.4</v>
      </c>
      <c r="J12" s="6">
        <v>2</v>
      </c>
      <c r="L12" s="578"/>
    </row>
    <row r="13" spans="1:12" x14ac:dyDescent="0.35">
      <c r="B13" s="11" t="s">
        <v>34</v>
      </c>
      <c r="C13" s="6">
        <v>0.20356000000000002</v>
      </c>
      <c r="D13" s="6">
        <v>0.20356000000000002</v>
      </c>
      <c r="E13" s="6">
        <v>0.28498400000000002</v>
      </c>
      <c r="F13" s="6"/>
      <c r="H13" s="11" t="s">
        <v>34</v>
      </c>
      <c r="I13" s="6">
        <v>1.27</v>
      </c>
      <c r="J13" s="6">
        <v>1.2722500000000001</v>
      </c>
      <c r="L13" s="578"/>
    </row>
    <row r="14" spans="1:12" x14ac:dyDescent="0.35">
      <c r="B14" s="11" t="s">
        <v>36</v>
      </c>
      <c r="C14" s="6">
        <v>0.15</v>
      </c>
      <c r="D14" s="6">
        <v>0.15</v>
      </c>
      <c r="E14" s="6">
        <v>0.21373800000000001</v>
      </c>
      <c r="F14" s="6"/>
      <c r="H14" s="11" t="s">
        <v>36</v>
      </c>
      <c r="I14" s="6">
        <v>8.34</v>
      </c>
      <c r="J14" s="6">
        <v>8.335782</v>
      </c>
      <c r="L14" s="578"/>
    </row>
    <row r="15" spans="1:12" x14ac:dyDescent="0.35">
      <c r="A15" t="s">
        <v>38</v>
      </c>
      <c r="B15" s="8" t="s">
        <v>39</v>
      </c>
      <c r="C15" s="67">
        <f>SUM(C8:C14)</f>
        <v>32.210266327633008</v>
      </c>
      <c r="D15" s="67">
        <f>SUM(D8:D14)</f>
        <v>33.480220015133014</v>
      </c>
      <c r="E15" s="67">
        <f>SUM(E8:E14)</f>
        <v>52.250094453854516</v>
      </c>
      <c r="F15" s="12"/>
      <c r="H15" s="8" t="s">
        <v>39</v>
      </c>
      <c r="I15" s="67">
        <f>SUM(I8:I14)</f>
        <v>55.01993813789359</v>
      </c>
      <c r="J15" s="67">
        <f>SUM(J8:J14)</f>
        <v>61.460482637893598</v>
      </c>
    </row>
    <row r="16" spans="1:12" x14ac:dyDescent="0.35">
      <c r="B16" s="8"/>
      <c r="C16" s="12"/>
      <c r="D16" s="12"/>
      <c r="E16" s="12"/>
      <c r="F16" s="12"/>
      <c r="G16" s="13"/>
      <c r="I16" s="12"/>
      <c r="J16" s="12"/>
    </row>
    <row r="17" spans="2:11" x14ac:dyDescent="0.35">
      <c r="G17" s="13"/>
    </row>
    <row r="18" spans="2:11" x14ac:dyDescent="0.35">
      <c r="B18" s="14" t="s">
        <v>42</v>
      </c>
      <c r="C18" s="14" t="s">
        <v>43</v>
      </c>
      <c r="D18" s="14" t="s">
        <v>39</v>
      </c>
      <c r="E18" s="15"/>
    </row>
    <row r="19" spans="2:11" x14ac:dyDescent="0.35">
      <c r="B19" s="16">
        <v>110</v>
      </c>
      <c r="C19" s="17">
        <f t="shared" ref="C19:C20" si="1">D19/B19</f>
        <v>995</v>
      </c>
      <c r="D19" s="17">
        <v>109450</v>
      </c>
      <c r="E19" s="18"/>
      <c r="I19"/>
      <c r="J19"/>
    </row>
    <row r="20" spans="2:11" x14ac:dyDescent="0.35">
      <c r="B20" s="16">
        <v>44</v>
      </c>
      <c r="C20" s="17">
        <f t="shared" si="1"/>
        <v>995</v>
      </c>
      <c r="D20" s="17">
        <v>43780</v>
      </c>
      <c r="E20" s="18"/>
      <c r="I20"/>
      <c r="J20"/>
    </row>
    <row r="21" spans="2:11" x14ac:dyDescent="0.35">
      <c r="B21" s="19">
        <f>SUM(B19:B20)</f>
        <v>154</v>
      </c>
      <c r="C21" s="20">
        <f>SUM(C19:C20)</f>
        <v>1990</v>
      </c>
      <c r="D21" s="20">
        <f>SUM(D19:D20)</f>
        <v>153230</v>
      </c>
      <c r="E21" s="18"/>
      <c r="I21"/>
      <c r="J21"/>
    </row>
    <row r="22" spans="2:11" x14ac:dyDescent="0.35">
      <c r="E22" s="21"/>
      <c r="F22" s="13"/>
      <c r="I22"/>
      <c r="J22"/>
    </row>
    <row r="23" spans="2:11" x14ac:dyDescent="0.35">
      <c r="B23" s="22"/>
      <c r="C23" s="22"/>
      <c r="D23" s="22"/>
      <c r="E23" s="22"/>
      <c r="F23" s="13"/>
      <c r="I23"/>
      <c r="J23"/>
    </row>
    <row r="24" spans="2:11" x14ac:dyDescent="0.35">
      <c r="B24" s="566" t="s">
        <v>44</v>
      </c>
      <c r="C24" s="567"/>
      <c r="D24" s="23">
        <f>+D21/B21</f>
        <v>995</v>
      </c>
      <c r="E24" s="24"/>
      <c r="I24"/>
      <c r="J24"/>
    </row>
    <row r="25" spans="2:11" s="25" customFormat="1" x14ac:dyDescent="0.35">
      <c r="B25" s="568" t="s">
        <v>45</v>
      </c>
      <c r="C25" s="569"/>
      <c r="D25" s="26">
        <v>60</v>
      </c>
      <c r="E25" s="27"/>
      <c r="F25"/>
      <c r="G25"/>
      <c r="H25"/>
      <c r="I25" s="13"/>
      <c r="J25"/>
      <c r="K25"/>
    </row>
    <row r="26" spans="2:11" x14ac:dyDescent="0.35">
      <c r="B26" s="570" t="s">
        <v>39</v>
      </c>
      <c r="C26" s="570"/>
      <c r="D26" s="23">
        <f>+D25+D24</f>
        <v>1055</v>
      </c>
      <c r="E26" s="24"/>
    </row>
    <row r="29" spans="2:11" x14ac:dyDescent="0.35">
      <c r="B29" s="571" t="s">
        <v>5</v>
      </c>
      <c r="C29" s="571"/>
      <c r="D29" s="571"/>
      <c r="E29" s="571"/>
      <c r="F29" s="571"/>
      <c r="G29" s="2"/>
      <c r="H29" s="8" t="s">
        <v>6</v>
      </c>
      <c r="I29" s="9" t="s">
        <v>7</v>
      </c>
      <c r="J29" s="9" t="s">
        <v>8</v>
      </c>
    </row>
    <row r="30" spans="2:11" x14ac:dyDescent="0.35">
      <c r="B30" s="8" t="s">
        <v>13</v>
      </c>
      <c r="C30" s="10">
        <v>15.6</v>
      </c>
      <c r="D30" s="10">
        <v>16.7</v>
      </c>
      <c r="E30" s="10">
        <v>30.6</v>
      </c>
      <c r="F30" s="10"/>
      <c r="H30" s="8" t="s">
        <v>13</v>
      </c>
      <c r="I30" s="10">
        <v>15</v>
      </c>
      <c r="J30" s="10">
        <v>20.5</v>
      </c>
    </row>
    <row r="31" spans="2:11" x14ac:dyDescent="0.35">
      <c r="B31" s="28" t="s">
        <v>47</v>
      </c>
      <c r="C31" s="29">
        <v>13.64</v>
      </c>
      <c r="D31" s="29">
        <v>13.64</v>
      </c>
      <c r="E31" s="29">
        <v>15.98</v>
      </c>
      <c r="F31" s="2"/>
      <c r="G31" s="2"/>
      <c r="H31" s="2" t="s">
        <v>26</v>
      </c>
      <c r="I31" s="29">
        <v>27.77</v>
      </c>
      <c r="J31" s="29">
        <v>27.77</v>
      </c>
    </row>
    <row r="32" spans="2:11" x14ac:dyDescent="0.35">
      <c r="B32" s="28" t="s">
        <v>48</v>
      </c>
      <c r="C32" s="30">
        <v>0.23</v>
      </c>
      <c r="D32" s="30">
        <v>0.23</v>
      </c>
      <c r="E32" s="30">
        <v>0.23</v>
      </c>
      <c r="I32" s="30">
        <v>0.23</v>
      </c>
      <c r="J32" s="30">
        <v>0.23</v>
      </c>
    </row>
    <row r="33" spans="2:10" x14ac:dyDescent="0.35">
      <c r="B33" s="28" t="s">
        <v>49</v>
      </c>
      <c r="C33" s="31">
        <f>0.097/0.0921-1</f>
        <v>5.3203040173724236E-2</v>
      </c>
      <c r="D33" s="31">
        <f t="shared" ref="D33:E33" si="2">0.097/0.0921-1</f>
        <v>5.3203040173724236E-2</v>
      </c>
      <c r="E33" s="31">
        <f t="shared" si="2"/>
        <v>5.3203040173724236E-2</v>
      </c>
      <c r="I33" s="31">
        <f t="shared" ref="I33:J33" si="3">0.097/0.0921-1</f>
        <v>5.3203040173724236E-2</v>
      </c>
      <c r="J33" s="31">
        <f t="shared" si="3"/>
        <v>5.3203040173724236E-2</v>
      </c>
    </row>
    <row r="34" spans="2:10" x14ac:dyDescent="0.35">
      <c r="B34" s="28" t="s">
        <v>50</v>
      </c>
      <c r="C34" s="29">
        <f>C31*C32*C33</f>
        <v>0.1669085776330077</v>
      </c>
      <c r="D34" s="29">
        <f t="shared" ref="D34:E34" si="4">D31*D32*D33</f>
        <v>0.1669085776330077</v>
      </c>
      <c r="E34" s="29">
        <f t="shared" si="4"/>
        <v>0.19554245385450608</v>
      </c>
      <c r="F34" s="2"/>
      <c r="G34" s="2"/>
      <c r="H34" s="2"/>
      <c r="I34" s="29">
        <f t="shared" ref="I34:J34" si="5">I31*I32*I33</f>
        <v>0.33981313789359407</v>
      </c>
      <c r="J34" s="29">
        <f t="shared" si="5"/>
        <v>0.33981313789359407</v>
      </c>
    </row>
    <row r="35" spans="2:10" x14ac:dyDescent="0.35">
      <c r="B35" s="32" t="s">
        <v>25</v>
      </c>
      <c r="C35" s="33">
        <f>C31+C34</f>
        <v>13.806908577633008</v>
      </c>
      <c r="D35" s="33">
        <f t="shared" ref="D35:E35" si="6">D31+D34</f>
        <v>13.806908577633008</v>
      </c>
      <c r="E35" s="33">
        <f t="shared" si="6"/>
        <v>16.175542453854508</v>
      </c>
      <c r="I35" s="33">
        <f t="shared" ref="I35:J35" si="7">I31+I34</f>
        <v>28.109813137893592</v>
      </c>
      <c r="J35" s="33">
        <f t="shared" si="7"/>
        <v>28.109813137893592</v>
      </c>
    </row>
  </sheetData>
  <mergeCells count="10">
    <mergeCell ref="B24:C24"/>
    <mergeCell ref="B25:C25"/>
    <mergeCell ref="B26:C26"/>
    <mergeCell ref="B29:F29"/>
    <mergeCell ref="B2:D2"/>
    <mergeCell ref="H2:I2"/>
    <mergeCell ref="B3:D3"/>
    <mergeCell ref="H3:I3"/>
    <mergeCell ref="B5:F5"/>
    <mergeCell ref="L10:L14"/>
  </mergeCells>
  <pageMargins left="0.7" right="0.7" top="0.75" bottom="0.75" header="0.3" footer="0.3"/>
  <pageSetup orientation="portrait" r:id="rId1"/>
  <customProperties>
    <customPr name="EpmWorksheetKeyString_GUID" r:id="rId2"/>
  </customPropertie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8">
    <tabColor rgb="FFFF0000"/>
  </sheetPr>
  <dimension ref="A1:K6"/>
  <sheetViews>
    <sheetView workbookViewId="0">
      <selection activeCell="K5" sqref="K4:K5"/>
    </sheetView>
  </sheetViews>
  <sheetFormatPr defaultColWidth="11.453125" defaultRowHeight="14.5" x14ac:dyDescent="0.35"/>
  <cols>
    <col min="1" max="1" width="12.453125" customWidth="1"/>
    <col min="3" max="4" width="12.81640625" bestFit="1" customWidth="1"/>
  </cols>
  <sheetData>
    <row r="1" spans="1:11" x14ac:dyDescent="0.35">
      <c r="A1" s="148" t="s">
        <v>80</v>
      </c>
      <c r="B1" s="149"/>
      <c r="G1" s="15" t="s">
        <v>81</v>
      </c>
      <c r="H1" s="150">
        <v>43310</v>
      </c>
    </row>
    <row r="2" spans="1:11" x14ac:dyDescent="0.35">
      <c r="A2" s="152" t="s">
        <v>82</v>
      </c>
      <c r="B2" s="152"/>
      <c r="C2" s="152"/>
      <c r="D2" s="152"/>
      <c r="E2" s="152"/>
      <c r="F2" s="152"/>
      <c r="G2" s="152"/>
      <c r="H2" s="152"/>
    </row>
    <row r="3" spans="1:11" x14ac:dyDescent="0.35">
      <c r="A3" s="152"/>
      <c r="B3" s="152"/>
      <c r="C3" s="152"/>
      <c r="D3" s="152"/>
      <c r="E3" s="152"/>
      <c r="F3" s="152"/>
      <c r="G3" s="152"/>
      <c r="H3" s="152"/>
    </row>
    <row r="4" spans="1:11" x14ac:dyDescent="0.35">
      <c r="A4" s="151">
        <v>43009</v>
      </c>
      <c r="B4" s="151">
        <v>43040</v>
      </c>
      <c r="C4" s="151">
        <v>43070</v>
      </c>
      <c r="D4" s="151">
        <v>43101</v>
      </c>
      <c r="E4" s="151">
        <v>43132</v>
      </c>
      <c r="F4" s="151">
        <v>43160</v>
      </c>
      <c r="G4" s="151">
        <v>43191</v>
      </c>
      <c r="H4" s="151">
        <v>43221</v>
      </c>
      <c r="I4" s="151">
        <v>43252</v>
      </c>
      <c r="J4" s="151">
        <v>43282</v>
      </c>
      <c r="K4" s="151">
        <v>43313</v>
      </c>
    </row>
    <row r="5" spans="1:11" x14ac:dyDescent="0.35">
      <c r="A5" s="153" t="s">
        <v>83</v>
      </c>
      <c r="B5" s="153" t="s">
        <v>84</v>
      </c>
      <c r="C5" s="154">
        <v>1045630005</v>
      </c>
      <c r="D5" s="153" t="s">
        <v>85</v>
      </c>
      <c r="E5" s="153" t="s">
        <v>86</v>
      </c>
      <c r="F5" s="153">
        <v>1167</v>
      </c>
      <c r="G5" s="153" t="s">
        <v>87</v>
      </c>
      <c r="H5" s="153">
        <v>1330</v>
      </c>
      <c r="I5" s="155">
        <v>1280</v>
      </c>
      <c r="J5" s="156">
        <v>1279.380005</v>
      </c>
      <c r="K5" s="156">
        <v>1250</v>
      </c>
    </row>
    <row r="6" spans="1:11" x14ac:dyDescent="0.35">
      <c r="H6" t="s">
        <v>88</v>
      </c>
      <c r="I6">
        <v>1339.380005</v>
      </c>
      <c r="J6" t="s">
        <v>89</v>
      </c>
    </row>
  </sheetData>
  <pageMargins left="0.7" right="0.7" top="0.75" bottom="0.75" header="0.3" footer="0.3"/>
  <customProperties>
    <customPr name="EpmWorksheetKeyString_GUID" r:id="rId1"/>
  </customProperti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dimension ref="A2:AK32"/>
  <sheetViews>
    <sheetView zoomScale="85" zoomScaleNormal="85" workbookViewId="0">
      <selection activeCell="AP5" sqref="AP5"/>
    </sheetView>
  </sheetViews>
  <sheetFormatPr defaultColWidth="11.453125" defaultRowHeight="14.5" x14ac:dyDescent="0.35"/>
  <cols>
    <col min="1" max="1" width="3.453125" style="81" customWidth="1"/>
    <col min="2" max="2" width="14.1796875" style="82" customWidth="1"/>
    <col min="3" max="3" width="10.81640625" style="82" customWidth="1"/>
    <col min="4" max="4" width="10.54296875" style="82" customWidth="1"/>
    <col min="5" max="5" width="11" style="82" customWidth="1"/>
    <col min="6" max="6" width="11.1796875" style="82" hidden="1" customWidth="1"/>
    <col min="7" max="7" width="11" style="82" hidden="1" customWidth="1"/>
    <col min="8" max="8" width="11.54296875" style="82" customWidth="1"/>
    <col min="9" max="9" width="8.54296875" style="81" hidden="1" customWidth="1"/>
    <col min="10" max="10" width="2.81640625" style="81" customWidth="1"/>
    <col min="11" max="11" width="15.1796875" style="81" customWidth="1"/>
    <col min="12" max="14" width="10.81640625" style="82" customWidth="1"/>
    <col min="15" max="15" width="11.81640625" style="82" bestFit="1" customWidth="1"/>
    <col min="16" max="16" width="2.81640625" style="81" customWidth="1"/>
    <col min="17" max="17" width="28.81640625" style="81" customWidth="1"/>
    <col min="18" max="18" width="16.1796875" style="81" hidden="1" customWidth="1"/>
    <col min="19" max="19" width="17.54296875" style="81" hidden="1" customWidth="1"/>
    <col min="20" max="20" width="14.54296875" style="81" hidden="1" customWidth="1"/>
    <col min="21" max="21" width="16" style="81" hidden="1" customWidth="1"/>
    <col min="22" max="22" width="17.81640625" style="81" hidden="1" customWidth="1"/>
    <col min="23" max="23" width="17.1796875" style="81" hidden="1" customWidth="1"/>
    <col min="24" max="29" width="14.453125" style="81" hidden="1" customWidth="1"/>
    <col min="30" max="30" width="16.453125" style="81" hidden="1" customWidth="1"/>
    <col min="31" max="33" width="14.81640625" style="81" hidden="1" customWidth="1"/>
    <col min="34" max="34" width="16.54296875" style="81" bestFit="1" customWidth="1"/>
    <col min="35" max="37" width="11.453125" style="81" customWidth="1"/>
    <col min="38" max="16384" width="11.453125" style="81"/>
  </cols>
  <sheetData>
    <row r="2" spans="1:37" x14ac:dyDescent="0.35">
      <c r="B2" s="86"/>
      <c r="C2" s="86"/>
      <c r="D2" s="86"/>
      <c r="E2" s="87"/>
      <c r="F2" s="87"/>
      <c r="G2" s="87"/>
      <c r="H2" s="87"/>
      <c r="I2" s="87"/>
      <c r="J2" s="87"/>
      <c r="K2" s="87"/>
      <c r="L2" s="87"/>
      <c r="M2" s="87"/>
      <c r="N2" s="87"/>
      <c r="O2" s="87"/>
      <c r="Q2" s="574"/>
      <c r="R2" s="574"/>
      <c r="S2" s="574"/>
      <c r="T2" s="574"/>
      <c r="U2" s="574"/>
      <c r="V2" s="574"/>
      <c r="W2" s="574"/>
      <c r="X2" s="574"/>
      <c r="Y2" s="574"/>
      <c r="Z2" s="574"/>
      <c r="AA2" s="574"/>
      <c r="AB2" s="574"/>
      <c r="AC2" s="574"/>
      <c r="AD2" s="574"/>
      <c r="AE2" s="574"/>
      <c r="AF2" s="574"/>
      <c r="AG2" s="574"/>
      <c r="AH2" s="574"/>
      <c r="AI2" s="574"/>
      <c r="AJ2" s="574"/>
      <c r="AK2" s="574"/>
    </row>
    <row r="3" spans="1:37" s="142" customFormat="1" ht="15" customHeight="1" x14ac:dyDescent="0.35">
      <c r="B3" s="576" t="s">
        <v>66</v>
      </c>
      <c r="C3" s="576"/>
      <c r="D3" s="576"/>
      <c r="E3" s="141" t="e">
        <f>+AH12</f>
        <v>#REF!</v>
      </c>
      <c r="G3" s="141"/>
      <c r="H3" s="141"/>
      <c r="I3" s="143">
        <v>0.05</v>
      </c>
      <c r="J3" s="144"/>
      <c r="K3" s="145"/>
      <c r="L3" s="141"/>
      <c r="M3" s="141"/>
      <c r="N3" s="141"/>
      <c r="Q3" s="576"/>
      <c r="R3" s="576"/>
      <c r="S3" s="141"/>
      <c r="T3" s="143"/>
      <c r="U3" s="144"/>
      <c r="V3" s="144"/>
      <c r="W3" s="144"/>
      <c r="X3" s="144"/>
      <c r="Y3" s="144"/>
      <c r="Z3" s="144"/>
      <c r="AA3" s="144"/>
      <c r="AB3" s="144"/>
      <c r="AC3" s="144"/>
      <c r="AD3" s="144"/>
      <c r="AE3" s="144"/>
      <c r="AF3" s="144"/>
      <c r="AG3" s="144"/>
      <c r="AH3" s="144"/>
      <c r="AI3" s="576"/>
      <c r="AJ3" s="576"/>
      <c r="AK3" s="141"/>
    </row>
    <row r="4" spans="1:37" s="133" customFormat="1" ht="15" customHeight="1" x14ac:dyDescent="0.35">
      <c r="B4" s="576" t="s">
        <v>67</v>
      </c>
      <c r="C4" s="576"/>
      <c r="D4" s="576"/>
      <c r="E4" s="134" t="e">
        <f>+AH13</f>
        <v>#REF!</v>
      </c>
      <c r="F4" s="135"/>
      <c r="G4" s="134"/>
      <c r="H4" s="134"/>
      <c r="I4" s="137" t="e">
        <f>+E3*I3</f>
        <v>#REF!</v>
      </c>
      <c r="J4" s="136"/>
      <c r="K4" s="146"/>
      <c r="L4" s="134"/>
      <c r="M4" s="134"/>
      <c r="N4" s="134"/>
      <c r="O4" s="135"/>
      <c r="Q4" s="138"/>
      <c r="R4" s="139"/>
      <c r="S4" s="140"/>
      <c r="U4" s="136"/>
      <c r="V4" s="136"/>
      <c r="W4" s="136"/>
      <c r="X4" s="136"/>
      <c r="Y4" s="136"/>
      <c r="Z4" s="136"/>
      <c r="AA4" s="136"/>
      <c r="AB4" s="136"/>
      <c r="AC4" s="136"/>
      <c r="AD4" s="136"/>
      <c r="AE4" s="136"/>
      <c r="AF4" s="136"/>
      <c r="AG4" s="136"/>
      <c r="AH4" s="136"/>
      <c r="AI4" s="577"/>
      <c r="AJ4" s="577"/>
      <c r="AK4" s="134"/>
    </row>
    <row r="5" spans="1:37" ht="23.5" x14ac:dyDescent="0.55000000000000004">
      <c r="B5" s="91"/>
      <c r="C5" s="92" t="e">
        <f>+(C9+C10)/C7*1000</f>
        <v>#REF!</v>
      </c>
      <c r="D5" s="92" t="e">
        <f t="shared" ref="D5:H5" si="0">+(D9+D10)/D7*1000</f>
        <v>#REF!</v>
      </c>
      <c r="E5" s="92" t="e">
        <f t="shared" si="0"/>
        <v>#REF!</v>
      </c>
      <c r="F5" s="92" t="e">
        <f t="shared" si="0"/>
        <v>#REF!</v>
      </c>
      <c r="G5" s="92" t="e">
        <f t="shared" si="0"/>
        <v>#REF!</v>
      </c>
      <c r="H5" s="92" t="e">
        <f t="shared" si="0"/>
        <v>#REF!</v>
      </c>
      <c r="J5" s="88"/>
      <c r="K5" s="91"/>
      <c r="L5" s="92"/>
      <c r="M5" s="92"/>
      <c r="N5" s="92"/>
      <c r="O5" s="92"/>
      <c r="Q5" s="93"/>
      <c r="R5" s="82"/>
      <c r="S5" s="90"/>
      <c r="T5" s="94"/>
      <c r="U5" s="88"/>
      <c r="V5" s="88"/>
      <c r="W5" s="88"/>
      <c r="X5" s="88"/>
      <c r="Y5" s="88"/>
      <c r="Z5" s="88"/>
      <c r="AA5" s="88"/>
      <c r="AB5" s="88"/>
      <c r="AC5" s="88"/>
      <c r="AD5" s="88"/>
      <c r="AE5" s="88"/>
      <c r="AF5" s="88"/>
      <c r="AG5" s="88"/>
      <c r="AH5" s="88"/>
      <c r="AI5" s="91"/>
      <c r="AJ5" s="91"/>
      <c r="AK5" s="78"/>
    </row>
    <row r="6" spans="1:37" s="95" customFormat="1" ht="33.75" customHeight="1" x14ac:dyDescent="0.35">
      <c r="B6" s="85" t="s">
        <v>5</v>
      </c>
      <c r="C6" s="85" t="s">
        <v>68</v>
      </c>
      <c r="D6" s="85" t="s">
        <v>69</v>
      </c>
      <c r="E6" s="85" t="s">
        <v>69</v>
      </c>
      <c r="F6" s="85" t="s">
        <v>70</v>
      </c>
      <c r="G6" s="85" t="s">
        <v>70</v>
      </c>
      <c r="H6" s="85" t="s">
        <v>70</v>
      </c>
      <c r="I6" s="85"/>
      <c r="J6" s="88"/>
      <c r="K6" s="85" t="s">
        <v>71</v>
      </c>
      <c r="L6" s="96" t="s">
        <v>8</v>
      </c>
      <c r="M6" s="96" t="s">
        <v>7</v>
      </c>
      <c r="N6" s="96" t="s">
        <v>8</v>
      </c>
      <c r="O6" s="96" t="s">
        <v>63</v>
      </c>
      <c r="Q6" s="147" t="s">
        <v>72</v>
      </c>
      <c r="R6" s="99" t="s">
        <v>54</v>
      </c>
      <c r="S6" s="99" t="s">
        <v>55</v>
      </c>
      <c r="T6" s="99" t="s">
        <v>56</v>
      </c>
      <c r="U6" s="99" t="s">
        <v>12</v>
      </c>
      <c r="V6" s="99" t="s">
        <v>57</v>
      </c>
      <c r="W6" s="99" t="s">
        <v>58</v>
      </c>
      <c r="X6" s="99" t="s">
        <v>59</v>
      </c>
      <c r="Y6" s="99" t="s">
        <v>60</v>
      </c>
      <c r="Z6" s="99" t="s">
        <v>62</v>
      </c>
      <c r="AA6" s="99" t="s">
        <v>64</v>
      </c>
      <c r="AB6" s="99" t="s">
        <v>65</v>
      </c>
      <c r="AC6" s="99" t="s">
        <v>73</v>
      </c>
      <c r="AD6" s="99" t="s">
        <v>53</v>
      </c>
      <c r="AE6" s="99" t="s">
        <v>77</v>
      </c>
      <c r="AF6" s="99" t="s">
        <v>78</v>
      </c>
      <c r="AG6" s="99" t="s">
        <v>79</v>
      </c>
      <c r="AH6" s="99" t="s">
        <v>90</v>
      </c>
      <c r="AI6" s="100"/>
      <c r="AJ6" s="97"/>
      <c r="AK6" s="97"/>
    </row>
    <row r="7" spans="1:37" x14ac:dyDescent="0.35">
      <c r="B7" s="85" t="s">
        <v>13</v>
      </c>
      <c r="C7" s="101">
        <v>16.7</v>
      </c>
      <c r="D7" s="101">
        <v>16.7</v>
      </c>
      <c r="E7" s="101">
        <v>20.5</v>
      </c>
      <c r="F7" s="101">
        <v>30.6</v>
      </c>
      <c r="G7" s="101">
        <v>30.6</v>
      </c>
      <c r="H7" s="101">
        <v>38.6</v>
      </c>
      <c r="I7" s="101"/>
      <c r="K7" s="85" t="s">
        <v>13</v>
      </c>
      <c r="L7" s="101">
        <v>20.5</v>
      </c>
      <c r="M7" s="101">
        <v>15</v>
      </c>
      <c r="N7" s="101">
        <v>20.5</v>
      </c>
      <c r="O7" s="101">
        <v>30.6</v>
      </c>
      <c r="Q7" s="102" t="s">
        <v>14</v>
      </c>
      <c r="R7" s="104">
        <v>938.13</v>
      </c>
      <c r="S7" s="105">
        <v>959</v>
      </c>
      <c r="T7" s="104">
        <v>1006.25</v>
      </c>
      <c r="U7" s="130">
        <v>993.75</v>
      </c>
      <c r="V7" s="131">
        <v>1015.5</v>
      </c>
      <c r="W7" s="131">
        <v>1045.5999999999999</v>
      </c>
      <c r="X7" s="43">
        <v>1103.75</v>
      </c>
      <c r="Y7" s="43">
        <v>1148.75</v>
      </c>
      <c r="Z7" s="43">
        <v>1167</v>
      </c>
      <c r="AA7" s="43">
        <v>1221.25</v>
      </c>
      <c r="AB7" s="43">
        <v>1330</v>
      </c>
      <c r="AC7" s="43">
        <f>+'IHS (Mod)'!I5</f>
        <v>1280</v>
      </c>
      <c r="AD7" s="43">
        <f>+'IHS (Mod)'!J5</f>
        <v>1279.380005</v>
      </c>
      <c r="AE7" s="43">
        <v>1275.5</v>
      </c>
      <c r="AF7" s="43" t="e">
        <f>+#REF!</f>
        <v>#REF!</v>
      </c>
      <c r="AG7" s="43" t="e">
        <f>+#REF!</f>
        <v>#REF!</v>
      </c>
      <c r="AH7" s="43" t="e">
        <f>+#REF!</f>
        <v>#REF!</v>
      </c>
      <c r="AI7" s="85"/>
      <c r="AJ7" s="101"/>
      <c r="AK7" s="101"/>
    </row>
    <row r="8" spans="1:37" x14ac:dyDescent="0.35">
      <c r="B8" s="79" t="s">
        <v>16</v>
      </c>
      <c r="C8" s="91" t="s">
        <v>17</v>
      </c>
      <c r="D8" s="91" t="s">
        <v>17</v>
      </c>
      <c r="E8" s="91" t="s">
        <v>17</v>
      </c>
      <c r="F8" s="91" t="s">
        <v>17</v>
      </c>
      <c r="G8" s="91" t="s">
        <v>17</v>
      </c>
      <c r="H8" s="91" t="s">
        <v>17</v>
      </c>
      <c r="I8" s="91"/>
      <c r="K8" s="79" t="s">
        <v>16</v>
      </c>
      <c r="L8" s="91" t="s">
        <v>17</v>
      </c>
      <c r="M8" s="91" t="s">
        <v>17</v>
      </c>
      <c r="N8" s="91" t="s">
        <v>17</v>
      </c>
      <c r="O8" s="91" t="s">
        <v>17</v>
      </c>
      <c r="Q8" s="128" t="s">
        <v>18</v>
      </c>
      <c r="R8" s="129">
        <v>25.09</v>
      </c>
      <c r="S8" s="129">
        <v>25.09</v>
      </c>
      <c r="T8" s="129">
        <v>25.09</v>
      </c>
      <c r="U8" s="129">
        <v>25</v>
      </c>
      <c r="V8" s="129">
        <v>25</v>
      </c>
      <c r="W8" s="129">
        <v>25</v>
      </c>
      <c r="X8" s="129">
        <v>25</v>
      </c>
      <c r="Y8" s="129">
        <v>25</v>
      </c>
      <c r="Z8" s="129">
        <v>25</v>
      </c>
      <c r="AA8" s="129">
        <v>25</v>
      </c>
      <c r="AB8" s="129">
        <v>25</v>
      </c>
      <c r="AC8" s="129">
        <v>33.139726027397259</v>
      </c>
      <c r="AD8" s="129">
        <f>+Septiembre18!AD8</f>
        <v>33.1236741020548</v>
      </c>
      <c r="AE8" s="129">
        <v>33.023219178082194</v>
      </c>
      <c r="AF8" s="129">
        <v>33.023219178082194</v>
      </c>
      <c r="AG8" s="129">
        <v>32.783732876712328</v>
      </c>
      <c r="AH8" s="129" t="e">
        <f>+AK8</f>
        <v>#REF!</v>
      </c>
      <c r="AI8" s="79" t="e">
        <f>+AH7*4.5%</f>
        <v>#REF!</v>
      </c>
      <c r="AJ8" s="91" t="e">
        <f>+AI8/365</f>
        <v>#REF!</v>
      </c>
      <c r="AK8" s="91" t="e">
        <f>+AJ8*210</f>
        <v>#REF!</v>
      </c>
    </row>
    <row r="9" spans="1:37" x14ac:dyDescent="0.35">
      <c r="B9" s="79" t="s">
        <v>19</v>
      </c>
      <c r="C9" s="80" t="e">
        <f>+(C7*E3/1000)*1.01*75%</f>
        <v>#REF!</v>
      </c>
      <c r="D9" s="80" t="e">
        <f>+(D7*$E$3/1000)*1.01*75%</f>
        <v>#REF!</v>
      </c>
      <c r="E9" s="80" t="e">
        <f>+(E7*$E$3/1000)*1.01*50%</f>
        <v>#REF!</v>
      </c>
      <c r="F9" s="80" t="e">
        <f>+(F7*E3/1000)*1.01</f>
        <v>#REF!</v>
      </c>
      <c r="G9" s="80" t="e">
        <f>+(G7*$E$3/1000)*1.01*75%</f>
        <v>#REF!</v>
      </c>
      <c r="H9" s="80" t="e">
        <f>+(H7*$E$3/1000)*1.01*50%</f>
        <v>#REF!</v>
      </c>
      <c r="I9" s="80"/>
      <c r="K9" s="79" t="s">
        <v>19</v>
      </c>
      <c r="L9" s="80" t="e">
        <f>+(L7*E3/1000)*1.005</f>
        <v>#REF!</v>
      </c>
      <c r="M9" s="80" t="e">
        <f>+(M7*E3/1000)*1.005*75%</f>
        <v>#REF!</v>
      </c>
      <c r="N9" s="80" t="e">
        <f>+(N7*E3/1000)*1.005*75%</f>
        <v>#REF!</v>
      </c>
      <c r="O9" s="80" t="e">
        <f>+(O7*E3/1000)*1.005*75%</f>
        <v>#REF!</v>
      </c>
      <c r="Q9" s="125" t="s">
        <v>20</v>
      </c>
      <c r="R9" s="126">
        <v>65</v>
      </c>
      <c r="S9" s="127">
        <v>65</v>
      </c>
      <c r="T9" s="126">
        <v>65</v>
      </c>
      <c r="U9" s="126">
        <v>65</v>
      </c>
      <c r="V9" s="126">
        <v>65</v>
      </c>
      <c r="W9" s="126">
        <v>65</v>
      </c>
      <c r="X9" s="126">
        <v>65</v>
      </c>
      <c r="Y9" s="126">
        <v>65</v>
      </c>
      <c r="Z9" s="126">
        <v>65</v>
      </c>
      <c r="AA9" s="126">
        <v>65</v>
      </c>
      <c r="AB9" s="126">
        <v>65</v>
      </c>
      <c r="AC9" s="126">
        <v>70</v>
      </c>
      <c r="AD9" s="126">
        <v>70</v>
      </c>
      <c r="AE9" s="126">
        <v>70</v>
      </c>
      <c r="AF9" s="126">
        <v>70</v>
      </c>
      <c r="AG9" s="126">
        <v>70</v>
      </c>
      <c r="AH9" s="126">
        <v>70</v>
      </c>
      <c r="AI9" s="79"/>
      <c r="AJ9" s="80"/>
      <c r="AK9" s="80"/>
    </row>
    <row r="10" spans="1:37" x14ac:dyDescent="0.35">
      <c r="B10" s="75" t="s">
        <v>23</v>
      </c>
      <c r="C10" s="76" t="e">
        <f>+(C7*$E$4/1000)*1.01*25%</f>
        <v>#REF!</v>
      </c>
      <c r="D10" s="76" t="e">
        <f>+(D7*$E$4/1000)*1.01*25%</f>
        <v>#REF!</v>
      </c>
      <c r="E10" s="76" t="e">
        <f>+(E7*$E$4/1000)*1.01*50%</f>
        <v>#REF!</v>
      </c>
      <c r="F10" s="76">
        <v>0</v>
      </c>
      <c r="G10" s="76" t="e">
        <f>+(G7*$E$4/1000)*1.01*25%</f>
        <v>#REF!</v>
      </c>
      <c r="H10" s="76" t="e">
        <f>+(H7*$E$4/1000)*1.01*50%</f>
        <v>#REF!</v>
      </c>
      <c r="I10" s="76"/>
      <c r="J10" s="121"/>
      <c r="K10" s="75" t="s">
        <v>23</v>
      </c>
      <c r="L10" s="76">
        <v>0</v>
      </c>
      <c r="M10" s="76" t="e">
        <f>+(M7*E4/1000)*1.005*25%</f>
        <v>#REF!</v>
      </c>
      <c r="N10" s="76" t="e">
        <f>+(N7*E4/1000)*1.005*25%</f>
        <v>#REF!</v>
      </c>
      <c r="O10" s="76" t="e">
        <f>+(O7*E4/1000)*1.005*25%</f>
        <v>#REF!</v>
      </c>
      <c r="Q10" s="102"/>
      <c r="R10" s="104">
        <f>SUM(R7:R9)</f>
        <v>1028.22</v>
      </c>
      <c r="S10" s="104">
        <f>SUM(S7:S9)</f>
        <v>1049.0900000000001</v>
      </c>
      <c r="T10" s="104">
        <f>SUM(T7:T9)</f>
        <v>1096.3399999999999</v>
      </c>
      <c r="U10" s="104">
        <f>SUM(U7:U9)</f>
        <v>1083.75</v>
      </c>
      <c r="V10" s="104">
        <f t="shared" ref="V10:AG10" si="1">SUM(V7:V9)</f>
        <v>1105.5</v>
      </c>
      <c r="W10" s="104">
        <f t="shared" si="1"/>
        <v>1135.5999999999999</v>
      </c>
      <c r="X10" s="104">
        <f t="shared" si="1"/>
        <v>1193.75</v>
      </c>
      <c r="Y10" s="104">
        <f t="shared" si="1"/>
        <v>1238.75</v>
      </c>
      <c r="Z10" s="104">
        <f t="shared" si="1"/>
        <v>1257</v>
      </c>
      <c r="AA10" s="104">
        <f t="shared" si="1"/>
        <v>1311.25</v>
      </c>
      <c r="AB10" s="104">
        <f t="shared" si="1"/>
        <v>1420</v>
      </c>
      <c r="AC10" s="104">
        <f t="shared" si="1"/>
        <v>1383.1397260273973</v>
      </c>
      <c r="AD10" s="104">
        <f t="shared" si="1"/>
        <v>1382.5036791020548</v>
      </c>
      <c r="AE10" s="104">
        <f t="shared" si="1"/>
        <v>1378.5232191780822</v>
      </c>
      <c r="AF10" s="104" t="e">
        <f t="shared" si="1"/>
        <v>#REF!</v>
      </c>
      <c r="AG10" s="104" t="e">
        <f t="shared" si="1"/>
        <v>#REF!</v>
      </c>
      <c r="AH10" s="104" t="e">
        <f>SUM(AH7:AH9)</f>
        <v>#REF!</v>
      </c>
      <c r="AI10" s="79"/>
      <c r="AJ10" s="80"/>
      <c r="AK10" s="80"/>
    </row>
    <row r="11" spans="1:37" x14ac:dyDescent="0.35">
      <c r="B11" s="79" t="s">
        <v>26</v>
      </c>
      <c r="C11" s="80">
        <v>8.1999999999999993</v>
      </c>
      <c r="D11" s="80">
        <v>8.1999999999999993</v>
      </c>
      <c r="E11" s="80">
        <v>8.1999999999999993</v>
      </c>
      <c r="F11" s="80">
        <v>11.15</v>
      </c>
      <c r="G11" s="80">
        <v>11.15</v>
      </c>
      <c r="H11" s="80">
        <v>11.15</v>
      </c>
      <c r="I11" s="80"/>
      <c r="K11" s="79" t="s">
        <v>26</v>
      </c>
      <c r="L11" s="80">
        <v>27.2</v>
      </c>
      <c r="M11" s="80">
        <v>27.2</v>
      </c>
      <c r="N11" s="80">
        <v>27.2</v>
      </c>
      <c r="O11" s="80">
        <f>11.15+28.25</f>
        <v>39.4</v>
      </c>
      <c r="Q11" s="106" t="s">
        <v>27</v>
      </c>
      <c r="R11" s="108">
        <f>+R10*4%</f>
        <v>41.128800000000005</v>
      </c>
      <c r="S11" s="104">
        <f>+S10*4%</f>
        <v>41.963600000000007</v>
      </c>
      <c r="T11" s="108">
        <f>+T10*4%</f>
        <v>43.8536</v>
      </c>
      <c r="U11" s="108">
        <f>+U10*4%</f>
        <v>43.35</v>
      </c>
      <c r="V11" s="108">
        <f t="shared" ref="V11:AG11" si="2">+V10*4%</f>
        <v>44.22</v>
      </c>
      <c r="W11" s="108">
        <f t="shared" si="2"/>
        <v>45.423999999999999</v>
      </c>
      <c r="X11" s="108">
        <f t="shared" si="2"/>
        <v>47.75</v>
      </c>
      <c r="Y11" s="108">
        <f t="shared" si="2"/>
        <v>49.550000000000004</v>
      </c>
      <c r="Z11" s="108">
        <f t="shared" si="2"/>
        <v>50.28</v>
      </c>
      <c r="AA11" s="108">
        <f t="shared" si="2"/>
        <v>52.45</v>
      </c>
      <c r="AB11" s="108">
        <f t="shared" si="2"/>
        <v>56.800000000000004</v>
      </c>
      <c r="AC11" s="108">
        <f t="shared" si="2"/>
        <v>55.325589041095895</v>
      </c>
      <c r="AD11" s="108">
        <f t="shared" si="2"/>
        <v>55.30014716408219</v>
      </c>
      <c r="AE11" s="108">
        <f t="shared" si="2"/>
        <v>55.140928767123285</v>
      </c>
      <c r="AF11" s="108" t="e">
        <f t="shared" si="2"/>
        <v>#REF!</v>
      </c>
      <c r="AG11" s="108" t="e">
        <f t="shared" si="2"/>
        <v>#REF!</v>
      </c>
      <c r="AH11" s="108" t="e">
        <f>+AH10*4%</f>
        <v>#REF!</v>
      </c>
      <c r="AI11" s="79"/>
      <c r="AJ11" s="80"/>
      <c r="AK11" s="80"/>
    </row>
    <row r="12" spans="1:37" x14ac:dyDescent="0.35">
      <c r="B12" s="79" t="s">
        <v>31</v>
      </c>
      <c r="C12" s="80">
        <v>1.3</v>
      </c>
      <c r="D12" s="80">
        <v>1.3</v>
      </c>
      <c r="E12" s="80">
        <v>1.3</v>
      </c>
      <c r="F12" s="80">
        <v>2.38</v>
      </c>
      <c r="G12" s="80">
        <v>2.38</v>
      </c>
      <c r="H12" s="80">
        <v>2.38</v>
      </c>
      <c r="I12" s="80"/>
      <c r="K12" s="79" t="s">
        <v>31</v>
      </c>
      <c r="L12" s="80">
        <v>1.99</v>
      </c>
      <c r="M12" s="80">
        <v>0.81</v>
      </c>
      <c r="N12" s="80">
        <v>1.99</v>
      </c>
      <c r="O12" s="80">
        <v>2.97</v>
      </c>
      <c r="Q12" s="157" t="s">
        <v>30</v>
      </c>
      <c r="R12" s="158">
        <f>+R11+R10</f>
        <v>1069.3488</v>
      </c>
      <c r="S12" s="159">
        <f>+S11+S10</f>
        <v>1091.0536000000002</v>
      </c>
      <c r="T12" s="158">
        <f>+T11+T10</f>
        <v>1140.1935999999998</v>
      </c>
      <c r="U12" s="158">
        <f>+U11+U10</f>
        <v>1127.0999999999999</v>
      </c>
      <c r="V12" s="158">
        <f t="shared" ref="V12:AG12" si="3">+V11+V10</f>
        <v>1149.72</v>
      </c>
      <c r="W12" s="158">
        <f t="shared" si="3"/>
        <v>1181.0239999999999</v>
      </c>
      <c r="X12" s="158">
        <f t="shared" si="3"/>
        <v>1241.5</v>
      </c>
      <c r="Y12" s="158">
        <f t="shared" si="3"/>
        <v>1288.3</v>
      </c>
      <c r="Z12" s="158">
        <f t="shared" si="3"/>
        <v>1307.28</v>
      </c>
      <c r="AA12" s="158">
        <f t="shared" si="3"/>
        <v>1363.7</v>
      </c>
      <c r="AB12" s="158">
        <f t="shared" si="3"/>
        <v>1476.8</v>
      </c>
      <c r="AC12" s="158">
        <f t="shared" si="3"/>
        <v>1438.4653150684931</v>
      </c>
      <c r="AD12" s="158">
        <f t="shared" si="3"/>
        <v>1437.8038262661369</v>
      </c>
      <c r="AE12" s="158">
        <f t="shared" si="3"/>
        <v>1433.6641479452055</v>
      </c>
      <c r="AF12" s="158" t="e">
        <f t="shared" si="3"/>
        <v>#REF!</v>
      </c>
      <c r="AG12" s="158" t="e">
        <f t="shared" si="3"/>
        <v>#REF!</v>
      </c>
      <c r="AH12" s="158" t="e">
        <f>+AH11+AH10</f>
        <v>#REF!</v>
      </c>
      <c r="AI12" s="79"/>
      <c r="AJ12" s="80"/>
      <c r="AK12" s="80"/>
    </row>
    <row r="13" spans="1:37" x14ac:dyDescent="0.35">
      <c r="B13" s="79" t="s">
        <v>34</v>
      </c>
      <c r="C13" s="80">
        <v>0.19</v>
      </c>
      <c r="D13" s="80">
        <v>0.19</v>
      </c>
      <c r="E13" s="80">
        <v>0.19</v>
      </c>
      <c r="F13" s="80">
        <v>0.33</v>
      </c>
      <c r="G13" s="80">
        <v>0.33</v>
      </c>
      <c r="H13" s="80">
        <v>0.33</v>
      </c>
      <c r="I13" s="80"/>
      <c r="K13" s="79" t="s">
        <v>34</v>
      </c>
      <c r="L13" s="80">
        <v>2.71</v>
      </c>
      <c r="M13" s="80">
        <v>2.71</v>
      </c>
      <c r="N13" s="80">
        <v>2.71</v>
      </c>
      <c r="O13" s="80">
        <v>4.4400000000000004</v>
      </c>
      <c r="Q13" s="160" t="s">
        <v>32</v>
      </c>
      <c r="R13" s="161">
        <f>+R12*(1-5%)</f>
        <v>1015.88136</v>
      </c>
      <c r="S13" s="161">
        <f t="shared" ref="S13:AG13" si="4">+S12*(1-5%)</f>
        <v>1036.5009200000002</v>
      </c>
      <c r="T13" s="161">
        <f t="shared" si="4"/>
        <v>1083.1839199999997</v>
      </c>
      <c r="U13" s="161">
        <f t="shared" si="4"/>
        <v>1070.7449999999999</v>
      </c>
      <c r="V13" s="161">
        <f t="shared" si="4"/>
        <v>1092.2339999999999</v>
      </c>
      <c r="W13" s="161">
        <f t="shared" si="4"/>
        <v>1121.9727999999998</v>
      </c>
      <c r="X13" s="161">
        <f t="shared" si="4"/>
        <v>1179.425</v>
      </c>
      <c r="Y13" s="161">
        <f t="shared" si="4"/>
        <v>1223.885</v>
      </c>
      <c r="Z13" s="161">
        <f t="shared" si="4"/>
        <v>1241.9159999999999</v>
      </c>
      <c r="AA13" s="161">
        <f t="shared" si="4"/>
        <v>1295.5149999999999</v>
      </c>
      <c r="AB13" s="161">
        <f t="shared" si="4"/>
        <v>1402.9599999999998</v>
      </c>
      <c r="AC13" s="161">
        <f t="shared" si="4"/>
        <v>1366.5420493150684</v>
      </c>
      <c r="AD13" s="161">
        <f t="shared" si="4"/>
        <v>1365.9136349528299</v>
      </c>
      <c r="AE13" s="161">
        <f t="shared" si="4"/>
        <v>1361.9809405479452</v>
      </c>
      <c r="AF13" s="161" t="e">
        <f t="shared" si="4"/>
        <v>#REF!</v>
      </c>
      <c r="AG13" s="161" t="e">
        <f t="shared" si="4"/>
        <v>#REF!</v>
      </c>
      <c r="AH13" s="161" t="e">
        <f>+AH12*(1-5%)</f>
        <v>#REF!</v>
      </c>
      <c r="AI13" s="79"/>
      <c r="AJ13" s="80"/>
      <c r="AK13" s="80"/>
    </row>
    <row r="14" spans="1:37" x14ac:dyDescent="0.35">
      <c r="B14" s="79" t="s">
        <v>36</v>
      </c>
      <c r="C14" s="80">
        <v>0.16</v>
      </c>
      <c r="D14" s="80">
        <v>0.16</v>
      </c>
      <c r="E14" s="80">
        <v>0.16</v>
      </c>
      <c r="F14" s="80">
        <v>0.28000000000000003</v>
      </c>
      <c r="G14" s="80">
        <v>0.28000000000000003</v>
      </c>
      <c r="H14" s="80">
        <v>0.28000000000000003</v>
      </c>
      <c r="I14" s="80"/>
      <c r="K14" s="79" t="s">
        <v>36</v>
      </c>
      <c r="L14" s="80">
        <v>7.77</v>
      </c>
      <c r="M14" s="80">
        <v>7.77</v>
      </c>
      <c r="N14" s="80">
        <v>7.77</v>
      </c>
      <c r="O14" s="80">
        <v>15.99</v>
      </c>
      <c r="Q14" s="157" t="s">
        <v>35</v>
      </c>
      <c r="R14" s="158">
        <f>+R12*75%+R13*25%</f>
        <v>1055.9819400000001</v>
      </c>
      <c r="S14" s="158">
        <f t="shared" ref="S14:AG14" si="5">+S12*75%+S13*25%</f>
        <v>1077.4154300000002</v>
      </c>
      <c r="T14" s="158">
        <f t="shared" si="5"/>
        <v>1125.9411799999998</v>
      </c>
      <c r="U14" s="158">
        <f t="shared" si="5"/>
        <v>1113.01125</v>
      </c>
      <c r="V14" s="158">
        <f t="shared" si="5"/>
        <v>1135.3485000000001</v>
      </c>
      <c r="W14" s="158">
        <f t="shared" si="5"/>
        <v>1166.2611999999999</v>
      </c>
      <c r="X14" s="158">
        <f t="shared" si="5"/>
        <v>1225.98125</v>
      </c>
      <c r="Y14" s="158">
        <f t="shared" si="5"/>
        <v>1272.19625</v>
      </c>
      <c r="Z14" s="158">
        <f t="shared" si="5"/>
        <v>1290.9390000000001</v>
      </c>
      <c r="AA14" s="158">
        <f t="shared" si="5"/>
        <v>1346.6537499999999</v>
      </c>
      <c r="AB14" s="158">
        <f t="shared" si="5"/>
        <v>1458.34</v>
      </c>
      <c r="AC14" s="158">
        <f t="shared" si="5"/>
        <v>1420.4844986301368</v>
      </c>
      <c r="AD14" s="158">
        <f t="shared" si="5"/>
        <v>1419.8312784378102</v>
      </c>
      <c r="AE14" s="158">
        <f t="shared" si="5"/>
        <v>1415.7433460958905</v>
      </c>
      <c r="AF14" s="158" t="e">
        <f t="shared" si="5"/>
        <v>#REF!</v>
      </c>
      <c r="AG14" s="158" t="e">
        <f t="shared" si="5"/>
        <v>#REF!</v>
      </c>
      <c r="AH14" s="158" t="e">
        <f>+AH12*75%+AH13*25%</f>
        <v>#REF!</v>
      </c>
      <c r="AI14" s="79"/>
      <c r="AJ14" s="80"/>
      <c r="AK14" s="80"/>
    </row>
    <row r="15" spans="1:37" x14ac:dyDescent="0.35">
      <c r="B15" s="85" t="s">
        <v>39</v>
      </c>
      <c r="C15" s="84" t="e">
        <f t="shared" ref="C15:H15" si="6">SUM(C9:C14)</f>
        <v>#REF!</v>
      </c>
      <c r="D15" s="84" t="e">
        <f t="shared" si="6"/>
        <v>#REF!</v>
      </c>
      <c r="E15" s="84" t="e">
        <f t="shared" si="6"/>
        <v>#REF!</v>
      </c>
      <c r="F15" s="84" t="e">
        <f t="shared" si="6"/>
        <v>#REF!</v>
      </c>
      <c r="G15" s="84" t="e">
        <f t="shared" si="6"/>
        <v>#REF!</v>
      </c>
      <c r="H15" s="84" t="e">
        <f t="shared" si="6"/>
        <v>#REF!</v>
      </c>
      <c r="I15" s="84"/>
      <c r="K15" s="85" t="s">
        <v>39</v>
      </c>
      <c r="L15" s="84" t="e">
        <f>SUM(L9:L14)</f>
        <v>#REF!</v>
      </c>
      <c r="M15" s="84" t="e">
        <f>SUM(M9:M14)</f>
        <v>#REF!</v>
      </c>
      <c r="N15" s="84" t="e">
        <f>SUM(N9:N14)</f>
        <v>#REF!</v>
      </c>
      <c r="O15" s="84" t="e">
        <f>SUM(O9:O14)</f>
        <v>#REF!</v>
      </c>
      <c r="Q15" s="113" t="s">
        <v>37</v>
      </c>
      <c r="R15" s="118">
        <f>+R14*1%</f>
        <v>10.559819400000002</v>
      </c>
      <c r="S15" s="118">
        <f t="shared" ref="S15:AG15" si="7">+S14*1%</f>
        <v>10.774154300000003</v>
      </c>
      <c r="T15" s="118">
        <f t="shared" si="7"/>
        <v>11.259411799999999</v>
      </c>
      <c r="U15" s="118">
        <f t="shared" si="7"/>
        <v>11.130112500000001</v>
      </c>
      <c r="V15" s="118">
        <f t="shared" si="7"/>
        <v>11.353485000000001</v>
      </c>
      <c r="W15" s="118">
        <f t="shared" si="7"/>
        <v>11.662611999999999</v>
      </c>
      <c r="X15" s="118">
        <f t="shared" si="7"/>
        <v>12.259812500000001</v>
      </c>
      <c r="Y15" s="118">
        <f t="shared" si="7"/>
        <v>12.7219625</v>
      </c>
      <c r="Z15" s="118">
        <f t="shared" si="7"/>
        <v>12.909390000000002</v>
      </c>
      <c r="AA15" s="118">
        <f t="shared" si="7"/>
        <v>13.466537499999999</v>
      </c>
      <c r="AB15" s="118">
        <f t="shared" si="7"/>
        <v>14.583399999999999</v>
      </c>
      <c r="AC15" s="118">
        <f t="shared" si="7"/>
        <v>14.204844986301369</v>
      </c>
      <c r="AD15" s="118">
        <f t="shared" si="7"/>
        <v>14.198312784378102</v>
      </c>
      <c r="AE15" s="118">
        <f t="shared" si="7"/>
        <v>14.157433460958906</v>
      </c>
      <c r="AF15" s="118" t="e">
        <f t="shared" si="7"/>
        <v>#REF!</v>
      </c>
      <c r="AG15" s="118" t="e">
        <f t="shared" si="7"/>
        <v>#REF!</v>
      </c>
      <c r="AH15" s="118" t="e">
        <f>+AH14*1%</f>
        <v>#REF!</v>
      </c>
      <c r="AI15" s="79"/>
      <c r="AJ15" s="80"/>
      <c r="AK15" s="80"/>
    </row>
    <row r="16" spans="1:37" x14ac:dyDescent="0.35">
      <c r="A16" s="81" t="s">
        <v>38</v>
      </c>
      <c r="Q16" s="113" t="s">
        <v>74</v>
      </c>
      <c r="R16" s="115">
        <f>+R15+R14</f>
        <v>1066.5417594</v>
      </c>
      <c r="S16" s="115">
        <f t="shared" ref="S16:AG16" si="8">+S15+S14</f>
        <v>1088.1895843000002</v>
      </c>
      <c r="T16" s="115">
        <f t="shared" si="8"/>
        <v>1137.2005917999998</v>
      </c>
      <c r="U16" s="115">
        <f t="shared" si="8"/>
        <v>1124.1413625</v>
      </c>
      <c r="V16" s="115">
        <f t="shared" si="8"/>
        <v>1146.7019850000001</v>
      </c>
      <c r="W16" s="115">
        <f t="shared" si="8"/>
        <v>1177.923812</v>
      </c>
      <c r="X16" s="115">
        <f t="shared" si="8"/>
        <v>1238.2410625</v>
      </c>
      <c r="Y16" s="115">
        <f t="shared" si="8"/>
        <v>1284.9182125</v>
      </c>
      <c r="Z16" s="115">
        <f t="shared" si="8"/>
        <v>1303.8483900000001</v>
      </c>
      <c r="AA16" s="115">
        <f t="shared" si="8"/>
        <v>1360.1202874999999</v>
      </c>
      <c r="AB16" s="115">
        <f t="shared" si="8"/>
        <v>1472.9233999999999</v>
      </c>
      <c r="AC16" s="115">
        <f t="shared" si="8"/>
        <v>1434.6893436164382</v>
      </c>
      <c r="AD16" s="115">
        <f t="shared" si="8"/>
        <v>1434.0295912221882</v>
      </c>
      <c r="AE16" s="115">
        <f t="shared" si="8"/>
        <v>1429.9007795568493</v>
      </c>
      <c r="AF16" s="115" t="e">
        <f t="shared" si="8"/>
        <v>#REF!</v>
      </c>
      <c r="AG16" s="115" t="e">
        <f t="shared" si="8"/>
        <v>#REF!</v>
      </c>
      <c r="AH16" s="115" t="e">
        <f t="shared" ref="AH16" si="9">+AH15+AH14</f>
        <v>#REF!</v>
      </c>
      <c r="AI16" s="85"/>
      <c r="AJ16" s="84"/>
      <c r="AK16" s="84"/>
    </row>
    <row r="17" spans="2:37" hidden="1" x14ac:dyDescent="0.35">
      <c r="B17" s="85"/>
      <c r="C17" s="84"/>
      <c r="D17" s="84"/>
      <c r="E17" s="84"/>
      <c r="F17" s="84"/>
      <c r="G17" s="84"/>
      <c r="H17" s="84"/>
      <c r="I17" s="84"/>
      <c r="J17" s="94"/>
      <c r="L17" s="84"/>
      <c r="M17" s="84"/>
      <c r="N17" s="84"/>
      <c r="O17" s="84"/>
      <c r="Q17" s="85" t="s">
        <v>41</v>
      </c>
      <c r="R17" s="120" t="e">
        <f>+D5</f>
        <v>#REF!</v>
      </c>
      <c r="S17" s="120" t="e">
        <f>+R17</f>
        <v>#REF!</v>
      </c>
      <c r="T17" s="120" t="e">
        <f>+S17</f>
        <v>#REF!</v>
      </c>
      <c r="U17" s="120" t="e">
        <f>+T17</f>
        <v>#REF!</v>
      </c>
      <c r="V17" s="120" t="e">
        <f t="shared" ref="V17:AG17" si="10">+U17</f>
        <v>#REF!</v>
      </c>
      <c r="W17" s="120" t="e">
        <f t="shared" si="10"/>
        <v>#REF!</v>
      </c>
      <c r="X17" s="120" t="e">
        <f t="shared" si="10"/>
        <v>#REF!</v>
      </c>
      <c r="Y17" s="120" t="e">
        <f t="shared" si="10"/>
        <v>#REF!</v>
      </c>
      <c r="Z17" s="120" t="e">
        <f t="shared" si="10"/>
        <v>#REF!</v>
      </c>
      <c r="AA17" s="120" t="e">
        <f t="shared" si="10"/>
        <v>#REF!</v>
      </c>
      <c r="AB17" s="120" t="e">
        <f t="shared" si="10"/>
        <v>#REF!</v>
      </c>
      <c r="AC17" s="120" t="e">
        <f t="shared" si="10"/>
        <v>#REF!</v>
      </c>
      <c r="AD17" s="120" t="e">
        <f t="shared" si="10"/>
        <v>#REF!</v>
      </c>
      <c r="AE17" s="120" t="e">
        <f t="shared" si="10"/>
        <v>#REF!</v>
      </c>
      <c r="AF17" s="120" t="e">
        <f t="shared" si="10"/>
        <v>#REF!</v>
      </c>
      <c r="AG17" s="120" t="e">
        <f t="shared" si="10"/>
        <v>#REF!</v>
      </c>
      <c r="AH17" s="120"/>
      <c r="AJ17" s="84"/>
      <c r="AK17" s="84"/>
    </row>
    <row r="18" spans="2:37" x14ac:dyDescent="0.35">
      <c r="C18" s="132"/>
      <c r="J18" s="94"/>
      <c r="Q18" s="82"/>
      <c r="R18" s="82"/>
      <c r="S18" s="82"/>
      <c r="U18" s="94"/>
      <c r="V18" s="94"/>
      <c r="W18" s="94"/>
      <c r="X18" s="94"/>
      <c r="Y18" s="94"/>
      <c r="Z18" s="94"/>
      <c r="AA18" s="94"/>
      <c r="AB18" s="94"/>
      <c r="AC18" s="94"/>
      <c r="AD18" s="94"/>
      <c r="AE18" s="94"/>
      <c r="AF18" s="94"/>
      <c r="AG18" s="94"/>
      <c r="AH18" s="94"/>
      <c r="AJ18" s="82"/>
      <c r="AK18" s="82"/>
    </row>
    <row r="19" spans="2:37" x14ac:dyDescent="0.35">
      <c r="AJ19" s="82"/>
      <c r="AK19" s="82"/>
    </row>
    <row r="20" spans="2:37" x14ac:dyDescent="0.35">
      <c r="M20" s="86" t="s">
        <v>75</v>
      </c>
      <c r="AJ20" s="82"/>
      <c r="AK20" s="82"/>
    </row>
    <row r="25" spans="2:37" x14ac:dyDescent="0.35">
      <c r="L25" s="123"/>
    </row>
    <row r="32" spans="2:37" x14ac:dyDescent="0.35">
      <c r="B32" s="82" t="s">
        <v>51</v>
      </c>
    </row>
  </sheetData>
  <mergeCells count="6">
    <mergeCell ref="Q2:AK2"/>
    <mergeCell ref="B3:D3"/>
    <mergeCell ref="Q3:R3"/>
    <mergeCell ref="AI3:AJ3"/>
    <mergeCell ref="B4:D4"/>
    <mergeCell ref="AI4:AJ4"/>
  </mergeCells>
  <pageMargins left="0.7" right="0.7" top="0.75" bottom="0.75" header="0.3" footer="0.3"/>
  <customProperties>
    <customPr name="EpmWorksheetKeyString_GUID" r:id="rId1"/>
  </customPropertie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20"/>
  <dimension ref="A1:AK33"/>
  <sheetViews>
    <sheetView zoomScale="85" zoomScaleNormal="85" workbookViewId="0">
      <selection activeCell="AP5" sqref="AP5"/>
    </sheetView>
  </sheetViews>
  <sheetFormatPr defaultColWidth="11.453125" defaultRowHeight="14.5" x14ac:dyDescent="0.35"/>
  <cols>
    <col min="1" max="1" width="3.453125" style="81" customWidth="1"/>
    <col min="2" max="2" width="14" style="173" customWidth="1"/>
    <col min="3" max="3" width="10.81640625" style="82" customWidth="1"/>
    <col min="4" max="4" width="10.54296875" style="82" hidden="1" customWidth="1"/>
    <col min="5" max="5" width="11" style="82" customWidth="1"/>
    <col min="6" max="6" width="11.1796875" style="82" hidden="1" customWidth="1"/>
    <col min="7" max="7" width="11" style="82" hidden="1" customWidth="1"/>
    <col min="8" max="8" width="11.54296875" style="82" customWidth="1"/>
    <col min="9" max="9" width="8.54296875" style="81" hidden="1" customWidth="1"/>
    <col min="10" max="10" width="2.81640625" style="81" customWidth="1"/>
    <col min="11" max="11" width="13.81640625" style="173" customWidth="1"/>
    <col min="12" max="14" width="10.81640625" style="82" customWidth="1"/>
    <col min="15" max="15" width="2.81640625" style="81" customWidth="1"/>
    <col min="16" max="16" width="28.81640625" style="81" customWidth="1"/>
    <col min="17" max="17" width="16.1796875" style="81" hidden="1" customWidth="1"/>
    <col min="18" max="18" width="17.54296875" style="81" hidden="1" customWidth="1"/>
    <col min="19" max="19" width="14.54296875" style="81" hidden="1" customWidth="1"/>
    <col min="20" max="20" width="16" style="81" hidden="1" customWidth="1"/>
    <col min="21" max="21" width="17.81640625" style="81" hidden="1" customWidth="1"/>
    <col min="22" max="22" width="17.1796875" style="81" hidden="1" customWidth="1"/>
    <col min="23" max="28" width="14.453125" style="81" hidden="1" customWidth="1"/>
    <col min="29" max="29" width="16.453125" style="81" hidden="1" customWidth="1"/>
    <col min="30" max="32" width="14.81640625" style="81" hidden="1" customWidth="1"/>
    <col min="33" max="33" width="16.54296875" style="81" bestFit="1" customWidth="1"/>
    <col min="34" max="34" width="17.54296875" style="81" customWidth="1"/>
    <col min="35" max="37" width="11.453125" style="81" hidden="1" customWidth="1"/>
    <col min="38" max="16384" width="11.453125" style="81"/>
  </cols>
  <sheetData>
    <row r="1" spans="1:37" x14ac:dyDescent="0.35">
      <c r="B1" s="122"/>
      <c r="C1" s="86"/>
      <c r="D1" s="86"/>
      <c r="E1" s="87"/>
      <c r="F1" s="87"/>
      <c r="G1" s="87"/>
      <c r="H1" s="87"/>
      <c r="I1" s="87"/>
      <c r="J1" s="87"/>
      <c r="K1" s="122"/>
      <c r="L1" s="87"/>
      <c r="M1" s="87"/>
      <c r="N1" s="87"/>
      <c r="P1" s="574"/>
      <c r="Q1" s="574"/>
      <c r="R1" s="574"/>
      <c r="S1" s="574"/>
      <c r="T1" s="574"/>
      <c r="U1" s="574"/>
      <c r="V1" s="574"/>
      <c r="W1" s="574"/>
      <c r="X1" s="574"/>
      <c r="Y1" s="574"/>
      <c r="Z1" s="574"/>
      <c r="AA1" s="574"/>
      <c r="AB1" s="574"/>
      <c r="AC1" s="574"/>
      <c r="AD1" s="574"/>
      <c r="AE1" s="574"/>
      <c r="AF1" s="574"/>
      <c r="AG1" s="574"/>
      <c r="AH1" s="574"/>
      <c r="AI1" s="574"/>
      <c r="AJ1" s="574"/>
      <c r="AK1" s="574"/>
    </row>
    <row r="2" spans="1:37" s="142" customFormat="1" ht="15" customHeight="1" x14ac:dyDescent="0.35">
      <c r="B2" s="576" t="s">
        <v>66</v>
      </c>
      <c r="C2" s="576"/>
      <c r="D2" s="576"/>
      <c r="E2" s="141" t="e">
        <f>+AH11</f>
        <v>#REF!</v>
      </c>
      <c r="G2" s="141"/>
      <c r="H2" s="141"/>
      <c r="I2" s="143">
        <v>0.05</v>
      </c>
      <c r="J2" s="144"/>
      <c r="K2" s="171"/>
      <c r="L2" s="141"/>
      <c r="M2" s="141"/>
      <c r="N2" s="141"/>
      <c r="P2" s="576"/>
      <c r="Q2" s="576"/>
      <c r="R2" s="141"/>
      <c r="S2" s="143"/>
      <c r="T2" s="144"/>
      <c r="U2" s="144"/>
      <c r="V2" s="144"/>
      <c r="W2" s="144"/>
      <c r="X2" s="144"/>
      <c r="Y2" s="144"/>
      <c r="Z2" s="144"/>
      <c r="AA2" s="144"/>
      <c r="AB2" s="144"/>
      <c r="AC2" s="144"/>
      <c r="AD2" s="144"/>
      <c r="AE2" s="144"/>
      <c r="AF2" s="144"/>
      <c r="AG2" s="144"/>
      <c r="AH2" s="144"/>
      <c r="AI2" s="576"/>
      <c r="AJ2" s="576"/>
      <c r="AK2" s="141"/>
    </row>
    <row r="3" spans="1:37" s="133" customFormat="1" ht="15" customHeight="1" x14ac:dyDescent="0.35">
      <c r="B3" s="576" t="s">
        <v>67</v>
      </c>
      <c r="C3" s="576"/>
      <c r="D3" s="576"/>
      <c r="E3" s="134" t="e">
        <f>+AH12</f>
        <v>#REF!</v>
      </c>
      <c r="F3" s="135"/>
      <c r="G3" s="134"/>
      <c r="H3" s="134"/>
      <c r="I3" s="137" t="e">
        <f>+E2*I2</f>
        <v>#REF!</v>
      </c>
      <c r="J3" s="136"/>
      <c r="K3" s="174"/>
      <c r="L3" s="134"/>
      <c r="M3" s="134"/>
      <c r="N3" s="134"/>
      <c r="P3" s="138"/>
      <c r="Q3" s="139"/>
      <c r="R3" s="140"/>
      <c r="T3" s="136"/>
      <c r="U3" s="136"/>
      <c r="V3" s="136"/>
      <c r="W3" s="136"/>
      <c r="X3" s="136"/>
      <c r="Y3" s="136"/>
      <c r="Z3" s="136"/>
      <c r="AA3" s="136"/>
      <c r="AB3" s="136"/>
      <c r="AC3" s="136"/>
      <c r="AD3" s="136"/>
      <c r="AE3" s="136"/>
      <c r="AF3" s="136"/>
      <c r="AG3" s="136"/>
      <c r="AH3" s="136"/>
      <c r="AI3" s="577"/>
      <c r="AJ3" s="577"/>
      <c r="AK3" s="134"/>
    </row>
    <row r="4" spans="1:37" ht="23.5" x14ac:dyDescent="0.55000000000000004">
      <c r="B4" s="169"/>
      <c r="C4" s="92" t="e">
        <f t="shared" ref="C4:H4" si="0">+(C9+C10)/C6*1000</f>
        <v>#REF!</v>
      </c>
      <c r="D4" s="92" t="e">
        <f t="shared" si="0"/>
        <v>#REF!</v>
      </c>
      <c r="E4" s="92" t="e">
        <f t="shared" si="0"/>
        <v>#REF!</v>
      </c>
      <c r="F4" s="92" t="e">
        <f t="shared" si="0"/>
        <v>#REF!</v>
      </c>
      <c r="G4" s="92" t="e">
        <f t="shared" si="0"/>
        <v>#REF!</v>
      </c>
      <c r="H4" s="92" t="e">
        <f t="shared" si="0"/>
        <v>#REF!</v>
      </c>
      <c r="J4" s="88"/>
      <c r="K4" s="169"/>
      <c r="L4" s="92"/>
      <c r="M4" s="92"/>
      <c r="N4" s="92"/>
      <c r="P4" s="93"/>
      <c r="Q4" s="82"/>
      <c r="R4" s="90"/>
      <c r="S4" s="94"/>
      <c r="T4" s="88"/>
      <c r="U4" s="88"/>
      <c r="V4" s="88"/>
      <c r="W4" s="88"/>
      <c r="X4" s="88"/>
      <c r="Y4" s="88"/>
      <c r="Z4" s="88"/>
      <c r="AA4" s="88"/>
      <c r="AB4" s="88"/>
      <c r="AC4" s="88"/>
      <c r="AD4" s="88"/>
      <c r="AE4" s="88"/>
      <c r="AF4" s="88"/>
      <c r="AG4" s="88"/>
      <c r="AH4" s="88"/>
      <c r="AI4" s="91"/>
      <c r="AJ4" s="91"/>
      <c r="AK4" s="78"/>
    </row>
    <row r="5" spans="1:37" s="95" customFormat="1" ht="33.75" customHeight="1" x14ac:dyDescent="0.35">
      <c r="B5" s="169" t="s">
        <v>5</v>
      </c>
      <c r="C5" s="85" t="s">
        <v>68</v>
      </c>
      <c r="D5" s="85" t="s">
        <v>69</v>
      </c>
      <c r="E5" s="85" t="s">
        <v>69</v>
      </c>
      <c r="F5" s="85" t="s">
        <v>70</v>
      </c>
      <c r="G5" s="85" t="s">
        <v>70</v>
      </c>
      <c r="H5" s="85" t="s">
        <v>70</v>
      </c>
      <c r="I5" s="85"/>
      <c r="J5" s="88"/>
      <c r="K5" s="169" t="s">
        <v>71</v>
      </c>
      <c r="L5" s="96" t="s">
        <v>7</v>
      </c>
      <c r="M5" s="96" t="s">
        <v>8</v>
      </c>
      <c r="N5" s="96" t="s">
        <v>8</v>
      </c>
      <c r="P5" s="147" t="s">
        <v>72</v>
      </c>
      <c r="Q5" s="99" t="s">
        <v>54</v>
      </c>
      <c r="R5" s="99" t="s">
        <v>55</v>
      </c>
      <c r="S5" s="99" t="s">
        <v>56</v>
      </c>
      <c r="T5" s="99" t="s">
        <v>12</v>
      </c>
      <c r="U5" s="99" t="s">
        <v>57</v>
      </c>
      <c r="V5" s="99" t="s">
        <v>58</v>
      </c>
      <c r="W5" s="99" t="s">
        <v>59</v>
      </c>
      <c r="X5" s="99" t="s">
        <v>60</v>
      </c>
      <c r="Y5" s="99" t="s">
        <v>62</v>
      </c>
      <c r="Z5" s="99" t="s">
        <v>64</v>
      </c>
      <c r="AA5" s="99" t="s">
        <v>65</v>
      </c>
      <c r="AB5" s="99" t="s">
        <v>73</v>
      </c>
      <c r="AC5" s="99" t="s">
        <v>53</v>
      </c>
      <c r="AD5" s="99" t="s">
        <v>77</v>
      </c>
      <c r="AE5" s="99" t="s">
        <v>78</v>
      </c>
      <c r="AF5" s="99" t="s">
        <v>79</v>
      </c>
      <c r="AG5" s="99" t="s">
        <v>90</v>
      </c>
      <c r="AH5" s="99" t="s">
        <v>91</v>
      </c>
      <c r="AI5" s="100"/>
      <c r="AJ5" s="97"/>
      <c r="AK5" s="97"/>
    </row>
    <row r="6" spans="1:37" x14ac:dyDescent="0.35">
      <c r="B6" s="169" t="s">
        <v>13</v>
      </c>
      <c r="C6" s="101">
        <v>16.7</v>
      </c>
      <c r="D6" s="101">
        <v>16.7</v>
      </c>
      <c r="E6" s="101">
        <v>20.6</v>
      </c>
      <c r="F6" s="101">
        <v>30.6</v>
      </c>
      <c r="G6" s="101">
        <v>30.6</v>
      </c>
      <c r="H6" s="101">
        <v>38.6</v>
      </c>
      <c r="I6" s="101"/>
      <c r="K6" s="169" t="s">
        <v>13</v>
      </c>
      <c r="L6" s="101">
        <v>15</v>
      </c>
      <c r="M6" s="101">
        <v>20.5</v>
      </c>
      <c r="N6" s="101">
        <v>20.5</v>
      </c>
      <c r="P6" s="102" t="s">
        <v>14</v>
      </c>
      <c r="Q6" s="104">
        <v>938.13</v>
      </c>
      <c r="R6" s="105">
        <v>959</v>
      </c>
      <c r="S6" s="104">
        <v>1006.25</v>
      </c>
      <c r="T6" s="130">
        <v>993.75</v>
      </c>
      <c r="U6" s="131">
        <v>1015.5</v>
      </c>
      <c r="V6" s="131">
        <v>1045.5999999999999</v>
      </c>
      <c r="W6" s="43">
        <v>1103.75</v>
      </c>
      <c r="X6" s="43">
        <v>1148.75</v>
      </c>
      <c r="Y6" s="43">
        <v>1167</v>
      </c>
      <c r="Z6" s="43">
        <v>1221.25</v>
      </c>
      <c r="AA6" s="43">
        <v>1330</v>
      </c>
      <c r="AB6" s="43">
        <f>+'IHS (Mod)'!I5</f>
        <v>1280</v>
      </c>
      <c r="AC6" s="43">
        <f>+'IHS (Mod)'!J5</f>
        <v>1279.380005</v>
      </c>
      <c r="AD6" s="43">
        <v>1275.5</v>
      </c>
      <c r="AE6" s="43" t="e">
        <f>+#REF!</f>
        <v>#REF!</v>
      </c>
      <c r="AF6" s="43" t="e">
        <f>+#REF!</f>
        <v>#REF!</v>
      </c>
      <c r="AG6" s="43" t="e">
        <f>+#REF!</f>
        <v>#REF!</v>
      </c>
      <c r="AH6" s="43" t="e">
        <f>+#REF!</f>
        <v>#REF!</v>
      </c>
      <c r="AI6" s="85"/>
      <c r="AJ6" s="101"/>
      <c r="AK6" s="101"/>
    </row>
    <row r="7" spans="1:37" x14ac:dyDescent="0.35">
      <c r="B7" s="170" t="s">
        <v>16</v>
      </c>
      <c r="C7" s="91" t="s">
        <v>17</v>
      </c>
      <c r="D7" s="91" t="s">
        <v>17</v>
      </c>
      <c r="E7" s="91" t="s">
        <v>17</v>
      </c>
      <c r="F7" s="91" t="s">
        <v>17</v>
      </c>
      <c r="G7" s="91" t="s">
        <v>17</v>
      </c>
      <c r="H7" s="91" t="s">
        <v>17</v>
      </c>
      <c r="I7" s="91"/>
      <c r="K7" s="170" t="s">
        <v>16</v>
      </c>
      <c r="L7" s="91" t="s">
        <v>17</v>
      </c>
      <c r="M7" s="91" t="s">
        <v>17</v>
      </c>
      <c r="N7" s="91" t="s">
        <v>17</v>
      </c>
      <c r="P7" s="128" t="s">
        <v>18</v>
      </c>
      <c r="Q7" s="129">
        <v>25.09</v>
      </c>
      <c r="R7" s="129">
        <v>25.09</v>
      </c>
      <c r="S7" s="129">
        <v>25.09</v>
      </c>
      <c r="T7" s="129">
        <v>25</v>
      </c>
      <c r="U7" s="129">
        <v>25</v>
      </c>
      <c r="V7" s="129">
        <v>25</v>
      </c>
      <c r="W7" s="129">
        <v>25</v>
      </c>
      <c r="X7" s="129">
        <v>25</v>
      </c>
      <c r="Y7" s="129">
        <v>25</v>
      </c>
      <c r="Z7" s="129">
        <v>25</v>
      </c>
      <c r="AA7" s="129">
        <v>25</v>
      </c>
      <c r="AB7" s="129">
        <v>33.139726027397259</v>
      </c>
      <c r="AC7" s="129">
        <f>+Septiembre18!AD8</f>
        <v>33.1236741020548</v>
      </c>
      <c r="AD7" s="129">
        <v>33.023219178082194</v>
      </c>
      <c r="AE7" s="129">
        <v>33.023219178082194</v>
      </c>
      <c r="AF7" s="129">
        <v>32.783732876712328</v>
      </c>
      <c r="AG7" s="129">
        <v>29.126712328767123</v>
      </c>
      <c r="AH7" s="129" t="e">
        <f>+AK7</f>
        <v>#REF!</v>
      </c>
      <c r="AI7" s="85" t="e">
        <f>+AH6*4.5%</f>
        <v>#REF!</v>
      </c>
      <c r="AJ7" s="91" t="e">
        <f>+AI7/365</f>
        <v>#REF!</v>
      </c>
      <c r="AK7" s="91" t="e">
        <f>+AJ7*210</f>
        <v>#REF!</v>
      </c>
    </row>
    <row r="8" spans="1:37" s="95" customFormat="1" ht="29" x14ac:dyDescent="0.35">
      <c r="B8" s="175" t="s">
        <v>92</v>
      </c>
      <c r="C8" s="177" t="s">
        <v>93</v>
      </c>
      <c r="D8" s="177" t="s">
        <v>94</v>
      </c>
      <c r="E8" s="177" t="s">
        <v>93</v>
      </c>
      <c r="F8" s="176">
        <v>1</v>
      </c>
      <c r="G8" s="177" t="s">
        <v>94</v>
      </c>
      <c r="H8" s="177" t="s">
        <v>93</v>
      </c>
      <c r="I8" s="162"/>
      <c r="K8" s="175" t="str">
        <f>+B8</f>
        <v>% Resina (Virgen/PCR)</v>
      </c>
      <c r="L8" s="177" t="s">
        <v>94</v>
      </c>
      <c r="M8" s="176">
        <v>1</v>
      </c>
      <c r="N8" s="177" t="s">
        <v>94</v>
      </c>
      <c r="P8" s="166" t="s">
        <v>20</v>
      </c>
      <c r="Q8" s="129">
        <v>65</v>
      </c>
      <c r="R8" s="167">
        <v>65</v>
      </c>
      <c r="S8" s="129">
        <v>65</v>
      </c>
      <c r="T8" s="129">
        <v>65</v>
      </c>
      <c r="U8" s="129">
        <v>65</v>
      </c>
      <c r="V8" s="129">
        <v>65</v>
      </c>
      <c r="W8" s="129">
        <v>65</v>
      </c>
      <c r="X8" s="129">
        <v>65</v>
      </c>
      <c r="Y8" s="129">
        <v>65</v>
      </c>
      <c r="Z8" s="129">
        <v>65</v>
      </c>
      <c r="AA8" s="129">
        <v>65</v>
      </c>
      <c r="AB8" s="129">
        <v>70</v>
      </c>
      <c r="AC8" s="129">
        <v>70</v>
      </c>
      <c r="AD8" s="129">
        <v>70</v>
      </c>
      <c r="AE8" s="129">
        <v>70</v>
      </c>
      <c r="AF8" s="129">
        <v>70</v>
      </c>
      <c r="AG8" s="129">
        <v>70</v>
      </c>
      <c r="AH8" s="129">
        <v>70</v>
      </c>
      <c r="AI8" s="168"/>
      <c r="AJ8" s="165"/>
      <c r="AK8" s="165"/>
    </row>
    <row r="9" spans="1:37" x14ac:dyDescent="0.35">
      <c r="B9" s="170" t="s">
        <v>19</v>
      </c>
      <c r="C9" s="80" t="e">
        <f>+(C6*E2/1000)*1.01*50%</f>
        <v>#REF!</v>
      </c>
      <c r="D9" s="80" t="e">
        <f>+(D6*$E$2/1000)*1.01*75%</f>
        <v>#REF!</v>
      </c>
      <c r="E9" s="80" t="e">
        <f>+(E6*$E$2/1000)*1.01*50%</f>
        <v>#REF!</v>
      </c>
      <c r="F9" s="80" t="e">
        <f>+(F6*E2/1000)*1.01</f>
        <v>#REF!</v>
      </c>
      <c r="G9" s="80" t="e">
        <f>+(G6*$E$2/1000)*1.01*75%</f>
        <v>#REF!</v>
      </c>
      <c r="H9" s="80" t="e">
        <f>+(H6*$E$2/1000)*1.01*50%</f>
        <v>#REF!</v>
      </c>
      <c r="I9" s="80"/>
      <c r="K9" s="170" t="s">
        <v>19</v>
      </c>
      <c r="L9" s="80" t="e">
        <f>+(L6*E2/1000)*1.005*75%</f>
        <v>#REF!</v>
      </c>
      <c r="M9" s="80" t="e">
        <f>+(M6*E2/1000)*1.005</f>
        <v>#REF!</v>
      </c>
      <c r="N9" s="80" t="e">
        <f>+(N6*E2/1000)*1.005*75%</f>
        <v>#REF!</v>
      </c>
      <c r="P9" s="102"/>
      <c r="Q9" s="104">
        <f>SUM(Q6:Q8)</f>
        <v>1028.22</v>
      </c>
      <c r="R9" s="104">
        <f>SUM(R6:R8)</f>
        <v>1049.0900000000001</v>
      </c>
      <c r="S9" s="104">
        <f>SUM(S6:S8)</f>
        <v>1096.3399999999999</v>
      </c>
      <c r="T9" s="104">
        <f>SUM(T6:T8)</f>
        <v>1083.75</v>
      </c>
      <c r="U9" s="104">
        <f t="shared" ref="U9:AF9" si="1">SUM(U6:U8)</f>
        <v>1105.5</v>
      </c>
      <c r="V9" s="104">
        <f t="shared" si="1"/>
        <v>1135.5999999999999</v>
      </c>
      <c r="W9" s="104">
        <f t="shared" si="1"/>
        <v>1193.75</v>
      </c>
      <c r="X9" s="104">
        <f t="shared" si="1"/>
        <v>1238.75</v>
      </c>
      <c r="Y9" s="104">
        <f t="shared" si="1"/>
        <v>1257</v>
      </c>
      <c r="Z9" s="104">
        <f t="shared" si="1"/>
        <v>1311.25</v>
      </c>
      <c r="AA9" s="104">
        <f t="shared" si="1"/>
        <v>1420</v>
      </c>
      <c r="AB9" s="104">
        <f t="shared" si="1"/>
        <v>1383.1397260273973</v>
      </c>
      <c r="AC9" s="104">
        <f t="shared" si="1"/>
        <v>1382.5036791020548</v>
      </c>
      <c r="AD9" s="104">
        <f t="shared" si="1"/>
        <v>1378.5232191780822</v>
      </c>
      <c r="AE9" s="104" t="e">
        <f t="shared" si="1"/>
        <v>#REF!</v>
      </c>
      <c r="AF9" s="104" t="e">
        <f t="shared" si="1"/>
        <v>#REF!</v>
      </c>
      <c r="AG9" s="104" t="e">
        <f>SUM(AG6:AG8)</f>
        <v>#REF!</v>
      </c>
      <c r="AH9" s="104" t="e">
        <f>SUM(AH6:AH8)</f>
        <v>#REF!</v>
      </c>
      <c r="AI9" s="79"/>
      <c r="AJ9" s="80"/>
      <c r="AK9" s="80"/>
    </row>
    <row r="10" spans="1:37" x14ac:dyDescent="0.35">
      <c r="B10" s="172" t="s">
        <v>23</v>
      </c>
      <c r="C10" s="76" t="e">
        <f>+(C6*$E$3/1000)*1.01*50%</f>
        <v>#REF!</v>
      </c>
      <c r="D10" s="76" t="e">
        <f>+(D6*$E$3/1000)*1.01*25%</f>
        <v>#REF!</v>
      </c>
      <c r="E10" s="76" t="e">
        <f>+(E6*$E$3/1000)*1.01*50%</f>
        <v>#REF!</v>
      </c>
      <c r="F10" s="76">
        <v>0</v>
      </c>
      <c r="G10" s="76" t="e">
        <f>+(G6*$E$3/1000)*1.01*25%</f>
        <v>#REF!</v>
      </c>
      <c r="H10" s="76" t="e">
        <f>+(H6*$E$3/1000)*1.01*50%</f>
        <v>#REF!</v>
      </c>
      <c r="I10" s="76"/>
      <c r="J10" s="121"/>
      <c r="K10" s="172" t="s">
        <v>23</v>
      </c>
      <c r="L10" s="76" t="e">
        <f>+(L6*E3/1000)*1.005*25%</f>
        <v>#REF!</v>
      </c>
      <c r="M10" s="76">
        <v>0</v>
      </c>
      <c r="N10" s="76" t="e">
        <f>+(N6*E3/1000)*1.005*25%</f>
        <v>#REF!</v>
      </c>
      <c r="P10" s="106" t="s">
        <v>27</v>
      </c>
      <c r="Q10" s="108">
        <f>+Q9*4%</f>
        <v>41.128800000000005</v>
      </c>
      <c r="R10" s="104">
        <f>+R9*4%</f>
        <v>41.963600000000007</v>
      </c>
      <c r="S10" s="108">
        <f>+S9*4%</f>
        <v>43.8536</v>
      </c>
      <c r="T10" s="108">
        <f>+T9*4%</f>
        <v>43.35</v>
      </c>
      <c r="U10" s="108">
        <f t="shared" ref="U10:AF10" si="2">+U9*4%</f>
        <v>44.22</v>
      </c>
      <c r="V10" s="108">
        <f t="shared" si="2"/>
        <v>45.423999999999999</v>
      </c>
      <c r="W10" s="108">
        <f t="shared" si="2"/>
        <v>47.75</v>
      </c>
      <c r="X10" s="108">
        <f t="shared" si="2"/>
        <v>49.550000000000004</v>
      </c>
      <c r="Y10" s="108">
        <f t="shared" si="2"/>
        <v>50.28</v>
      </c>
      <c r="Z10" s="108">
        <f t="shared" si="2"/>
        <v>52.45</v>
      </c>
      <c r="AA10" s="108">
        <f t="shared" si="2"/>
        <v>56.800000000000004</v>
      </c>
      <c r="AB10" s="108">
        <f t="shared" si="2"/>
        <v>55.325589041095895</v>
      </c>
      <c r="AC10" s="108">
        <f t="shared" si="2"/>
        <v>55.30014716408219</v>
      </c>
      <c r="AD10" s="108">
        <f t="shared" si="2"/>
        <v>55.140928767123285</v>
      </c>
      <c r="AE10" s="108" t="e">
        <f t="shared" si="2"/>
        <v>#REF!</v>
      </c>
      <c r="AF10" s="108" t="e">
        <f t="shared" si="2"/>
        <v>#REF!</v>
      </c>
      <c r="AG10" s="108" t="e">
        <f>+AG9*4%</f>
        <v>#REF!</v>
      </c>
      <c r="AH10" s="108" t="e">
        <f>+AH9*4%</f>
        <v>#REF!</v>
      </c>
      <c r="AI10" s="79"/>
      <c r="AJ10" s="80"/>
      <c r="AK10" s="80"/>
    </row>
    <row r="11" spans="1:37" x14ac:dyDescent="0.35">
      <c r="B11" s="169" t="s">
        <v>95</v>
      </c>
      <c r="C11" s="84" t="e">
        <f>SUM(C9:C10)</f>
        <v>#REF!</v>
      </c>
      <c r="D11" s="84" t="e">
        <f t="shared" ref="D11:I11" si="3">SUM(D9:D10)</f>
        <v>#REF!</v>
      </c>
      <c r="E11" s="84" t="e">
        <f t="shared" si="3"/>
        <v>#REF!</v>
      </c>
      <c r="F11" s="84" t="e">
        <f t="shared" si="3"/>
        <v>#REF!</v>
      </c>
      <c r="G11" s="84" t="e">
        <f t="shared" si="3"/>
        <v>#REF!</v>
      </c>
      <c r="H11" s="84" t="e">
        <f t="shared" si="3"/>
        <v>#REF!</v>
      </c>
      <c r="I11" s="80">
        <f t="shared" si="3"/>
        <v>0</v>
      </c>
      <c r="J11" s="80"/>
      <c r="K11" s="169" t="s">
        <v>95</v>
      </c>
      <c r="L11" s="84" t="e">
        <f t="shared" ref="L11" si="4">SUM(L9:L10)</f>
        <v>#REF!</v>
      </c>
      <c r="M11" s="84" t="e">
        <f t="shared" ref="M11" si="5">SUM(M9:M10)</f>
        <v>#REF!</v>
      </c>
      <c r="N11" s="84" t="e">
        <f t="shared" ref="N11" si="6">SUM(N9:N10)</f>
        <v>#REF!</v>
      </c>
      <c r="P11" s="157" t="s">
        <v>30</v>
      </c>
      <c r="Q11" s="158">
        <f>+Q10+Q9</f>
        <v>1069.3488</v>
      </c>
      <c r="R11" s="159">
        <f>+R10+R9</f>
        <v>1091.0536000000002</v>
      </c>
      <c r="S11" s="158">
        <f>+S10+S9</f>
        <v>1140.1935999999998</v>
      </c>
      <c r="T11" s="158">
        <f>+T10+T9</f>
        <v>1127.0999999999999</v>
      </c>
      <c r="U11" s="158">
        <f t="shared" ref="U11:AF11" si="7">+U10+U9</f>
        <v>1149.72</v>
      </c>
      <c r="V11" s="158">
        <f t="shared" si="7"/>
        <v>1181.0239999999999</v>
      </c>
      <c r="W11" s="158">
        <f t="shared" si="7"/>
        <v>1241.5</v>
      </c>
      <c r="X11" s="158">
        <f t="shared" si="7"/>
        <v>1288.3</v>
      </c>
      <c r="Y11" s="158">
        <f t="shared" si="7"/>
        <v>1307.28</v>
      </c>
      <c r="Z11" s="158">
        <f t="shared" si="7"/>
        <v>1363.7</v>
      </c>
      <c r="AA11" s="158">
        <f t="shared" si="7"/>
        <v>1476.8</v>
      </c>
      <c r="AB11" s="158">
        <f t="shared" si="7"/>
        <v>1438.4653150684931</v>
      </c>
      <c r="AC11" s="158">
        <f t="shared" si="7"/>
        <v>1437.8038262661369</v>
      </c>
      <c r="AD11" s="158">
        <f t="shared" si="7"/>
        <v>1433.6641479452055</v>
      </c>
      <c r="AE11" s="158" t="e">
        <f t="shared" si="7"/>
        <v>#REF!</v>
      </c>
      <c r="AF11" s="158" t="e">
        <f t="shared" si="7"/>
        <v>#REF!</v>
      </c>
      <c r="AG11" s="158" t="e">
        <f>+AG10+AG9</f>
        <v>#REF!</v>
      </c>
      <c r="AH11" s="158" t="e">
        <f>+AH10+AH9</f>
        <v>#REF!</v>
      </c>
      <c r="AI11" s="79"/>
      <c r="AJ11" s="80"/>
      <c r="AK11" s="80"/>
    </row>
    <row r="12" spans="1:37" x14ac:dyDescent="0.35">
      <c r="B12" s="170" t="s">
        <v>26</v>
      </c>
      <c r="C12" s="80">
        <f>8.2+0.03</f>
        <v>8.2299999999999986</v>
      </c>
      <c r="D12" s="80">
        <v>8.2299999999999986</v>
      </c>
      <c r="E12" s="80">
        <f>8.2+0.03</f>
        <v>8.2299999999999986</v>
      </c>
      <c r="F12" s="80">
        <v>11.200000000000001</v>
      </c>
      <c r="G12" s="80">
        <v>11.200000000000001</v>
      </c>
      <c r="H12" s="80">
        <f>11.15+0.05</f>
        <v>11.200000000000001</v>
      </c>
      <c r="I12" s="80"/>
      <c r="K12" s="170" t="s">
        <v>26</v>
      </c>
      <c r="L12" s="80">
        <f>27.2+0.11</f>
        <v>27.31</v>
      </c>
      <c r="M12" s="80">
        <f>27.2+0.12</f>
        <v>27.32</v>
      </c>
      <c r="N12" s="80">
        <f>27.2+0.12</f>
        <v>27.32</v>
      </c>
      <c r="P12" s="160" t="s">
        <v>32</v>
      </c>
      <c r="Q12" s="161">
        <f>+Q11*(1-5%)</f>
        <v>1015.88136</v>
      </c>
      <c r="R12" s="161">
        <f t="shared" ref="R12:AF12" si="8">+R11*(1-5%)</f>
        <v>1036.5009200000002</v>
      </c>
      <c r="S12" s="161">
        <f t="shared" si="8"/>
        <v>1083.1839199999997</v>
      </c>
      <c r="T12" s="161">
        <f t="shared" si="8"/>
        <v>1070.7449999999999</v>
      </c>
      <c r="U12" s="161">
        <f t="shared" si="8"/>
        <v>1092.2339999999999</v>
      </c>
      <c r="V12" s="161">
        <f t="shared" si="8"/>
        <v>1121.9727999999998</v>
      </c>
      <c r="W12" s="161">
        <f t="shared" si="8"/>
        <v>1179.425</v>
      </c>
      <c r="X12" s="161">
        <f t="shared" si="8"/>
        <v>1223.885</v>
      </c>
      <c r="Y12" s="161">
        <f t="shared" si="8"/>
        <v>1241.9159999999999</v>
      </c>
      <c r="Z12" s="161">
        <f t="shared" si="8"/>
        <v>1295.5149999999999</v>
      </c>
      <c r="AA12" s="161">
        <f t="shared" si="8"/>
        <v>1402.9599999999998</v>
      </c>
      <c r="AB12" s="161">
        <f t="shared" si="8"/>
        <v>1366.5420493150684</v>
      </c>
      <c r="AC12" s="161">
        <f t="shared" si="8"/>
        <v>1365.9136349528299</v>
      </c>
      <c r="AD12" s="161">
        <f t="shared" si="8"/>
        <v>1361.9809405479452</v>
      </c>
      <c r="AE12" s="161" t="e">
        <f t="shared" si="8"/>
        <v>#REF!</v>
      </c>
      <c r="AF12" s="161" t="e">
        <f t="shared" si="8"/>
        <v>#REF!</v>
      </c>
      <c r="AG12" s="161" t="e">
        <f>+AG11*(1-5%)</f>
        <v>#REF!</v>
      </c>
      <c r="AH12" s="161" t="e">
        <f>+AH11*(1-5%)</f>
        <v>#REF!</v>
      </c>
      <c r="AI12" s="79"/>
      <c r="AJ12" s="80"/>
      <c r="AK12" s="80"/>
    </row>
    <row r="13" spans="1:37" x14ac:dyDescent="0.35">
      <c r="B13" s="170" t="s">
        <v>31</v>
      </c>
      <c r="C13" s="80">
        <v>1.5</v>
      </c>
      <c r="D13" s="80">
        <v>1.5</v>
      </c>
      <c r="E13" s="80">
        <v>1.83</v>
      </c>
      <c r="F13" s="80">
        <v>3.45</v>
      </c>
      <c r="G13" s="80">
        <v>3.45</v>
      </c>
      <c r="H13" s="80">
        <v>3.45</v>
      </c>
      <c r="I13" s="80"/>
      <c r="K13" s="170" t="s">
        <v>31</v>
      </c>
      <c r="L13" s="80">
        <v>0.9</v>
      </c>
      <c r="M13" s="80">
        <v>2.1800000000000002</v>
      </c>
      <c r="N13" s="80">
        <v>2.1800000000000002</v>
      </c>
      <c r="P13" s="157" t="s">
        <v>96</v>
      </c>
      <c r="Q13" s="158">
        <f>+Q11*75%+Q12*25%</f>
        <v>1055.9819400000001</v>
      </c>
      <c r="R13" s="158">
        <f t="shared" ref="R13:AF13" si="9">+R11*75%+R12*25%</f>
        <v>1077.4154300000002</v>
      </c>
      <c r="S13" s="158">
        <f t="shared" si="9"/>
        <v>1125.9411799999998</v>
      </c>
      <c r="T13" s="158">
        <f t="shared" si="9"/>
        <v>1113.01125</v>
      </c>
      <c r="U13" s="158">
        <f t="shared" si="9"/>
        <v>1135.3485000000001</v>
      </c>
      <c r="V13" s="158">
        <f t="shared" si="9"/>
        <v>1166.2611999999999</v>
      </c>
      <c r="W13" s="158">
        <f t="shared" si="9"/>
        <v>1225.98125</v>
      </c>
      <c r="X13" s="158">
        <f t="shared" si="9"/>
        <v>1272.19625</v>
      </c>
      <c r="Y13" s="158">
        <f t="shared" si="9"/>
        <v>1290.9390000000001</v>
      </c>
      <c r="Z13" s="158">
        <f t="shared" si="9"/>
        <v>1346.6537499999999</v>
      </c>
      <c r="AA13" s="158">
        <f t="shared" si="9"/>
        <v>1458.34</v>
      </c>
      <c r="AB13" s="158">
        <f t="shared" si="9"/>
        <v>1420.4844986301368</v>
      </c>
      <c r="AC13" s="158">
        <f t="shared" si="9"/>
        <v>1419.8312784378102</v>
      </c>
      <c r="AD13" s="158">
        <f t="shared" si="9"/>
        <v>1415.7433460958905</v>
      </c>
      <c r="AE13" s="158" t="e">
        <f t="shared" si="9"/>
        <v>#REF!</v>
      </c>
      <c r="AF13" s="158" t="e">
        <f t="shared" si="9"/>
        <v>#REF!</v>
      </c>
      <c r="AG13" s="158" t="e">
        <f>+AG11*75%+AG12*25%</f>
        <v>#REF!</v>
      </c>
      <c r="AH13" s="158" t="e">
        <f>+AH11*50%+AH12*50%</f>
        <v>#REF!</v>
      </c>
      <c r="AI13" s="79"/>
      <c r="AJ13" s="80"/>
      <c r="AK13" s="80"/>
    </row>
    <row r="14" spans="1:37" x14ac:dyDescent="0.35">
      <c r="B14" s="170" t="s">
        <v>34</v>
      </c>
      <c r="C14" s="80">
        <v>0.19</v>
      </c>
      <c r="D14" s="80">
        <v>0.19</v>
      </c>
      <c r="E14" s="80">
        <v>0.19</v>
      </c>
      <c r="F14" s="80">
        <v>0.33</v>
      </c>
      <c r="G14" s="80">
        <v>0.33</v>
      </c>
      <c r="H14" s="80">
        <v>0.33</v>
      </c>
      <c r="I14" s="80"/>
      <c r="K14" s="170" t="s">
        <v>34</v>
      </c>
      <c r="L14" s="80">
        <v>4.3</v>
      </c>
      <c r="M14" s="80">
        <v>4.3</v>
      </c>
      <c r="N14" s="80">
        <v>4.3</v>
      </c>
      <c r="P14" s="113" t="s">
        <v>37</v>
      </c>
      <c r="Q14" s="118">
        <f>+Q13*1%</f>
        <v>10.559819400000002</v>
      </c>
      <c r="R14" s="118">
        <f t="shared" ref="R14:AF14" si="10">+R13*1%</f>
        <v>10.774154300000003</v>
      </c>
      <c r="S14" s="118">
        <f t="shared" si="10"/>
        <v>11.259411799999999</v>
      </c>
      <c r="T14" s="118">
        <f t="shared" si="10"/>
        <v>11.130112500000001</v>
      </c>
      <c r="U14" s="118">
        <f t="shared" si="10"/>
        <v>11.353485000000001</v>
      </c>
      <c r="V14" s="118">
        <f t="shared" si="10"/>
        <v>11.662611999999999</v>
      </c>
      <c r="W14" s="118">
        <f t="shared" si="10"/>
        <v>12.259812500000001</v>
      </c>
      <c r="X14" s="118">
        <f t="shared" si="10"/>
        <v>12.7219625</v>
      </c>
      <c r="Y14" s="118">
        <f t="shared" si="10"/>
        <v>12.909390000000002</v>
      </c>
      <c r="Z14" s="118">
        <f t="shared" si="10"/>
        <v>13.466537499999999</v>
      </c>
      <c r="AA14" s="118">
        <f t="shared" si="10"/>
        <v>14.583399999999999</v>
      </c>
      <c r="AB14" s="118">
        <f t="shared" si="10"/>
        <v>14.204844986301369</v>
      </c>
      <c r="AC14" s="118">
        <f t="shared" si="10"/>
        <v>14.198312784378102</v>
      </c>
      <c r="AD14" s="118">
        <f t="shared" si="10"/>
        <v>14.157433460958906</v>
      </c>
      <c r="AE14" s="118" t="e">
        <f t="shared" si="10"/>
        <v>#REF!</v>
      </c>
      <c r="AF14" s="118" t="e">
        <f t="shared" si="10"/>
        <v>#REF!</v>
      </c>
      <c r="AG14" s="118" t="e">
        <f>+AG13*1%</f>
        <v>#REF!</v>
      </c>
      <c r="AH14" s="118" t="e">
        <f>+AH13*1%</f>
        <v>#REF!</v>
      </c>
      <c r="AI14" s="79"/>
      <c r="AJ14" s="80"/>
      <c r="AK14" s="80"/>
    </row>
    <row r="15" spans="1:37" x14ac:dyDescent="0.35">
      <c r="A15" s="81" t="s">
        <v>38</v>
      </c>
      <c r="B15" s="170" t="s">
        <v>36</v>
      </c>
      <c r="C15" s="80">
        <v>0.16</v>
      </c>
      <c r="D15" s="80">
        <v>0.16</v>
      </c>
      <c r="E15" s="80">
        <v>0.16</v>
      </c>
      <c r="F15" s="80">
        <v>0.28000000000000003</v>
      </c>
      <c r="G15" s="80">
        <v>0.28000000000000003</v>
      </c>
      <c r="H15" s="80">
        <v>0.28000000000000003</v>
      </c>
      <c r="I15" s="80"/>
      <c r="K15" s="170" t="s">
        <v>36</v>
      </c>
      <c r="L15" s="80">
        <v>7.85</v>
      </c>
      <c r="M15" s="80">
        <v>7.85</v>
      </c>
      <c r="N15" s="80">
        <v>7.85</v>
      </c>
      <c r="P15" s="113" t="s">
        <v>74</v>
      </c>
      <c r="Q15" s="115">
        <f>+Q14+Q13</f>
        <v>1066.5417594</v>
      </c>
      <c r="R15" s="115">
        <f t="shared" ref="R15:AG15" si="11">+R14+R13</f>
        <v>1088.1895843000002</v>
      </c>
      <c r="S15" s="115">
        <f t="shared" si="11"/>
        <v>1137.2005917999998</v>
      </c>
      <c r="T15" s="115">
        <f t="shared" si="11"/>
        <v>1124.1413625</v>
      </c>
      <c r="U15" s="115">
        <f t="shared" si="11"/>
        <v>1146.7019850000001</v>
      </c>
      <c r="V15" s="115">
        <f t="shared" si="11"/>
        <v>1177.923812</v>
      </c>
      <c r="W15" s="115">
        <f t="shared" si="11"/>
        <v>1238.2410625</v>
      </c>
      <c r="X15" s="115">
        <f t="shared" si="11"/>
        <v>1284.9182125</v>
      </c>
      <c r="Y15" s="115">
        <f t="shared" si="11"/>
        <v>1303.8483900000001</v>
      </c>
      <c r="Z15" s="115">
        <f t="shared" si="11"/>
        <v>1360.1202874999999</v>
      </c>
      <c r="AA15" s="115">
        <f t="shared" si="11"/>
        <v>1472.9233999999999</v>
      </c>
      <c r="AB15" s="115">
        <f t="shared" si="11"/>
        <v>1434.6893436164382</v>
      </c>
      <c r="AC15" s="115">
        <f t="shared" si="11"/>
        <v>1434.0295912221882</v>
      </c>
      <c r="AD15" s="115">
        <f t="shared" si="11"/>
        <v>1429.9007795568493</v>
      </c>
      <c r="AE15" s="115" t="e">
        <f t="shared" si="11"/>
        <v>#REF!</v>
      </c>
      <c r="AF15" s="115" t="e">
        <f t="shared" si="11"/>
        <v>#REF!</v>
      </c>
      <c r="AG15" s="115" t="e">
        <f t="shared" si="11"/>
        <v>#REF!</v>
      </c>
      <c r="AH15" s="115" t="e">
        <f t="shared" ref="AH15" si="12">+AH14+AH13</f>
        <v>#REF!</v>
      </c>
      <c r="AI15" s="85"/>
      <c r="AJ15" s="84"/>
      <c r="AK15" s="84"/>
    </row>
    <row r="16" spans="1:37" x14ac:dyDescent="0.35">
      <c r="B16" s="169" t="s">
        <v>39</v>
      </c>
      <c r="C16" s="84" t="e">
        <f>+C11+C12+C13+C14+C15</f>
        <v>#REF!</v>
      </c>
      <c r="D16" s="84" t="e">
        <f t="shared" ref="D16:H16" si="13">+D11+D12+D13+D14+D15</f>
        <v>#REF!</v>
      </c>
      <c r="E16" s="84" t="e">
        <f t="shared" si="13"/>
        <v>#REF!</v>
      </c>
      <c r="F16" s="84" t="e">
        <f t="shared" si="13"/>
        <v>#REF!</v>
      </c>
      <c r="G16" s="84" t="e">
        <f t="shared" si="13"/>
        <v>#REF!</v>
      </c>
      <c r="H16" s="84" t="e">
        <f t="shared" si="13"/>
        <v>#REF!</v>
      </c>
      <c r="I16" s="84"/>
      <c r="K16" s="169" t="s">
        <v>39</v>
      </c>
      <c r="L16" s="84" t="e">
        <f t="shared" ref="L16" si="14">+L11+L12+L13+L14+L15</f>
        <v>#REF!</v>
      </c>
      <c r="M16" s="84" t="e">
        <f t="shared" ref="M16" si="15">+M11+M12+M13+M14+M15</f>
        <v>#REF!</v>
      </c>
      <c r="N16" s="84" t="e">
        <f t="shared" ref="N16" si="16">+N11+N12+N13+N14+N15</f>
        <v>#REF!</v>
      </c>
      <c r="P16" s="85" t="s">
        <v>41</v>
      </c>
      <c r="Q16" s="120" t="e">
        <f>+D4</f>
        <v>#REF!</v>
      </c>
      <c r="R16" s="120" t="e">
        <f>+Q16</f>
        <v>#REF!</v>
      </c>
      <c r="S16" s="120" t="e">
        <f>+R16</f>
        <v>#REF!</v>
      </c>
      <c r="T16" s="120" t="e">
        <f>+S16</f>
        <v>#REF!</v>
      </c>
      <c r="U16" s="120" t="e">
        <f t="shared" ref="U16:AF16" si="17">+T16</f>
        <v>#REF!</v>
      </c>
      <c r="V16" s="120" t="e">
        <f t="shared" si="17"/>
        <v>#REF!</v>
      </c>
      <c r="W16" s="120" t="e">
        <f t="shared" si="17"/>
        <v>#REF!</v>
      </c>
      <c r="X16" s="120" t="e">
        <f t="shared" si="17"/>
        <v>#REF!</v>
      </c>
      <c r="Y16" s="120" t="e">
        <f t="shared" si="17"/>
        <v>#REF!</v>
      </c>
      <c r="Z16" s="120" t="e">
        <f t="shared" si="17"/>
        <v>#REF!</v>
      </c>
      <c r="AA16" s="120" t="e">
        <f t="shared" si="17"/>
        <v>#REF!</v>
      </c>
      <c r="AB16" s="120" t="e">
        <f t="shared" si="17"/>
        <v>#REF!</v>
      </c>
      <c r="AC16" s="120" t="e">
        <f t="shared" si="17"/>
        <v>#REF!</v>
      </c>
      <c r="AD16" s="120" t="e">
        <f t="shared" si="17"/>
        <v>#REF!</v>
      </c>
      <c r="AE16" s="120" t="e">
        <f t="shared" si="17"/>
        <v>#REF!</v>
      </c>
      <c r="AF16" s="120" t="e">
        <f t="shared" si="17"/>
        <v>#REF!</v>
      </c>
      <c r="AG16" s="120"/>
      <c r="AH16" s="120"/>
      <c r="AJ16" s="84"/>
      <c r="AK16" s="84"/>
    </row>
    <row r="17" spans="2:37" x14ac:dyDescent="0.35">
      <c r="P17" s="82"/>
      <c r="Q17" s="82"/>
      <c r="R17" s="82"/>
      <c r="T17" s="94"/>
      <c r="U17" s="94"/>
      <c r="V17" s="94"/>
      <c r="W17" s="94"/>
      <c r="X17" s="94"/>
      <c r="Y17" s="94"/>
      <c r="Z17" s="94"/>
      <c r="AA17" s="94"/>
      <c r="AB17" s="94"/>
      <c r="AC17" s="94"/>
      <c r="AD17" s="94"/>
      <c r="AE17" s="94"/>
      <c r="AF17" s="94"/>
      <c r="AG17" s="94"/>
      <c r="AH17" s="94"/>
      <c r="AJ17" s="82"/>
      <c r="AK17" s="82"/>
    </row>
    <row r="18" spans="2:37" x14ac:dyDescent="0.35">
      <c r="B18" s="169"/>
      <c r="C18" s="84"/>
      <c r="D18" s="84"/>
      <c r="E18" s="84"/>
      <c r="F18" s="84"/>
      <c r="G18" s="84"/>
      <c r="H18" s="84"/>
      <c r="I18" s="84"/>
      <c r="J18" s="94"/>
      <c r="L18" s="84"/>
      <c r="M18" s="84"/>
      <c r="N18" s="84"/>
      <c r="AJ18" s="82"/>
      <c r="AK18" s="82"/>
    </row>
    <row r="19" spans="2:37" x14ac:dyDescent="0.35">
      <c r="C19" s="132"/>
      <c r="J19" s="94"/>
      <c r="AJ19" s="82"/>
      <c r="AK19" s="82"/>
    </row>
    <row r="21" spans="2:37" x14ac:dyDescent="0.35">
      <c r="L21" s="86"/>
    </row>
    <row r="24" spans="2:37" x14ac:dyDescent="0.35">
      <c r="AG24" s="164"/>
    </row>
    <row r="26" spans="2:37" x14ac:dyDescent="0.35">
      <c r="M26" s="123"/>
    </row>
    <row r="33" spans="2:2" x14ac:dyDescent="0.35">
      <c r="B33" s="173" t="s">
        <v>51</v>
      </c>
    </row>
  </sheetData>
  <mergeCells count="6">
    <mergeCell ref="P1:AK1"/>
    <mergeCell ref="B2:D2"/>
    <mergeCell ref="P2:Q2"/>
    <mergeCell ref="AI2:AJ2"/>
    <mergeCell ref="B3:D3"/>
    <mergeCell ref="AI3:AJ3"/>
  </mergeCells>
  <pageMargins left="0.7" right="0.7" top="0.75" bottom="0.75" header="0.3" footer="0.3"/>
  <pageSetup orientation="portrait" r:id="rId1"/>
  <customProperties>
    <customPr name="EpmWorksheetKeyString_GUID" r:id="rId2"/>
  </customProperties>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21"/>
  <dimension ref="A1:AM33"/>
  <sheetViews>
    <sheetView zoomScale="85" zoomScaleNormal="85" workbookViewId="0">
      <selection activeCell="AP5" sqref="AP5"/>
    </sheetView>
  </sheetViews>
  <sheetFormatPr defaultColWidth="11.453125" defaultRowHeight="14.5" x14ac:dyDescent="0.35"/>
  <cols>
    <col min="1" max="1" width="3.453125" style="81" customWidth="1"/>
    <col min="2" max="2" width="14" style="173" customWidth="1"/>
    <col min="3" max="3" width="10.81640625" style="82" customWidth="1"/>
    <col min="4" max="4" width="10.54296875" style="82" hidden="1" customWidth="1"/>
    <col min="5" max="5" width="10.54296875" style="82" customWidth="1"/>
    <col min="6" max="6" width="11" style="82" customWidth="1"/>
    <col min="7" max="7" width="11.1796875" style="82" hidden="1" customWidth="1"/>
    <col min="8" max="8" width="11" style="82" hidden="1" customWidth="1"/>
    <col min="9" max="9" width="11.54296875" style="82" customWidth="1"/>
    <col min="10" max="10" width="8.54296875" style="81" hidden="1" customWidth="1"/>
    <col min="11" max="11" width="2.81640625" style="81" customWidth="1"/>
    <col min="12" max="12" width="13.81640625" style="173" customWidth="1"/>
    <col min="13" max="15" width="10.81640625" style="82" customWidth="1"/>
    <col min="16" max="16" width="2.81640625" style="81" customWidth="1"/>
    <col min="17" max="17" width="28.81640625" style="81" customWidth="1"/>
    <col min="18" max="18" width="16.1796875" style="81" hidden="1" customWidth="1"/>
    <col min="19" max="19" width="17.54296875" style="81" hidden="1" customWidth="1"/>
    <col min="20" max="20" width="14.54296875" style="81" hidden="1" customWidth="1"/>
    <col min="21" max="21" width="16" style="81" hidden="1" customWidth="1"/>
    <col min="22" max="22" width="17.81640625" style="81" hidden="1" customWidth="1"/>
    <col min="23" max="23" width="17.1796875" style="81" hidden="1" customWidth="1"/>
    <col min="24" max="29" width="14.453125" style="81" hidden="1" customWidth="1"/>
    <col min="30" max="30" width="16.453125" style="81" hidden="1" customWidth="1"/>
    <col min="31" max="33" width="14.81640625" style="81" hidden="1" customWidth="1"/>
    <col min="34" max="34" width="16.54296875" style="81" hidden="1" customWidth="1"/>
    <col min="35" max="35" width="17.54296875" style="81" hidden="1" customWidth="1"/>
    <col min="36" max="36" width="17.54296875" style="81" customWidth="1"/>
    <col min="37" max="39" width="11.453125" style="81" customWidth="1"/>
    <col min="40" max="16384" width="11.453125" style="81"/>
  </cols>
  <sheetData>
    <row r="1" spans="1:39" x14ac:dyDescent="0.35">
      <c r="B1" s="122"/>
      <c r="C1" s="86"/>
      <c r="D1" s="86"/>
      <c r="E1" s="86"/>
      <c r="F1" s="87"/>
      <c r="G1" s="87"/>
      <c r="H1" s="87"/>
      <c r="I1" s="87"/>
      <c r="J1" s="87"/>
      <c r="K1" s="87"/>
      <c r="L1" s="122"/>
      <c r="M1" s="87"/>
      <c r="N1" s="87"/>
      <c r="O1" s="87"/>
      <c r="Q1" s="574"/>
      <c r="R1" s="574"/>
      <c r="S1" s="574"/>
      <c r="T1" s="574"/>
      <c r="U1" s="574"/>
      <c r="V1" s="574"/>
      <c r="W1" s="574"/>
      <c r="X1" s="574"/>
      <c r="Y1" s="574"/>
      <c r="Z1" s="574"/>
      <c r="AA1" s="574"/>
      <c r="AB1" s="574"/>
      <c r="AC1" s="574"/>
      <c r="AD1" s="574"/>
      <c r="AE1" s="574"/>
      <c r="AF1" s="574"/>
      <c r="AG1" s="574"/>
      <c r="AH1" s="574"/>
      <c r="AI1" s="574"/>
      <c r="AJ1" s="574"/>
      <c r="AK1" s="574"/>
      <c r="AL1" s="574"/>
      <c r="AM1" s="574"/>
    </row>
    <row r="2" spans="1:39" s="142" customFormat="1" ht="15" customHeight="1" x14ac:dyDescent="0.35">
      <c r="B2" s="576" t="s">
        <v>66</v>
      </c>
      <c r="C2" s="576"/>
      <c r="D2" s="576"/>
      <c r="E2" s="141" t="e">
        <f>+AJ11</f>
        <v>#REF!</v>
      </c>
      <c r="H2" s="141"/>
      <c r="I2" s="141"/>
      <c r="J2" s="143">
        <v>0.05</v>
      </c>
      <c r="K2" s="144"/>
      <c r="L2" s="171"/>
      <c r="M2" s="141"/>
      <c r="N2" s="141"/>
      <c r="O2" s="141"/>
      <c r="Q2" s="576"/>
      <c r="R2" s="576"/>
      <c r="S2" s="141"/>
      <c r="T2" s="143"/>
      <c r="U2" s="144"/>
      <c r="V2" s="144"/>
      <c r="W2" s="144"/>
      <c r="X2" s="144"/>
      <c r="Y2" s="144"/>
      <c r="Z2" s="144"/>
      <c r="AA2" s="144"/>
      <c r="AB2" s="144"/>
      <c r="AC2" s="144"/>
      <c r="AD2" s="144"/>
      <c r="AE2" s="144"/>
      <c r="AF2" s="144"/>
      <c r="AG2" s="144"/>
      <c r="AH2" s="144"/>
      <c r="AI2" s="144"/>
      <c r="AJ2" s="144"/>
      <c r="AK2" s="576"/>
      <c r="AL2" s="576"/>
      <c r="AM2" s="141"/>
    </row>
    <row r="3" spans="1:39" s="133" customFormat="1" ht="15" customHeight="1" x14ac:dyDescent="0.35">
      <c r="B3" s="576" t="s">
        <v>67</v>
      </c>
      <c r="C3" s="576"/>
      <c r="D3" s="576"/>
      <c r="E3" s="134" t="e">
        <f>+AJ12</f>
        <v>#REF!</v>
      </c>
      <c r="G3" s="135"/>
      <c r="H3" s="134"/>
      <c r="I3" s="134"/>
      <c r="J3" s="137" t="e">
        <f>+E2*J2</f>
        <v>#REF!</v>
      </c>
      <c r="K3" s="136"/>
      <c r="L3" s="174"/>
      <c r="M3" s="134"/>
      <c r="N3" s="134"/>
      <c r="O3" s="134"/>
      <c r="Q3" s="138"/>
      <c r="R3" s="139"/>
      <c r="S3" s="140"/>
      <c r="U3" s="136"/>
      <c r="V3" s="136"/>
      <c r="W3" s="136"/>
      <c r="X3" s="136"/>
      <c r="Y3" s="136"/>
      <c r="Z3" s="136"/>
      <c r="AA3" s="136"/>
      <c r="AB3" s="136"/>
      <c r="AC3" s="136"/>
      <c r="AD3" s="136"/>
      <c r="AE3" s="136"/>
      <c r="AF3" s="136"/>
      <c r="AG3" s="136"/>
      <c r="AH3" s="136"/>
      <c r="AI3" s="136"/>
      <c r="AJ3" s="136"/>
      <c r="AK3" s="577"/>
      <c r="AL3" s="577"/>
      <c r="AM3" s="134"/>
    </row>
    <row r="4" spans="1:39" ht="23.5" x14ac:dyDescent="0.55000000000000004">
      <c r="B4" s="169"/>
      <c r="C4" s="92" t="e">
        <f>+(C9+C10)/C6*1000</f>
        <v>#REF!</v>
      </c>
      <c r="D4" s="92" t="e">
        <f>+(G9+G10)/G6*1000</f>
        <v>#REF!</v>
      </c>
      <c r="E4" s="92" t="e">
        <f>+(E9+E10)/E6*1000</f>
        <v>#REF!</v>
      </c>
      <c r="F4" s="92" t="e">
        <f>+(F9+F10)/F6*1000</f>
        <v>#REF!</v>
      </c>
      <c r="I4" s="92" t="e">
        <f>+(I9+I10)/I6*1000</f>
        <v>#REF!</v>
      </c>
      <c r="K4" s="88"/>
      <c r="L4" s="169"/>
      <c r="M4" s="92"/>
      <c r="N4" s="92"/>
      <c r="O4" s="92"/>
      <c r="Q4" s="93"/>
      <c r="R4" s="82"/>
      <c r="S4" s="90"/>
      <c r="T4" s="94"/>
      <c r="U4" s="88"/>
      <c r="V4" s="88"/>
      <c r="W4" s="88"/>
      <c r="X4" s="88"/>
      <c r="Y4" s="88"/>
      <c r="Z4" s="88"/>
      <c r="AA4" s="88"/>
      <c r="AB4" s="88"/>
      <c r="AC4" s="88"/>
      <c r="AD4" s="88"/>
      <c r="AE4" s="88"/>
      <c r="AF4" s="88"/>
      <c r="AG4" s="88"/>
      <c r="AH4" s="88"/>
      <c r="AI4" s="88"/>
      <c r="AJ4" s="88"/>
      <c r="AK4" s="91"/>
      <c r="AL4" s="91"/>
      <c r="AM4" s="78"/>
    </row>
    <row r="5" spans="1:39" s="95" customFormat="1" ht="33.75" customHeight="1" x14ac:dyDescent="0.35">
      <c r="B5" s="169" t="s">
        <v>5</v>
      </c>
      <c r="C5" s="85" t="s">
        <v>68</v>
      </c>
      <c r="D5" s="85" t="s">
        <v>69</v>
      </c>
      <c r="E5" s="85" t="s">
        <v>69</v>
      </c>
      <c r="F5" s="85" t="s">
        <v>69</v>
      </c>
      <c r="G5" s="85" t="s">
        <v>70</v>
      </c>
      <c r="H5" s="85" t="s">
        <v>70</v>
      </c>
      <c r="I5" s="85" t="s">
        <v>70</v>
      </c>
      <c r="J5" s="85"/>
      <c r="K5" s="88"/>
      <c r="L5" s="169" t="s">
        <v>71</v>
      </c>
      <c r="M5" s="96" t="s">
        <v>7</v>
      </c>
      <c r="N5" s="96" t="s">
        <v>8</v>
      </c>
      <c r="O5" s="96" t="s">
        <v>8</v>
      </c>
      <c r="Q5" s="147" t="s">
        <v>72</v>
      </c>
      <c r="R5" s="99" t="s">
        <v>54</v>
      </c>
      <c r="S5" s="99" t="s">
        <v>55</v>
      </c>
      <c r="T5" s="99" t="s">
        <v>56</v>
      </c>
      <c r="U5" s="99" t="s">
        <v>12</v>
      </c>
      <c r="V5" s="99" t="s">
        <v>57</v>
      </c>
      <c r="W5" s="99" t="s">
        <v>58</v>
      </c>
      <c r="X5" s="99" t="s">
        <v>59</v>
      </c>
      <c r="Y5" s="99" t="s">
        <v>60</v>
      </c>
      <c r="Z5" s="99" t="s">
        <v>62</v>
      </c>
      <c r="AA5" s="99" t="s">
        <v>64</v>
      </c>
      <c r="AB5" s="99" t="s">
        <v>65</v>
      </c>
      <c r="AC5" s="99" t="s">
        <v>73</v>
      </c>
      <c r="AD5" s="99" t="s">
        <v>53</v>
      </c>
      <c r="AE5" s="99" t="s">
        <v>77</v>
      </c>
      <c r="AF5" s="99" t="s">
        <v>78</v>
      </c>
      <c r="AG5" s="99" t="s">
        <v>79</v>
      </c>
      <c r="AH5" s="99" t="s">
        <v>90</v>
      </c>
      <c r="AI5" s="99" t="s">
        <v>91</v>
      </c>
      <c r="AJ5" s="99" t="s">
        <v>97</v>
      </c>
      <c r="AK5" s="100"/>
      <c r="AL5" s="97"/>
      <c r="AM5" s="97"/>
    </row>
    <row r="6" spans="1:39" x14ac:dyDescent="0.35">
      <c r="B6" s="169" t="s">
        <v>13</v>
      </c>
      <c r="C6" s="101">
        <v>16.7</v>
      </c>
      <c r="D6" s="101">
        <v>16.7</v>
      </c>
      <c r="E6" s="101">
        <v>20.6</v>
      </c>
      <c r="F6" s="101">
        <v>20.6</v>
      </c>
      <c r="G6" s="101">
        <v>30.6</v>
      </c>
      <c r="H6" s="101">
        <v>30.6</v>
      </c>
      <c r="I6" s="101">
        <v>38.6</v>
      </c>
      <c r="J6" s="101"/>
      <c r="L6" s="169" t="s">
        <v>13</v>
      </c>
      <c r="M6" s="101">
        <v>15</v>
      </c>
      <c r="N6" s="101">
        <v>20.5</v>
      </c>
      <c r="O6" s="101">
        <v>20.5</v>
      </c>
      <c r="Q6" s="102" t="s">
        <v>14</v>
      </c>
      <c r="R6" s="104">
        <v>938.13</v>
      </c>
      <c r="S6" s="105">
        <v>959</v>
      </c>
      <c r="T6" s="104">
        <v>1006.25</v>
      </c>
      <c r="U6" s="130">
        <v>993.75</v>
      </c>
      <c r="V6" s="131">
        <v>1015.5</v>
      </c>
      <c r="W6" s="131">
        <v>1045.5999999999999</v>
      </c>
      <c r="X6" s="43">
        <v>1103.75</v>
      </c>
      <c r="Y6" s="43">
        <v>1148.75</v>
      </c>
      <c r="Z6" s="43">
        <v>1167</v>
      </c>
      <c r="AA6" s="43">
        <v>1221.25</v>
      </c>
      <c r="AB6" s="43">
        <v>1330</v>
      </c>
      <c r="AC6" s="43">
        <f>+'IHS (Mod)'!I5</f>
        <v>1280</v>
      </c>
      <c r="AD6" s="43">
        <f>+'IHS (Mod)'!J5</f>
        <v>1279.380005</v>
      </c>
      <c r="AE6" s="43">
        <v>1275.5</v>
      </c>
      <c r="AF6" s="43" t="e">
        <f>+#REF!</f>
        <v>#REF!</v>
      </c>
      <c r="AG6" s="43" t="e">
        <f>+#REF!</f>
        <v>#REF!</v>
      </c>
      <c r="AH6" s="43" t="e">
        <f>+#REF!</f>
        <v>#REF!</v>
      </c>
      <c r="AI6" s="43" t="e">
        <f>+#REF!</f>
        <v>#REF!</v>
      </c>
      <c r="AJ6" s="43" t="e">
        <f>+#REF!</f>
        <v>#REF!</v>
      </c>
      <c r="AK6" s="85"/>
      <c r="AL6" s="101"/>
      <c r="AM6" s="101"/>
    </row>
    <row r="7" spans="1:39" x14ac:dyDescent="0.35">
      <c r="B7" s="170" t="s">
        <v>16</v>
      </c>
      <c r="C7" s="91" t="s">
        <v>17</v>
      </c>
      <c r="D7" s="91" t="s">
        <v>17</v>
      </c>
      <c r="E7" s="91" t="s">
        <v>17</v>
      </c>
      <c r="F7" s="91" t="s">
        <v>17</v>
      </c>
      <c r="G7" s="91" t="s">
        <v>17</v>
      </c>
      <c r="H7" s="91" t="s">
        <v>17</v>
      </c>
      <c r="I7" s="91" t="s">
        <v>17</v>
      </c>
      <c r="J7" s="91"/>
      <c r="L7" s="170" t="s">
        <v>16</v>
      </c>
      <c r="M7" s="91" t="s">
        <v>17</v>
      </c>
      <c r="N7" s="91" t="s">
        <v>17</v>
      </c>
      <c r="O7" s="91" t="s">
        <v>17</v>
      </c>
      <c r="Q7" s="128" t="s">
        <v>18</v>
      </c>
      <c r="R7" s="129">
        <v>25.09</v>
      </c>
      <c r="S7" s="129">
        <v>25.09</v>
      </c>
      <c r="T7" s="129">
        <v>25.09</v>
      </c>
      <c r="U7" s="129">
        <v>25</v>
      </c>
      <c r="V7" s="129">
        <v>25</v>
      </c>
      <c r="W7" s="129">
        <v>25</v>
      </c>
      <c r="X7" s="129">
        <v>25</v>
      </c>
      <c r="Y7" s="129">
        <v>25</v>
      </c>
      <c r="Z7" s="129">
        <v>25</v>
      </c>
      <c r="AA7" s="129">
        <v>25</v>
      </c>
      <c r="AB7" s="129">
        <v>25</v>
      </c>
      <c r="AC7" s="129">
        <v>33.139726027397259</v>
      </c>
      <c r="AD7" s="129">
        <f>+Septiembre18!AD8</f>
        <v>33.1236741020548</v>
      </c>
      <c r="AE7" s="129">
        <v>33.023219178082194</v>
      </c>
      <c r="AF7" s="129">
        <v>33.023219178082194</v>
      </c>
      <c r="AG7" s="129">
        <v>32.783732876712328</v>
      </c>
      <c r="AH7" s="129">
        <v>29.126712328767123</v>
      </c>
      <c r="AI7" s="129">
        <v>27.395420677397254</v>
      </c>
      <c r="AJ7" s="129" t="e">
        <f>+AM7</f>
        <v>#REF!</v>
      </c>
      <c r="AK7" s="85" t="e">
        <f>+AJ6*4.5%</f>
        <v>#REF!</v>
      </c>
      <c r="AL7" s="91" t="e">
        <f>+AK7/365</f>
        <v>#REF!</v>
      </c>
      <c r="AM7" s="91" t="e">
        <f>+AL7*210</f>
        <v>#REF!</v>
      </c>
    </row>
    <row r="8" spans="1:39" s="95" customFormat="1" ht="29" x14ac:dyDescent="0.35">
      <c r="B8" s="175" t="s">
        <v>92</v>
      </c>
      <c r="C8" s="177" t="s">
        <v>93</v>
      </c>
      <c r="D8" s="177" t="s">
        <v>94</v>
      </c>
      <c r="E8" s="176">
        <v>1</v>
      </c>
      <c r="F8" s="177" t="s">
        <v>93</v>
      </c>
      <c r="G8" s="176">
        <v>1</v>
      </c>
      <c r="H8" s="177" t="s">
        <v>94</v>
      </c>
      <c r="I8" s="177" t="s">
        <v>93</v>
      </c>
      <c r="J8" s="162"/>
      <c r="L8" s="175" t="str">
        <f>+B8</f>
        <v>% Resina (Virgen/PCR)</v>
      </c>
      <c r="M8" s="177" t="s">
        <v>94</v>
      </c>
      <c r="N8" s="176">
        <v>1</v>
      </c>
      <c r="O8" s="177" t="s">
        <v>94</v>
      </c>
      <c r="Q8" s="166" t="s">
        <v>20</v>
      </c>
      <c r="R8" s="129">
        <v>65</v>
      </c>
      <c r="S8" s="167">
        <v>65</v>
      </c>
      <c r="T8" s="129">
        <v>65</v>
      </c>
      <c r="U8" s="129">
        <v>65</v>
      </c>
      <c r="V8" s="129">
        <v>65</v>
      </c>
      <c r="W8" s="129">
        <v>65</v>
      </c>
      <c r="X8" s="129">
        <v>65</v>
      </c>
      <c r="Y8" s="129">
        <v>65</v>
      </c>
      <c r="Z8" s="129">
        <v>65</v>
      </c>
      <c r="AA8" s="129">
        <v>65</v>
      </c>
      <c r="AB8" s="129">
        <v>65</v>
      </c>
      <c r="AC8" s="129">
        <v>70</v>
      </c>
      <c r="AD8" s="129">
        <v>70</v>
      </c>
      <c r="AE8" s="129">
        <v>70</v>
      </c>
      <c r="AF8" s="129">
        <v>70</v>
      </c>
      <c r="AG8" s="129">
        <v>70</v>
      </c>
      <c r="AH8" s="129">
        <v>70</v>
      </c>
      <c r="AI8" s="129">
        <v>70</v>
      </c>
      <c r="AJ8" s="129">
        <v>70</v>
      </c>
      <c r="AK8" s="168"/>
      <c r="AL8" s="165"/>
      <c r="AM8" s="165"/>
    </row>
    <row r="9" spans="1:39" x14ac:dyDescent="0.35">
      <c r="B9" s="170" t="s">
        <v>19</v>
      </c>
      <c r="C9" s="80" t="e">
        <f>+(C6*E2/1000)*1.01*50%</f>
        <v>#REF!</v>
      </c>
      <c r="D9" s="80" t="e">
        <f>+(D6*$E$2/1000)*1.01*75%</f>
        <v>#REF!</v>
      </c>
      <c r="E9" s="80" t="e">
        <f>+(E6*$E$2/1000)*1.01</f>
        <v>#REF!</v>
      </c>
      <c r="F9" s="80" t="e">
        <f>+(F6*$E$2/1000)*1.01*50%</f>
        <v>#REF!</v>
      </c>
      <c r="G9" s="80" t="e">
        <f>+(G6*E2/1000)*1.01</f>
        <v>#REF!</v>
      </c>
      <c r="H9" s="80" t="e">
        <f>+(H6*$E$2/1000)*1.01*75%</f>
        <v>#REF!</v>
      </c>
      <c r="I9" s="80" t="e">
        <f>+(I6*$E$2/1000)*1.01*50%</f>
        <v>#REF!</v>
      </c>
      <c r="J9" s="80"/>
      <c r="L9" s="170" t="s">
        <v>19</v>
      </c>
      <c r="M9" s="80" t="e">
        <f>+(M6*E2/1000)*1.005*75%</f>
        <v>#REF!</v>
      </c>
      <c r="N9" s="80" t="e">
        <f>+(N6*E2/1000)*1.005</f>
        <v>#REF!</v>
      </c>
      <c r="O9" s="80" t="e">
        <f>+(O6*E2/1000)*1.005*75%</f>
        <v>#REF!</v>
      </c>
      <c r="Q9" s="102"/>
      <c r="R9" s="104">
        <f>SUM(R6:R8)</f>
        <v>1028.22</v>
      </c>
      <c r="S9" s="104">
        <f>SUM(S6:S8)</f>
        <v>1049.0900000000001</v>
      </c>
      <c r="T9" s="104">
        <f>SUM(T6:T8)</f>
        <v>1096.3399999999999</v>
      </c>
      <c r="U9" s="104">
        <f>SUM(U6:U8)</f>
        <v>1083.75</v>
      </c>
      <c r="V9" s="104">
        <f t="shared" ref="V9:AG9" si="0">SUM(V6:V8)</f>
        <v>1105.5</v>
      </c>
      <c r="W9" s="104">
        <f t="shared" si="0"/>
        <v>1135.5999999999999</v>
      </c>
      <c r="X9" s="104">
        <f t="shared" si="0"/>
        <v>1193.75</v>
      </c>
      <c r="Y9" s="104">
        <f t="shared" si="0"/>
        <v>1238.75</v>
      </c>
      <c r="Z9" s="104">
        <f t="shared" si="0"/>
        <v>1257</v>
      </c>
      <c r="AA9" s="104">
        <f t="shared" si="0"/>
        <v>1311.25</v>
      </c>
      <c r="AB9" s="104">
        <f t="shared" si="0"/>
        <v>1420</v>
      </c>
      <c r="AC9" s="104">
        <f t="shared" si="0"/>
        <v>1383.1397260273973</v>
      </c>
      <c r="AD9" s="104">
        <f t="shared" si="0"/>
        <v>1382.5036791020548</v>
      </c>
      <c r="AE9" s="104">
        <f t="shared" si="0"/>
        <v>1378.5232191780822</v>
      </c>
      <c r="AF9" s="104" t="e">
        <f t="shared" si="0"/>
        <v>#REF!</v>
      </c>
      <c r="AG9" s="104" t="e">
        <f t="shared" si="0"/>
        <v>#REF!</v>
      </c>
      <c r="AH9" s="104" t="e">
        <f>SUM(AH6:AH8)</f>
        <v>#REF!</v>
      </c>
      <c r="AI9" s="104" t="e">
        <f>SUM(AI6:AI8)</f>
        <v>#REF!</v>
      </c>
      <c r="AJ9" s="104" t="e">
        <f>SUM(AJ6:AJ8)</f>
        <v>#REF!</v>
      </c>
      <c r="AK9" s="79"/>
      <c r="AL9" s="80"/>
      <c r="AM9" s="80"/>
    </row>
    <row r="10" spans="1:39" x14ac:dyDescent="0.35">
      <c r="B10" s="172" t="s">
        <v>23</v>
      </c>
      <c r="C10" s="76" t="e">
        <f>+(C6*$E$3/1000)*1.01*50%</f>
        <v>#REF!</v>
      </c>
      <c r="D10" s="76" t="e">
        <f>+(D6*$E$3/1000)*1.01*25%</f>
        <v>#REF!</v>
      </c>
      <c r="E10" s="76">
        <v>0</v>
      </c>
      <c r="F10" s="76" t="e">
        <f>+(F6*$E$3/1000)*1.01*50%</f>
        <v>#REF!</v>
      </c>
      <c r="G10" s="76">
        <v>0</v>
      </c>
      <c r="H10" s="76" t="e">
        <f>+(H6*$E$3/1000)*1.01*25%</f>
        <v>#REF!</v>
      </c>
      <c r="I10" s="76" t="e">
        <f>+(I6*$E$3/1000)*1.01*50%</f>
        <v>#REF!</v>
      </c>
      <c r="J10" s="76"/>
      <c r="K10" s="121"/>
      <c r="L10" s="172" t="s">
        <v>23</v>
      </c>
      <c r="M10" s="76" t="e">
        <f>+(M6*E3/1000)*1.005*25%</f>
        <v>#REF!</v>
      </c>
      <c r="N10" s="76">
        <v>0</v>
      </c>
      <c r="O10" s="76" t="e">
        <f>+(O6*E3/1000)*1.005*25%</f>
        <v>#REF!</v>
      </c>
      <c r="Q10" s="106" t="s">
        <v>27</v>
      </c>
      <c r="R10" s="108">
        <f>+R9*4%</f>
        <v>41.128800000000005</v>
      </c>
      <c r="S10" s="104">
        <f>+S9*4%</f>
        <v>41.963600000000007</v>
      </c>
      <c r="T10" s="108">
        <f>+T9*4%</f>
        <v>43.8536</v>
      </c>
      <c r="U10" s="108">
        <f>+U9*4%</f>
        <v>43.35</v>
      </c>
      <c r="V10" s="108">
        <f t="shared" ref="V10:AG10" si="1">+V9*4%</f>
        <v>44.22</v>
      </c>
      <c r="W10" s="108">
        <f t="shared" si="1"/>
        <v>45.423999999999999</v>
      </c>
      <c r="X10" s="108">
        <f t="shared" si="1"/>
        <v>47.75</v>
      </c>
      <c r="Y10" s="108">
        <f t="shared" si="1"/>
        <v>49.550000000000004</v>
      </c>
      <c r="Z10" s="108">
        <f t="shared" si="1"/>
        <v>50.28</v>
      </c>
      <c r="AA10" s="108">
        <f t="shared" si="1"/>
        <v>52.45</v>
      </c>
      <c r="AB10" s="108">
        <f t="shared" si="1"/>
        <v>56.800000000000004</v>
      </c>
      <c r="AC10" s="108">
        <f t="shared" si="1"/>
        <v>55.325589041095895</v>
      </c>
      <c r="AD10" s="108">
        <f t="shared" si="1"/>
        <v>55.30014716408219</v>
      </c>
      <c r="AE10" s="108">
        <f t="shared" si="1"/>
        <v>55.140928767123285</v>
      </c>
      <c r="AF10" s="108" t="e">
        <f t="shared" si="1"/>
        <v>#REF!</v>
      </c>
      <c r="AG10" s="108" t="e">
        <f t="shared" si="1"/>
        <v>#REF!</v>
      </c>
      <c r="AH10" s="108" t="e">
        <f>+AH9*4%</f>
        <v>#REF!</v>
      </c>
      <c r="AI10" s="108" t="e">
        <f>+AI9*4%</f>
        <v>#REF!</v>
      </c>
      <c r="AJ10" s="108" t="e">
        <f>+AJ9*4%</f>
        <v>#REF!</v>
      </c>
      <c r="AK10" s="79"/>
      <c r="AL10" s="80"/>
      <c r="AM10" s="80"/>
    </row>
    <row r="11" spans="1:39" x14ac:dyDescent="0.35">
      <c r="B11" s="169" t="s">
        <v>95</v>
      </c>
      <c r="C11" s="84" t="e">
        <f>SUM(C9:C10)</f>
        <v>#REF!</v>
      </c>
      <c r="D11" s="84" t="e">
        <f t="shared" ref="D11:J11" si="2">SUM(D9:D10)</f>
        <v>#REF!</v>
      </c>
      <c r="E11" s="84" t="e">
        <f t="shared" ref="E11" si="3">SUM(E9:E10)</f>
        <v>#REF!</v>
      </c>
      <c r="F11" s="84" t="e">
        <f t="shared" si="2"/>
        <v>#REF!</v>
      </c>
      <c r="G11" s="84" t="e">
        <f t="shared" si="2"/>
        <v>#REF!</v>
      </c>
      <c r="H11" s="84" t="e">
        <f t="shared" si="2"/>
        <v>#REF!</v>
      </c>
      <c r="I11" s="84" t="e">
        <f t="shared" si="2"/>
        <v>#REF!</v>
      </c>
      <c r="J11" s="80">
        <f t="shared" si="2"/>
        <v>0</v>
      </c>
      <c r="K11" s="80"/>
      <c r="L11" s="169" t="s">
        <v>95</v>
      </c>
      <c r="M11" s="84" t="e">
        <f t="shared" ref="M11:O11" si="4">SUM(M9:M10)</f>
        <v>#REF!</v>
      </c>
      <c r="N11" s="84" t="e">
        <f t="shared" si="4"/>
        <v>#REF!</v>
      </c>
      <c r="O11" s="84" t="e">
        <f t="shared" si="4"/>
        <v>#REF!</v>
      </c>
      <c r="Q11" s="157" t="s">
        <v>30</v>
      </c>
      <c r="R11" s="158">
        <f>+R10+R9</f>
        <v>1069.3488</v>
      </c>
      <c r="S11" s="159">
        <f>+S10+S9</f>
        <v>1091.0536000000002</v>
      </c>
      <c r="T11" s="158">
        <f>+T10+T9</f>
        <v>1140.1935999999998</v>
      </c>
      <c r="U11" s="158">
        <f>+U10+U9</f>
        <v>1127.0999999999999</v>
      </c>
      <c r="V11" s="158">
        <f t="shared" ref="V11:AG11" si="5">+V10+V9</f>
        <v>1149.72</v>
      </c>
      <c r="W11" s="158">
        <f t="shared" si="5"/>
        <v>1181.0239999999999</v>
      </c>
      <c r="X11" s="158">
        <f t="shared" si="5"/>
        <v>1241.5</v>
      </c>
      <c r="Y11" s="158">
        <f t="shared" si="5"/>
        <v>1288.3</v>
      </c>
      <c r="Z11" s="158">
        <f t="shared" si="5"/>
        <v>1307.28</v>
      </c>
      <c r="AA11" s="158">
        <f t="shared" si="5"/>
        <v>1363.7</v>
      </c>
      <c r="AB11" s="158">
        <f t="shared" si="5"/>
        <v>1476.8</v>
      </c>
      <c r="AC11" s="158">
        <f t="shared" si="5"/>
        <v>1438.4653150684931</v>
      </c>
      <c r="AD11" s="158">
        <f t="shared" si="5"/>
        <v>1437.8038262661369</v>
      </c>
      <c r="AE11" s="158">
        <f t="shared" si="5"/>
        <v>1433.6641479452055</v>
      </c>
      <c r="AF11" s="158" t="e">
        <f t="shared" si="5"/>
        <v>#REF!</v>
      </c>
      <c r="AG11" s="158" t="e">
        <f t="shared" si="5"/>
        <v>#REF!</v>
      </c>
      <c r="AH11" s="158" t="e">
        <f>+AH10+AH9</f>
        <v>#REF!</v>
      </c>
      <c r="AI11" s="158" t="e">
        <f>+AI10+AI9</f>
        <v>#REF!</v>
      </c>
      <c r="AJ11" s="158" t="e">
        <f>+AJ10+AJ9</f>
        <v>#REF!</v>
      </c>
      <c r="AK11" s="79"/>
      <c r="AL11" s="80"/>
      <c r="AM11" s="80"/>
    </row>
    <row r="12" spans="1:39" x14ac:dyDescent="0.35">
      <c r="B12" s="170" t="s">
        <v>26</v>
      </c>
      <c r="C12" s="80">
        <f>8.2+0.03</f>
        <v>8.2299999999999986</v>
      </c>
      <c r="D12" s="80">
        <v>8.2299999999999986</v>
      </c>
      <c r="E12" s="80">
        <f>8.2+0.03</f>
        <v>8.2299999999999986</v>
      </c>
      <c r="F12" s="80">
        <f>8.2+0.03</f>
        <v>8.2299999999999986</v>
      </c>
      <c r="G12" s="80">
        <v>11.200000000000001</v>
      </c>
      <c r="H12" s="80">
        <v>11.200000000000001</v>
      </c>
      <c r="I12" s="80">
        <f>11.15+0.05</f>
        <v>11.200000000000001</v>
      </c>
      <c r="J12" s="80"/>
      <c r="L12" s="170" t="s">
        <v>26</v>
      </c>
      <c r="M12" s="80">
        <f>27.2+0.11</f>
        <v>27.31</v>
      </c>
      <c r="N12" s="80">
        <f>27.2+0.12</f>
        <v>27.32</v>
      </c>
      <c r="O12" s="80">
        <f>27.2+0.12</f>
        <v>27.32</v>
      </c>
      <c r="Q12" s="160" t="s">
        <v>32</v>
      </c>
      <c r="R12" s="161">
        <f>+R11*(1-5%)</f>
        <v>1015.88136</v>
      </c>
      <c r="S12" s="161">
        <f t="shared" ref="S12:AG12" si="6">+S11*(1-5%)</f>
        <v>1036.5009200000002</v>
      </c>
      <c r="T12" s="161">
        <f t="shared" si="6"/>
        <v>1083.1839199999997</v>
      </c>
      <c r="U12" s="161">
        <f t="shared" si="6"/>
        <v>1070.7449999999999</v>
      </c>
      <c r="V12" s="161">
        <f t="shared" si="6"/>
        <v>1092.2339999999999</v>
      </c>
      <c r="W12" s="161">
        <f t="shared" si="6"/>
        <v>1121.9727999999998</v>
      </c>
      <c r="X12" s="161">
        <f t="shared" si="6"/>
        <v>1179.425</v>
      </c>
      <c r="Y12" s="161">
        <f t="shared" si="6"/>
        <v>1223.885</v>
      </c>
      <c r="Z12" s="161">
        <f t="shared" si="6"/>
        <v>1241.9159999999999</v>
      </c>
      <c r="AA12" s="161">
        <f t="shared" si="6"/>
        <v>1295.5149999999999</v>
      </c>
      <c r="AB12" s="161">
        <f t="shared" si="6"/>
        <v>1402.9599999999998</v>
      </c>
      <c r="AC12" s="161">
        <f t="shared" si="6"/>
        <v>1366.5420493150684</v>
      </c>
      <c r="AD12" s="161">
        <f t="shared" si="6"/>
        <v>1365.9136349528299</v>
      </c>
      <c r="AE12" s="161">
        <f t="shared" si="6"/>
        <v>1361.9809405479452</v>
      </c>
      <c r="AF12" s="161" t="e">
        <f t="shared" si="6"/>
        <v>#REF!</v>
      </c>
      <c r="AG12" s="161" t="e">
        <f t="shared" si="6"/>
        <v>#REF!</v>
      </c>
      <c r="AH12" s="161" t="e">
        <f>+AH11*(1-5%)</f>
        <v>#REF!</v>
      </c>
      <c r="AI12" s="161" t="e">
        <f>+AI11*(1-5%)</f>
        <v>#REF!</v>
      </c>
      <c r="AJ12" s="161" t="e">
        <f>+AJ11*(1-5%)</f>
        <v>#REF!</v>
      </c>
      <c r="AK12" s="79"/>
      <c r="AL12" s="80"/>
      <c r="AM12" s="80"/>
    </row>
    <row r="13" spans="1:39" x14ac:dyDescent="0.35">
      <c r="B13" s="170" t="s">
        <v>31</v>
      </c>
      <c r="C13" s="80">
        <v>1.5</v>
      </c>
      <c r="D13" s="80">
        <v>1.5</v>
      </c>
      <c r="E13" s="80">
        <v>1.83</v>
      </c>
      <c r="F13" s="80">
        <v>1.83</v>
      </c>
      <c r="G13" s="80">
        <v>3.45</v>
      </c>
      <c r="H13" s="80">
        <v>3.45</v>
      </c>
      <c r="I13" s="80">
        <v>3.45</v>
      </c>
      <c r="J13" s="80"/>
      <c r="L13" s="170" t="s">
        <v>31</v>
      </c>
      <c r="M13" s="80">
        <v>0.9</v>
      </c>
      <c r="N13" s="80">
        <v>2.1800000000000002</v>
      </c>
      <c r="O13" s="80">
        <v>2.1800000000000002</v>
      </c>
      <c r="Q13" s="157" t="s">
        <v>96</v>
      </c>
      <c r="R13" s="158">
        <f>+R11*75%+R12*25%</f>
        <v>1055.9819400000001</v>
      </c>
      <c r="S13" s="158">
        <f t="shared" ref="S13:AG13" si="7">+S11*75%+S12*25%</f>
        <v>1077.4154300000002</v>
      </c>
      <c r="T13" s="158">
        <f t="shared" si="7"/>
        <v>1125.9411799999998</v>
      </c>
      <c r="U13" s="158">
        <f t="shared" si="7"/>
        <v>1113.01125</v>
      </c>
      <c r="V13" s="158">
        <f t="shared" si="7"/>
        <v>1135.3485000000001</v>
      </c>
      <c r="W13" s="158">
        <f t="shared" si="7"/>
        <v>1166.2611999999999</v>
      </c>
      <c r="X13" s="158">
        <f t="shared" si="7"/>
        <v>1225.98125</v>
      </c>
      <c r="Y13" s="158">
        <f t="shared" si="7"/>
        <v>1272.19625</v>
      </c>
      <c r="Z13" s="158">
        <f t="shared" si="7"/>
        <v>1290.9390000000001</v>
      </c>
      <c r="AA13" s="158">
        <f t="shared" si="7"/>
        <v>1346.6537499999999</v>
      </c>
      <c r="AB13" s="158">
        <f t="shared" si="7"/>
        <v>1458.34</v>
      </c>
      <c r="AC13" s="158">
        <f t="shared" si="7"/>
        <v>1420.4844986301368</v>
      </c>
      <c r="AD13" s="158">
        <f t="shared" si="7"/>
        <v>1419.8312784378102</v>
      </c>
      <c r="AE13" s="158">
        <f t="shared" si="7"/>
        <v>1415.7433460958905</v>
      </c>
      <c r="AF13" s="158" t="e">
        <f t="shared" si="7"/>
        <v>#REF!</v>
      </c>
      <c r="AG13" s="158" t="e">
        <f t="shared" si="7"/>
        <v>#REF!</v>
      </c>
      <c r="AH13" s="158" t="e">
        <f>+AH11*75%+AH12*25%</f>
        <v>#REF!</v>
      </c>
      <c r="AI13" s="158" t="e">
        <f>+AI11*50%+AI12*50%</f>
        <v>#REF!</v>
      </c>
      <c r="AJ13" s="158" t="e">
        <f>+AJ11*50%+AJ12*50%</f>
        <v>#REF!</v>
      </c>
      <c r="AK13" s="80">
        <v>1334</v>
      </c>
      <c r="AL13" s="80" t="e">
        <f>+AK13-AJ13</f>
        <v>#REF!</v>
      </c>
      <c r="AM13" s="80"/>
    </row>
    <row r="14" spans="1:39" x14ac:dyDescent="0.35">
      <c r="B14" s="170" t="s">
        <v>34</v>
      </c>
      <c r="C14" s="80">
        <v>0.19</v>
      </c>
      <c r="D14" s="80">
        <v>0.19</v>
      </c>
      <c r="E14" s="80">
        <v>0.19</v>
      </c>
      <c r="F14" s="80">
        <v>0.19</v>
      </c>
      <c r="G14" s="80">
        <v>0.33</v>
      </c>
      <c r="H14" s="80">
        <v>0.33</v>
      </c>
      <c r="I14" s="80">
        <v>0.33</v>
      </c>
      <c r="J14" s="80"/>
      <c r="L14" s="170" t="s">
        <v>34</v>
      </c>
      <c r="M14" s="80">
        <v>4.3</v>
      </c>
      <c r="N14" s="80">
        <v>4.3</v>
      </c>
      <c r="O14" s="80">
        <v>4.3</v>
      </c>
      <c r="Q14" s="113" t="s">
        <v>37</v>
      </c>
      <c r="R14" s="118">
        <f>+R13*1%</f>
        <v>10.559819400000002</v>
      </c>
      <c r="S14" s="118">
        <f t="shared" ref="S14:AG14" si="8">+S13*1%</f>
        <v>10.774154300000003</v>
      </c>
      <c r="T14" s="118">
        <f t="shared" si="8"/>
        <v>11.259411799999999</v>
      </c>
      <c r="U14" s="118">
        <f t="shared" si="8"/>
        <v>11.130112500000001</v>
      </c>
      <c r="V14" s="118">
        <f t="shared" si="8"/>
        <v>11.353485000000001</v>
      </c>
      <c r="W14" s="118">
        <f t="shared" si="8"/>
        <v>11.662611999999999</v>
      </c>
      <c r="X14" s="118">
        <f t="shared" si="8"/>
        <v>12.259812500000001</v>
      </c>
      <c r="Y14" s="118">
        <f t="shared" si="8"/>
        <v>12.7219625</v>
      </c>
      <c r="Z14" s="118">
        <f t="shared" si="8"/>
        <v>12.909390000000002</v>
      </c>
      <c r="AA14" s="118">
        <f t="shared" si="8"/>
        <v>13.466537499999999</v>
      </c>
      <c r="AB14" s="118">
        <f t="shared" si="8"/>
        <v>14.583399999999999</v>
      </c>
      <c r="AC14" s="118">
        <f t="shared" si="8"/>
        <v>14.204844986301369</v>
      </c>
      <c r="AD14" s="118">
        <f t="shared" si="8"/>
        <v>14.198312784378102</v>
      </c>
      <c r="AE14" s="118">
        <f t="shared" si="8"/>
        <v>14.157433460958906</v>
      </c>
      <c r="AF14" s="118" t="e">
        <f t="shared" si="8"/>
        <v>#REF!</v>
      </c>
      <c r="AG14" s="118" t="e">
        <f t="shared" si="8"/>
        <v>#REF!</v>
      </c>
      <c r="AH14" s="118" t="e">
        <f>+AH13*1%</f>
        <v>#REF!</v>
      </c>
      <c r="AI14" s="118" t="e">
        <f>+AI13*1%</f>
        <v>#REF!</v>
      </c>
      <c r="AJ14" s="118" t="e">
        <f>+AJ13*1%</f>
        <v>#REF!</v>
      </c>
      <c r="AK14" s="79"/>
      <c r="AL14" s="80"/>
      <c r="AM14" s="80"/>
    </row>
    <row r="15" spans="1:39" x14ac:dyDescent="0.35">
      <c r="A15" s="81" t="s">
        <v>38</v>
      </c>
      <c r="B15" s="170" t="s">
        <v>36</v>
      </c>
      <c r="C15" s="80">
        <v>0.16</v>
      </c>
      <c r="D15" s="80">
        <v>0.16</v>
      </c>
      <c r="E15" s="80">
        <v>0.16</v>
      </c>
      <c r="F15" s="80">
        <v>0.16</v>
      </c>
      <c r="G15" s="80">
        <v>0.28000000000000003</v>
      </c>
      <c r="H15" s="80">
        <v>0.28000000000000003</v>
      </c>
      <c r="I15" s="80">
        <v>0.28000000000000003</v>
      </c>
      <c r="J15" s="80"/>
      <c r="L15" s="170" t="s">
        <v>36</v>
      </c>
      <c r="M15" s="80">
        <v>7.85</v>
      </c>
      <c r="N15" s="80">
        <v>7.85</v>
      </c>
      <c r="O15" s="80">
        <v>7.85</v>
      </c>
      <c r="Q15" s="113" t="s">
        <v>74</v>
      </c>
      <c r="R15" s="115">
        <f>+R14+R13</f>
        <v>1066.5417594</v>
      </c>
      <c r="S15" s="115">
        <f t="shared" ref="S15:AI15" si="9">+S14+S13</f>
        <v>1088.1895843000002</v>
      </c>
      <c r="T15" s="115">
        <f t="shared" si="9"/>
        <v>1137.2005917999998</v>
      </c>
      <c r="U15" s="115">
        <f t="shared" si="9"/>
        <v>1124.1413625</v>
      </c>
      <c r="V15" s="115">
        <f t="shared" si="9"/>
        <v>1146.7019850000001</v>
      </c>
      <c r="W15" s="115">
        <f t="shared" si="9"/>
        <v>1177.923812</v>
      </c>
      <c r="X15" s="115">
        <f t="shared" si="9"/>
        <v>1238.2410625</v>
      </c>
      <c r="Y15" s="115">
        <f t="shared" si="9"/>
        <v>1284.9182125</v>
      </c>
      <c r="Z15" s="115">
        <f t="shared" si="9"/>
        <v>1303.8483900000001</v>
      </c>
      <c r="AA15" s="115">
        <f t="shared" si="9"/>
        <v>1360.1202874999999</v>
      </c>
      <c r="AB15" s="115">
        <f t="shared" si="9"/>
        <v>1472.9233999999999</v>
      </c>
      <c r="AC15" s="115">
        <f t="shared" si="9"/>
        <v>1434.6893436164382</v>
      </c>
      <c r="AD15" s="115">
        <f t="shared" si="9"/>
        <v>1434.0295912221882</v>
      </c>
      <c r="AE15" s="115">
        <f t="shared" si="9"/>
        <v>1429.9007795568493</v>
      </c>
      <c r="AF15" s="115" t="e">
        <f t="shared" si="9"/>
        <v>#REF!</v>
      </c>
      <c r="AG15" s="115" t="e">
        <f t="shared" si="9"/>
        <v>#REF!</v>
      </c>
      <c r="AH15" s="115" t="e">
        <f t="shared" si="9"/>
        <v>#REF!</v>
      </c>
      <c r="AI15" s="115" t="e">
        <f t="shared" si="9"/>
        <v>#REF!</v>
      </c>
      <c r="AJ15" s="115" t="e">
        <f t="shared" ref="AJ15" si="10">+AJ14+AJ13</f>
        <v>#REF!</v>
      </c>
      <c r="AK15" s="85"/>
      <c r="AL15" s="84"/>
      <c r="AM15" s="84"/>
    </row>
    <row r="16" spans="1:39" x14ac:dyDescent="0.35">
      <c r="B16" s="169" t="s">
        <v>39</v>
      </c>
      <c r="C16" s="84" t="e">
        <f>+C11+C12+C13+C14+C15</f>
        <v>#REF!</v>
      </c>
      <c r="D16" s="84" t="e">
        <f t="shared" ref="D16:I16" si="11">+D11+D12+D13+D14+D15</f>
        <v>#REF!</v>
      </c>
      <c r="E16" s="84" t="e">
        <f t="shared" ref="E16" si="12">+E11+E12+E13+E14+E15</f>
        <v>#REF!</v>
      </c>
      <c r="F16" s="84" t="e">
        <f t="shared" si="11"/>
        <v>#REF!</v>
      </c>
      <c r="G16" s="84" t="e">
        <f t="shared" si="11"/>
        <v>#REF!</v>
      </c>
      <c r="H16" s="84" t="e">
        <f t="shared" si="11"/>
        <v>#REF!</v>
      </c>
      <c r="I16" s="84" t="e">
        <f t="shared" si="11"/>
        <v>#REF!</v>
      </c>
      <c r="J16" s="84"/>
      <c r="L16" s="169" t="s">
        <v>39</v>
      </c>
      <c r="M16" s="84" t="e">
        <f t="shared" ref="M16:O16" si="13">+M11+M12+M13+M14+M15</f>
        <v>#REF!</v>
      </c>
      <c r="N16" s="84" t="e">
        <f t="shared" si="13"/>
        <v>#REF!</v>
      </c>
      <c r="O16" s="84" t="e">
        <f t="shared" si="13"/>
        <v>#REF!</v>
      </c>
      <c r="Q16" s="85" t="s">
        <v>41</v>
      </c>
      <c r="R16" s="120" t="e">
        <f>+#REF!</f>
        <v>#REF!</v>
      </c>
      <c r="S16" s="120" t="e">
        <f>+R16</f>
        <v>#REF!</v>
      </c>
      <c r="T16" s="120" t="e">
        <f>+S16</f>
        <v>#REF!</v>
      </c>
      <c r="U16" s="120" t="e">
        <f>+T16</f>
        <v>#REF!</v>
      </c>
      <c r="V16" s="120" t="e">
        <f t="shared" ref="V16:AG16" si="14">+U16</f>
        <v>#REF!</v>
      </c>
      <c r="W16" s="120" t="e">
        <f t="shared" si="14"/>
        <v>#REF!</v>
      </c>
      <c r="X16" s="120" t="e">
        <f t="shared" si="14"/>
        <v>#REF!</v>
      </c>
      <c r="Y16" s="120" t="e">
        <f t="shared" si="14"/>
        <v>#REF!</v>
      </c>
      <c r="Z16" s="120" t="e">
        <f t="shared" si="14"/>
        <v>#REF!</v>
      </c>
      <c r="AA16" s="120" t="e">
        <f t="shared" si="14"/>
        <v>#REF!</v>
      </c>
      <c r="AB16" s="120" t="e">
        <f t="shared" si="14"/>
        <v>#REF!</v>
      </c>
      <c r="AC16" s="120" t="e">
        <f t="shared" si="14"/>
        <v>#REF!</v>
      </c>
      <c r="AD16" s="120" t="e">
        <f t="shared" si="14"/>
        <v>#REF!</v>
      </c>
      <c r="AE16" s="120" t="e">
        <f t="shared" si="14"/>
        <v>#REF!</v>
      </c>
      <c r="AF16" s="120" t="e">
        <f t="shared" si="14"/>
        <v>#REF!</v>
      </c>
      <c r="AG16" s="120" t="e">
        <f t="shared" si="14"/>
        <v>#REF!</v>
      </c>
      <c r="AH16" s="120"/>
      <c r="AI16" s="120"/>
      <c r="AJ16" s="120"/>
      <c r="AL16" s="84"/>
      <c r="AM16" s="84"/>
    </row>
    <row r="17" spans="2:39" x14ac:dyDescent="0.35">
      <c r="Q17" s="82"/>
      <c r="R17" s="82"/>
      <c r="S17" s="82"/>
      <c r="U17" s="94"/>
      <c r="V17" s="94"/>
      <c r="W17" s="94"/>
      <c r="X17" s="94"/>
      <c r="Y17" s="94"/>
      <c r="Z17" s="94"/>
      <c r="AA17" s="94"/>
      <c r="AB17" s="94"/>
      <c r="AC17" s="94"/>
      <c r="AD17" s="94"/>
      <c r="AE17" s="94"/>
      <c r="AF17" s="94"/>
      <c r="AG17" s="94"/>
      <c r="AH17" s="94"/>
      <c r="AI17" s="94"/>
      <c r="AJ17" s="94"/>
      <c r="AL17" s="82"/>
      <c r="AM17" s="82"/>
    </row>
    <row r="18" spans="2:39" x14ac:dyDescent="0.35">
      <c r="B18" s="169"/>
      <c r="C18" s="84"/>
      <c r="D18" s="84"/>
      <c r="E18" s="84"/>
      <c r="F18" s="84"/>
      <c r="G18" s="84"/>
      <c r="H18" s="84"/>
      <c r="I18" s="84"/>
      <c r="J18" s="84"/>
      <c r="K18" s="94"/>
      <c r="M18" s="84"/>
      <c r="N18" s="84"/>
      <c r="O18" s="84"/>
      <c r="AL18" s="82"/>
      <c r="AM18" s="82"/>
    </row>
    <row r="19" spans="2:39" x14ac:dyDescent="0.35">
      <c r="C19" s="132"/>
      <c r="K19" s="94"/>
      <c r="AL19" s="82"/>
      <c r="AM19" s="82"/>
    </row>
    <row r="21" spans="2:39" x14ac:dyDescent="0.35">
      <c r="M21" s="86"/>
    </row>
    <row r="24" spans="2:39" x14ac:dyDescent="0.35">
      <c r="AH24" s="164"/>
    </row>
    <row r="26" spans="2:39" x14ac:dyDescent="0.35">
      <c r="N26" s="123"/>
    </row>
    <row r="33" spans="2:2" x14ac:dyDescent="0.35">
      <c r="B33" s="173" t="s">
        <v>51</v>
      </c>
    </row>
  </sheetData>
  <mergeCells count="6">
    <mergeCell ref="Q1:AM1"/>
    <mergeCell ref="B2:D2"/>
    <mergeCell ref="Q2:R2"/>
    <mergeCell ref="AK2:AL2"/>
    <mergeCell ref="B3:D3"/>
    <mergeCell ref="AK3:AL3"/>
  </mergeCells>
  <pageMargins left="0.7" right="0.7" top="0.75" bottom="0.75" header="0.3" footer="0.3"/>
  <pageSetup orientation="portrait" r:id="rId1"/>
  <customProperties>
    <customPr name="EpmWorksheetKeyString_GUID" r:id="rId2"/>
  </customProperties>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23"/>
  <dimension ref="A1:AP33"/>
  <sheetViews>
    <sheetView topLeftCell="E1" zoomScale="85" zoomScaleNormal="85" workbookViewId="0">
      <selection activeCell="E33" sqref="E33"/>
    </sheetView>
  </sheetViews>
  <sheetFormatPr defaultColWidth="11.453125" defaultRowHeight="14.5" x14ac:dyDescent="0.35"/>
  <cols>
    <col min="1" max="1" width="3.453125" style="81" customWidth="1"/>
    <col min="2" max="2" width="14" style="173" customWidth="1"/>
    <col min="3" max="3" width="10.81640625" style="82" customWidth="1"/>
    <col min="4" max="4" width="10.54296875" style="82" hidden="1" customWidth="1"/>
    <col min="5" max="5" width="10.54296875" style="82" customWidth="1"/>
    <col min="6" max="6" width="11" style="82" customWidth="1"/>
    <col min="7" max="7" width="11.1796875" style="82" hidden="1" customWidth="1"/>
    <col min="8" max="8" width="11" style="82" hidden="1" customWidth="1"/>
    <col min="9" max="9" width="11.54296875" style="82" customWidth="1"/>
    <col min="10" max="10" width="8.54296875" style="81" hidden="1" customWidth="1"/>
    <col min="11" max="11" width="2.81640625" style="81" customWidth="1"/>
    <col min="12" max="12" width="13.81640625" style="173" customWidth="1"/>
    <col min="13" max="15" width="10.81640625" style="82" customWidth="1"/>
    <col min="16" max="16" width="2.81640625" style="81" customWidth="1"/>
    <col min="17" max="17" width="28.81640625" style="81" customWidth="1"/>
    <col min="18" max="18" width="16.1796875" style="81" hidden="1" customWidth="1"/>
    <col min="19" max="19" width="17.54296875" style="81" hidden="1" customWidth="1"/>
    <col min="20" max="20" width="14.54296875" style="81" hidden="1" customWidth="1"/>
    <col min="21" max="21" width="16" style="81" hidden="1" customWidth="1"/>
    <col min="22" max="22" width="17.81640625" style="81" hidden="1" customWidth="1"/>
    <col min="23" max="23" width="17.1796875" style="81" hidden="1" customWidth="1"/>
    <col min="24" max="29" width="14.453125" style="81" hidden="1" customWidth="1"/>
    <col min="30" max="30" width="16.453125" style="81" hidden="1" customWidth="1"/>
    <col min="31" max="33" width="14.81640625" style="81" hidden="1" customWidth="1"/>
    <col min="34" max="34" width="16.54296875" style="81" hidden="1" customWidth="1"/>
    <col min="35" max="35" width="17.54296875" style="81" hidden="1" customWidth="1"/>
    <col min="36" max="36" width="17.54296875" style="81" customWidth="1"/>
    <col min="37" max="37" width="15.1796875" style="81" customWidth="1"/>
    <col min="38" max="40" width="11.453125" style="81" hidden="1" customWidth="1"/>
    <col min="41" max="41" width="0" style="81" hidden="1" customWidth="1"/>
    <col min="42" max="16384" width="11.453125" style="81"/>
  </cols>
  <sheetData>
    <row r="1" spans="1:40" x14ac:dyDescent="0.35">
      <c r="B1" s="122"/>
      <c r="C1" s="86"/>
      <c r="D1" s="86"/>
      <c r="E1" s="86"/>
      <c r="F1" s="87"/>
      <c r="G1" s="87"/>
      <c r="H1" s="87"/>
      <c r="I1" s="87"/>
      <c r="J1" s="87"/>
      <c r="K1" s="87"/>
      <c r="L1" s="122"/>
      <c r="M1" s="87"/>
      <c r="N1" s="87"/>
      <c r="O1" s="87"/>
      <c r="Q1" s="574"/>
      <c r="R1" s="574"/>
      <c r="S1" s="574"/>
      <c r="T1" s="574"/>
      <c r="U1" s="574"/>
      <c r="V1" s="574"/>
      <c r="W1" s="574"/>
      <c r="X1" s="574"/>
      <c r="Y1" s="574"/>
      <c r="Z1" s="574"/>
      <c r="AA1" s="574"/>
      <c r="AB1" s="574"/>
      <c r="AC1" s="574"/>
      <c r="AD1" s="574"/>
      <c r="AE1" s="574"/>
      <c r="AF1" s="574"/>
      <c r="AG1" s="574"/>
      <c r="AH1" s="574"/>
      <c r="AI1" s="574"/>
      <c r="AJ1" s="574"/>
      <c r="AK1" s="574"/>
      <c r="AL1" s="574"/>
      <c r="AM1" s="574"/>
      <c r="AN1" s="574"/>
    </row>
    <row r="2" spans="1:40" s="142" customFormat="1" ht="15" customHeight="1" x14ac:dyDescent="0.35">
      <c r="B2" s="576" t="s">
        <v>66</v>
      </c>
      <c r="C2" s="576"/>
      <c r="D2" s="576"/>
      <c r="E2" s="141" t="e">
        <f>+AK11</f>
        <v>#REF!</v>
      </c>
      <c r="H2" s="141"/>
      <c r="I2" s="141"/>
      <c r="J2" s="143">
        <v>0.05</v>
      </c>
      <c r="K2" s="144"/>
      <c r="L2" s="171"/>
      <c r="M2" s="141"/>
      <c r="N2" s="141"/>
      <c r="O2" s="141"/>
      <c r="Q2" s="576"/>
      <c r="R2" s="576"/>
      <c r="S2" s="141"/>
      <c r="T2" s="143"/>
      <c r="U2" s="144"/>
      <c r="V2" s="144"/>
      <c r="W2" s="144"/>
      <c r="X2" s="144"/>
      <c r="Y2" s="144"/>
      <c r="Z2" s="144"/>
      <c r="AA2" s="144"/>
      <c r="AB2" s="144"/>
      <c r="AC2" s="144"/>
      <c r="AD2" s="144"/>
      <c r="AE2" s="144"/>
      <c r="AF2" s="144"/>
      <c r="AG2" s="144"/>
      <c r="AH2" s="144"/>
      <c r="AI2" s="144"/>
      <c r="AJ2" s="144"/>
      <c r="AK2" s="144"/>
      <c r="AL2" s="576"/>
      <c r="AM2" s="576"/>
      <c r="AN2" s="141"/>
    </row>
    <row r="3" spans="1:40" s="133" customFormat="1" ht="15" customHeight="1" x14ac:dyDescent="0.35">
      <c r="B3" s="576" t="s">
        <v>67</v>
      </c>
      <c r="C3" s="576"/>
      <c r="D3" s="576"/>
      <c r="E3" s="134" t="e">
        <f>+AK14</f>
        <v>#REF!</v>
      </c>
      <c r="G3" s="135"/>
      <c r="H3" s="134"/>
      <c r="I3" s="134"/>
      <c r="J3" s="137" t="e">
        <f>+E2*J2</f>
        <v>#REF!</v>
      </c>
      <c r="K3" s="136"/>
      <c r="L3" s="174"/>
      <c r="M3" s="134"/>
      <c r="N3" s="134"/>
      <c r="O3" s="134"/>
      <c r="Q3" s="138"/>
      <c r="R3" s="139"/>
      <c r="S3" s="140"/>
      <c r="U3" s="136"/>
      <c r="V3" s="136"/>
      <c r="W3" s="136"/>
      <c r="X3" s="136"/>
      <c r="Y3" s="136"/>
      <c r="Z3" s="136"/>
      <c r="AA3" s="136"/>
      <c r="AB3" s="136"/>
      <c r="AC3" s="136"/>
      <c r="AD3" s="136"/>
      <c r="AE3" s="136"/>
      <c r="AF3" s="136"/>
      <c r="AG3" s="136"/>
      <c r="AH3" s="136"/>
      <c r="AI3" s="136"/>
      <c r="AJ3" s="136"/>
      <c r="AK3" s="136"/>
      <c r="AL3" s="577"/>
      <c r="AM3" s="577"/>
      <c r="AN3" s="134"/>
    </row>
    <row r="4" spans="1:40" ht="23.5" x14ac:dyDescent="0.55000000000000004">
      <c r="B4" s="169"/>
      <c r="C4" s="92" t="e">
        <f>+(C9+C10)/C6*1000</f>
        <v>#REF!</v>
      </c>
      <c r="D4" s="92" t="e">
        <f>+(G9+G10)/G6*1000</f>
        <v>#REF!</v>
      </c>
      <c r="E4" s="92" t="e">
        <f>+(E9+E10)/E6*1000</f>
        <v>#REF!</v>
      </c>
      <c r="F4" s="92" t="e">
        <f>+(F9+F10)/F6*1000</f>
        <v>#REF!</v>
      </c>
      <c r="I4" s="92" t="e">
        <f>+(I9+I10)/I6*1000</f>
        <v>#REF!</v>
      </c>
      <c r="K4" s="88"/>
      <c r="L4" s="169"/>
      <c r="M4" s="92"/>
      <c r="N4" s="92"/>
      <c r="O4" s="92"/>
      <c r="Q4" s="93"/>
      <c r="R4" s="82"/>
      <c r="S4" s="90"/>
      <c r="T4" s="94"/>
      <c r="U4" s="88"/>
      <c r="V4" s="88"/>
      <c r="W4" s="88"/>
      <c r="X4" s="88"/>
      <c r="Y4" s="88"/>
      <c r="Z4" s="88"/>
      <c r="AA4" s="88"/>
      <c r="AB4" s="88"/>
      <c r="AC4" s="88"/>
      <c r="AD4" s="88"/>
      <c r="AE4" s="88"/>
      <c r="AF4" s="88"/>
      <c r="AG4" s="88"/>
      <c r="AH4" s="88"/>
      <c r="AI4" s="88"/>
      <c r="AJ4" s="88"/>
      <c r="AK4" s="88"/>
      <c r="AL4" s="91"/>
      <c r="AM4" s="91"/>
      <c r="AN4" s="78"/>
    </row>
    <row r="5" spans="1:40" s="95" customFormat="1" ht="33.75" customHeight="1" x14ac:dyDescent="0.35">
      <c r="B5" s="169" t="s">
        <v>5</v>
      </c>
      <c r="C5" s="85" t="s">
        <v>68</v>
      </c>
      <c r="D5" s="85" t="s">
        <v>69</v>
      </c>
      <c r="E5" s="85" t="s">
        <v>69</v>
      </c>
      <c r="F5" s="85" t="s">
        <v>69</v>
      </c>
      <c r="G5" s="85" t="s">
        <v>70</v>
      </c>
      <c r="H5" s="85" t="s">
        <v>70</v>
      </c>
      <c r="I5" s="85" t="s">
        <v>70</v>
      </c>
      <c r="J5" s="85"/>
      <c r="K5" s="88"/>
      <c r="L5" s="169" t="s">
        <v>71</v>
      </c>
      <c r="M5" s="96" t="s">
        <v>7</v>
      </c>
      <c r="N5" s="96" t="s">
        <v>8</v>
      </c>
      <c r="O5" s="96" t="s">
        <v>8</v>
      </c>
      <c r="Q5" s="147" t="s">
        <v>72</v>
      </c>
      <c r="R5" s="99" t="s">
        <v>54</v>
      </c>
      <c r="S5" s="99" t="s">
        <v>55</v>
      </c>
      <c r="T5" s="99" t="s">
        <v>56</v>
      </c>
      <c r="U5" s="99" t="s">
        <v>12</v>
      </c>
      <c r="V5" s="99" t="s">
        <v>57</v>
      </c>
      <c r="W5" s="99" t="s">
        <v>58</v>
      </c>
      <c r="X5" s="99" t="s">
        <v>59</v>
      </c>
      <c r="Y5" s="99" t="s">
        <v>60</v>
      </c>
      <c r="Z5" s="99" t="s">
        <v>62</v>
      </c>
      <c r="AA5" s="99" t="s">
        <v>64</v>
      </c>
      <c r="AB5" s="99" t="s">
        <v>65</v>
      </c>
      <c r="AC5" s="99" t="s">
        <v>73</v>
      </c>
      <c r="AD5" s="99" t="s">
        <v>53</v>
      </c>
      <c r="AE5" s="99" t="s">
        <v>77</v>
      </c>
      <c r="AF5" s="99" t="s">
        <v>78</v>
      </c>
      <c r="AG5" s="99" t="s">
        <v>79</v>
      </c>
      <c r="AH5" s="99" t="s">
        <v>90</v>
      </c>
      <c r="AI5" s="99" t="s">
        <v>91</v>
      </c>
      <c r="AJ5" s="99" t="s">
        <v>97</v>
      </c>
      <c r="AK5" s="99" t="s">
        <v>98</v>
      </c>
      <c r="AL5" s="100"/>
      <c r="AM5" s="97"/>
      <c r="AN5" s="97"/>
    </row>
    <row r="6" spans="1:40" x14ac:dyDescent="0.35">
      <c r="B6" s="169" t="s">
        <v>13</v>
      </c>
      <c r="C6" s="101">
        <v>16.7</v>
      </c>
      <c r="D6" s="101">
        <v>16.7</v>
      </c>
      <c r="E6" s="101">
        <v>20.6</v>
      </c>
      <c r="F6" s="101">
        <v>20.6</v>
      </c>
      <c r="G6" s="101">
        <v>30.6</v>
      </c>
      <c r="H6" s="101">
        <v>30.6</v>
      </c>
      <c r="I6" s="101">
        <v>38.6</v>
      </c>
      <c r="J6" s="101"/>
      <c r="L6" s="169" t="s">
        <v>13</v>
      </c>
      <c r="M6" s="101">
        <v>15</v>
      </c>
      <c r="N6" s="101">
        <v>20.5</v>
      </c>
      <c r="O6" s="101">
        <v>20.5</v>
      </c>
      <c r="Q6" s="102" t="s">
        <v>14</v>
      </c>
      <c r="R6" s="104">
        <v>938.13</v>
      </c>
      <c r="S6" s="105">
        <v>959</v>
      </c>
      <c r="T6" s="104">
        <v>1006.25</v>
      </c>
      <c r="U6" s="130">
        <v>993.75</v>
      </c>
      <c r="V6" s="131">
        <v>1015.5</v>
      </c>
      <c r="W6" s="131">
        <v>1045.5999999999999</v>
      </c>
      <c r="X6" s="43">
        <v>1103.75</v>
      </c>
      <c r="Y6" s="43">
        <v>1148.75</v>
      </c>
      <c r="Z6" s="43">
        <v>1167</v>
      </c>
      <c r="AA6" s="43">
        <v>1221.25</v>
      </c>
      <c r="AB6" s="43">
        <v>1330</v>
      </c>
      <c r="AC6" s="43">
        <f>+'IHS (Mod)'!I5</f>
        <v>1280</v>
      </c>
      <c r="AD6" s="43">
        <f>+'IHS (Mod)'!J5</f>
        <v>1279.380005</v>
      </c>
      <c r="AE6" s="43">
        <v>1275.5</v>
      </c>
      <c r="AF6" s="43" t="e">
        <f>+#REF!</f>
        <v>#REF!</v>
      </c>
      <c r="AG6" s="43" t="e">
        <f>+#REF!</f>
        <v>#REF!</v>
      </c>
      <c r="AH6" s="43" t="e">
        <f>+#REF!</f>
        <v>#REF!</v>
      </c>
      <c r="AI6" s="43" t="e">
        <f>+#REF!</f>
        <v>#REF!</v>
      </c>
      <c r="AJ6" s="43" t="e">
        <f>+#REF!</f>
        <v>#REF!</v>
      </c>
      <c r="AK6" s="43" t="e">
        <f>+#REF!</f>
        <v>#REF!</v>
      </c>
      <c r="AL6" s="85"/>
      <c r="AM6" s="101"/>
      <c r="AN6" s="101"/>
    </row>
    <row r="7" spans="1:40" x14ac:dyDescent="0.35">
      <c r="B7" s="170" t="s">
        <v>16</v>
      </c>
      <c r="C7" s="91" t="s">
        <v>17</v>
      </c>
      <c r="D7" s="91" t="s">
        <v>17</v>
      </c>
      <c r="E7" s="91" t="s">
        <v>17</v>
      </c>
      <c r="F7" s="91" t="s">
        <v>17</v>
      </c>
      <c r="G7" s="91" t="s">
        <v>17</v>
      </c>
      <c r="H7" s="91" t="s">
        <v>17</v>
      </c>
      <c r="I7" s="91" t="s">
        <v>17</v>
      </c>
      <c r="J7" s="91"/>
      <c r="L7" s="170" t="s">
        <v>16</v>
      </c>
      <c r="M7" s="91" t="s">
        <v>17</v>
      </c>
      <c r="N7" s="91" t="s">
        <v>17</v>
      </c>
      <c r="O7" s="91" t="s">
        <v>17</v>
      </c>
      <c r="Q7" s="128" t="s">
        <v>99</v>
      </c>
      <c r="R7" s="129">
        <v>25.09</v>
      </c>
      <c r="S7" s="129">
        <v>25.09</v>
      </c>
      <c r="T7" s="129">
        <v>25.09</v>
      </c>
      <c r="U7" s="129">
        <v>25</v>
      </c>
      <c r="V7" s="129">
        <v>25</v>
      </c>
      <c r="W7" s="129">
        <v>25</v>
      </c>
      <c r="X7" s="129">
        <v>25</v>
      </c>
      <c r="Y7" s="129">
        <v>25</v>
      </c>
      <c r="Z7" s="129">
        <v>25</v>
      </c>
      <c r="AA7" s="129">
        <v>25</v>
      </c>
      <c r="AB7" s="129">
        <v>25</v>
      </c>
      <c r="AC7" s="129">
        <v>33.139726027397259</v>
      </c>
      <c r="AD7" s="129">
        <f>+Septiembre18!AD8</f>
        <v>33.1236741020548</v>
      </c>
      <c r="AE7" s="129">
        <v>33.023219178082194</v>
      </c>
      <c r="AF7" s="129">
        <v>33.023219178082194</v>
      </c>
      <c r="AG7" s="129">
        <v>32.783732876712328</v>
      </c>
      <c r="AH7" s="129">
        <v>29.126712328767123</v>
      </c>
      <c r="AI7" s="129">
        <v>27.395420677397254</v>
      </c>
      <c r="AJ7" s="129">
        <v>26.796575342465754</v>
      </c>
      <c r="AK7" s="129" t="e">
        <f>+AN7</f>
        <v>#REF!</v>
      </c>
      <c r="AL7" s="85" t="e">
        <f>+AK6*4.5%</f>
        <v>#REF!</v>
      </c>
      <c r="AM7" s="91" t="e">
        <f>+AL7/365</f>
        <v>#REF!</v>
      </c>
      <c r="AN7" s="91" t="e">
        <f>+(AM7*210)*50%</f>
        <v>#REF!</v>
      </c>
    </row>
    <row r="8" spans="1:40" s="95" customFormat="1" ht="29" x14ac:dyDescent="0.35">
      <c r="B8" s="175" t="s">
        <v>92</v>
      </c>
      <c r="C8" s="177" t="s">
        <v>93</v>
      </c>
      <c r="D8" s="177" t="s">
        <v>94</v>
      </c>
      <c r="E8" s="176">
        <v>1</v>
      </c>
      <c r="F8" s="177" t="s">
        <v>93</v>
      </c>
      <c r="G8" s="176">
        <v>1</v>
      </c>
      <c r="H8" s="177" t="s">
        <v>94</v>
      </c>
      <c r="I8" s="177" t="s">
        <v>93</v>
      </c>
      <c r="J8" s="162"/>
      <c r="L8" s="175" t="str">
        <f>+B8</f>
        <v>% Resina (Virgen/PCR)</v>
      </c>
      <c r="M8" s="177" t="s">
        <v>94</v>
      </c>
      <c r="N8" s="176">
        <v>1</v>
      </c>
      <c r="O8" s="177" t="s">
        <v>94</v>
      </c>
      <c r="Q8" s="166" t="s">
        <v>20</v>
      </c>
      <c r="R8" s="129">
        <v>65</v>
      </c>
      <c r="S8" s="167">
        <v>65</v>
      </c>
      <c r="T8" s="129">
        <v>65</v>
      </c>
      <c r="U8" s="129">
        <v>65</v>
      </c>
      <c r="V8" s="129">
        <v>65</v>
      </c>
      <c r="W8" s="129">
        <v>65</v>
      </c>
      <c r="X8" s="129">
        <v>65</v>
      </c>
      <c r="Y8" s="129">
        <v>65</v>
      </c>
      <c r="Z8" s="129">
        <v>65</v>
      </c>
      <c r="AA8" s="129">
        <v>65</v>
      </c>
      <c r="AB8" s="129">
        <v>65</v>
      </c>
      <c r="AC8" s="129">
        <v>70</v>
      </c>
      <c r="AD8" s="129">
        <v>70</v>
      </c>
      <c r="AE8" s="129">
        <v>70</v>
      </c>
      <c r="AF8" s="129">
        <v>70</v>
      </c>
      <c r="AG8" s="129">
        <v>70</v>
      </c>
      <c r="AH8" s="129">
        <v>70</v>
      </c>
      <c r="AI8" s="129">
        <v>70</v>
      </c>
      <c r="AJ8" s="129">
        <v>70</v>
      </c>
      <c r="AK8" s="129">
        <v>70</v>
      </c>
      <c r="AL8" s="168"/>
      <c r="AM8" s="165"/>
      <c r="AN8" s="165"/>
    </row>
    <row r="9" spans="1:40" x14ac:dyDescent="0.35">
      <c r="B9" s="170" t="s">
        <v>19</v>
      </c>
      <c r="C9" s="80" t="e">
        <f>+(C6*E2/1000)*1.01*50%</f>
        <v>#REF!</v>
      </c>
      <c r="D9" s="80" t="e">
        <f>+(D6*$E$2/1000)*1.01*75%</f>
        <v>#REF!</v>
      </c>
      <c r="E9" s="80" t="e">
        <f>+(E6*$E$2/1000)*1.01</f>
        <v>#REF!</v>
      </c>
      <c r="F9" s="80" t="e">
        <f>+(F6*$E$2/1000)*1.01*50%</f>
        <v>#REF!</v>
      </c>
      <c r="G9" s="80" t="e">
        <f>+(G6*E2/1000)*1.01</f>
        <v>#REF!</v>
      </c>
      <c r="H9" s="80" t="e">
        <f>+(H6*$E$2/1000)*1.01*75%</f>
        <v>#REF!</v>
      </c>
      <c r="I9" s="80" t="e">
        <f>+(I6*$E$2/1000)*1.01*50%</f>
        <v>#REF!</v>
      </c>
      <c r="J9" s="80"/>
      <c r="L9" s="170" t="s">
        <v>19</v>
      </c>
      <c r="M9" s="80" t="e">
        <f>+(M6*E2/1000)*1.005*75%</f>
        <v>#REF!</v>
      </c>
      <c r="N9" s="80" t="e">
        <f>+(N6*E2/1000)*1.005</f>
        <v>#REF!</v>
      </c>
      <c r="O9" s="80" t="e">
        <f>+(O6*E2/1000)*1.005*75%</f>
        <v>#REF!</v>
      </c>
      <c r="Q9" s="102"/>
      <c r="R9" s="104">
        <f>SUM(R6:R8)</f>
        <v>1028.22</v>
      </c>
      <c r="S9" s="104">
        <f>SUM(S6:S8)</f>
        <v>1049.0900000000001</v>
      </c>
      <c r="T9" s="104">
        <f>SUM(T6:T8)</f>
        <v>1096.3399999999999</v>
      </c>
      <c r="U9" s="104">
        <f>SUM(U6:U8)</f>
        <v>1083.75</v>
      </c>
      <c r="V9" s="104">
        <f t="shared" ref="V9:AG9" si="0">SUM(V6:V8)</f>
        <v>1105.5</v>
      </c>
      <c r="W9" s="104">
        <f t="shared" si="0"/>
        <v>1135.5999999999999</v>
      </c>
      <c r="X9" s="104">
        <f t="shared" si="0"/>
        <v>1193.75</v>
      </c>
      <c r="Y9" s="104">
        <f t="shared" si="0"/>
        <v>1238.75</v>
      </c>
      <c r="Z9" s="104">
        <f t="shared" si="0"/>
        <v>1257</v>
      </c>
      <c r="AA9" s="104">
        <f t="shared" si="0"/>
        <v>1311.25</v>
      </c>
      <c r="AB9" s="104">
        <f t="shared" si="0"/>
        <v>1420</v>
      </c>
      <c r="AC9" s="104">
        <f t="shared" si="0"/>
        <v>1383.1397260273973</v>
      </c>
      <c r="AD9" s="104">
        <f t="shared" si="0"/>
        <v>1382.5036791020548</v>
      </c>
      <c r="AE9" s="104">
        <f t="shared" si="0"/>
        <v>1378.5232191780822</v>
      </c>
      <c r="AF9" s="104" t="e">
        <f t="shared" si="0"/>
        <v>#REF!</v>
      </c>
      <c r="AG9" s="104" t="e">
        <f t="shared" si="0"/>
        <v>#REF!</v>
      </c>
      <c r="AH9" s="104" t="e">
        <f>SUM(AH6:AH8)</f>
        <v>#REF!</v>
      </c>
      <c r="AI9" s="104" t="e">
        <f>SUM(AI6:AI8)</f>
        <v>#REF!</v>
      </c>
      <c r="AJ9" s="104" t="e">
        <f>SUM(AJ6:AJ8)</f>
        <v>#REF!</v>
      </c>
      <c r="AK9" s="104" t="e">
        <f>SUM(AK6:AK8)</f>
        <v>#REF!</v>
      </c>
      <c r="AL9" s="79"/>
      <c r="AM9" s="80"/>
      <c r="AN9" s="80"/>
    </row>
    <row r="10" spans="1:40" x14ac:dyDescent="0.35">
      <c r="B10" s="172" t="s">
        <v>23</v>
      </c>
      <c r="C10" s="76" t="e">
        <f>+(C6*$E$3/1000)*1.01*50%</f>
        <v>#REF!</v>
      </c>
      <c r="D10" s="76" t="e">
        <f>+(D6*$E$3/1000)*1.01*25%</f>
        <v>#REF!</v>
      </c>
      <c r="E10" s="76">
        <v>0</v>
      </c>
      <c r="F10" s="76" t="e">
        <f>+(F6*$E$3/1000)*1.01*50%</f>
        <v>#REF!</v>
      </c>
      <c r="G10" s="76">
        <v>0</v>
      </c>
      <c r="H10" s="76" t="e">
        <f>+(H6*$E$3/1000)*1.01*25%</f>
        <v>#REF!</v>
      </c>
      <c r="I10" s="76" t="e">
        <f>+(I6*$E$3/1000)*1.01*50%</f>
        <v>#REF!</v>
      </c>
      <c r="J10" s="76"/>
      <c r="K10" s="121"/>
      <c r="L10" s="172" t="s">
        <v>23</v>
      </c>
      <c r="M10" s="76" t="e">
        <f>+(M6*E3/1000)*1.005*25%</f>
        <v>#REF!</v>
      </c>
      <c r="N10" s="76">
        <v>0</v>
      </c>
      <c r="O10" s="76" t="e">
        <f>+(O6*E3/1000)*1.005*25%</f>
        <v>#REF!</v>
      </c>
      <c r="Q10" s="106" t="s">
        <v>27</v>
      </c>
      <c r="R10" s="108">
        <f>+R9*4%</f>
        <v>41.128800000000005</v>
      </c>
      <c r="S10" s="104">
        <f>+S9*4%</f>
        <v>41.963600000000007</v>
      </c>
      <c r="T10" s="108">
        <f>+T9*4%</f>
        <v>43.8536</v>
      </c>
      <c r="U10" s="108">
        <f>+U9*4%</f>
        <v>43.35</v>
      </c>
      <c r="V10" s="108">
        <f t="shared" ref="V10:AG10" si="1">+V9*4%</f>
        <v>44.22</v>
      </c>
      <c r="W10" s="108">
        <f t="shared" si="1"/>
        <v>45.423999999999999</v>
      </c>
      <c r="X10" s="108">
        <f t="shared" si="1"/>
        <v>47.75</v>
      </c>
      <c r="Y10" s="108">
        <f t="shared" si="1"/>
        <v>49.550000000000004</v>
      </c>
      <c r="Z10" s="108">
        <f t="shared" si="1"/>
        <v>50.28</v>
      </c>
      <c r="AA10" s="108">
        <f t="shared" si="1"/>
        <v>52.45</v>
      </c>
      <c r="AB10" s="108">
        <f t="shared" si="1"/>
        <v>56.800000000000004</v>
      </c>
      <c r="AC10" s="108">
        <f t="shared" si="1"/>
        <v>55.325589041095895</v>
      </c>
      <c r="AD10" s="108">
        <f t="shared" si="1"/>
        <v>55.30014716408219</v>
      </c>
      <c r="AE10" s="108">
        <f t="shared" si="1"/>
        <v>55.140928767123285</v>
      </c>
      <c r="AF10" s="108" t="e">
        <f t="shared" si="1"/>
        <v>#REF!</v>
      </c>
      <c r="AG10" s="108" t="e">
        <f t="shared" si="1"/>
        <v>#REF!</v>
      </c>
      <c r="AH10" s="108" t="e">
        <f>+AH9*4%</f>
        <v>#REF!</v>
      </c>
      <c r="AI10" s="108" t="e">
        <f>+AI9*4%</f>
        <v>#REF!</v>
      </c>
      <c r="AJ10" s="108" t="e">
        <f>+AJ9*4%</f>
        <v>#REF!</v>
      </c>
      <c r="AK10" s="108" t="e">
        <f>+AK9*4%</f>
        <v>#REF!</v>
      </c>
      <c r="AL10" s="79"/>
      <c r="AM10" s="80"/>
      <c r="AN10" s="80"/>
    </row>
    <row r="11" spans="1:40" x14ac:dyDescent="0.35">
      <c r="B11" s="169" t="s">
        <v>95</v>
      </c>
      <c r="C11" s="84" t="e">
        <f>SUM(C9:C10)</f>
        <v>#REF!</v>
      </c>
      <c r="D11" s="84" t="e">
        <f t="shared" ref="D11:J11" si="2">SUM(D9:D10)</f>
        <v>#REF!</v>
      </c>
      <c r="E11" s="84" t="e">
        <f t="shared" si="2"/>
        <v>#REF!</v>
      </c>
      <c r="F11" s="84" t="e">
        <f t="shared" si="2"/>
        <v>#REF!</v>
      </c>
      <c r="G11" s="84" t="e">
        <f t="shared" si="2"/>
        <v>#REF!</v>
      </c>
      <c r="H11" s="84" t="e">
        <f t="shared" si="2"/>
        <v>#REF!</v>
      </c>
      <c r="I11" s="84" t="e">
        <f t="shared" si="2"/>
        <v>#REF!</v>
      </c>
      <c r="J11" s="80">
        <f t="shared" si="2"/>
        <v>0</v>
      </c>
      <c r="K11" s="80"/>
      <c r="L11" s="169" t="s">
        <v>95</v>
      </c>
      <c r="M11" s="84" t="e">
        <f t="shared" ref="M11:O11" si="3">SUM(M9:M10)</f>
        <v>#REF!</v>
      </c>
      <c r="N11" s="84" t="e">
        <f t="shared" si="3"/>
        <v>#REF!</v>
      </c>
      <c r="O11" s="84" t="e">
        <f t="shared" si="3"/>
        <v>#REF!</v>
      </c>
      <c r="Q11" s="157" t="s">
        <v>30</v>
      </c>
      <c r="R11" s="158">
        <f>+R10+R9</f>
        <v>1069.3488</v>
      </c>
      <c r="S11" s="159">
        <f>+S10+S9</f>
        <v>1091.0536000000002</v>
      </c>
      <c r="T11" s="158">
        <f>+T10+T9</f>
        <v>1140.1935999999998</v>
      </c>
      <c r="U11" s="158">
        <f>+U10+U9</f>
        <v>1127.0999999999999</v>
      </c>
      <c r="V11" s="158">
        <f t="shared" ref="V11:AG11" si="4">+V10+V9</f>
        <v>1149.72</v>
      </c>
      <c r="W11" s="158">
        <f t="shared" si="4"/>
        <v>1181.0239999999999</v>
      </c>
      <c r="X11" s="158">
        <f t="shared" si="4"/>
        <v>1241.5</v>
      </c>
      <c r="Y11" s="158">
        <f t="shared" si="4"/>
        <v>1288.3</v>
      </c>
      <c r="Z11" s="158">
        <f t="shared" si="4"/>
        <v>1307.28</v>
      </c>
      <c r="AA11" s="158">
        <f t="shared" si="4"/>
        <v>1363.7</v>
      </c>
      <c r="AB11" s="158">
        <f t="shared" si="4"/>
        <v>1476.8</v>
      </c>
      <c r="AC11" s="158">
        <f t="shared" si="4"/>
        <v>1438.4653150684931</v>
      </c>
      <c r="AD11" s="158">
        <f t="shared" si="4"/>
        <v>1437.8038262661369</v>
      </c>
      <c r="AE11" s="158">
        <f t="shared" si="4"/>
        <v>1433.6641479452055</v>
      </c>
      <c r="AF11" s="158" t="e">
        <f t="shared" si="4"/>
        <v>#REF!</v>
      </c>
      <c r="AG11" s="158" t="e">
        <f t="shared" si="4"/>
        <v>#REF!</v>
      </c>
      <c r="AH11" s="158" t="e">
        <f>+AH10+AH9</f>
        <v>#REF!</v>
      </c>
      <c r="AI11" s="158" t="e">
        <f>+AI10+AI9</f>
        <v>#REF!</v>
      </c>
      <c r="AJ11" s="158" t="e">
        <f>+AJ10+AJ9</f>
        <v>#REF!</v>
      </c>
      <c r="AK11" s="158" t="e">
        <f>+AK10+AK9</f>
        <v>#REF!</v>
      </c>
      <c r="AL11" s="79"/>
      <c r="AM11" s="80"/>
      <c r="AN11" s="80"/>
    </row>
    <row r="12" spans="1:40" x14ac:dyDescent="0.35">
      <c r="B12" s="170" t="s">
        <v>26</v>
      </c>
      <c r="C12" s="80">
        <f>8.2+0.03</f>
        <v>8.2299999999999986</v>
      </c>
      <c r="D12" s="80">
        <v>8.2299999999999986</v>
      </c>
      <c r="E12" s="80">
        <f>8.2+0.03</f>
        <v>8.2299999999999986</v>
      </c>
      <c r="F12" s="80">
        <f>8.2+0.03</f>
        <v>8.2299999999999986</v>
      </c>
      <c r="G12" s="80">
        <v>11.200000000000001</v>
      </c>
      <c r="H12" s="80">
        <v>11.200000000000001</v>
      </c>
      <c r="I12" s="80">
        <f>11.15+0.05</f>
        <v>11.200000000000001</v>
      </c>
      <c r="J12" s="80"/>
      <c r="L12" s="170" t="s">
        <v>26</v>
      </c>
      <c r="M12" s="80">
        <f>27.2+0.11</f>
        <v>27.31</v>
      </c>
      <c r="N12" s="80">
        <f>27.2+0.12</f>
        <v>27.32</v>
      </c>
      <c r="O12" s="80">
        <f>27.2+0.12</f>
        <v>27.32</v>
      </c>
      <c r="Q12" s="160" t="s">
        <v>32</v>
      </c>
      <c r="R12" s="161">
        <f>+R11*(1-5%)</f>
        <v>1015.88136</v>
      </c>
      <c r="S12" s="161">
        <f t="shared" ref="S12:AG12" si="5">+S11*(1-5%)</f>
        <v>1036.5009200000002</v>
      </c>
      <c r="T12" s="161">
        <f t="shared" si="5"/>
        <v>1083.1839199999997</v>
      </c>
      <c r="U12" s="161">
        <f t="shared" si="5"/>
        <v>1070.7449999999999</v>
      </c>
      <c r="V12" s="161">
        <f t="shared" si="5"/>
        <v>1092.2339999999999</v>
      </c>
      <c r="W12" s="161">
        <f t="shared" si="5"/>
        <v>1121.9727999999998</v>
      </c>
      <c r="X12" s="161">
        <f t="shared" si="5"/>
        <v>1179.425</v>
      </c>
      <c r="Y12" s="161">
        <f t="shared" si="5"/>
        <v>1223.885</v>
      </c>
      <c r="Z12" s="161">
        <f t="shared" si="5"/>
        <v>1241.9159999999999</v>
      </c>
      <c r="AA12" s="161">
        <f t="shared" si="5"/>
        <v>1295.5149999999999</v>
      </c>
      <c r="AB12" s="161">
        <f t="shared" si="5"/>
        <v>1402.9599999999998</v>
      </c>
      <c r="AC12" s="161">
        <f t="shared" si="5"/>
        <v>1366.5420493150684</v>
      </c>
      <c r="AD12" s="161">
        <f t="shared" si="5"/>
        <v>1365.9136349528299</v>
      </c>
      <c r="AE12" s="161">
        <f t="shared" si="5"/>
        <v>1361.9809405479452</v>
      </c>
      <c r="AF12" s="161" t="e">
        <f t="shared" si="5"/>
        <v>#REF!</v>
      </c>
      <c r="AG12" s="161" t="e">
        <f t="shared" si="5"/>
        <v>#REF!</v>
      </c>
      <c r="AH12" s="161" t="e">
        <f>+AH11*(1-5%)</f>
        <v>#REF!</v>
      </c>
      <c r="AI12" s="161" t="e">
        <f>+AI11*(1-5%)</f>
        <v>#REF!</v>
      </c>
      <c r="AJ12" s="161" t="e">
        <f>+AJ11*(1-5%)</f>
        <v>#REF!</v>
      </c>
      <c r="AK12" s="161" t="e">
        <f>+AK11*(1-5%)</f>
        <v>#REF!</v>
      </c>
      <c r="AL12" s="79"/>
      <c r="AM12" s="80"/>
      <c r="AN12" s="80"/>
    </row>
    <row r="13" spans="1:40" x14ac:dyDescent="0.35">
      <c r="B13" s="170" t="s">
        <v>31</v>
      </c>
      <c r="C13" s="80">
        <v>1.5</v>
      </c>
      <c r="D13" s="80">
        <v>1.5</v>
      </c>
      <c r="E13" s="80">
        <v>1.83</v>
      </c>
      <c r="F13" s="80">
        <v>1.83</v>
      </c>
      <c r="G13" s="80">
        <v>3.45</v>
      </c>
      <c r="H13" s="80">
        <v>3.45</v>
      </c>
      <c r="I13" s="80">
        <v>3.45</v>
      </c>
      <c r="J13" s="80"/>
      <c r="L13" s="170" t="s">
        <v>31</v>
      </c>
      <c r="M13" s="80">
        <v>0.9</v>
      </c>
      <c r="N13" s="80">
        <v>2.1800000000000002</v>
      </c>
      <c r="O13" s="80">
        <v>2.1800000000000002</v>
      </c>
      <c r="Q13" s="128" t="s">
        <v>100</v>
      </c>
      <c r="R13" s="128" t="s">
        <v>18</v>
      </c>
      <c r="S13" s="128" t="s">
        <v>18</v>
      </c>
      <c r="T13" s="128" t="s">
        <v>18</v>
      </c>
      <c r="U13" s="128" t="s">
        <v>18</v>
      </c>
      <c r="V13" s="128" t="s">
        <v>18</v>
      </c>
      <c r="W13" s="128" t="s">
        <v>18</v>
      </c>
      <c r="X13" s="128" t="s">
        <v>18</v>
      </c>
      <c r="Y13" s="128" t="s">
        <v>18</v>
      </c>
      <c r="Z13" s="128" t="s">
        <v>18</v>
      </c>
      <c r="AA13" s="128" t="s">
        <v>18</v>
      </c>
      <c r="AB13" s="128" t="s">
        <v>18</v>
      </c>
      <c r="AC13" s="128" t="s">
        <v>18</v>
      </c>
      <c r="AD13" s="128" t="s">
        <v>18</v>
      </c>
      <c r="AE13" s="128" t="s">
        <v>18</v>
      </c>
      <c r="AF13" s="128" t="s">
        <v>18</v>
      </c>
      <c r="AG13" s="128" t="s">
        <v>18</v>
      </c>
      <c r="AH13" s="128" t="s">
        <v>18</v>
      </c>
      <c r="AI13" s="128" t="s">
        <v>18</v>
      </c>
      <c r="AJ13" s="129">
        <v>0</v>
      </c>
      <c r="AK13" s="129" t="e">
        <f>+AN13</f>
        <v>#REF!</v>
      </c>
      <c r="AL13" s="85" t="e">
        <f>+AK12*4.5%</f>
        <v>#REF!</v>
      </c>
      <c r="AM13" s="91" t="e">
        <f>+AL13/365</f>
        <v>#REF!</v>
      </c>
      <c r="AN13" s="91" t="e">
        <f>+(AM13*210)*50%</f>
        <v>#REF!</v>
      </c>
    </row>
    <row r="14" spans="1:40" x14ac:dyDescent="0.35">
      <c r="B14" s="170" t="s">
        <v>34</v>
      </c>
      <c r="C14" s="80">
        <v>0.19</v>
      </c>
      <c r="D14" s="80">
        <v>0.19</v>
      </c>
      <c r="E14" s="80">
        <v>0.19</v>
      </c>
      <c r="F14" s="80">
        <v>0.19</v>
      </c>
      <c r="G14" s="80">
        <v>0.33</v>
      </c>
      <c r="H14" s="80">
        <v>0.33</v>
      </c>
      <c r="I14" s="80">
        <v>0.33</v>
      </c>
      <c r="J14" s="80"/>
      <c r="L14" s="170" t="s">
        <v>34</v>
      </c>
      <c r="M14" s="80">
        <v>4.3</v>
      </c>
      <c r="N14" s="80">
        <v>4.3</v>
      </c>
      <c r="O14" s="80">
        <v>4.3</v>
      </c>
      <c r="Q14" s="179" t="s">
        <v>101</v>
      </c>
      <c r="R14" s="179"/>
      <c r="S14" s="179"/>
      <c r="T14" s="179"/>
      <c r="U14" s="179"/>
      <c r="V14" s="179"/>
      <c r="W14" s="179"/>
      <c r="X14" s="179"/>
      <c r="Y14" s="179"/>
      <c r="Z14" s="179"/>
      <c r="AA14" s="179"/>
      <c r="AB14" s="179"/>
      <c r="AC14" s="179"/>
      <c r="AD14" s="179"/>
      <c r="AE14" s="179"/>
      <c r="AF14" s="179"/>
      <c r="AG14" s="179"/>
      <c r="AH14" s="179"/>
      <c r="AI14" s="179"/>
      <c r="AJ14" s="180"/>
      <c r="AK14" s="180" t="e">
        <f>+AK12+AK13</f>
        <v>#REF!</v>
      </c>
      <c r="AL14" s="85"/>
      <c r="AM14" s="91"/>
      <c r="AN14" s="80"/>
    </row>
    <row r="15" spans="1:40" x14ac:dyDescent="0.35">
      <c r="A15" s="81" t="s">
        <v>38</v>
      </c>
      <c r="B15" s="170" t="s">
        <v>36</v>
      </c>
      <c r="C15" s="80">
        <v>0.16</v>
      </c>
      <c r="D15" s="80">
        <v>0.16</v>
      </c>
      <c r="E15" s="80">
        <v>0.16</v>
      </c>
      <c r="F15" s="80">
        <v>0.16</v>
      </c>
      <c r="G15" s="80">
        <v>0.28000000000000003</v>
      </c>
      <c r="H15" s="80">
        <v>0.28000000000000003</v>
      </c>
      <c r="I15" s="80">
        <v>0.28000000000000003</v>
      </c>
      <c r="J15" s="80"/>
      <c r="L15" s="170" t="s">
        <v>36</v>
      </c>
      <c r="M15" s="80">
        <v>7.85</v>
      </c>
      <c r="N15" s="80">
        <v>7.85</v>
      </c>
      <c r="O15" s="80">
        <v>7.85</v>
      </c>
      <c r="Q15" s="157" t="s">
        <v>96</v>
      </c>
      <c r="R15" s="158">
        <f t="shared" ref="R15:AH15" si="6">+R11*75%+R12*25%</f>
        <v>1055.9819400000001</v>
      </c>
      <c r="S15" s="158">
        <f t="shared" si="6"/>
        <v>1077.4154300000002</v>
      </c>
      <c r="T15" s="158">
        <f t="shared" si="6"/>
        <v>1125.9411799999998</v>
      </c>
      <c r="U15" s="158">
        <f t="shared" si="6"/>
        <v>1113.01125</v>
      </c>
      <c r="V15" s="158">
        <f t="shared" si="6"/>
        <v>1135.3485000000001</v>
      </c>
      <c r="W15" s="158">
        <f t="shared" si="6"/>
        <v>1166.2611999999999</v>
      </c>
      <c r="X15" s="158">
        <f t="shared" si="6"/>
        <v>1225.98125</v>
      </c>
      <c r="Y15" s="158">
        <f t="shared" si="6"/>
        <v>1272.19625</v>
      </c>
      <c r="Z15" s="158">
        <f t="shared" si="6"/>
        <v>1290.9390000000001</v>
      </c>
      <c r="AA15" s="158">
        <f t="shared" si="6"/>
        <v>1346.6537499999999</v>
      </c>
      <c r="AB15" s="158">
        <f t="shared" si="6"/>
        <v>1458.34</v>
      </c>
      <c r="AC15" s="158">
        <f t="shared" si="6"/>
        <v>1420.4844986301368</v>
      </c>
      <c r="AD15" s="158">
        <f t="shared" si="6"/>
        <v>1419.8312784378102</v>
      </c>
      <c r="AE15" s="158">
        <f t="shared" si="6"/>
        <v>1415.7433460958905</v>
      </c>
      <c r="AF15" s="158" t="e">
        <f t="shared" si="6"/>
        <v>#REF!</v>
      </c>
      <c r="AG15" s="158" t="e">
        <f t="shared" si="6"/>
        <v>#REF!</v>
      </c>
      <c r="AH15" s="158" t="e">
        <f t="shared" si="6"/>
        <v>#REF!</v>
      </c>
      <c r="AI15" s="158" t="e">
        <f>+AI11*50%+AI12*50%</f>
        <v>#REF!</v>
      </c>
      <c r="AJ15" s="158" t="e">
        <f>+AJ11*50%+AJ12*50%</f>
        <v>#REF!</v>
      </c>
      <c r="AK15" s="158" t="e">
        <f>+AK11*50%+AK14*50%</f>
        <v>#REF!</v>
      </c>
      <c r="AL15" s="80"/>
      <c r="AM15" s="80"/>
      <c r="AN15" s="80"/>
    </row>
    <row r="16" spans="1:40" x14ac:dyDescent="0.35">
      <c r="B16" s="169" t="s">
        <v>39</v>
      </c>
      <c r="C16" s="84" t="e">
        <f>+C11+C12+C13+C14+C15</f>
        <v>#REF!</v>
      </c>
      <c r="D16" s="84" t="e">
        <f t="shared" ref="D16:I16" si="7">+D11+D12+D13+D14+D15</f>
        <v>#REF!</v>
      </c>
      <c r="E16" s="84" t="e">
        <f t="shared" si="7"/>
        <v>#REF!</v>
      </c>
      <c r="F16" s="84" t="e">
        <f t="shared" si="7"/>
        <v>#REF!</v>
      </c>
      <c r="G16" s="84" t="e">
        <f t="shared" si="7"/>
        <v>#REF!</v>
      </c>
      <c r="H16" s="84" t="e">
        <f t="shared" si="7"/>
        <v>#REF!</v>
      </c>
      <c r="I16" s="84" t="e">
        <f t="shared" si="7"/>
        <v>#REF!</v>
      </c>
      <c r="J16" s="84"/>
      <c r="L16" s="169" t="s">
        <v>39</v>
      </c>
      <c r="M16" s="84" t="e">
        <f t="shared" ref="M16:N16" si="8">+M11+M12+M13+M14+M15</f>
        <v>#REF!</v>
      </c>
      <c r="N16" s="84" t="e">
        <f t="shared" si="8"/>
        <v>#REF!</v>
      </c>
      <c r="O16" s="84" t="e">
        <f>+O11+O12+O13+O14+O15</f>
        <v>#REF!</v>
      </c>
      <c r="Q16" s="113" t="s">
        <v>37</v>
      </c>
      <c r="R16" s="118">
        <f>+R15*1%</f>
        <v>10.559819400000002</v>
      </c>
      <c r="S16" s="118">
        <f t="shared" ref="S16:AG16" si="9">+S15*1%</f>
        <v>10.774154300000003</v>
      </c>
      <c r="T16" s="118">
        <f t="shared" si="9"/>
        <v>11.259411799999999</v>
      </c>
      <c r="U16" s="118">
        <f t="shared" si="9"/>
        <v>11.130112500000001</v>
      </c>
      <c r="V16" s="118">
        <f t="shared" si="9"/>
        <v>11.353485000000001</v>
      </c>
      <c r="W16" s="118">
        <f t="shared" si="9"/>
        <v>11.662611999999999</v>
      </c>
      <c r="X16" s="118">
        <f t="shared" si="9"/>
        <v>12.259812500000001</v>
      </c>
      <c r="Y16" s="118">
        <f t="shared" si="9"/>
        <v>12.7219625</v>
      </c>
      <c r="Z16" s="118">
        <f t="shared" si="9"/>
        <v>12.909390000000002</v>
      </c>
      <c r="AA16" s="118">
        <f t="shared" si="9"/>
        <v>13.466537499999999</v>
      </c>
      <c r="AB16" s="118">
        <f t="shared" si="9"/>
        <v>14.583399999999999</v>
      </c>
      <c r="AC16" s="118">
        <f t="shared" si="9"/>
        <v>14.204844986301369</v>
      </c>
      <c r="AD16" s="118">
        <f t="shared" si="9"/>
        <v>14.198312784378102</v>
      </c>
      <c r="AE16" s="118">
        <f t="shared" si="9"/>
        <v>14.157433460958906</v>
      </c>
      <c r="AF16" s="118" t="e">
        <f t="shared" si="9"/>
        <v>#REF!</v>
      </c>
      <c r="AG16" s="118" t="e">
        <f t="shared" si="9"/>
        <v>#REF!</v>
      </c>
      <c r="AH16" s="118" t="e">
        <f>+AH15*1%</f>
        <v>#REF!</v>
      </c>
      <c r="AI16" s="118" t="e">
        <f>+AI15*1%</f>
        <v>#REF!</v>
      </c>
      <c r="AJ16" s="118" t="e">
        <f>+AJ15*1%</f>
        <v>#REF!</v>
      </c>
      <c r="AK16" s="118" t="e">
        <f>+AK15*1%</f>
        <v>#REF!</v>
      </c>
      <c r="AL16" s="79"/>
      <c r="AM16" s="80"/>
      <c r="AN16" s="84" t="e">
        <f>+AN13+AN7</f>
        <v>#REF!</v>
      </c>
    </row>
    <row r="17" spans="2:42" x14ac:dyDescent="0.35">
      <c r="Q17" s="113" t="s">
        <v>74</v>
      </c>
      <c r="R17" s="115">
        <f>+R16+R15</f>
        <v>1066.5417594</v>
      </c>
      <c r="S17" s="115">
        <f t="shared" ref="S17:AJ17" si="10">+S16+S15</f>
        <v>1088.1895843000002</v>
      </c>
      <c r="T17" s="115">
        <f t="shared" si="10"/>
        <v>1137.2005917999998</v>
      </c>
      <c r="U17" s="115">
        <f t="shared" si="10"/>
        <v>1124.1413625</v>
      </c>
      <c r="V17" s="115">
        <f t="shared" si="10"/>
        <v>1146.7019850000001</v>
      </c>
      <c r="W17" s="115">
        <f t="shared" si="10"/>
        <v>1177.923812</v>
      </c>
      <c r="X17" s="115">
        <f t="shared" si="10"/>
        <v>1238.2410625</v>
      </c>
      <c r="Y17" s="115">
        <f t="shared" si="10"/>
        <v>1284.9182125</v>
      </c>
      <c r="Z17" s="115">
        <f t="shared" si="10"/>
        <v>1303.8483900000001</v>
      </c>
      <c r="AA17" s="115">
        <f t="shared" si="10"/>
        <v>1360.1202874999999</v>
      </c>
      <c r="AB17" s="115">
        <f t="shared" si="10"/>
        <v>1472.9233999999999</v>
      </c>
      <c r="AC17" s="115">
        <f t="shared" si="10"/>
        <v>1434.6893436164382</v>
      </c>
      <c r="AD17" s="115">
        <f t="shared" si="10"/>
        <v>1434.0295912221882</v>
      </c>
      <c r="AE17" s="115">
        <f t="shared" si="10"/>
        <v>1429.9007795568493</v>
      </c>
      <c r="AF17" s="115" t="e">
        <f t="shared" si="10"/>
        <v>#REF!</v>
      </c>
      <c r="AG17" s="115" t="e">
        <f t="shared" si="10"/>
        <v>#REF!</v>
      </c>
      <c r="AH17" s="115" t="e">
        <f t="shared" si="10"/>
        <v>#REF!</v>
      </c>
      <c r="AI17" s="115" t="e">
        <f t="shared" si="10"/>
        <v>#REF!</v>
      </c>
      <c r="AJ17" s="115" t="e">
        <f t="shared" si="10"/>
        <v>#REF!</v>
      </c>
      <c r="AK17" s="115" t="e">
        <f t="shared" ref="AK17" si="11">+AK16+AK15</f>
        <v>#REF!</v>
      </c>
      <c r="AL17" s="181"/>
      <c r="AM17" s="84"/>
      <c r="AN17" s="84"/>
      <c r="AP17" s="182"/>
    </row>
    <row r="18" spans="2:42" x14ac:dyDescent="0.35">
      <c r="B18" s="169"/>
      <c r="C18" s="84"/>
      <c r="D18" s="84"/>
      <c r="E18" s="84"/>
      <c r="F18" s="84"/>
      <c r="G18" s="84"/>
      <c r="H18" s="84"/>
      <c r="I18" s="84"/>
      <c r="J18" s="84"/>
      <c r="K18" s="94"/>
      <c r="M18" s="84"/>
      <c r="N18" s="84"/>
      <c r="O18" s="84"/>
      <c r="Q18" s="85"/>
      <c r="R18" s="120" t="e">
        <f>+#REF!</f>
        <v>#REF!</v>
      </c>
      <c r="S18" s="120" t="e">
        <f>+R18</f>
        <v>#REF!</v>
      </c>
      <c r="T18" s="120" t="e">
        <f>+S18</f>
        <v>#REF!</v>
      </c>
      <c r="U18" s="120" t="e">
        <f>+T18</f>
        <v>#REF!</v>
      </c>
      <c r="V18" s="120" t="e">
        <f t="shared" ref="V18:AG18" si="12">+U18</f>
        <v>#REF!</v>
      </c>
      <c r="W18" s="120" t="e">
        <f t="shared" si="12"/>
        <v>#REF!</v>
      </c>
      <c r="X18" s="120" t="e">
        <f t="shared" si="12"/>
        <v>#REF!</v>
      </c>
      <c r="Y18" s="120" t="e">
        <f t="shared" si="12"/>
        <v>#REF!</v>
      </c>
      <c r="Z18" s="120" t="e">
        <f t="shared" si="12"/>
        <v>#REF!</v>
      </c>
      <c r="AA18" s="120" t="e">
        <f t="shared" si="12"/>
        <v>#REF!</v>
      </c>
      <c r="AB18" s="120" t="e">
        <f t="shared" si="12"/>
        <v>#REF!</v>
      </c>
      <c r="AC18" s="120" t="e">
        <f t="shared" si="12"/>
        <v>#REF!</v>
      </c>
      <c r="AD18" s="120" t="e">
        <f t="shared" si="12"/>
        <v>#REF!</v>
      </c>
      <c r="AE18" s="120" t="e">
        <f t="shared" si="12"/>
        <v>#REF!</v>
      </c>
      <c r="AF18" s="120" t="e">
        <f t="shared" si="12"/>
        <v>#REF!</v>
      </c>
      <c r="AG18" s="120" t="e">
        <f t="shared" si="12"/>
        <v>#REF!</v>
      </c>
      <c r="AH18" s="120"/>
      <c r="AI18" s="120"/>
      <c r="AJ18" s="120"/>
      <c r="AK18" s="120"/>
      <c r="AM18" s="84"/>
      <c r="AN18" s="82"/>
    </row>
    <row r="19" spans="2:42" x14ac:dyDescent="0.35">
      <c r="C19" s="132"/>
      <c r="K19" s="94"/>
      <c r="Q19" s="82"/>
      <c r="R19" s="82"/>
      <c r="S19" s="82"/>
      <c r="U19" s="94"/>
      <c r="V19" s="94"/>
      <c r="W19" s="94"/>
      <c r="X19" s="94"/>
      <c r="Y19" s="94"/>
      <c r="Z19" s="94"/>
      <c r="AA19" s="94"/>
      <c r="AB19" s="94"/>
      <c r="AC19" s="94"/>
      <c r="AD19" s="94"/>
      <c r="AE19" s="94"/>
      <c r="AF19" s="94"/>
      <c r="AG19" s="94"/>
      <c r="AH19" s="94"/>
      <c r="AI19" s="94"/>
      <c r="AJ19" s="94"/>
      <c r="AK19" s="94"/>
      <c r="AM19" s="82"/>
      <c r="AN19" s="82"/>
    </row>
    <row r="20" spans="2:42" x14ac:dyDescent="0.35">
      <c r="AM20" s="82"/>
      <c r="AN20" s="82"/>
    </row>
    <row r="21" spans="2:42" x14ac:dyDescent="0.35">
      <c r="M21" s="86"/>
      <c r="AM21" s="82"/>
    </row>
    <row r="26" spans="2:42" x14ac:dyDescent="0.35">
      <c r="N26" s="123"/>
      <c r="AH26" s="164"/>
    </row>
    <row r="33" spans="2:2" x14ac:dyDescent="0.35">
      <c r="B33" s="173" t="s">
        <v>51</v>
      </c>
    </row>
  </sheetData>
  <mergeCells count="6">
    <mergeCell ref="Q1:AN1"/>
    <mergeCell ref="B2:D2"/>
    <mergeCell ref="Q2:R2"/>
    <mergeCell ref="AL2:AM2"/>
    <mergeCell ref="B3:D3"/>
    <mergeCell ref="AL3:AM3"/>
  </mergeCells>
  <pageMargins left="0.7" right="0.7" top="0.75" bottom="0.75" header="0.3" footer="0.3"/>
  <pageSetup orientation="portrait" r:id="rId1"/>
  <customProperties>
    <customPr name="EpmWorksheetKeyString_GUID" r:id="rId2"/>
  </customProperties>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24"/>
  <dimension ref="A1:AQ32"/>
  <sheetViews>
    <sheetView zoomScale="85" zoomScaleNormal="85" workbookViewId="0">
      <selection activeCell="E33" sqref="E33"/>
    </sheetView>
  </sheetViews>
  <sheetFormatPr defaultColWidth="11.453125" defaultRowHeight="14.5" x14ac:dyDescent="0.35"/>
  <cols>
    <col min="1" max="1" width="3.453125" style="81" customWidth="1"/>
    <col min="2" max="2" width="14" style="173" customWidth="1"/>
    <col min="3" max="3" width="10.81640625" style="82" customWidth="1"/>
    <col min="4" max="4" width="10.54296875" style="82" hidden="1" customWidth="1"/>
    <col min="5" max="5" width="10.54296875" style="82" customWidth="1"/>
    <col min="6" max="6" width="11" style="82" customWidth="1"/>
    <col min="7" max="7" width="11.1796875" style="82" hidden="1" customWidth="1"/>
    <col min="8" max="8" width="11" style="82" hidden="1" customWidth="1"/>
    <col min="9" max="9" width="11.54296875" style="82" customWidth="1"/>
    <col min="10" max="10" width="8.54296875" style="81" hidden="1" customWidth="1"/>
    <col min="11" max="11" width="2.81640625" style="81" customWidth="1"/>
    <col min="12" max="12" width="13.81640625" style="173" customWidth="1"/>
    <col min="13" max="15" width="10.81640625" style="82" customWidth="1"/>
    <col min="16" max="16" width="2.81640625" style="81" customWidth="1"/>
    <col min="17" max="17" width="28.81640625" style="81" customWidth="1"/>
    <col min="18" max="18" width="16.1796875" style="81" hidden="1" customWidth="1"/>
    <col min="19" max="19" width="17.54296875" style="81" hidden="1" customWidth="1"/>
    <col min="20" max="20" width="14.54296875" style="81" hidden="1" customWidth="1"/>
    <col min="21" max="21" width="16" style="81" hidden="1" customWidth="1"/>
    <col min="22" max="22" width="17.81640625" style="81" hidden="1" customWidth="1"/>
    <col min="23" max="23" width="17.1796875" style="81" hidden="1" customWidth="1"/>
    <col min="24" max="29" width="14.453125" style="81" hidden="1" customWidth="1"/>
    <col min="30" max="30" width="16.453125" style="81" hidden="1" customWidth="1"/>
    <col min="31" max="33" width="14.81640625" style="81" hidden="1" customWidth="1"/>
    <col min="34" max="34" width="16.54296875" style="81" hidden="1" customWidth="1"/>
    <col min="35" max="36" width="17.54296875" style="81" hidden="1" customWidth="1"/>
    <col min="37" max="37" width="15.1796875" style="81" hidden="1" customWidth="1"/>
    <col min="38" max="38" width="15.1796875" style="81" customWidth="1"/>
    <col min="39" max="41" width="11.453125" style="81" hidden="1" customWidth="1"/>
    <col min="42" max="42" width="11.453125" style="81" customWidth="1"/>
    <col min="43" max="16384" width="11.453125" style="81"/>
  </cols>
  <sheetData>
    <row r="1" spans="1:41" x14ac:dyDescent="0.35">
      <c r="B1" s="122"/>
      <c r="C1" s="86"/>
      <c r="D1" s="86"/>
      <c r="E1" s="86"/>
      <c r="F1" s="87"/>
      <c r="G1" s="87"/>
      <c r="H1" s="87"/>
      <c r="I1" s="87"/>
      <c r="J1" s="87"/>
      <c r="K1" s="87"/>
      <c r="L1" s="122"/>
      <c r="M1" s="87"/>
      <c r="N1" s="87"/>
      <c r="O1" s="87"/>
      <c r="Q1" s="574"/>
      <c r="R1" s="574"/>
      <c r="S1" s="574"/>
      <c r="T1" s="574"/>
      <c r="U1" s="574"/>
      <c r="V1" s="574"/>
      <c r="W1" s="574"/>
      <c r="X1" s="574"/>
      <c r="Y1" s="574"/>
      <c r="Z1" s="574"/>
      <c r="AA1" s="574"/>
      <c r="AB1" s="574"/>
      <c r="AC1" s="574"/>
      <c r="AD1" s="574"/>
      <c r="AE1" s="574"/>
      <c r="AF1" s="574"/>
      <c r="AG1" s="574"/>
      <c r="AH1" s="574"/>
      <c r="AI1" s="574"/>
      <c r="AJ1" s="574"/>
      <c r="AK1" s="574"/>
      <c r="AL1" s="574"/>
      <c r="AM1" s="574"/>
      <c r="AN1" s="574"/>
      <c r="AO1" s="574"/>
    </row>
    <row r="2" spans="1:41" s="142" customFormat="1" ht="15" customHeight="1" x14ac:dyDescent="0.35">
      <c r="B2" s="576" t="s">
        <v>66</v>
      </c>
      <c r="C2" s="576"/>
      <c r="D2" s="576"/>
      <c r="E2" s="141" t="e">
        <f>+AL11</f>
        <v>#REF!</v>
      </c>
      <c r="H2" s="141"/>
      <c r="I2" s="141"/>
      <c r="J2" s="143">
        <v>0.05</v>
      </c>
      <c r="K2" s="144"/>
      <c r="L2" s="171"/>
      <c r="M2" s="141"/>
      <c r="N2" s="141"/>
      <c r="O2" s="141"/>
      <c r="Q2" s="576"/>
      <c r="R2" s="576"/>
      <c r="S2" s="141"/>
      <c r="T2" s="143"/>
      <c r="U2" s="144"/>
      <c r="V2" s="144"/>
      <c r="W2" s="144"/>
      <c r="X2" s="144"/>
      <c r="Y2" s="144"/>
      <c r="Z2" s="144"/>
      <c r="AA2" s="144"/>
      <c r="AB2" s="144"/>
      <c r="AC2" s="144"/>
      <c r="AD2" s="144"/>
      <c r="AE2" s="144"/>
      <c r="AF2" s="144"/>
      <c r="AG2" s="144"/>
      <c r="AH2" s="144"/>
      <c r="AI2" s="144"/>
      <c r="AJ2" s="144"/>
      <c r="AK2" s="144"/>
      <c r="AL2" s="144"/>
      <c r="AM2" s="576"/>
      <c r="AN2" s="576"/>
      <c r="AO2" s="141"/>
    </row>
    <row r="3" spans="1:41" s="133" customFormat="1" ht="15" customHeight="1" x14ac:dyDescent="0.35">
      <c r="B3" s="576" t="s">
        <v>67</v>
      </c>
      <c r="C3" s="576"/>
      <c r="D3" s="576"/>
      <c r="E3" s="134" t="e">
        <f>+AL14</f>
        <v>#REF!</v>
      </c>
      <c r="G3" s="135"/>
      <c r="H3" s="134"/>
      <c r="I3" s="134"/>
      <c r="J3" s="137" t="e">
        <f>+E2*J2</f>
        <v>#REF!</v>
      </c>
      <c r="K3" s="136"/>
      <c r="L3" s="174"/>
      <c r="M3" s="134"/>
      <c r="N3" s="134"/>
      <c r="O3" s="134"/>
      <c r="Q3" s="138"/>
      <c r="R3" s="139"/>
      <c r="S3" s="140"/>
      <c r="U3" s="136"/>
      <c r="V3" s="136"/>
      <c r="W3" s="136"/>
      <c r="X3" s="136"/>
      <c r="Y3" s="136"/>
      <c r="Z3" s="136"/>
      <c r="AA3" s="136"/>
      <c r="AB3" s="136"/>
      <c r="AC3" s="136"/>
      <c r="AD3" s="136"/>
      <c r="AE3" s="136"/>
      <c r="AF3" s="136"/>
      <c r="AG3" s="136"/>
      <c r="AH3" s="136"/>
      <c r="AI3" s="136"/>
      <c r="AJ3" s="136"/>
      <c r="AK3" s="136"/>
      <c r="AL3" s="136"/>
      <c r="AM3" s="577"/>
      <c r="AN3" s="577"/>
      <c r="AO3" s="134"/>
    </row>
    <row r="4" spans="1:41" ht="23.5" x14ac:dyDescent="0.55000000000000004">
      <c r="B4" s="169"/>
      <c r="C4" s="92" t="e">
        <f>+(C9+C10)/C6*1000</f>
        <v>#REF!</v>
      </c>
      <c r="D4" s="92" t="e">
        <f>+(G9+G10)/G6*1000</f>
        <v>#REF!</v>
      </c>
      <c r="E4" s="92" t="e">
        <f>+(E9+E10)/E6*1000</f>
        <v>#REF!</v>
      </c>
      <c r="F4" s="92" t="e">
        <f>+(F9+F10)/F6*1000</f>
        <v>#REF!</v>
      </c>
      <c r="I4" s="92" t="e">
        <f>+(I9+I10)/I6*1000</f>
        <v>#REF!</v>
      </c>
      <c r="K4" s="88"/>
      <c r="L4" s="169"/>
      <c r="M4" s="92"/>
      <c r="N4" s="92"/>
      <c r="O4" s="92"/>
      <c r="Q4" s="93"/>
      <c r="R4" s="82"/>
      <c r="S4" s="90"/>
      <c r="T4" s="94"/>
      <c r="U4" s="88"/>
      <c r="V4" s="88"/>
      <c r="W4" s="88"/>
      <c r="X4" s="88"/>
      <c r="Y4" s="88"/>
      <c r="Z4" s="88"/>
      <c r="AA4" s="88"/>
      <c r="AB4" s="88"/>
      <c r="AC4" s="88"/>
      <c r="AD4" s="88"/>
      <c r="AE4" s="88"/>
      <c r="AF4" s="88"/>
      <c r="AG4" s="88"/>
      <c r="AH4" s="88"/>
      <c r="AI4" s="88"/>
      <c r="AJ4" s="88"/>
      <c r="AK4" s="88"/>
      <c r="AL4" s="88"/>
      <c r="AM4" s="91"/>
      <c r="AN4" s="91"/>
      <c r="AO4" s="78"/>
    </row>
    <row r="5" spans="1:41" s="95" customFormat="1" ht="33.75" customHeight="1" x14ac:dyDescent="0.35">
      <c r="B5" s="169" t="s">
        <v>5</v>
      </c>
      <c r="C5" s="85" t="s">
        <v>68</v>
      </c>
      <c r="D5" s="85" t="s">
        <v>69</v>
      </c>
      <c r="E5" s="85" t="s">
        <v>69</v>
      </c>
      <c r="F5" s="85" t="s">
        <v>69</v>
      </c>
      <c r="G5" s="85" t="s">
        <v>70</v>
      </c>
      <c r="H5" s="85" t="s">
        <v>70</v>
      </c>
      <c r="I5" s="85" t="s">
        <v>70</v>
      </c>
      <c r="J5" s="85"/>
      <c r="K5" s="88"/>
      <c r="L5" s="169" t="s">
        <v>71</v>
      </c>
      <c r="M5" s="96" t="s">
        <v>7</v>
      </c>
      <c r="N5" s="96" t="s">
        <v>8</v>
      </c>
      <c r="O5" s="96" t="s">
        <v>8</v>
      </c>
      <c r="Q5" s="147" t="s">
        <v>72</v>
      </c>
      <c r="R5" s="99" t="s">
        <v>54</v>
      </c>
      <c r="S5" s="99" t="s">
        <v>55</v>
      </c>
      <c r="T5" s="99" t="s">
        <v>56</v>
      </c>
      <c r="U5" s="99" t="s">
        <v>12</v>
      </c>
      <c r="V5" s="99" t="s">
        <v>57</v>
      </c>
      <c r="W5" s="99" t="s">
        <v>58</v>
      </c>
      <c r="X5" s="99" t="s">
        <v>59</v>
      </c>
      <c r="Y5" s="99" t="s">
        <v>60</v>
      </c>
      <c r="Z5" s="99" t="s">
        <v>62</v>
      </c>
      <c r="AA5" s="99" t="s">
        <v>64</v>
      </c>
      <c r="AB5" s="99" t="s">
        <v>65</v>
      </c>
      <c r="AC5" s="99" t="s">
        <v>73</v>
      </c>
      <c r="AD5" s="99" t="s">
        <v>53</v>
      </c>
      <c r="AE5" s="99" t="s">
        <v>77</v>
      </c>
      <c r="AF5" s="99" t="s">
        <v>78</v>
      </c>
      <c r="AG5" s="99" t="s">
        <v>79</v>
      </c>
      <c r="AH5" s="99" t="s">
        <v>90</v>
      </c>
      <c r="AI5" s="99" t="s">
        <v>91</v>
      </c>
      <c r="AJ5" s="99" t="s">
        <v>97</v>
      </c>
      <c r="AK5" s="99" t="s">
        <v>98</v>
      </c>
      <c r="AL5" s="99" t="s">
        <v>102</v>
      </c>
      <c r="AM5" s="100"/>
      <c r="AN5" s="97"/>
      <c r="AO5" s="97"/>
    </row>
    <row r="6" spans="1:41" x14ac:dyDescent="0.35">
      <c r="B6" s="169" t="s">
        <v>13</v>
      </c>
      <c r="C6" s="101">
        <v>16.7</v>
      </c>
      <c r="D6" s="101">
        <v>16.7</v>
      </c>
      <c r="E6" s="101">
        <v>20.6</v>
      </c>
      <c r="F6" s="101">
        <v>20.6</v>
      </c>
      <c r="G6" s="101">
        <v>30.6</v>
      </c>
      <c r="H6" s="101">
        <v>30.6</v>
      </c>
      <c r="I6" s="101">
        <v>38.6</v>
      </c>
      <c r="J6" s="101"/>
      <c r="L6" s="169" t="s">
        <v>13</v>
      </c>
      <c r="M6" s="101">
        <v>15</v>
      </c>
      <c r="N6" s="101">
        <v>20.5</v>
      </c>
      <c r="O6" s="101">
        <v>20.5</v>
      </c>
      <c r="Q6" s="102" t="s">
        <v>14</v>
      </c>
      <c r="R6" s="104">
        <v>938.13</v>
      </c>
      <c r="S6" s="105">
        <v>959</v>
      </c>
      <c r="T6" s="104">
        <v>1006.25</v>
      </c>
      <c r="U6" s="130">
        <v>993.75</v>
      </c>
      <c r="V6" s="131">
        <v>1015.5</v>
      </c>
      <c r="W6" s="131">
        <v>1045.5999999999999</v>
      </c>
      <c r="X6" s="43">
        <v>1103.75</v>
      </c>
      <c r="Y6" s="43">
        <v>1148.75</v>
      </c>
      <c r="Z6" s="43">
        <v>1167</v>
      </c>
      <c r="AA6" s="43">
        <v>1221.25</v>
      </c>
      <c r="AB6" s="43">
        <v>1330</v>
      </c>
      <c r="AC6" s="43">
        <f>+'IHS (Mod)'!I5</f>
        <v>1280</v>
      </c>
      <c r="AD6" s="43">
        <f>+'IHS (Mod)'!J5</f>
        <v>1279.380005</v>
      </c>
      <c r="AE6" s="43">
        <v>1275.5</v>
      </c>
      <c r="AF6" s="43" t="e">
        <f>+#REF!</f>
        <v>#REF!</v>
      </c>
      <c r="AG6" s="43" t="e">
        <f>+#REF!</f>
        <v>#REF!</v>
      </c>
      <c r="AH6" s="43" t="e">
        <f>+#REF!</f>
        <v>#REF!</v>
      </c>
      <c r="AI6" s="43" t="e">
        <f>+#REF!</f>
        <v>#REF!</v>
      </c>
      <c r="AJ6" s="43" t="e">
        <f>+#REF!</f>
        <v>#REF!</v>
      </c>
      <c r="AK6" s="43" t="e">
        <f>+#REF!</f>
        <v>#REF!</v>
      </c>
      <c r="AL6" s="43" t="e">
        <f>+#REF!</f>
        <v>#REF!</v>
      </c>
      <c r="AM6" s="85"/>
      <c r="AN6" s="101"/>
      <c r="AO6" s="101"/>
    </row>
    <row r="7" spans="1:41" x14ac:dyDescent="0.35">
      <c r="B7" s="170" t="s">
        <v>16</v>
      </c>
      <c r="C7" s="91" t="s">
        <v>17</v>
      </c>
      <c r="D7" s="91" t="s">
        <v>17</v>
      </c>
      <c r="E7" s="91" t="s">
        <v>17</v>
      </c>
      <c r="F7" s="91" t="s">
        <v>17</v>
      </c>
      <c r="G7" s="91" t="s">
        <v>17</v>
      </c>
      <c r="H7" s="91" t="s">
        <v>17</v>
      </c>
      <c r="I7" s="91" t="s">
        <v>17</v>
      </c>
      <c r="J7" s="91"/>
      <c r="L7" s="170" t="s">
        <v>16</v>
      </c>
      <c r="M7" s="91" t="s">
        <v>17</v>
      </c>
      <c r="N7" s="91" t="s">
        <v>17</v>
      </c>
      <c r="O7" s="91" t="s">
        <v>17</v>
      </c>
      <c r="Q7" s="128" t="s">
        <v>99</v>
      </c>
      <c r="R7" s="129">
        <v>25.09</v>
      </c>
      <c r="S7" s="129">
        <v>25.09</v>
      </c>
      <c r="T7" s="129">
        <v>25.09</v>
      </c>
      <c r="U7" s="129">
        <v>25</v>
      </c>
      <c r="V7" s="129">
        <v>25</v>
      </c>
      <c r="W7" s="129">
        <v>25</v>
      </c>
      <c r="X7" s="129">
        <v>25</v>
      </c>
      <c r="Y7" s="129">
        <v>25</v>
      </c>
      <c r="Z7" s="129">
        <v>25</v>
      </c>
      <c r="AA7" s="129">
        <v>25</v>
      </c>
      <c r="AB7" s="129">
        <v>25</v>
      </c>
      <c r="AC7" s="129">
        <v>33.139726027397259</v>
      </c>
      <c r="AD7" s="129">
        <f>+Septiembre18!AD8</f>
        <v>33.1236741020548</v>
      </c>
      <c r="AE7" s="129">
        <v>33.023219178082194</v>
      </c>
      <c r="AF7" s="129">
        <v>33.023219178082194</v>
      </c>
      <c r="AG7" s="129">
        <v>32.783732876712328</v>
      </c>
      <c r="AH7" s="129">
        <v>29.126712328767123</v>
      </c>
      <c r="AI7" s="129">
        <v>27.395420677397254</v>
      </c>
      <c r="AJ7" s="129">
        <v>26.796575342465754</v>
      </c>
      <c r="AK7" s="129">
        <v>13.948458904109588</v>
      </c>
      <c r="AL7" s="129" t="e">
        <f>+AO7</f>
        <v>#REF!</v>
      </c>
      <c r="AM7" s="85" t="e">
        <f>+AL6*4.5%</f>
        <v>#REF!</v>
      </c>
      <c r="AN7" s="91" t="e">
        <f>+AM7/365</f>
        <v>#REF!</v>
      </c>
      <c r="AO7" s="91" t="e">
        <f>+(AN7*210)*50%</f>
        <v>#REF!</v>
      </c>
    </row>
    <row r="8" spans="1:41" s="95" customFormat="1" ht="29" x14ac:dyDescent="0.35">
      <c r="B8" s="175" t="s">
        <v>92</v>
      </c>
      <c r="C8" s="177" t="s">
        <v>93</v>
      </c>
      <c r="D8" s="177" t="s">
        <v>94</v>
      </c>
      <c r="E8" s="176">
        <v>1</v>
      </c>
      <c r="F8" s="177" t="s">
        <v>93</v>
      </c>
      <c r="G8" s="176">
        <v>1</v>
      </c>
      <c r="H8" s="177" t="s">
        <v>94</v>
      </c>
      <c r="I8" s="177" t="s">
        <v>93</v>
      </c>
      <c r="J8" s="162"/>
      <c r="L8" s="175" t="str">
        <f>+B8</f>
        <v>% Resina (Virgen/PCR)</v>
      </c>
      <c r="M8" s="177" t="s">
        <v>94</v>
      </c>
      <c r="N8" s="176">
        <v>1</v>
      </c>
      <c r="O8" s="177" t="s">
        <v>94</v>
      </c>
      <c r="Q8" s="166" t="s">
        <v>20</v>
      </c>
      <c r="R8" s="129">
        <v>65</v>
      </c>
      <c r="S8" s="167">
        <v>65</v>
      </c>
      <c r="T8" s="129">
        <v>65</v>
      </c>
      <c r="U8" s="129">
        <v>65</v>
      </c>
      <c r="V8" s="129">
        <v>65</v>
      </c>
      <c r="W8" s="129">
        <v>65</v>
      </c>
      <c r="X8" s="129">
        <v>65</v>
      </c>
      <c r="Y8" s="129">
        <v>65</v>
      </c>
      <c r="Z8" s="129">
        <v>65</v>
      </c>
      <c r="AA8" s="129">
        <v>65</v>
      </c>
      <c r="AB8" s="129">
        <v>65</v>
      </c>
      <c r="AC8" s="129">
        <v>70</v>
      </c>
      <c r="AD8" s="129">
        <v>70</v>
      </c>
      <c r="AE8" s="129">
        <v>70</v>
      </c>
      <c r="AF8" s="129">
        <v>70</v>
      </c>
      <c r="AG8" s="129">
        <v>70</v>
      </c>
      <c r="AH8" s="129">
        <v>70</v>
      </c>
      <c r="AI8" s="129">
        <v>70</v>
      </c>
      <c r="AJ8" s="129">
        <v>70</v>
      </c>
      <c r="AK8" s="129">
        <v>70</v>
      </c>
      <c r="AL8" s="129">
        <v>70</v>
      </c>
      <c r="AM8" s="168"/>
      <c r="AN8" s="165"/>
      <c r="AO8" s="165"/>
    </row>
    <row r="9" spans="1:41" x14ac:dyDescent="0.35">
      <c r="B9" s="170" t="s">
        <v>19</v>
      </c>
      <c r="C9" s="80" t="e">
        <f>+(C6*E2/1000)*1.01*50%</f>
        <v>#REF!</v>
      </c>
      <c r="D9" s="80" t="e">
        <f>+(D6*$E$2/1000)*1.01*75%</f>
        <v>#REF!</v>
      </c>
      <c r="E9" s="80" t="e">
        <f>+(E6*$E$2/1000)*1.01</f>
        <v>#REF!</v>
      </c>
      <c r="F9" s="80" t="e">
        <f>+(F6*$E$2/1000)*1.01*50%</f>
        <v>#REF!</v>
      </c>
      <c r="G9" s="80" t="e">
        <f>+(G6*E2/1000)*1.01</f>
        <v>#REF!</v>
      </c>
      <c r="H9" s="80" t="e">
        <f>+(H6*$E$2/1000)*1.01*75%</f>
        <v>#REF!</v>
      </c>
      <c r="I9" s="80" t="e">
        <f>+(I6*$E$2/1000)*1.01*50%</f>
        <v>#REF!</v>
      </c>
      <c r="J9" s="80"/>
      <c r="L9" s="170" t="s">
        <v>19</v>
      </c>
      <c r="M9" s="80" t="e">
        <f>+(M6*E2/1000)*1.005*75%</f>
        <v>#REF!</v>
      </c>
      <c r="N9" s="80" t="e">
        <f>+(N6*E2/1000)*1.005</f>
        <v>#REF!</v>
      </c>
      <c r="O9" s="80" t="e">
        <f>+(O6*E2/1000)*1.005*75%</f>
        <v>#REF!</v>
      </c>
      <c r="Q9" s="102"/>
      <c r="R9" s="104">
        <f>SUM(R6:R8)</f>
        <v>1028.22</v>
      </c>
      <c r="S9" s="104">
        <f>SUM(S6:S8)</f>
        <v>1049.0900000000001</v>
      </c>
      <c r="T9" s="104">
        <f>SUM(T6:T8)</f>
        <v>1096.3399999999999</v>
      </c>
      <c r="U9" s="104">
        <f>SUM(U6:U8)</f>
        <v>1083.75</v>
      </c>
      <c r="V9" s="104">
        <f t="shared" ref="V9:AG9" si="0">SUM(V6:V8)</f>
        <v>1105.5</v>
      </c>
      <c r="W9" s="104">
        <f t="shared" si="0"/>
        <v>1135.5999999999999</v>
      </c>
      <c r="X9" s="104">
        <f t="shared" si="0"/>
        <v>1193.75</v>
      </c>
      <c r="Y9" s="104">
        <f t="shared" si="0"/>
        <v>1238.75</v>
      </c>
      <c r="Z9" s="104">
        <f t="shared" si="0"/>
        <v>1257</v>
      </c>
      <c r="AA9" s="104">
        <f t="shared" si="0"/>
        <v>1311.25</v>
      </c>
      <c r="AB9" s="104">
        <f t="shared" si="0"/>
        <v>1420</v>
      </c>
      <c r="AC9" s="104">
        <f t="shared" si="0"/>
        <v>1383.1397260273973</v>
      </c>
      <c r="AD9" s="104">
        <f t="shared" si="0"/>
        <v>1382.5036791020548</v>
      </c>
      <c r="AE9" s="104">
        <f t="shared" si="0"/>
        <v>1378.5232191780822</v>
      </c>
      <c r="AF9" s="104" t="e">
        <f t="shared" si="0"/>
        <v>#REF!</v>
      </c>
      <c r="AG9" s="104" t="e">
        <f t="shared" si="0"/>
        <v>#REF!</v>
      </c>
      <c r="AH9" s="104" t="e">
        <f>SUM(AH6:AH8)</f>
        <v>#REF!</v>
      </c>
      <c r="AI9" s="104" t="e">
        <f>SUM(AI6:AI8)</f>
        <v>#REF!</v>
      </c>
      <c r="AJ9" s="104" t="e">
        <f>SUM(AJ6:AJ8)</f>
        <v>#REF!</v>
      </c>
      <c r="AK9" s="104" t="e">
        <f>SUM(AK6:AK8)</f>
        <v>#REF!</v>
      </c>
      <c r="AL9" s="104" t="e">
        <f>SUM(AL6:AL8)</f>
        <v>#REF!</v>
      </c>
      <c r="AM9" s="79"/>
      <c r="AN9" s="80"/>
      <c r="AO9" s="80"/>
    </row>
    <row r="10" spans="1:41" x14ac:dyDescent="0.35">
      <c r="B10" s="172" t="s">
        <v>23</v>
      </c>
      <c r="C10" s="76" t="e">
        <f>+(C6*$E$3/1000)*1.01*50%</f>
        <v>#REF!</v>
      </c>
      <c r="D10" s="76" t="e">
        <f>+(D6*$E$3/1000)*1.01*25%</f>
        <v>#REF!</v>
      </c>
      <c r="E10" s="76">
        <v>0</v>
      </c>
      <c r="F10" s="76" t="e">
        <f>+(F6*$E$3/1000)*1.01*50%</f>
        <v>#REF!</v>
      </c>
      <c r="G10" s="76">
        <v>0</v>
      </c>
      <c r="H10" s="76" t="e">
        <f>+(H6*$E$3/1000)*1.01*25%</f>
        <v>#REF!</v>
      </c>
      <c r="I10" s="76" t="e">
        <f>+(I6*$E$3/1000)*1.01*50%</f>
        <v>#REF!</v>
      </c>
      <c r="J10" s="76"/>
      <c r="K10" s="121"/>
      <c r="L10" s="172" t="s">
        <v>23</v>
      </c>
      <c r="M10" s="76" t="e">
        <f>+(M6*E3/1000)*1.005*25%</f>
        <v>#REF!</v>
      </c>
      <c r="N10" s="76">
        <v>0</v>
      </c>
      <c r="O10" s="76" t="e">
        <f>+(O6*E3/1000)*1.005*25%</f>
        <v>#REF!</v>
      </c>
      <c r="Q10" s="106" t="s">
        <v>27</v>
      </c>
      <c r="R10" s="108">
        <f>+R9*4%</f>
        <v>41.128800000000005</v>
      </c>
      <c r="S10" s="104">
        <f>+S9*4%</f>
        <v>41.963600000000007</v>
      </c>
      <c r="T10" s="108">
        <f>+T9*4%</f>
        <v>43.8536</v>
      </c>
      <c r="U10" s="108">
        <f>+U9*4%</f>
        <v>43.35</v>
      </c>
      <c r="V10" s="108">
        <f t="shared" ref="V10:AG10" si="1">+V9*4%</f>
        <v>44.22</v>
      </c>
      <c r="W10" s="108">
        <f t="shared" si="1"/>
        <v>45.423999999999999</v>
      </c>
      <c r="X10" s="108">
        <f t="shared" si="1"/>
        <v>47.75</v>
      </c>
      <c r="Y10" s="108">
        <f t="shared" si="1"/>
        <v>49.550000000000004</v>
      </c>
      <c r="Z10" s="108">
        <f t="shared" si="1"/>
        <v>50.28</v>
      </c>
      <c r="AA10" s="108">
        <f t="shared" si="1"/>
        <v>52.45</v>
      </c>
      <c r="AB10" s="108">
        <f t="shared" si="1"/>
        <v>56.800000000000004</v>
      </c>
      <c r="AC10" s="108">
        <f t="shared" si="1"/>
        <v>55.325589041095895</v>
      </c>
      <c r="AD10" s="108">
        <f t="shared" si="1"/>
        <v>55.30014716408219</v>
      </c>
      <c r="AE10" s="108">
        <f t="shared" si="1"/>
        <v>55.140928767123285</v>
      </c>
      <c r="AF10" s="108" t="e">
        <f t="shared" si="1"/>
        <v>#REF!</v>
      </c>
      <c r="AG10" s="108" t="e">
        <f t="shared" si="1"/>
        <v>#REF!</v>
      </c>
      <c r="AH10" s="108" t="e">
        <f>+AH9*4%</f>
        <v>#REF!</v>
      </c>
      <c r="AI10" s="108" t="e">
        <f>+AI9*4%</f>
        <v>#REF!</v>
      </c>
      <c r="AJ10" s="108" t="e">
        <f>+AJ9*4%</f>
        <v>#REF!</v>
      </c>
      <c r="AK10" s="108" t="e">
        <f>+AK9*4%</f>
        <v>#REF!</v>
      </c>
      <c r="AL10" s="108" t="e">
        <f>+AL9*4%</f>
        <v>#REF!</v>
      </c>
      <c r="AM10" s="79"/>
      <c r="AN10" s="80"/>
      <c r="AO10" s="80"/>
    </row>
    <row r="11" spans="1:41" x14ac:dyDescent="0.35">
      <c r="B11" s="169" t="s">
        <v>95</v>
      </c>
      <c r="C11" s="84" t="e">
        <f>SUM(C9:C10)</f>
        <v>#REF!</v>
      </c>
      <c r="D11" s="84" t="e">
        <f t="shared" ref="D11:J11" si="2">SUM(D9:D10)</f>
        <v>#REF!</v>
      </c>
      <c r="E11" s="84" t="e">
        <f t="shared" si="2"/>
        <v>#REF!</v>
      </c>
      <c r="F11" s="84" t="e">
        <f t="shared" si="2"/>
        <v>#REF!</v>
      </c>
      <c r="G11" s="84" t="e">
        <f t="shared" si="2"/>
        <v>#REF!</v>
      </c>
      <c r="H11" s="84" t="e">
        <f t="shared" si="2"/>
        <v>#REF!</v>
      </c>
      <c r="I11" s="84" t="e">
        <f t="shared" si="2"/>
        <v>#REF!</v>
      </c>
      <c r="J11" s="80">
        <f t="shared" si="2"/>
        <v>0</v>
      </c>
      <c r="K11" s="80"/>
      <c r="L11" s="169" t="s">
        <v>95</v>
      </c>
      <c r="M11" s="84" t="e">
        <f t="shared" ref="M11:O11" si="3">SUM(M9:M10)</f>
        <v>#REF!</v>
      </c>
      <c r="N11" s="84" t="e">
        <f t="shared" si="3"/>
        <v>#REF!</v>
      </c>
      <c r="O11" s="84" t="e">
        <f t="shared" si="3"/>
        <v>#REF!</v>
      </c>
      <c r="Q11" s="157" t="s">
        <v>30</v>
      </c>
      <c r="R11" s="158">
        <f>+R10+R9</f>
        <v>1069.3488</v>
      </c>
      <c r="S11" s="159">
        <f>+S10+S9</f>
        <v>1091.0536000000002</v>
      </c>
      <c r="T11" s="158">
        <f>+T10+T9</f>
        <v>1140.1935999999998</v>
      </c>
      <c r="U11" s="158">
        <f>+U10+U9</f>
        <v>1127.0999999999999</v>
      </c>
      <c r="V11" s="158">
        <f t="shared" ref="V11:AG11" si="4">+V10+V9</f>
        <v>1149.72</v>
      </c>
      <c r="W11" s="158">
        <f t="shared" si="4"/>
        <v>1181.0239999999999</v>
      </c>
      <c r="X11" s="158">
        <f t="shared" si="4"/>
        <v>1241.5</v>
      </c>
      <c r="Y11" s="158">
        <f t="shared" si="4"/>
        <v>1288.3</v>
      </c>
      <c r="Z11" s="158">
        <f t="shared" si="4"/>
        <v>1307.28</v>
      </c>
      <c r="AA11" s="158">
        <f t="shared" si="4"/>
        <v>1363.7</v>
      </c>
      <c r="AB11" s="158">
        <f t="shared" si="4"/>
        <v>1476.8</v>
      </c>
      <c r="AC11" s="158">
        <f t="shared" si="4"/>
        <v>1438.4653150684931</v>
      </c>
      <c r="AD11" s="158">
        <f t="shared" si="4"/>
        <v>1437.8038262661369</v>
      </c>
      <c r="AE11" s="158">
        <f t="shared" si="4"/>
        <v>1433.6641479452055</v>
      </c>
      <c r="AF11" s="158" t="e">
        <f t="shared" si="4"/>
        <v>#REF!</v>
      </c>
      <c r="AG11" s="158" t="e">
        <f t="shared" si="4"/>
        <v>#REF!</v>
      </c>
      <c r="AH11" s="158" t="e">
        <f>+AH10+AH9</f>
        <v>#REF!</v>
      </c>
      <c r="AI11" s="158" t="e">
        <f>+AI10+AI9</f>
        <v>#REF!</v>
      </c>
      <c r="AJ11" s="158" t="e">
        <f>+AJ10+AJ9</f>
        <v>#REF!</v>
      </c>
      <c r="AK11" s="158" t="e">
        <f>+AK10+AK9</f>
        <v>#REF!</v>
      </c>
      <c r="AL11" s="158" t="e">
        <f>+AL10+AL9</f>
        <v>#REF!</v>
      </c>
      <c r="AM11" s="79"/>
      <c r="AN11" s="80"/>
      <c r="AO11" s="80"/>
    </row>
    <row r="12" spans="1:41" x14ac:dyDescent="0.35">
      <c r="B12" s="170" t="s">
        <v>26</v>
      </c>
      <c r="C12" s="80">
        <f>8.2+0.03</f>
        <v>8.2299999999999986</v>
      </c>
      <c r="D12" s="80">
        <v>8.2299999999999986</v>
      </c>
      <c r="E12" s="80">
        <f>8.2+0.03</f>
        <v>8.2299999999999986</v>
      </c>
      <c r="F12" s="80">
        <f>8.2+0.03</f>
        <v>8.2299999999999986</v>
      </c>
      <c r="G12" s="80">
        <v>11.200000000000001</v>
      </c>
      <c r="H12" s="80">
        <v>11.200000000000001</v>
      </c>
      <c r="I12" s="80">
        <f>11.15+0.05</f>
        <v>11.200000000000001</v>
      </c>
      <c r="J12" s="80"/>
      <c r="L12" s="170" t="s">
        <v>26</v>
      </c>
      <c r="M12" s="80">
        <f>27.2+0.11</f>
        <v>27.31</v>
      </c>
      <c r="N12" s="80">
        <f>27.2+0.12</f>
        <v>27.32</v>
      </c>
      <c r="O12" s="80">
        <f>27.2+0.12</f>
        <v>27.32</v>
      </c>
      <c r="Q12" s="160" t="s">
        <v>32</v>
      </c>
      <c r="R12" s="161">
        <f>+R11*(1-5%)</f>
        <v>1015.88136</v>
      </c>
      <c r="S12" s="161">
        <f t="shared" ref="S12:AG12" si="5">+S11*(1-5%)</f>
        <v>1036.5009200000002</v>
      </c>
      <c r="T12" s="161">
        <f t="shared" si="5"/>
        <v>1083.1839199999997</v>
      </c>
      <c r="U12" s="161">
        <f t="shared" si="5"/>
        <v>1070.7449999999999</v>
      </c>
      <c r="V12" s="161">
        <f t="shared" si="5"/>
        <v>1092.2339999999999</v>
      </c>
      <c r="W12" s="161">
        <f t="shared" si="5"/>
        <v>1121.9727999999998</v>
      </c>
      <c r="X12" s="161">
        <f t="shared" si="5"/>
        <v>1179.425</v>
      </c>
      <c r="Y12" s="161">
        <f t="shared" si="5"/>
        <v>1223.885</v>
      </c>
      <c r="Z12" s="161">
        <f t="shared" si="5"/>
        <v>1241.9159999999999</v>
      </c>
      <c r="AA12" s="161">
        <f t="shared" si="5"/>
        <v>1295.5149999999999</v>
      </c>
      <c r="AB12" s="161">
        <f t="shared" si="5"/>
        <v>1402.9599999999998</v>
      </c>
      <c r="AC12" s="161">
        <f t="shared" si="5"/>
        <v>1366.5420493150684</v>
      </c>
      <c r="AD12" s="161">
        <f t="shared" si="5"/>
        <v>1365.9136349528299</v>
      </c>
      <c r="AE12" s="161">
        <f t="shared" si="5"/>
        <v>1361.9809405479452</v>
      </c>
      <c r="AF12" s="161" t="e">
        <f t="shared" si="5"/>
        <v>#REF!</v>
      </c>
      <c r="AG12" s="161" t="e">
        <f t="shared" si="5"/>
        <v>#REF!</v>
      </c>
      <c r="AH12" s="161" t="e">
        <f>+AH11*(1-5%)</f>
        <v>#REF!</v>
      </c>
      <c r="AI12" s="161" t="e">
        <f>+AI11*(1-5%)</f>
        <v>#REF!</v>
      </c>
      <c r="AJ12" s="161" t="e">
        <f>+AJ11*(1-5%)</f>
        <v>#REF!</v>
      </c>
      <c r="AK12" s="161" t="e">
        <f>+AK11*(1-5%)</f>
        <v>#REF!</v>
      </c>
      <c r="AL12" s="161" t="e">
        <f>+AL11*(1-5%)</f>
        <v>#REF!</v>
      </c>
      <c r="AM12" s="79"/>
      <c r="AN12" s="80"/>
      <c r="AO12" s="80"/>
    </row>
    <row r="13" spans="1:41" x14ac:dyDescent="0.35">
      <c r="B13" s="170" t="s">
        <v>31</v>
      </c>
      <c r="C13" s="80">
        <v>1.5</v>
      </c>
      <c r="D13" s="80">
        <v>1.5</v>
      </c>
      <c r="E13" s="80">
        <v>1.83</v>
      </c>
      <c r="F13" s="80">
        <v>1.83</v>
      </c>
      <c r="G13" s="80">
        <v>3.45</v>
      </c>
      <c r="H13" s="80">
        <v>3.45</v>
      </c>
      <c r="I13" s="80">
        <v>3.45</v>
      </c>
      <c r="J13" s="80"/>
      <c r="L13" s="170" t="s">
        <v>31</v>
      </c>
      <c r="M13" s="80">
        <v>0.9</v>
      </c>
      <c r="N13" s="80">
        <v>2.1800000000000002</v>
      </c>
      <c r="O13" s="80">
        <v>2.1800000000000002</v>
      </c>
      <c r="Q13" s="128" t="s">
        <v>100</v>
      </c>
      <c r="R13" s="128" t="s">
        <v>18</v>
      </c>
      <c r="S13" s="128" t="s">
        <v>18</v>
      </c>
      <c r="T13" s="128" t="s">
        <v>18</v>
      </c>
      <c r="U13" s="128" t="s">
        <v>18</v>
      </c>
      <c r="V13" s="128" t="s">
        <v>18</v>
      </c>
      <c r="W13" s="128" t="s">
        <v>18</v>
      </c>
      <c r="X13" s="128" t="s">
        <v>18</v>
      </c>
      <c r="Y13" s="128" t="s">
        <v>18</v>
      </c>
      <c r="Z13" s="128" t="s">
        <v>18</v>
      </c>
      <c r="AA13" s="128" t="s">
        <v>18</v>
      </c>
      <c r="AB13" s="128" t="s">
        <v>18</v>
      </c>
      <c r="AC13" s="128" t="s">
        <v>18</v>
      </c>
      <c r="AD13" s="128" t="s">
        <v>18</v>
      </c>
      <c r="AE13" s="128" t="s">
        <v>18</v>
      </c>
      <c r="AF13" s="128" t="s">
        <v>18</v>
      </c>
      <c r="AG13" s="128" t="s">
        <v>18</v>
      </c>
      <c r="AH13" s="128" t="s">
        <v>18</v>
      </c>
      <c r="AI13" s="128" t="s">
        <v>18</v>
      </c>
      <c r="AJ13" s="129">
        <v>0</v>
      </c>
      <c r="AK13" s="129" t="e">
        <f>+AO13</f>
        <v>#REF!</v>
      </c>
      <c r="AL13" s="129" t="e">
        <f>+AO13</f>
        <v>#REF!</v>
      </c>
      <c r="AM13" s="85" t="e">
        <f>+AL12*4.5%</f>
        <v>#REF!</v>
      </c>
      <c r="AN13" s="91" t="e">
        <f>+AM13/365</f>
        <v>#REF!</v>
      </c>
      <c r="AO13" s="91" t="e">
        <f>+(AN13*210)*50%</f>
        <v>#REF!</v>
      </c>
    </row>
    <row r="14" spans="1:41" x14ac:dyDescent="0.35">
      <c r="B14" s="170" t="s">
        <v>34</v>
      </c>
      <c r="C14" s="80">
        <v>0.19</v>
      </c>
      <c r="D14" s="80">
        <v>0.19</v>
      </c>
      <c r="E14" s="80">
        <v>0.19</v>
      </c>
      <c r="F14" s="80">
        <v>0.19</v>
      </c>
      <c r="G14" s="80">
        <v>0.33</v>
      </c>
      <c r="H14" s="80">
        <v>0.33</v>
      </c>
      <c r="I14" s="80">
        <v>0.33</v>
      </c>
      <c r="J14" s="80"/>
      <c r="L14" s="170" t="s">
        <v>34</v>
      </c>
      <c r="M14" s="80">
        <v>4.3</v>
      </c>
      <c r="N14" s="80">
        <v>4.3</v>
      </c>
      <c r="O14" s="80">
        <v>4.3</v>
      </c>
      <c r="Q14" s="179" t="s">
        <v>101</v>
      </c>
      <c r="R14" s="179"/>
      <c r="S14" s="179"/>
      <c r="T14" s="179"/>
      <c r="U14" s="179"/>
      <c r="V14" s="179"/>
      <c r="W14" s="179"/>
      <c r="X14" s="179"/>
      <c r="Y14" s="179"/>
      <c r="Z14" s="179"/>
      <c r="AA14" s="179"/>
      <c r="AB14" s="179"/>
      <c r="AC14" s="179"/>
      <c r="AD14" s="179"/>
      <c r="AE14" s="179"/>
      <c r="AF14" s="179"/>
      <c r="AG14" s="179"/>
      <c r="AH14" s="179"/>
      <c r="AI14" s="179"/>
      <c r="AJ14" s="180"/>
      <c r="AK14" s="180" t="e">
        <f>+AK12+AK13</f>
        <v>#REF!</v>
      </c>
      <c r="AL14" s="180" t="e">
        <f>+AL12+AL13</f>
        <v>#REF!</v>
      </c>
      <c r="AM14" s="85"/>
      <c r="AN14" s="91"/>
      <c r="AO14" s="80"/>
    </row>
    <row r="15" spans="1:41" x14ac:dyDescent="0.35">
      <c r="A15" s="81" t="s">
        <v>38</v>
      </c>
      <c r="B15" s="170" t="s">
        <v>36</v>
      </c>
      <c r="C15" s="80">
        <v>0.16</v>
      </c>
      <c r="D15" s="80">
        <v>0.16</v>
      </c>
      <c r="E15" s="80">
        <v>0.16</v>
      </c>
      <c r="F15" s="80">
        <v>0.16</v>
      </c>
      <c r="G15" s="80">
        <v>0.28000000000000003</v>
      </c>
      <c r="H15" s="80">
        <v>0.28000000000000003</v>
      </c>
      <c r="I15" s="80">
        <v>0.28000000000000003</v>
      </c>
      <c r="J15" s="80"/>
      <c r="L15" s="170" t="s">
        <v>36</v>
      </c>
      <c r="M15" s="80">
        <v>7.85</v>
      </c>
      <c r="N15" s="80">
        <v>7.85</v>
      </c>
      <c r="O15" s="80">
        <v>7.85</v>
      </c>
      <c r="Q15" s="157" t="s">
        <v>96</v>
      </c>
      <c r="R15" s="158">
        <f t="shared" ref="R15:AH15" si="6">+R11*75%+R12*25%</f>
        <v>1055.9819400000001</v>
      </c>
      <c r="S15" s="158">
        <f t="shared" si="6"/>
        <v>1077.4154300000002</v>
      </c>
      <c r="T15" s="158">
        <f t="shared" si="6"/>
        <v>1125.9411799999998</v>
      </c>
      <c r="U15" s="158">
        <f t="shared" si="6"/>
        <v>1113.01125</v>
      </c>
      <c r="V15" s="158">
        <f t="shared" si="6"/>
        <v>1135.3485000000001</v>
      </c>
      <c r="W15" s="158">
        <f t="shared" si="6"/>
        <v>1166.2611999999999</v>
      </c>
      <c r="X15" s="158">
        <f t="shared" si="6"/>
        <v>1225.98125</v>
      </c>
      <c r="Y15" s="158">
        <f t="shared" si="6"/>
        <v>1272.19625</v>
      </c>
      <c r="Z15" s="158">
        <f t="shared" si="6"/>
        <v>1290.9390000000001</v>
      </c>
      <c r="AA15" s="158">
        <f t="shared" si="6"/>
        <v>1346.6537499999999</v>
      </c>
      <c r="AB15" s="158">
        <f t="shared" si="6"/>
        <v>1458.34</v>
      </c>
      <c r="AC15" s="158">
        <f t="shared" si="6"/>
        <v>1420.4844986301368</v>
      </c>
      <c r="AD15" s="158">
        <f t="shared" si="6"/>
        <v>1419.8312784378102</v>
      </c>
      <c r="AE15" s="158">
        <f t="shared" si="6"/>
        <v>1415.7433460958905</v>
      </c>
      <c r="AF15" s="158" t="e">
        <f t="shared" si="6"/>
        <v>#REF!</v>
      </c>
      <c r="AG15" s="158" t="e">
        <f t="shared" si="6"/>
        <v>#REF!</v>
      </c>
      <c r="AH15" s="158" t="e">
        <f t="shared" si="6"/>
        <v>#REF!</v>
      </c>
      <c r="AI15" s="158" t="e">
        <f>+AI11*50%+AI12*50%</f>
        <v>#REF!</v>
      </c>
      <c r="AJ15" s="158" t="e">
        <f>+AJ11*50%+AJ12*50%</f>
        <v>#REF!</v>
      </c>
      <c r="AK15" s="158" t="e">
        <f>+AK11*50%+AK14*50%</f>
        <v>#REF!</v>
      </c>
      <c r="AL15" s="158" t="e">
        <f>+AL11*50%+AL14*50%</f>
        <v>#REF!</v>
      </c>
      <c r="AM15" s="80"/>
      <c r="AN15" s="80"/>
      <c r="AO15" s="80"/>
    </row>
    <row r="16" spans="1:41" x14ac:dyDescent="0.35">
      <c r="B16" s="169" t="s">
        <v>39</v>
      </c>
      <c r="C16" s="84" t="e">
        <f>+C11+C12+C13+C14+C15</f>
        <v>#REF!</v>
      </c>
      <c r="D16" s="84" t="e">
        <f t="shared" ref="D16:I16" si="7">+D11+D12+D13+D14+D15</f>
        <v>#REF!</v>
      </c>
      <c r="E16" s="84" t="e">
        <f t="shared" si="7"/>
        <v>#REF!</v>
      </c>
      <c r="F16" s="84" t="e">
        <f t="shared" si="7"/>
        <v>#REF!</v>
      </c>
      <c r="G16" s="84" t="e">
        <f t="shared" si="7"/>
        <v>#REF!</v>
      </c>
      <c r="H16" s="84" t="e">
        <f t="shared" si="7"/>
        <v>#REF!</v>
      </c>
      <c r="I16" s="84" t="e">
        <f t="shared" si="7"/>
        <v>#REF!</v>
      </c>
      <c r="J16" s="84"/>
      <c r="L16" s="169" t="s">
        <v>39</v>
      </c>
      <c r="M16" s="84" t="e">
        <f t="shared" ref="M16:N16" si="8">+M11+M12+M13+M14+M15</f>
        <v>#REF!</v>
      </c>
      <c r="N16" s="84" t="e">
        <f t="shared" si="8"/>
        <v>#REF!</v>
      </c>
      <c r="O16" s="84" t="e">
        <f>+O11+O12+O13+O14+O15</f>
        <v>#REF!</v>
      </c>
      <c r="Q16" s="113" t="s">
        <v>37</v>
      </c>
      <c r="R16" s="118">
        <f>+R15*1%</f>
        <v>10.559819400000002</v>
      </c>
      <c r="S16" s="118">
        <f t="shared" ref="S16:AG16" si="9">+S15*1%</f>
        <v>10.774154300000003</v>
      </c>
      <c r="T16" s="118">
        <f t="shared" si="9"/>
        <v>11.259411799999999</v>
      </c>
      <c r="U16" s="118">
        <f t="shared" si="9"/>
        <v>11.130112500000001</v>
      </c>
      <c r="V16" s="118">
        <f t="shared" si="9"/>
        <v>11.353485000000001</v>
      </c>
      <c r="W16" s="118">
        <f t="shared" si="9"/>
        <v>11.662611999999999</v>
      </c>
      <c r="X16" s="118">
        <f t="shared" si="9"/>
        <v>12.259812500000001</v>
      </c>
      <c r="Y16" s="118">
        <f t="shared" si="9"/>
        <v>12.7219625</v>
      </c>
      <c r="Z16" s="118">
        <f t="shared" si="9"/>
        <v>12.909390000000002</v>
      </c>
      <c r="AA16" s="118">
        <f t="shared" si="9"/>
        <v>13.466537499999999</v>
      </c>
      <c r="AB16" s="118">
        <f t="shared" si="9"/>
        <v>14.583399999999999</v>
      </c>
      <c r="AC16" s="118">
        <f t="shared" si="9"/>
        <v>14.204844986301369</v>
      </c>
      <c r="AD16" s="118">
        <f t="shared" si="9"/>
        <v>14.198312784378102</v>
      </c>
      <c r="AE16" s="118">
        <f t="shared" si="9"/>
        <v>14.157433460958906</v>
      </c>
      <c r="AF16" s="118" t="e">
        <f t="shared" si="9"/>
        <v>#REF!</v>
      </c>
      <c r="AG16" s="118" t="e">
        <f t="shared" si="9"/>
        <v>#REF!</v>
      </c>
      <c r="AH16" s="118" t="e">
        <f>+AH15*1%</f>
        <v>#REF!</v>
      </c>
      <c r="AI16" s="118" t="e">
        <f>+AI15*1%</f>
        <v>#REF!</v>
      </c>
      <c r="AJ16" s="118" t="e">
        <f>+AJ15*1%</f>
        <v>#REF!</v>
      </c>
      <c r="AK16" s="118" t="e">
        <f>+AK15*1%</f>
        <v>#REF!</v>
      </c>
      <c r="AL16" s="118" t="e">
        <f>+AL15*1%</f>
        <v>#REF!</v>
      </c>
      <c r="AM16" s="79"/>
      <c r="AN16" s="80"/>
      <c r="AO16" s="84"/>
    </row>
    <row r="17" spans="1:43" x14ac:dyDescent="0.35">
      <c r="Q17" s="113" t="s">
        <v>74</v>
      </c>
      <c r="R17" s="115">
        <f>+R16+R15</f>
        <v>1066.5417594</v>
      </c>
      <c r="S17" s="115">
        <f t="shared" ref="S17:AK17" si="10">+S16+S15</f>
        <v>1088.1895843000002</v>
      </c>
      <c r="T17" s="115">
        <f t="shared" si="10"/>
        <v>1137.2005917999998</v>
      </c>
      <c r="U17" s="115">
        <f t="shared" si="10"/>
        <v>1124.1413625</v>
      </c>
      <c r="V17" s="115">
        <f t="shared" si="10"/>
        <v>1146.7019850000001</v>
      </c>
      <c r="W17" s="115">
        <f t="shared" si="10"/>
        <v>1177.923812</v>
      </c>
      <c r="X17" s="115">
        <f t="shared" si="10"/>
        <v>1238.2410625</v>
      </c>
      <c r="Y17" s="115">
        <f t="shared" si="10"/>
        <v>1284.9182125</v>
      </c>
      <c r="Z17" s="115">
        <f t="shared" si="10"/>
        <v>1303.8483900000001</v>
      </c>
      <c r="AA17" s="115">
        <f t="shared" si="10"/>
        <v>1360.1202874999999</v>
      </c>
      <c r="AB17" s="115">
        <f t="shared" si="10"/>
        <v>1472.9233999999999</v>
      </c>
      <c r="AC17" s="115">
        <f t="shared" si="10"/>
        <v>1434.6893436164382</v>
      </c>
      <c r="AD17" s="115">
        <f t="shared" si="10"/>
        <v>1434.0295912221882</v>
      </c>
      <c r="AE17" s="115">
        <f t="shared" si="10"/>
        <v>1429.9007795568493</v>
      </c>
      <c r="AF17" s="115" t="e">
        <f t="shared" si="10"/>
        <v>#REF!</v>
      </c>
      <c r="AG17" s="115" t="e">
        <f t="shared" si="10"/>
        <v>#REF!</v>
      </c>
      <c r="AH17" s="115" t="e">
        <f t="shared" si="10"/>
        <v>#REF!</v>
      </c>
      <c r="AI17" s="115" t="e">
        <f t="shared" si="10"/>
        <v>#REF!</v>
      </c>
      <c r="AJ17" s="115" t="e">
        <f t="shared" si="10"/>
        <v>#REF!</v>
      </c>
      <c r="AK17" s="115" t="e">
        <f t="shared" si="10"/>
        <v>#REF!</v>
      </c>
      <c r="AL17" s="115" t="e">
        <f t="shared" ref="AL17" si="11">+AL16+AL15</f>
        <v>#REF!</v>
      </c>
      <c r="AM17" s="181"/>
      <c r="AN17" s="84"/>
      <c r="AO17" s="84"/>
      <c r="AQ17" s="182"/>
    </row>
    <row r="18" spans="1:43" x14ac:dyDescent="0.35">
      <c r="B18" s="169"/>
      <c r="C18" s="84"/>
      <c r="D18" s="84"/>
      <c r="E18" s="84"/>
      <c r="F18" s="84"/>
      <c r="G18" s="84"/>
      <c r="H18" s="84"/>
      <c r="I18" s="84"/>
      <c r="J18" s="84"/>
      <c r="K18" s="94"/>
      <c r="M18" s="84"/>
      <c r="N18" s="84"/>
      <c r="O18" s="84"/>
      <c r="Q18" s="85"/>
      <c r="R18" s="120" t="e">
        <f>+#REF!</f>
        <v>#REF!</v>
      </c>
      <c r="S18" s="120" t="e">
        <f>+R18</f>
        <v>#REF!</v>
      </c>
      <c r="T18" s="120" t="e">
        <f>+S18</f>
        <v>#REF!</v>
      </c>
      <c r="U18" s="120" t="e">
        <f>+T18</f>
        <v>#REF!</v>
      </c>
      <c r="V18" s="120" t="e">
        <f t="shared" ref="V18:AG18" si="12">+U18</f>
        <v>#REF!</v>
      </c>
      <c r="W18" s="120" t="e">
        <f t="shared" si="12"/>
        <v>#REF!</v>
      </c>
      <c r="X18" s="120" t="e">
        <f t="shared" si="12"/>
        <v>#REF!</v>
      </c>
      <c r="Y18" s="120" t="e">
        <f t="shared" si="12"/>
        <v>#REF!</v>
      </c>
      <c r="Z18" s="120" t="e">
        <f t="shared" si="12"/>
        <v>#REF!</v>
      </c>
      <c r="AA18" s="120" t="e">
        <f t="shared" si="12"/>
        <v>#REF!</v>
      </c>
      <c r="AB18" s="120" t="e">
        <f t="shared" si="12"/>
        <v>#REF!</v>
      </c>
      <c r="AC18" s="120" t="e">
        <f t="shared" si="12"/>
        <v>#REF!</v>
      </c>
      <c r="AD18" s="120" t="e">
        <f t="shared" si="12"/>
        <v>#REF!</v>
      </c>
      <c r="AE18" s="120" t="e">
        <f t="shared" si="12"/>
        <v>#REF!</v>
      </c>
      <c r="AF18" s="120" t="e">
        <f t="shared" si="12"/>
        <v>#REF!</v>
      </c>
      <c r="AG18" s="120" t="e">
        <f t="shared" si="12"/>
        <v>#REF!</v>
      </c>
      <c r="AH18" s="120"/>
      <c r="AI18" s="120"/>
      <c r="AJ18" s="120"/>
      <c r="AK18" s="120"/>
      <c r="AL18" s="120"/>
      <c r="AN18" s="84"/>
      <c r="AO18" s="82"/>
    </row>
    <row r="19" spans="1:43" x14ac:dyDescent="0.35">
      <c r="C19" s="132"/>
      <c r="K19" s="94"/>
      <c r="Q19" s="82"/>
      <c r="R19" s="82"/>
      <c r="S19" s="82"/>
      <c r="U19" s="94"/>
      <c r="V19" s="94"/>
      <c r="W19" s="94"/>
      <c r="X19" s="94"/>
      <c r="Y19" s="94"/>
      <c r="Z19" s="94"/>
      <c r="AA19" s="94"/>
      <c r="AB19" s="94"/>
      <c r="AC19" s="94"/>
      <c r="AD19" s="94"/>
      <c r="AE19" s="94"/>
      <c r="AF19" s="94"/>
      <c r="AG19" s="94"/>
      <c r="AH19" s="94"/>
      <c r="AI19" s="94"/>
      <c r="AJ19" s="94"/>
      <c r="AK19" s="94"/>
      <c r="AL19" s="94"/>
      <c r="AN19" s="82"/>
      <c r="AO19" s="82"/>
    </row>
    <row r="20" spans="1:43" x14ac:dyDescent="0.35">
      <c r="M20" s="86"/>
      <c r="AN20" s="82"/>
    </row>
    <row r="25" spans="1:43" x14ac:dyDescent="0.35">
      <c r="N25" s="123"/>
      <c r="AH25" s="164"/>
    </row>
    <row r="32" spans="1:43" s="82" customFormat="1" x14ac:dyDescent="0.35">
      <c r="A32" s="81"/>
      <c r="B32" s="173" t="s">
        <v>51</v>
      </c>
      <c r="J32" s="81"/>
      <c r="K32" s="81"/>
      <c r="L32" s="173"/>
      <c r="P32" s="81"/>
      <c r="Q32" s="81"/>
      <c r="R32" s="81"/>
      <c r="S32" s="81"/>
      <c r="T32" s="81"/>
      <c r="U32" s="81"/>
      <c r="V32" s="81"/>
      <c r="W32" s="81"/>
      <c r="X32" s="81"/>
      <c r="Y32" s="81"/>
      <c r="Z32" s="81"/>
      <c r="AA32" s="81"/>
      <c r="AB32" s="81"/>
      <c r="AC32" s="81"/>
      <c r="AD32" s="81"/>
      <c r="AE32" s="81"/>
      <c r="AF32" s="81"/>
      <c r="AG32" s="81"/>
      <c r="AH32" s="81"/>
      <c r="AI32" s="81"/>
      <c r="AJ32" s="81"/>
      <c r="AK32" s="81"/>
      <c r="AL32" s="81"/>
      <c r="AM32" s="81"/>
      <c r="AN32" s="81"/>
      <c r="AO32" s="81"/>
      <c r="AP32" s="81"/>
      <c r="AQ32" s="81"/>
    </row>
  </sheetData>
  <mergeCells count="6">
    <mergeCell ref="Q1:AO1"/>
    <mergeCell ref="B2:D2"/>
    <mergeCell ref="Q2:R2"/>
    <mergeCell ref="AM2:AN2"/>
    <mergeCell ref="B3:D3"/>
    <mergeCell ref="AM3:AN3"/>
  </mergeCells>
  <pageMargins left="0.7" right="0.7" top="0.75" bottom="0.75" header="0.3" footer="0.3"/>
  <pageSetup orientation="portrait" r:id="rId1"/>
  <customProperties>
    <customPr name="EpmWorksheetKeyString_GUID" r:id="rId2"/>
  </customProperties>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25"/>
  <dimension ref="A1:AR32"/>
  <sheetViews>
    <sheetView zoomScale="85" zoomScaleNormal="85" workbookViewId="0">
      <selection activeCell="AM12" sqref="AM12"/>
    </sheetView>
  </sheetViews>
  <sheetFormatPr defaultColWidth="11.453125" defaultRowHeight="14.5" x14ac:dyDescent="0.35"/>
  <cols>
    <col min="1" max="1" width="3.453125" style="81" customWidth="1"/>
    <col min="2" max="2" width="14" style="173" customWidth="1"/>
    <col min="3" max="3" width="10.81640625" style="82" customWidth="1"/>
    <col min="4" max="4" width="10.54296875" style="82" hidden="1" customWidth="1"/>
    <col min="5" max="5" width="10.54296875" style="82" customWidth="1"/>
    <col min="6" max="6" width="11" style="82" customWidth="1"/>
    <col min="7" max="7" width="11.1796875" style="82" hidden="1" customWidth="1"/>
    <col min="8" max="8" width="11" style="82" hidden="1" customWidth="1"/>
    <col min="9" max="9" width="11.54296875" style="82" customWidth="1"/>
    <col min="10" max="10" width="8.54296875" style="81" hidden="1" customWidth="1"/>
    <col min="11" max="11" width="2.81640625" style="81" customWidth="1"/>
    <col min="12" max="12" width="13.81640625" style="173" customWidth="1"/>
    <col min="13" max="15" width="10.81640625" style="82" customWidth="1"/>
    <col min="16" max="16" width="2.81640625" style="81" customWidth="1"/>
    <col min="17" max="17" width="28.81640625" style="81" customWidth="1"/>
    <col min="18" max="18" width="16.1796875" style="81" hidden="1" customWidth="1"/>
    <col min="19" max="19" width="17.54296875" style="81" hidden="1" customWidth="1"/>
    <col min="20" max="20" width="14.54296875" style="81" hidden="1" customWidth="1"/>
    <col min="21" max="21" width="16" style="81" hidden="1" customWidth="1"/>
    <col min="22" max="22" width="17.81640625" style="81" hidden="1" customWidth="1"/>
    <col min="23" max="23" width="17.1796875" style="81" hidden="1" customWidth="1"/>
    <col min="24" max="29" width="14.453125" style="81" hidden="1" customWidth="1"/>
    <col min="30" max="30" width="16.453125" style="81" hidden="1" customWidth="1"/>
    <col min="31" max="33" width="14.81640625" style="81" hidden="1" customWidth="1"/>
    <col min="34" max="34" width="16.54296875" style="81" hidden="1" customWidth="1"/>
    <col min="35" max="36" width="17.54296875" style="81" hidden="1" customWidth="1"/>
    <col min="37" max="38" width="15.1796875" style="81" hidden="1" customWidth="1"/>
    <col min="39" max="39" width="15.1796875" style="81" customWidth="1"/>
    <col min="40" max="42" width="11.453125" style="81" hidden="1" customWidth="1"/>
    <col min="43" max="43" width="11.453125" style="81" customWidth="1"/>
    <col min="44" max="16384" width="11.453125" style="81"/>
  </cols>
  <sheetData>
    <row r="1" spans="1:43" x14ac:dyDescent="0.35">
      <c r="B1" s="122"/>
      <c r="C1" s="86"/>
      <c r="D1" s="86"/>
      <c r="E1" s="86"/>
      <c r="F1" s="87"/>
      <c r="G1" s="87"/>
      <c r="H1" s="87"/>
      <c r="I1" s="87"/>
      <c r="J1" s="87"/>
      <c r="K1" s="87"/>
      <c r="L1" s="122"/>
      <c r="M1" s="87"/>
      <c r="N1" s="87"/>
      <c r="O1" s="87"/>
      <c r="Q1" s="574"/>
      <c r="R1" s="574"/>
      <c r="S1" s="574"/>
      <c r="T1" s="574"/>
      <c r="U1" s="574"/>
      <c r="V1" s="574"/>
      <c r="W1" s="574"/>
      <c r="X1" s="574"/>
      <c r="Y1" s="574"/>
      <c r="Z1" s="574"/>
      <c r="AA1" s="574"/>
      <c r="AB1" s="574"/>
      <c r="AC1" s="574"/>
      <c r="AD1" s="574"/>
      <c r="AE1" s="574"/>
      <c r="AF1" s="574"/>
      <c r="AG1" s="574"/>
      <c r="AH1" s="574"/>
      <c r="AI1" s="574"/>
      <c r="AJ1" s="574"/>
      <c r="AK1" s="574"/>
      <c r="AL1" s="574"/>
      <c r="AM1" s="574"/>
      <c r="AN1" s="574"/>
      <c r="AO1" s="574"/>
      <c r="AP1" s="574"/>
    </row>
    <row r="2" spans="1:43" s="142" customFormat="1" ht="15" customHeight="1" x14ac:dyDescent="0.35">
      <c r="B2" s="576" t="s">
        <v>66</v>
      </c>
      <c r="C2" s="576"/>
      <c r="D2" s="576"/>
      <c r="E2" s="141" t="e">
        <f>+AM11</f>
        <v>#REF!</v>
      </c>
      <c r="H2" s="141"/>
      <c r="I2" s="141"/>
      <c r="J2" s="143">
        <v>0.05</v>
      </c>
      <c r="K2" s="144"/>
      <c r="L2" s="171"/>
      <c r="M2" s="141"/>
      <c r="N2" s="141"/>
      <c r="O2" s="141"/>
      <c r="Q2" s="576"/>
      <c r="R2" s="576"/>
      <c r="S2" s="141"/>
      <c r="T2" s="143"/>
      <c r="U2" s="144"/>
      <c r="V2" s="144"/>
      <c r="W2" s="144"/>
      <c r="X2" s="144"/>
      <c r="Y2" s="144"/>
      <c r="Z2" s="144"/>
      <c r="AA2" s="144"/>
      <c r="AB2" s="144"/>
      <c r="AC2" s="144"/>
      <c r="AD2" s="144"/>
      <c r="AE2" s="144"/>
      <c r="AF2" s="144"/>
      <c r="AG2" s="144"/>
      <c r="AH2" s="144"/>
      <c r="AI2" s="144"/>
      <c r="AJ2" s="144"/>
      <c r="AK2" s="144"/>
      <c r="AL2" s="144"/>
      <c r="AM2" s="144"/>
      <c r="AN2" s="576"/>
      <c r="AO2" s="576"/>
      <c r="AP2" s="141"/>
    </row>
    <row r="3" spans="1:43" s="133" customFormat="1" ht="15" customHeight="1" x14ac:dyDescent="0.35">
      <c r="B3" s="576" t="s">
        <v>67</v>
      </c>
      <c r="C3" s="576"/>
      <c r="D3" s="576"/>
      <c r="E3" s="134" t="e">
        <f>+AM14</f>
        <v>#REF!</v>
      </c>
      <c r="G3" s="135"/>
      <c r="H3" s="134"/>
      <c r="I3" s="134"/>
      <c r="J3" s="137" t="e">
        <f>+E2*J2</f>
        <v>#REF!</v>
      </c>
      <c r="K3" s="136"/>
      <c r="L3" s="174"/>
      <c r="M3" s="134"/>
      <c r="N3" s="134"/>
      <c r="O3" s="134"/>
      <c r="Q3" s="138"/>
      <c r="R3" s="139"/>
      <c r="S3" s="140"/>
      <c r="U3" s="136"/>
      <c r="V3" s="136"/>
      <c r="W3" s="136"/>
      <c r="X3" s="136"/>
      <c r="Y3" s="136"/>
      <c r="Z3" s="136"/>
      <c r="AA3" s="136"/>
      <c r="AB3" s="136"/>
      <c r="AC3" s="136"/>
      <c r="AD3" s="136"/>
      <c r="AE3" s="136"/>
      <c r="AF3" s="136"/>
      <c r="AG3" s="136"/>
      <c r="AH3" s="136"/>
      <c r="AI3" s="136"/>
      <c r="AJ3" s="136"/>
      <c r="AK3" s="136"/>
      <c r="AL3" s="136"/>
      <c r="AM3" s="136"/>
      <c r="AN3" s="577"/>
      <c r="AO3" s="577"/>
      <c r="AP3" s="134"/>
    </row>
    <row r="4" spans="1:43" ht="23.5" hidden="1" x14ac:dyDescent="0.55000000000000004">
      <c r="B4" s="169"/>
      <c r="C4" s="92" t="e">
        <f>+(C9+C10)/C6*1000</f>
        <v>#REF!</v>
      </c>
      <c r="D4" s="92" t="e">
        <f>+(G9+G10)/G6*1000</f>
        <v>#REF!</v>
      </c>
      <c r="E4" s="92" t="e">
        <f>+(E9+E10)/E6*1000</f>
        <v>#REF!</v>
      </c>
      <c r="F4" s="92" t="e">
        <f>+(F9+F10)/F6*1000</f>
        <v>#REF!</v>
      </c>
      <c r="I4" s="92" t="e">
        <f>+(I9+I10)/I6*1000</f>
        <v>#REF!</v>
      </c>
      <c r="K4" s="88"/>
      <c r="L4" s="169"/>
      <c r="M4" s="92"/>
      <c r="N4" s="92"/>
      <c r="O4" s="92"/>
      <c r="Q4" s="93"/>
      <c r="R4" s="82"/>
      <c r="S4" s="90"/>
      <c r="T4" s="94"/>
      <c r="U4" s="88"/>
      <c r="V4" s="88"/>
      <c r="W4" s="88"/>
      <c r="X4" s="88"/>
      <c r="Y4" s="88"/>
      <c r="Z4" s="88"/>
      <c r="AA4" s="88"/>
      <c r="AB4" s="88"/>
      <c r="AC4" s="88"/>
      <c r="AD4" s="88"/>
      <c r="AE4" s="88"/>
      <c r="AF4" s="88"/>
      <c r="AG4" s="88"/>
      <c r="AH4" s="88"/>
      <c r="AI4" s="88"/>
      <c r="AJ4" s="88"/>
      <c r="AK4" s="88"/>
      <c r="AL4" s="88"/>
      <c r="AM4" s="88"/>
      <c r="AN4" s="91"/>
      <c r="AO4" s="91"/>
      <c r="AP4" s="78"/>
    </row>
    <row r="5" spans="1:43" s="95" customFormat="1" ht="33.75" customHeight="1" x14ac:dyDescent="0.35">
      <c r="B5" s="169" t="s">
        <v>5</v>
      </c>
      <c r="C5" s="85" t="s">
        <v>68</v>
      </c>
      <c r="D5" s="85" t="s">
        <v>69</v>
      </c>
      <c r="E5" s="85" t="s">
        <v>69</v>
      </c>
      <c r="F5" s="85" t="s">
        <v>69</v>
      </c>
      <c r="G5" s="85" t="s">
        <v>70</v>
      </c>
      <c r="H5" s="85" t="s">
        <v>70</v>
      </c>
      <c r="I5" s="85" t="s">
        <v>70</v>
      </c>
      <c r="J5" s="85"/>
      <c r="K5" s="88"/>
      <c r="L5" s="169" t="s">
        <v>71</v>
      </c>
      <c r="M5" s="96" t="s">
        <v>7</v>
      </c>
      <c r="N5" s="96" t="s">
        <v>8</v>
      </c>
      <c r="O5" s="96" t="s">
        <v>8</v>
      </c>
      <c r="Q5" s="147" t="s">
        <v>72</v>
      </c>
      <c r="R5" s="99" t="s">
        <v>54</v>
      </c>
      <c r="S5" s="99" t="s">
        <v>55</v>
      </c>
      <c r="T5" s="99" t="s">
        <v>56</v>
      </c>
      <c r="U5" s="99" t="s">
        <v>12</v>
      </c>
      <c r="V5" s="99" t="s">
        <v>57</v>
      </c>
      <c r="W5" s="99" t="s">
        <v>58</v>
      </c>
      <c r="X5" s="99" t="s">
        <v>59</v>
      </c>
      <c r="Y5" s="99" t="s">
        <v>60</v>
      </c>
      <c r="Z5" s="99" t="s">
        <v>62</v>
      </c>
      <c r="AA5" s="99" t="s">
        <v>64</v>
      </c>
      <c r="AB5" s="99" t="s">
        <v>65</v>
      </c>
      <c r="AC5" s="99" t="s">
        <v>73</v>
      </c>
      <c r="AD5" s="99" t="s">
        <v>53</v>
      </c>
      <c r="AE5" s="99" t="s">
        <v>77</v>
      </c>
      <c r="AF5" s="99" t="s">
        <v>78</v>
      </c>
      <c r="AG5" s="99" t="s">
        <v>79</v>
      </c>
      <c r="AH5" s="99" t="s">
        <v>90</v>
      </c>
      <c r="AI5" s="99" t="s">
        <v>91</v>
      </c>
      <c r="AJ5" s="99" t="s">
        <v>97</v>
      </c>
      <c r="AK5" s="99" t="s">
        <v>98</v>
      </c>
      <c r="AL5" s="99" t="s">
        <v>102</v>
      </c>
      <c r="AM5" s="99" t="s">
        <v>103</v>
      </c>
      <c r="AN5" s="100"/>
      <c r="AO5" s="97"/>
      <c r="AP5" s="97"/>
    </row>
    <row r="6" spans="1:43" x14ac:dyDescent="0.35">
      <c r="B6" s="169" t="s">
        <v>13</v>
      </c>
      <c r="C6" s="101">
        <v>16.7</v>
      </c>
      <c r="D6" s="101">
        <v>16.7</v>
      </c>
      <c r="E6" s="101">
        <v>20.5</v>
      </c>
      <c r="F6" s="101">
        <v>20.5</v>
      </c>
      <c r="G6" s="101">
        <v>30.6</v>
      </c>
      <c r="H6" s="101">
        <v>30.6</v>
      </c>
      <c r="I6" s="101">
        <v>38.6</v>
      </c>
      <c r="J6" s="101"/>
      <c r="L6" s="169" t="s">
        <v>13</v>
      </c>
      <c r="M6" s="101">
        <v>15</v>
      </c>
      <c r="N6" s="101">
        <v>20.5</v>
      </c>
      <c r="O6" s="101">
        <v>20.5</v>
      </c>
      <c r="Q6" s="102" t="s">
        <v>14</v>
      </c>
      <c r="R6" s="104">
        <v>938.13</v>
      </c>
      <c r="S6" s="105">
        <v>959</v>
      </c>
      <c r="T6" s="104">
        <v>1006.25</v>
      </c>
      <c r="U6" s="130">
        <v>993.75</v>
      </c>
      <c r="V6" s="131">
        <v>1015.5</v>
      </c>
      <c r="W6" s="131">
        <v>1045.5999999999999</v>
      </c>
      <c r="X6" s="43">
        <v>1103.75</v>
      </c>
      <c r="Y6" s="43">
        <v>1148.75</v>
      </c>
      <c r="Z6" s="43">
        <v>1167</v>
      </c>
      <c r="AA6" s="43">
        <v>1221.25</v>
      </c>
      <c r="AB6" s="43">
        <v>1330</v>
      </c>
      <c r="AC6" s="43">
        <f>+'IHS (Mod)'!I5</f>
        <v>1280</v>
      </c>
      <c r="AD6" s="43">
        <f>+'IHS (Mod)'!J5</f>
        <v>1279.380005</v>
      </c>
      <c r="AE6" s="43">
        <v>1275.5</v>
      </c>
      <c r="AF6" s="43" t="e">
        <f>+#REF!</f>
        <v>#REF!</v>
      </c>
      <c r="AG6" s="43" t="e">
        <f>+#REF!</f>
        <v>#REF!</v>
      </c>
      <c r="AH6" s="43" t="e">
        <f>+#REF!</f>
        <v>#REF!</v>
      </c>
      <c r="AI6" s="43" t="e">
        <f>+#REF!</f>
        <v>#REF!</v>
      </c>
      <c r="AJ6" s="43" t="e">
        <f>+#REF!</f>
        <v>#REF!</v>
      </c>
      <c r="AK6" s="43" t="e">
        <f>+#REF!</f>
        <v>#REF!</v>
      </c>
      <c r="AL6" s="43" t="e">
        <f>+#REF!</f>
        <v>#REF!</v>
      </c>
      <c r="AM6" s="43" t="e">
        <f>+#REF!</f>
        <v>#REF!</v>
      </c>
      <c r="AN6" s="85"/>
      <c r="AO6" s="101"/>
      <c r="AP6" s="101"/>
    </row>
    <row r="7" spans="1:43" x14ac:dyDescent="0.35">
      <c r="B7" s="170" t="s">
        <v>16</v>
      </c>
      <c r="C7" s="91" t="s">
        <v>17</v>
      </c>
      <c r="D7" s="91" t="s">
        <v>17</v>
      </c>
      <c r="E7" s="91" t="s">
        <v>17</v>
      </c>
      <c r="F7" s="91" t="s">
        <v>17</v>
      </c>
      <c r="G7" s="91" t="s">
        <v>17</v>
      </c>
      <c r="H7" s="91" t="s">
        <v>17</v>
      </c>
      <c r="I7" s="91" t="s">
        <v>17</v>
      </c>
      <c r="J7" s="91"/>
      <c r="L7" s="170" t="s">
        <v>16</v>
      </c>
      <c r="M7" s="91" t="s">
        <v>17</v>
      </c>
      <c r="N7" s="91" t="s">
        <v>17</v>
      </c>
      <c r="O7" s="91" t="s">
        <v>17</v>
      </c>
      <c r="Q7" s="128" t="s">
        <v>99</v>
      </c>
      <c r="R7" s="129">
        <v>25.09</v>
      </c>
      <c r="S7" s="129">
        <v>25.09</v>
      </c>
      <c r="T7" s="129">
        <v>25.09</v>
      </c>
      <c r="U7" s="129">
        <v>25</v>
      </c>
      <c r="V7" s="129">
        <v>25</v>
      </c>
      <c r="W7" s="129">
        <v>25</v>
      </c>
      <c r="X7" s="129">
        <v>25</v>
      </c>
      <c r="Y7" s="129">
        <v>25</v>
      </c>
      <c r="Z7" s="129">
        <v>25</v>
      </c>
      <c r="AA7" s="129">
        <v>25</v>
      </c>
      <c r="AB7" s="129">
        <v>25</v>
      </c>
      <c r="AC7" s="129">
        <v>33.139726027397259</v>
      </c>
      <c r="AD7" s="129">
        <f>+Septiembre18!AD8</f>
        <v>33.1236741020548</v>
      </c>
      <c r="AE7" s="129">
        <v>33.023219178082194</v>
      </c>
      <c r="AF7" s="129">
        <v>33.023219178082194</v>
      </c>
      <c r="AG7" s="129">
        <v>32.783732876712328</v>
      </c>
      <c r="AH7" s="129">
        <v>29.126712328767123</v>
      </c>
      <c r="AI7" s="129">
        <v>27.395420677397254</v>
      </c>
      <c r="AJ7" s="129">
        <v>26.796575342465754</v>
      </c>
      <c r="AK7" s="129">
        <v>13.948458904109588</v>
      </c>
      <c r="AL7" s="129">
        <v>14.191181506849315</v>
      </c>
      <c r="AM7" s="129" t="e">
        <f>+AP7</f>
        <v>#REF!</v>
      </c>
      <c r="AN7" s="85" t="e">
        <f>+AM6*4.5%</f>
        <v>#REF!</v>
      </c>
      <c r="AO7" s="91" t="e">
        <f>+AN7/365</f>
        <v>#REF!</v>
      </c>
      <c r="AP7" s="91" t="e">
        <f>+(AO7*210)*50%</f>
        <v>#REF!</v>
      </c>
    </row>
    <row r="8" spans="1:43" s="95" customFormat="1" ht="29" x14ac:dyDescent="0.35">
      <c r="B8" s="175" t="s">
        <v>92</v>
      </c>
      <c r="C8" s="177" t="s">
        <v>93</v>
      </c>
      <c r="D8" s="177" t="s">
        <v>94</v>
      </c>
      <c r="E8" s="176">
        <v>1</v>
      </c>
      <c r="F8" s="177" t="s">
        <v>93</v>
      </c>
      <c r="G8" s="176">
        <v>1</v>
      </c>
      <c r="H8" s="177" t="s">
        <v>94</v>
      </c>
      <c r="I8" s="177" t="s">
        <v>93</v>
      </c>
      <c r="J8" s="162"/>
      <c r="L8" s="175" t="str">
        <f>+B8</f>
        <v>% Resina (Virgen/PCR)</v>
      </c>
      <c r="M8" s="177" t="s">
        <v>94</v>
      </c>
      <c r="N8" s="176">
        <v>1</v>
      </c>
      <c r="O8" s="177" t="s">
        <v>94</v>
      </c>
      <c r="Q8" s="166" t="s">
        <v>20</v>
      </c>
      <c r="R8" s="129">
        <v>65</v>
      </c>
      <c r="S8" s="167">
        <v>65</v>
      </c>
      <c r="T8" s="129">
        <v>65</v>
      </c>
      <c r="U8" s="129">
        <v>65</v>
      </c>
      <c r="V8" s="129">
        <v>65</v>
      </c>
      <c r="W8" s="129">
        <v>65</v>
      </c>
      <c r="X8" s="129">
        <v>65</v>
      </c>
      <c r="Y8" s="129">
        <v>65</v>
      </c>
      <c r="Z8" s="129">
        <v>65</v>
      </c>
      <c r="AA8" s="129">
        <v>65</v>
      </c>
      <c r="AB8" s="129">
        <v>65</v>
      </c>
      <c r="AC8" s="129">
        <v>70</v>
      </c>
      <c r="AD8" s="129">
        <v>70</v>
      </c>
      <c r="AE8" s="129">
        <v>70</v>
      </c>
      <c r="AF8" s="129">
        <v>70</v>
      </c>
      <c r="AG8" s="129">
        <v>70</v>
      </c>
      <c r="AH8" s="129">
        <v>70</v>
      </c>
      <c r="AI8" s="129">
        <v>70</v>
      </c>
      <c r="AJ8" s="129">
        <v>70</v>
      </c>
      <c r="AK8" s="129">
        <v>70</v>
      </c>
      <c r="AL8" s="129">
        <v>70</v>
      </c>
      <c r="AM8" s="129">
        <v>70</v>
      </c>
      <c r="AN8" s="168"/>
      <c r="AO8" s="165"/>
      <c r="AP8" s="165"/>
    </row>
    <row r="9" spans="1:43" x14ac:dyDescent="0.35">
      <c r="B9" s="170" t="s">
        <v>19</v>
      </c>
      <c r="C9" s="80" t="e">
        <f>+(C6*E2/1000)*1.01*50%</f>
        <v>#REF!</v>
      </c>
      <c r="D9" s="80" t="e">
        <f>+(D6*$E$2/1000)*1.01*75%</f>
        <v>#REF!</v>
      </c>
      <c r="E9" s="80" t="e">
        <f>+(E6*$E$2/1000)*1.01</f>
        <v>#REF!</v>
      </c>
      <c r="F9" s="80" t="e">
        <f>+(F6*$E$2/1000)*1.01*50%</f>
        <v>#REF!</v>
      </c>
      <c r="G9" s="80" t="e">
        <f>+(G6*E2/1000)*1.01</f>
        <v>#REF!</v>
      </c>
      <c r="H9" s="80" t="e">
        <f>+(H6*$E$2/1000)*1.01*75%</f>
        <v>#REF!</v>
      </c>
      <c r="I9" s="80" t="e">
        <f>+(I6*$E$2/1000)*1.01*50%</f>
        <v>#REF!</v>
      </c>
      <c r="J9" s="80"/>
      <c r="L9" s="170" t="s">
        <v>19</v>
      </c>
      <c r="M9" s="80" t="e">
        <f>+(M6*E2/1000)*1.005*75%</f>
        <v>#REF!</v>
      </c>
      <c r="N9" s="80" t="e">
        <f>+(N6*E2/1000)*1.005</f>
        <v>#REF!</v>
      </c>
      <c r="O9" s="80" t="e">
        <f>+(O6*E2/1000)*1.005*75%</f>
        <v>#REF!</v>
      </c>
      <c r="Q9" s="102"/>
      <c r="R9" s="104">
        <f>SUM(R6:R8)</f>
        <v>1028.22</v>
      </c>
      <c r="S9" s="104">
        <f>SUM(S6:S8)</f>
        <v>1049.0900000000001</v>
      </c>
      <c r="T9" s="104">
        <f>SUM(T6:T8)</f>
        <v>1096.3399999999999</v>
      </c>
      <c r="U9" s="104">
        <f>SUM(U6:U8)</f>
        <v>1083.75</v>
      </c>
      <c r="V9" s="104">
        <f t="shared" ref="V9:AG9" si="0">SUM(V6:V8)</f>
        <v>1105.5</v>
      </c>
      <c r="W9" s="104">
        <f t="shared" si="0"/>
        <v>1135.5999999999999</v>
      </c>
      <c r="X9" s="104">
        <f t="shared" si="0"/>
        <v>1193.75</v>
      </c>
      <c r="Y9" s="104">
        <f t="shared" si="0"/>
        <v>1238.75</v>
      </c>
      <c r="Z9" s="104">
        <f t="shared" si="0"/>
        <v>1257</v>
      </c>
      <c r="AA9" s="104">
        <f t="shared" si="0"/>
        <v>1311.25</v>
      </c>
      <c r="AB9" s="104">
        <f t="shared" si="0"/>
        <v>1420</v>
      </c>
      <c r="AC9" s="104">
        <f t="shared" si="0"/>
        <v>1383.1397260273973</v>
      </c>
      <c r="AD9" s="104">
        <f t="shared" si="0"/>
        <v>1382.5036791020548</v>
      </c>
      <c r="AE9" s="104">
        <f t="shared" si="0"/>
        <v>1378.5232191780822</v>
      </c>
      <c r="AF9" s="104" t="e">
        <f t="shared" si="0"/>
        <v>#REF!</v>
      </c>
      <c r="AG9" s="104" t="e">
        <f t="shared" si="0"/>
        <v>#REF!</v>
      </c>
      <c r="AH9" s="104" t="e">
        <f t="shared" ref="AH9:AM9" si="1">SUM(AH6:AH8)</f>
        <v>#REF!</v>
      </c>
      <c r="AI9" s="104" t="e">
        <f t="shared" si="1"/>
        <v>#REF!</v>
      </c>
      <c r="AJ9" s="104" t="e">
        <f t="shared" si="1"/>
        <v>#REF!</v>
      </c>
      <c r="AK9" s="104" t="e">
        <f t="shared" si="1"/>
        <v>#REF!</v>
      </c>
      <c r="AL9" s="104" t="e">
        <f t="shared" si="1"/>
        <v>#REF!</v>
      </c>
      <c r="AM9" s="104" t="e">
        <f t="shared" si="1"/>
        <v>#REF!</v>
      </c>
      <c r="AN9" s="79"/>
      <c r="AO9" s="80"/>
      <c r="AP9" s="80"/>
    </row>
    <row r="10" spans="1:43" x14ac:dyDescent="0.35">
      <c r="B10" s="172" t="s">
        <v>23</v>
      </c>
      <c r="C10" s="76" t="e">
        <f>+(C6*$E$3/1000)*1.01*50%</f>
        <v>#REF!</v>
      </c>
      <c r="D10" s="76" t="e">
        <f>+(D6*$E$3/1000)*1.01*25%</f>
        <v>#REF!</v>
      </c>
      <c r="E10" s="76">
        <v>0</v>
      </c>
      <c r="F10" s="76" t="e">
        <f>+(F6*$E$3/1000)*1.01*50%</f>
        <v>#REF!</v>
      </c>
      <c r="G10" s="76">
        <v>0</v>
      </c>
      <c r="H10" s="76" t="e">
        <f>+(H6*$E$3/1000)*1.01*25%</f>
        <v>#REF!</v>
      </c>
      <c r="I10" s="76" t="e">
        <f>+(I6*$E$3/1000)*1.01*50%</f>
        <v>#REF!</v>
      </c>
      <c r="J10" s="76"/>
      <c r="K10" s="121"/>
      <c r="L10" s="172" t="s">
        <v>23</v>
      </c>
      <c r="M10" s="76" t="e">
        <f>+(M6*E3/1000)*1.005*25%</f>
        <v>#REF!</v>
      </c>
      <c r="N10" s="76">
        <v>0</v>
      </c>
      <c r="O10" s="76" t="e">
        <f>+(O6*E3/1000)*1.005*25%</f>
        <v>#REF!</v>
      </c>
      <c r="Q10" s="106" t="s">
        <v>27</v>
      </c>
      <c r="R10" s="108">
        <f>+R9*4%</f>
        <v>41.128800000000005</v>
      </c>
      <c r="S10" s="104">
        <f>+S9*4%</f>
        <v>41.963600000000007</v>
      </c>
      <c r="T10" s="108">
        <f>+T9*4%</f>
        <v>43.8536</v>
      </c>
      <c r="U10" s="108">
        <f>+U9*4%</f>
        <v>43.35</v>
      </c>
      <c r="V10" s="108">
        <f t="shared" ref="V10:AG10" si="2">+V9*4%</f>
        <v>44.22</v>
      </c>
      <c r="W10" s="108">
        <f t="shared" si="2"/>
        <v>45.423999999999999</v>
      </c>
      <c r="X10" s="108">
        <f t="shared" si="2"/>
        <v>47.75</v>
      </c>
      <c r="Y10" s="108">
        <f t="shared" si="2"/>
        <v>49.550000000000004</v>
      </c>
      <c r="Z10" s="108">
        <f t="shared" si="2"/>
        <v>50.28</v>
      </c>
      <c r="AA10" s="108">
        <f t="shared" si="2"/>
        <v>52.45</v>
      </c>
      <c r="AB10" s="108">
        <f t="shared" si="2"/>
        <v>56.800000000000004</v>
      </c>
      <c r="AC10" s="108">
        <f t="shared" si="2"/>
        <v>55.325589041095895</v>
      </c>
      <c r="AD10" s="108">
        <f t="shared" si="2"/>
        <v>55.30014716408219</v>
      </c>
      <c r="AE10" s="108">
        <f t="shared" si="2"/>
        <v>55.140928767123285</v>
      </c>
      <c r="AF10" s="108" t="e">
        <f t="shared" si="2"/>
        <v>#REF!</v>
      </c>
      <c r="AG10" s="108" t="e">
        <f t="shared" si="2"/>
        <v>#REF!</v>
      </c>
      <c r="AH10" s="108" t="e">
        <f t="shared" ref="AH10:AM10" si="3">+AH9*4%</f>
        <v>#REF!</v>
      </c>
      <c r="AI10" s="108" t="e">
        <f t="shared" si="3"/>
        <v>#REF!</v>
      </c>
      <c r="AJ10" s="108" t="e">
        <f t="shared" si="3"/>
        <v>#REF!</v>
      </c>
      <c r="AK10" s="108" t="e">
        <f t="shared" si="3"/>
        <v>#REF!</v>
      </c>
      <c r="AL10" s="108" t="e">
        <f t="shared" si="3"/>
        <v>#REF!</v>
      </c>
      <c r="AM10" s="108" t="e">
        <f t="shared" si="3"/>
        <v>#REF!</v>
      </c>
      <c r="AN10" s="79"/>
      <c r="AO10" s="80"/>
      <c r="AP10" s="80"/>
    </row>
    <row r="11" spans="1:43" x14ac:dyDescent="0.35">
      <c r="B11" s="169" t="s">
        <v>95</v>
      </c>
      <c r="C11" s="84" t="e">
        <f>SUM(C9:C10)</f>
        <v>#REF!</v>
      </c>
      <c r="D11" s="84" t="e">
        <f t="shared" ref="D11:J11" si="4">SUM(D9:D10)</f>
        <v>#REF!</v>
      </c>
      <c r="E11" s="84" t="e">
        <f t="shared" si="4"/>
        <v>#REF!</v>
      </c>
      <c r="F11" s="84" t="e">
        <f t="shared" si="4"/>
        <v>#REF!</v>
      </c>
      <c r="G11" s="84" t="e">
        <f t="shared" si="4"/>
        <v>#REF!</v>
      </c>
      <c r="H11" s="84" t="e">
        <f t="shared" si="4"/>
        <v>#REF!</v>
      </c>
      <c r="I11" s="84" t="e">
        <f t="shared" si="4"/>
        <v>#REF!</v>
      </c>
      <c r="J11" s="80">
        <f t="shared" si="4"/>
        <v>0</v>
      </c>
      <c r="K11" s="80"/>
      <c r="L11" s="169" t="s">
        <v>95</v>
      </c>
      <c r="M11" s="84" t="e">
        <f t="shared" ref="M11:O11" si="5">SUM(M9:M10)</f>
        <v>#REF!</v>
      </c>
      <c r="N11" s="84" t="e">
        <f t="shared" si="5"/>
        <v>#REF!</v>
      </c>
      <c r="O11" s="84" t="e">
        <f t="shared" si="5"/>
        <v>#REF!</v>
      </c>
      <c r="Q11" s="157" t="s">
        <v>30</v>
      </c>
      <c r="R11" s="158">
        <f>+R10+R9</f>
        <v>1069.3488</v>
      </c>
      <c r="S11" s="159">
        <f>+S10+S9</f>
        <v>1091.0536000000002</v>
      </c>
      <c r="T11" s="158">
        <f>+T10+T9</f>
        <v>1140.1935999999998</v>
      </c>
      <c r="U11" s="158">
        <f>+U10+U9</f>
        <v>1127.0999999999999</v>
      </c>
      <c r="V11" s="158">
        <f t="shared" ref="V11:AG11" si="6">+V10+V9</f>
        <v>1149.72</v>
      </c>
      <c r="W11" s="158">
        <f t="shared" si="6"/>
        <v>1181.0239999999999</v>
      </c>
      <c r="X11" s="158">
        <f t="shared" si="6"/>
        <v>1241.5</v>
      </c>
      <c r="Y11" s="158">
        <f t="shared" si="6"/>
        <v>1288.3</v>
      </c>
      <c r="Z11" s="158">
        <f t="shared" si="6"/>
        <v>1307.28</v>
      </c>
      <c r="AA11" s="158">
        <f t="shared" si="6"/>
        <v>1363.7</v>
      </c>
      <c r="AB11" s="158">
        <f t="shared" si="6"/>
        <v>1476.8</v>
      </c>
      <c r="AC11" s="158">
        <f t="shared" si="6"/>
        <v>1438.4653150684931</v>
      </c>
      <c r="AD11" s="158">
        <f t="shared" si="6"/>
        <v>1437.8038262661369</v>
      </c>
      <c r="AE11" s="158">
        <f t="shared" si="6"/>
        <v>1433.6641479452055</v>
      </c>
      <c r="AF11" s="158" t="e">
        <f t="shared" si="6"/>
        <v>#REF!</v>
      </c>
      <c r="AG11" s="158" t="e">
        <f t="shared" si="6"/>
        <v>#REF!</v>
      </c>
      <c r="AH11" s="158" t="e">
        <f t="shared" ref="AH11:AM11" si="7">+AH10+AH9</f>
        <v>#REF!</v>
      </c>
      <c r="AI11" s="158" t="e">
        <f t="shared" si="7"/>
        <v>#REF!</v>
      </c>
      <c r="AJ11" s="158" t="e">
        <f t="shared" si="7"/>
        <v>#REF!</v>
      </c>
      <c r="AK11" s="158" t="e">
        <f t="shared" si="7"/>
        <v>#REF!</v>
      </c>
      <c r="AL11" s="158" t="e">
        <f t="shared" si="7"/>
        <v>#REF!</v>
      </c>
      <c r="AM11" s="158" t="e">
        <f t="shared" si="7"/>
        <v>#REF!</v>
      </c>
      <c r="AN11" s="79"/>
      <c r="AO11" s="80"/>
      <c r="AP11" s="80"/>
    </row>
    <row r="12" spans="1:43" x14ac:dyDescent="0.35">
      <c r="B12" s="170" t="s">
        <v>26</v>
      </c>
      <c r="C12" s="80">
        <f>8.2+0.03</f>
        <v>8.2299999999999986</v>
      </c>
      <c r="D12" s="80">
        <v>8.2299999999999986</v>
      </c>
      <c r="E12" s="80">
        <f>8.2+0.03</f>
        <v>8.2299999999999986</v>
      </c>
      <c r="F12" s="80">
        <f>8.2+0.03</f>
        <v>8.2299999999999986</v>
      </c>
      <c r="G12" s="80">
        <v>11.200000000000001</v>
      </c>
      <c r="H12" s="80">
        <v>11.200000000000001</v>
      </c>
      <c r="I12" s="80">
        <f>11.15+0.05</f>
        <v>11.200000000000001</v>
      </c>
      <c r="J12" s="80"/>
      <c r="L12" s="170" t="s">
        <v>26</v>
      </c>
      <c r="M12" s="80">
        <f>27.2+0.11</f>
        <v>27.31</v>
      </c>
      <c r="N12" s="80">
        <f>27.2+0.12</f>
        <v>27.32</v>
      </c>
      <c r="O12" s="80">
        <f>27.2+0.12</f>
        <v>27.32</v>
      </c>
      <c r="Q12" s="160" t="s">
        <v>32</v>
      </c>
      <c r="R12" s="161">
        <f>+R11*(1-5%)</f>
        <v>1015.88136</v>
      </c>
      <c r="S12" s="161">
        <f t="shared" ref="S12:AG12" si="8">+S11*(1-5%)</f>
        <v>1036.5009200000002</v>
      </c>
      <c r="T12" s="161">
        <f t="shared" si="8"/>
        <v>1083.1839199999997</v>
      </c>
      <c r="U12" s="161">
        <f t="shared" si="8"/>
        <v>1070.7449999999999</v>
      </c>
      <c r="V12" s="161">
        <f t="shared" si="8"/>
        <v>1092.2339999999999</v>
      </c>
      <c r="W12" s="161">
        <f t="shared" si="8"/>
        <v>1121.9727999999998</v>
      </c>
      <c r="X12" s="161">
        <f t="shared" si="8"/>
        <v>1179.425</v>
      </c>
      <c r="Y12" s="161">
        <f t="shared" si="8"/>
        <v>1223.885</v>
      </c>
      <c r="Z12" s="161">
        <f t="shared" si="8"/>
        <v>1241.9159999999999</v>
      </c>
      <c r="AA12" s="161">
        <f t="shared" si="8"/>
        <v>1295.5149999999999</v>
      </c>
      <c r="AB12" s="161">
        <f t="shared" si="8"/>
        <v>1402.9599999999998</v>
      </c>
      <c r="AC12" s="161">
        <f t="shared" si="8"/>
        <v>1366.5420493150684</v>
      </c>
      <c r="AD12" s="161">
        <f t="shared" si="8"/>
        <v>1365.9136349528299</v>
      </c>
      <c r="AE12" s="161">
        <f t="shared" si="8"/>
        <v>1361.9809405479452</v>
      </c>
      <c r="AF12" s="161" t="e">
        <f t="shared" si="8"/>
        <v>#REF!</v>
      </c>
      <c r="AG12" s="161" t="e">
        <f t="shared" si="8"/>
        <v>#REF!</v>
      </c>
      <c r="AH12" s="161" t="e">
        <f t="shared" ref="AH12:AM12" si="9">+AH11*(1-5%)</f>
        <v>#REF!</v>
      </c>
      <c r="AI12" s="161" t="e">
        <f t="shared" si="9"/>
        <v>#REF!</v>
      </c>
      <c r="AJ12" s="161" t="e">
        <f t="shared" si="9"/>
        <v>#REF!</v>
      </c>
      <c r="AK12" s="161" t="e">
        <f t="shared" si="9"/>
        <v>#REF!</v>
      </c>
      <c r="AL12" s="161" t="e">
        <f t="shared" si="9"/>
        <v>#REF!</v>
      </c>
      <c r="AM12" s="161" t="e">
        <f t="shared" si="9"/>
        <v>#REF!</v>
      </c>
      <c r="AN12" s="79"/>
      <c r="AO12" s="80"/>
      <c r="AP12" s="80"/>
    </row>
    <row r="13" spans="1:43" x14ac:dyDescent="0.35">
      <c r="B13" s="170" t="s">
        <v>31</v>
      </c>
      <c r="C13" s="80">
        <v>1.5</v>
      </c>
      <c r="D13" s="80">
        <v>1.5</v>
      </c>
      <c r="E13" s="80">
        <v>1.83</v>
      </c>
      <c r="F13" s="80">
        <v>1.83</v>
      </c>
      <c r="G13" s="80">
        <v>3.45</v>
      </c>
      <c r="H13" s="80">
        <v>3.45</v>
      </c>
      <c r="I13" s="80">
        <v>3.45</v>
      </c>
      <c r="J13" s="80"/>
      <c r="L13" s="170" t="s">
        <v>31</v>
      </c>
      <c r="M13" s="80">
        <v>0.9</v>
      </c>
      <c r="N13" s="80">
        <v>2.1800000000000002</v>
      </c>
      <c r="O13" s="80">
        <v>2.1800000000000002</v>
      </c>
      <c r="Q13" s="128" t="s">
        <v>100</v>
      </c>
      <c r="R13" s="128" t="s">
        <v>18</v>
      </c>
      <c r="S13" s="128" t="s">
        <v>18</v>
      </c>
      <c r="T13" s="128" t="s">
        <v>18</v>
      </c>
      <c r="U13" s="128" t="s">
        <v>18</v>
      </c>
      <c r="V13" s="128" t="s">
        <v>18</v>
      </c>
      <c r="W13" s="128" t="s">
        <v>18</v>
      </c>
      <c r="X13" s="128" t="s">
        <v>18</v>
      </c>
      <c r="Y13" s="128" t="s">
        <v>18</v>
      </c>
      <c r="Z13" s="128" t="s">
        <v>18</v>
      </c>
      <c r="AA13" s="128" t="s">
        <v>18</v>
      </c>
      <c r="AB13" s="128" t="s">
        <v>18</v>
      </c>
      <c r="AC13" s="128" t="s">
        <v>18</v>
      </c>
      <c r="AD13" s="128" t="s">
        <v>18</v>
      </c>
      <c r="AE13" s="128" t="s">
        <v>18</v>
      </c>
      <c r="AF13" s="128" t="s">
        <v>18</v>
      </c>
      <c r="AG13" s="128" t="s">
        <v>18</v>
      </c>
      <c r="AH13" s="128" t="s">
        <v>18</v>
      </c>
      <c r="AI13" s="128" t="s">
        <v>18</v>
      </c>
      <c r="AJ13" s="129">
        <v>0</v>
      </c>
      <c r="AK13" s="129" t="e">
        <f>+AP13</f>
        <v>#REF!</v>
      </c>
      <c r="AL13" s="129">
        <v>15.097681007201158</v>
      </c>
      <c r="AM13" s="129" t="e">
        <f>+AP13</f>
        <v>#REF!</v>
      </c>
      <c r="AN13" s="85" t="e">
        <f>+AM12*4.5%</f>
        <v>#REF!</v>
      </c>
      <c r="AO13" s="91" t="e">
        <f>+AN13/365</f>
        <v>#REF!</v>
      </c>
      <c r="AP13" s="91" t="e">
        <f>+(AO13*210)*50%</f>
        <v>#REF!</v>
      </c>
    </row>
    <row r="14" spans="1:43" x14ac:dyDescent="0.35">
      <c r="B14" s="170" t="s">
        <v>34</v>
      </c>
      <c r="C14" s="80">
        <v>0.19</v>
      </c>
      <c r="D14" s="80">
        <v>0.19</v>
      </c>
      <c r="E14" s="80">
        <v>0.19</v>
      </c>
      <c r="F14" s="80">
        <v>0.19</v>
      </c>
      <c r="G14" s="80">
        <v>0.33</v>
      </c>
      <c r="H14" s="80">
        <v>0.33</v>
      </c>
      <c r="I14" s="80">
        <v>0.33</v>
      </c>
      <c r="J14" s="80"/>
      <c r="L14" s="170" t="s">
        <v>34</v>
      </c>
      <c r="M14" s="80">
        <v>4.3</v>
      </c>
      <c r="N14" s="80">
        <v>4.3</v>
      </c>
      <c r="O14" s="80">
        <v>4.3</v>
      </c>
      <c r="Q14" s="179" t="s">
        <v>101</v>
      </c>
      <c r="R14" s="179"/>
      <c r="S14" s="179"/>
      <c r="T14" s="179"/>
      <c r="U14" s="179"/>
      <c r="V14" s="179"/>
      <c r="W14" s="179"/>
      <c r="X14" s="179"/>
      <c r="Y14" s="179"/>
      <c r="Z14" s="179"/>
      <c r="AA14" s="179"/>
      <c r="AB14" s="179"/>
      <c r="AC14" s="179"/>
      <c r="AD14" s="179"/>
      <c r="AE14" s="179"/>
      <c r="AF14" s="179"/>
      <c r="AG14" s="179"/>
      <c r="AH14" s="179"/>
      <c r="AI14" s="179"/>
      <c r="AJ14" s="180"/>
      <c r="AK14" s="180" t="e">
        <f>+AK12+AK13</f>
        <v>#REF!</v>
      </c>
      <c r="AL14" s="180" t="e">
        <f>+AL12+AL13</f>
        <v>#REF!</v>
      </c>
      <c r="AM14" s="180" t="e">
        <f>+AM12+AM13</f>
        <v>#REF!</v>
      </c>
      <c r="AN14" s="85"/>
      <c r="AO14" s="91"/>
      <c r="AP14" s="80"/>
      <c r="AQ14" s="81">
        <v>1267</v>
      </c>
    </row>
    <row r="15" spans="1:43" x14ac:dyDescent="0.35">
      <c r="A15" s="81" t="s">
        <v>38</v>
      </c>
      <c r="B15" s="170" t="s">
        <v>36</v>
      </c>
      <c r="C15" s="80">
        <v>0.16</v>
      </c>
      <c r="D15" s="80">
        <v>0.16</v>
      </c>
      <c r="E15" s="80">
        <v>0.16</v>
      </c>
      <c r="F15" s="80">
        <v>0.16</v>
      </c>
      <c r="G15" s="80">
        <v>0.28000000000000003</v>
      </c>
      <c r="H15" s="80">
        <v>0.28000000000000003</v>
      </c>
      <c r="I15" s="80">
        <v>0.28000000000000003</v>
      </c>
      <c r="J15" s="80"/>
      <c r="L15" s="170" t="s">
        <v>36</v>
      </c>
      <c r="M15" s="80">
        <v>8.36</v>
      </c>
      <c r="N15" s="80">
        <v>8.36</v>
      </c>
      <c r="O15" s="80">
        <v>8.36</v>
      </c>
      <c r="Q15" s="157" t="s">
        <v>96</v>
      </c>
      <c r="R15" s="158">
        <f t="shared" ref="R15:AH15" si="10">+R11*75%+R12*25%</f>
        <v>1055.9819400000001</v>
      </c>
      <c r="S15" s="158">
        <f t="shared" si="10"/>
        <v>1077.4154300000002</v>
      </c>
      <c r="T15" s="158">
        <f t="shared" si="10"/>
        <v>1125.9411799999998</v>
      </c>
      <c r="U15" s="158">
        <f t="shared" si="10"/>
        <v>1113.01125</v>
      </c>
      <c r="V15" s="158">
        <f t="shared" si="10"/>
        <v>1135.3485000000001</v>
      </c>
      <c r="W15" s="158">
        <f t="shared" si="10"/>
        <v>1166.2611999999999</v>
      </c>
      <c r="X15" s="158">
        <f t="shared" si="10"/>
        <v>1225.98125</v>
      </c>
      <c r="Y15" s="158">
        <f t="shared" si="10"/>
        <v>1272.19625</v>
      </c>
      <c r="Z15" s="158">
        <f t="shared" si="10"/>
        <v>1290.9390000000001</v>
      </c>
      <c r="AA15" s="158">
        <f t="shared" si="10"/>
        <v>1346.6537499999999</v>
      </c>
      <c r="AB15" s="158">
        <f t="shared" si="10"/>
        <v>1458.34</v>
      </c>
      <c r="AC15" s="158">
        <f t="shared" si="10"/>
        <v>1420.4844986301368</v>
      </c>
      <c r="AD15" s="158">
        <f t="shared" si="10"/>
        <v>1419.8312784378102</v>
      </c>
      <c r="AE15" s="158">
        <f t="shared" si="10"/>
        <v>1415.7433460958905</v>
      </c>
      <c r="AF15" s="158" t="e">
        <f t="shared" si="10"/>
        <v>#REF!</v>
      </c>
      <c r="AG15" s="158" t="e">
        <f t="shared" si="10"/>
        <v>#REF!</v>
      </c>
      <c r="AH15" s="158" t="e">
        <f t="shared" si="10"/>
        <v>#REF!</v>
      </c>
      <c r="AI15" s="158" t="e">
        <f>+AI11*50%+AI12*50%</f>
        <v>#REF!</v>
      </c>
      <c r="AJ15" s="158" t="e">
        <f>+AJ11*50%+AJ12*50%</f>
        <v>#REF!</v>
      </c>
      <c r="AK15" s="158" t="e">
        <f>+AK11*50%+AK14*50%</f>
        <v>#REF!</v>
      </c>
      <c r="AL15" s="158" t="e">
        <f>+AL11*50%+AL14*50%</f>
        <v>#REF!</v>
      </c>
      <c r="AM15" s="158" t="e">
        <f>+AM11*50%+AM14*50%</f>
        <v>#REF!</v>
      </c>
      <c r="AN15" s="80"/>
      <c r="AO15" s="80"/>
      <c r="AP15" s="80"/>
      <c r="AQ15" s="182" t="e">
        <f>+AQ14-AM14</f>
        <v>#REF!</v>
      </c>
    </row>
    <row r="16" spans="1:43" x14ac:dyDescent="0.35">
      <c r="B16" s="169" t="s">
        <v>39</v>
      </c>
      <c r="C16" s="84" t="e">
        <f>+C11+C12+C13+C14+C15</f>
        <v>#REF!</v>
      </c>
      <c r="D16" s="84" t="e">
        <f t="shared" ref="D16:I16" si="11">+D11+D12+D13+D14+D15</f>
        <v>#REF!</v>
      </c>
      <c r="E16" s="84" t="e">
        <f t="shared" si="11"/>
        <v>#REF!</v>
      </c>
      <c r="F16" s="84" t="e">
        <f t="shared" si="11"/>
        <v>#REF!</v>
      </c>
      <c r="G16" s="84" t="e">
        <f t="shared" si="11"/>
        <v>#REF!</v>
      </c>
      <c r="H16" s="84" t="e">
        <f t="shared" si="11"/>
        <v>#REF!</v>
      </c>
      <c r="I16" s="84" t="e">
        <f t="shared" si="11"/>
        <v>#REF!</v>
      </c>
      <c r="J16" s="84"/>
      <c r="L16" s="169" t="s">
        <v>39</v>
      </c>
      <c r="M16" s="84" t="e">
        <f t="shared" ref="M16:N16" si="12">+M11+M12+M13+M14+M15</f>
        <v>#REF!</v>
      </c>
      <c r="N16" s="84" t="e">
        <f t="shared" si="12"/>
        <v>#REF!</v>
      </c>
      <c r="O16" s="84" t="e">
        <f>+O11+O12+O13+O14+O15</f>
        <v>#REF!</v>
      </c>
      <c r="Q16" s="113" t="s">
        <v>37</v>
      </c>
      <c r="R16" s="118">
        <f>+R15*1%</f>
        <v>10.559819400000002</v>
      </c>
      <c r="S16" s="118">
        <f t="shared" ref="S16:AG16" si="13">+S15*1%</f>
        <v>10.774154300000003</v>
      </c>
      <c r="T16" s="118">
        <f t="shared" si="13"/>
        <v>11.259411799999999</v>
      </c>
      <c r="U16" s="118">
        <f t="shared" si="13"/>
        <v>11.130112500000001</v>
      </c>
      <c r="V16" s="118">
        <f t="shared" si="13"/>
        <v>11.353485000000001</v>
      </c>
      <c r="W16" s="118">
        <f t="shared" si="13"/>
        <v>11.662611999999999</v>
      </c>
      <c r="X16" s="118">
        <f t="shared" si="13"/>
        <v>12.259812500000001</v>
      </c>
      <c r="Y16" s="118">
        <f t="shared" si="13"/>
        <v>12.7219625</v>
      </c>
      <c r="Z16" s="118">
        <f t="shared" si="13"/>
        <v>12.909390000000002</v>
      </c>
      <c r="AA16" s="118">
        <f t="shared" si="13"/>
        <v>13.466537499999999</v>
      </c>
      <c r="AB16" s="118">
        <f t="shared" si="13"/>
        <v>14.583399999999999</v>
      </c>
      <c r="AC16" s="118">
        <f t="shared" si="13"/>
        <v>14.204844986301369</v>
      </c>
      <c r="AD16" s="118">
        <f t="shared" si="13"/>
        <v>14.198312784378102</v>
      </c>
      <c r="AE16" s="118">
        <f t="shared" si="13"/>
        <v>14.157433460958906</v>
      </c>
      <c r="AF16" s="118" t="e">
        <f t="shared" si="13"/>
        <v>#REF!</v>
      </c>
      <c r="AG16" s="118" t="e">
        <f t="shared" si="13"/>
        <v>#REF!</v>
      </c>
      <c r="AH16" s="118" t="e">
        <f t="shared" ref="AH16:AM16" si="14">+AH15*1%</f>
        <v>#REF!</v>
      </c>
      <c r="AI16" s="118" t="e">
        <f t="shared" si="14"/>
        <v>#REF!</v>
      </c>
      <c r="AJ16" s="118" t="e">
        <f t="shared" si="14"/>
        <v>#REF!</v>
      </c>
      <c r="AK16" s="118" t="e">
        <f t="shared" si="14"/>
        <v>#REF!</v>
      </c>
      <c r="AL16" s="118" t="e">
        <f t="shared" si="14"/>
        <v>#REF!</v>
      </c>
      <c r="AM16" s="118" t="e">
        <f t="shared" si="14"/>
        <v>#REF!</v>
      </c>
      <c r="AN16" s="79"/>
      <c r="AO16" s="80"/>
      <c r="AP16" s="84"/>
    </row>
    <row r="17" spans="1:44" x14ac:dyDescent="0.35">
      <c r="Q17" s="113" t="s">
        <v>74</v>
      </c>
      <c r="R17" s="115">
        <f>+R16+R15</f>
        <v>1066.5417594</v>
      </c>
      <c r="S17" s="115">
        <f t="shared" ref="S17:AL17" si="15">+S16+S15</f>
        <v>1088.1895843000002</v>
      </c>
      <c r="T17" s="115">
        <f t="shared" si="15"/>
        <v>1137.2005917999998</v>
      </c>
      <c r="U17" s="115">
        <f t="shared" si="15"/>
        <v>1124.1413625</v>
      </c>
      <c r="V17" s="115">
        <f t="shared" si="15"/>
        <v>1146.7019850000001</v>
      </c>
      <c r="W17" s="115">
        <f t="shared" si="15"/>
        <v>1177.923812</v>
      </c>
      <c r="X17" s="115">
        <f t="shared" si="15"/>
        <v>1238.2410625</v>
      </c>
      <c r="Y17" s="115">
        <f t="shared" si="15"/>
        <v>1284.9182125</v>
      </c>
      <c r="Z17" s="115">
        <f t="shared" si="15"/>
        <v>1303.8483900000001</v>
      </c>
      <c r="AA17" s="115">
        <f t="shared" si="15"/>
        <v>1360.1202874999999</v>
      </c>
      <c r="AB17" s="115">
        <f t="shared" si="15"/>
        <v>1472.9233999999999</v>
      </c>
      <c r="AC17" s="115">
        <f t="shared" si="15"/>
        <v>1434.6893436164382</v>
      </c>
      <c r="AD17" s="115">
        <f t="shared" si="15"/>
        <v>1434.0295912221882</v>
      </c>
      <c r="AE17" s="115">
        <f t="shared" si="15"/>
        <v>1429.9007795568493</v>
      </c>
      <c r="AF17" s="115" t="e">
        <f t="shared" si="15"/>
        <v>#REF!</v>
      </c>
      <c r="AG17" s="115" t="e">
        <f t="shared" si="15"/>
        <v>#REF!</v>
      </c>
      <c r="AH17" s="115" t="e">
        <f t="shared" si="15"/>
        <v>#REF!</v>
      </c>
      <c r="AI17" s="115" t="e">
        <f t="shared" si="15"/>
        <v>#REF!</v>
      </c>
      <c r="AJ17" s="115" t="e">
        <f t="shared" si="15"/>
        <v>#REF!</v>
      </c>
      <c r="AK17" s="115" t="e">
        <f t="shared" si="15"/>
        <v>#REF!</v>
      </c>
      <c r="AL17" s="115" t="e">
        <f t="shared" si="15"/>
        <v>#REF!</v>
      </c>
      <c r="AM17" s="115" t="e">
        <f t="shared" ref="AM17" si="16">+AM16+AM15</f>
        <v>#REF!</v>
      </c>
      <c r="AN17" s="181"/>
      <c r="AO17" s="84"/>
      <c r="AP17" s="84"/>
      <c r="AR17" s="182"/>
    </row>
    <row r="18" spans="1:44" x14ac:dyDescent="0.35">
      <c r="B18" s="169"/>
      <c r="C18" s="84"/>
      <c r="D18" s="84"/>
      <c r="E18" s="84"/>
      <c r="F18" s="84"/>
      <c r="G18" s="84"/>
      <c r="H18" s="84"/>
      <c r="I18" s="84"/>
      <c r="J18" s="84"/>
      <c r="K18" s="94"/>
      <c r="M18" s="84"/>
      <c r="N18" s="84"/>
      <c r="O18" s="84"/>
      <c r="Q18" s="85"/>
      <c r="R18" s="120" t="e">
        <f>+#REF!</f>
        <v>#REF!</v>
      </c>
      <c r="S18" s="120" t="e">
        <f>+R18</f>
        <v>#REF!</v>
      </c>
      <c r="T18" s="120" t="e">
        <f>+S18</f>
        <v>#REF!</v>
      </c>
      <c r="U18" s="120" t="e">
        <f>+T18</f>
        <v>#REF!</v>
      </c>
      <c r="V18" s="120" t="e">
        <f t="shared" ref="V18:AG18" si="17">+U18</f>
        <v>#REF!</v>
      </c>
      <c r="W18" s="120" t="e">
        <f t="shared" si="17"/>
        <v>#REF!</v>
      </c>
      <c r="X18" s="120" t="e">
        <f t="shared" si="17"/>
        <v>#REF!</v>
      </c>
      <c r="Y18" s="120" t="e">
        <f t="shared" si="17"/>
        <v>#REF!</v>
      </c>
      <c r="Z18" s="120" t="e">
        <f t="shared" si="17"/>
        <v>#REF!</v>
      </c>
      <c r="AA18" s="120" t="e">
        <f t="shared" si="17"/>
        <v>#REF!</v>
      </c>
      <c r="AB18" s="120" t="e">
        <f t="shared" si="17"/>
        <v>#REF!</v>
      </c>
      <c r="AC18" s="120" t="e">
        <f t="shared" si="17"/>
        <v>#REF!</v>
      </c>
      <c r="AD18" s="120" t="e">
        <f t="shared" si="17"/>
        <v>#REF!</v>
      </c>
      <c r="AE18" s="120" t="e">
        <f t="shared" si="17"/>
        <v>#REF!</v>
      </c>
      <c r="AF18" s="120" t="e">
        <f t="shared" si="17"/>
        <v>#REF!</v>
      </c>
      <c r="AG18" s="120" t="e">
        <f t="shared" si="17"/>
        <v>#REF!</v>
      </c>
      <c r="AH18" s="120"/>
      <c r="AI18" s="120"/>
      <c r="AJ18" s="120"/>
      <c r="AK18" s="120"/>
      <c r="AL18" s="120"/>
      <c r="AM18" s="120"/>
      <c r="AO18" s="84"/>
      <c r="AP18" s="82"/>
    </row>
    <row r="19" spans="1:44" x14ac:dyDescent="0.35">
      <c r="C19" s="132"/>
      <c r="K19" s="94"/>
      <c r="Q19" s="82"/>
      <c r="R19" s="82"/>
      <c r="S19" s="82"/>
      <c r="U19" s="94"/>
      <c r="V19" s="94"/>
      <c r="W19" s="94"/>
      <c r="X19" s="94"/>
      <c r="Y19" s="94"/>
      <c r="Z19" s="94"/>
      <c r="AA19" s="94"/>
      <c r="AB19" s="94"/>
      <c r="AC19" s="94"/>
      <c r="AD19" s="94"/>
      <c r="AE19" s="94"/>
      <c r="AF19" s="94"/>
      <c r="AG19" s="94"/>
      <c r="AH19" s="94"/>
      <c r="AI19" s="94"/>
      <c r="AJ19" s="94"/>
      <c r="AK19" s="94"/>
      <c r="AL19" s="94"/>
      <c r="AM19" s="94"/>
      <c r="AO19" s="82"/>
      <c r="AP19" s="82"/>
    </row>
    <row r="20" spans="1:44" x14ac:dyDescent="0.35">
      <c r="M20" s="86"/>
      <c r="AO20" s="82"/>
    </row>
    <row r="25" spans="1:44" x14ac:dyDescent="0.35">
      <c r="N25" s="123"/>
      <c r="AH25" s="164"/>
    </row>
    <row r="32" spans="1:44" s="82" customFormat="1" x14ac:dyDescent="0.35">
      <c r="A32" s="81"/>
      <c r="B32" s="173" t="s">
        <v>51</v>
      </c>
      <c r="J32" s="81"/>
      <c r="K32" s="81"/>
      <c r="L32" s="173"/>
      <c r="P32" s="81"/>
      <c r="Q32" s="81"/>
      <c r="R32" s="81"/>
      <c r="S32" s="81"/>
      <c r="T32" s="81"/>
      <c r="U32" s="81"/>
      <c r="V32" s="81"/>
      <c r="W32" s="81"/>
      <c r="X32" s="81"/>
      <c r="Y32" s="81"/>
      <c r="Z32" s="81"/>
      <c r="AA32" s="81"/>
      <c r="AB32" s="81"/>
      <c r="AC32" s="81"/>
      <c r="AD32" s="81"/>
      <c r="AE32" s="81"/>
      <c r="AF32" s="81"/>
      <c r="AG32" s="81"/>
      <c r="AH32" s="81"/>
      <c r="AI32" s="81"/>
      <c r="AJ32" s="81"/>
      <c r="AK32" s="81"/>
      <c r="AL32" s="81"/>
      <c r="AM32" s="81"/>
      <c r="AN32" s="81"/>
      <c r="AO32" s="81"/>
      <c r="AP32" s="81"/>
      <c r="AQ32" s="81"/>
      <c r="AR32" s="81"/>
    </row>
  </sheetData>
  <mergeCells count="6">
    <mergeCell ref="Q1:AP1"/>
    <mergeCell ref="B2:D2"/>
    <mergeCell ref="Q2:R2"/>
    <mergeCell ref="AN2:AO2"/>
    <mergeCell ref="B3:D3"/>
    <mergeCell ref="AN3:AO3"/>
  </mergeCells>
  <pageMargins left="0.7" right="0.7" top="0.75" bottom="0.75" header="0.3" footer="0.3"/>
  <pageSetup orientation="portrait" r:id="rId1"/>
  <customProperties>
    <customPr name="EpmWorksheetKeyString_GUID" r:id="rId2"/>
  </customProperties>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26"/>
  <dimension ref="A1:AS32"/>
  <sheetViews>
    <sheetView zoomScale="85" zoomScaleNormal="85" workbookViewId="0">
      <selection activeCell="AN7" sqref="AN7"/>
    </sheetView>
  </sheetViews>
  <sheetFormatPr defaultColWidth="11.453125" defaultRowHeight="14.5" x14ac:dyDescent="0.35"/>
  <cols>
    <col min="1" max="1" width="3.453125" style="81" customWidth="1"/>
    <col min="2" max="2" width="14" style="173" customWidth="1"/>
    <col min="3" max="3" width="10.81640625" style="82" customWidth="1"/>
    <col min="4" max="5" width="10.54296875" style="82" hidden="1" customWidth="1"/>
    <col min="6" max="6" width="11" style="82" customWidth="1"/>
    <col min="7" max="7" width="11.1796875" style="82" hidden="1" customWidth="1"/>
    <col min="8" max="8" width="11" style="82" hidden="1" customWidth="1"/>
    <col min="9" max="9" width="11.54296875" style="82" customWidth="1"/>
    <col min="10" max="10" width="8.54296875" style="81" hidden="1" customWidth="1"/>
    <col min="11" max="11" width="2.81640625" style="81" customWidth="1"/>
    <col min="12" max="12" width="13.81640625" style="173" customWidth="1"/>
    <col min="13" max="15" width="10.81640625" style="82" customWidth="1"/>
    <col min="16" max="16" width="2.81640625" style="81" customWidth="1"/>
    <col min="17" max="17" width="28.81640625" style="81" customWidth="1"/>
    <col min="18" max="18" width="16.1796875" style="81" hidden="1" customWidth="1"/>
    <col min="19" max="19" width="17.54296875" style="81" hidden="1" customWidth="1"/>
    <col min="20" max="20" width="14.54296875" style="81" hidden="1" customWidth="1"/>
    <col min="21" max="21" width="16" style="81" hidden="1" customWidth="1"/>
    <col min="22" max="22" width="17.81640625" style="81" hidden="1" customWidth="1"/>
    <col min="23" max="23" width="17.1796875" style="81" hidden="1" customWidth="1"/>
    <col min="24" max="29" width="14.453125" style="81" hidden="1" customWidth="1"/>
    <col min="30" max="30" width="16.453125" style="81" hidden="1" customWidth="1"/>
    <col min="31" max="33" width="14.81640625" style="81" hidden="1" customWidth="1"/>
    <col min="34" max="34" width="16.54296875" style="81" hidden="1" customWidth="1"/>
    <col min="35" max="36" width="17.54296875" style="81" hidden="1" customWidth="1"/>
    <col min="37" max="39" width="15.1796875" style="81" hidden="1" customWidth="1"/>
    <col min="40" max="40" width="15.1796875" style="81" customWidth="1"/>
    <col min="41" max="44" width="11.453125" style="81" customWidth="1"/>
    <col min="45" max="16384" width="11.453125" style="81"/>
  </cols>
  <sheetData>
    <row r="1" spans="1:45" x14ac:dyDescent="0.35">
      <c r="B1" s="122"/>
      <c r="C1" s="86"/>
      <c r="D1" s="86"/>
      <c r="E1" s="86"/>
      <c r="F1" s="87"/>
      <c r="G1" s="87"/>
      <c r="H1" s="87"/>
      <c r="I1" s="87"/>
      <c r="J1" s="87"/>
      <c r="K1" s="87"/>
      <c r="L1" s="122"/>
      <c r="M1" s="87"/>
      <c r="N1" s="87"/>
      <c r="O1" s="87"/>
      <c r="Q1" s="574"/>
      <c r="R1" s="574"/>
      <c r="S1" s="574"/>
      <c r="T1" s="574"/>
      <c r="U1" s="574"/>
      <c r="V1" s="574"/>
      <c r="W1" s="574"/>
      <c r="X1" s="574"/>
      <c r="Y1" s="574"/>
      <c r="Z1" s="574"/>
      <c r="AA1" s="574"/>
      <c r="AB1" s="574"/>
      <c r="AC1" s="574"/>
      <c r="AD1" s="574"/>
      <c r="AE1" s="574"/>
      <c r="AF1" s="574"/>
      <c r="AG1" s="574"/>
      <c r="AH1" s="574"/>
      <c r="AI1" s="574"/>
      <c r="AJ1" s="574"/>
      <c r="AK1" s="574"/>
      <c r="AL1" s="574"/>
      <c r="AM1" s="574"/>
      <c r="AN1" s="574"/>
      <c r="AO1" s="574"/>
      <c r="AP1" s="574"/>
      <c r="AQ1" s="574"/>
    </row>
    <row r="2" spans="1:45" s="142" customFormat="1" ht="15" customHeight="1" x14ac:dyDescent="0.35">
      <c r="B2" s="576" t="s">
        <v>66</v>
      </c>
      <c r="C2" s="576"/>
      <c r="D2" s="576"/>
      <c r="F2" s="141" t="e">
        <f>+AN11</f>
        <v>#REF!</v>
      </c>
      <c r="H2" s="141"/>
      <c r="I2" s="141"/>
      <c r="J2" s="143">
        <v>0.05</v>
      </c>
      <c r="K2" s="144"/>
      <c r="L2" s="171"/>
      <c r="M2" s="141"/>
      <c r="N2" s="141"/>
      <c r="O2" s="141"/>
      <c r="Q2" s="576"/>
      <c r="R2" s="576"/>
      <c r="S2" s="141"/>
      <c r="T2" s="143"/>
      <c r="U2" s="144"/>
      <c r="V2" s="144"/>
      <c r="W2" s="144"/>
      <c r="X2" s="144"/>
      <c r="Y2" s="144"/>
      <c r="Z2" s="144"/>
      <c r="AA2" s="144"/>
      <c r="AB2" s="144"/>
      <c r="AC2" s="144"/>
      <c r="AD2" s="144"/>
      <c r="AE2" s="144"/>
      <c r="AF2" s="144"/>
      <c r="AG2" s="144"/>
      <c r="AH2" s="144"/>
      <c r="AI2" s="144"/>
      <c r="AJ2" s="144"/>
      <c r="AK2" s="144"/>
      <c r="AL2" s="144"/>
      <c r="AM2" s="144"/>
      <c r="AN2" s="144"/>
      <c r="AO2" s="576"/>
      <c r="AP2" s="576"/>
      <c r="AQ2" s="141"/>
    </row>
    <row r="3" spans="1:45" s="133" customFormat="1" ht="15" customHeight="1" x14ac:dyDescent="0.35">
      <c r="B3" s="576" t="s">
        <v>67</v>
      </c>
      <c r="C3" s="576"/>
      <c r="D3" s="576"/>
      <c r="F3" s="134">
        <f>+AN14</f>
        <v>1283.4015753424658</v>
      </c>
      <c r="G3" s="135"/>
      <c r="H3" s="134"/>
      <c r="I3" s="134"/>
      <c r="J3" s="137" t="e">
        <f>+F2*J2</f>
        <v>#REF!</v>
      </c>
      <c r="K3" s="136"/>
      <c r="L3" s="174"/>
      <c r="M3" s="134"/>
      <c r="N3" s="134"/>
      <c r="O3" s="134"/>
      <c r="Q3" s="138"/>
      <c r="R3" s="139"/>
      <c r="S3" s="140"/>
      <c r="U3" s="136"/>
      <c r="V3" s="136"/>
      <c r="W3" s="136"/>
      <c r="X3" s="136"/>
      <c r="Y3" s="136"/>
      <c r="Z3" s="136"/>
      <c r="AA3" s="136"/>
      <c r="AB3" s="136"/>
      <c r="AC3" s="136"/>
      <c r="AD3" s="136"/>
      <c r="AE3" s="136"/>
      <c r="AF3" s="136"/>
      <c r="AG3" s="136"/>
      <c r="AH3" s="136"/>
      <c r="AI3" s="136"/>
      <c r="AJ3" s="136"/>
      <c r="AK3" s="136"/>
      <c r="AL3" s="136"/>
      <c r="AM3" s="136"/>
      <c r="AN3" s="136"/>
      <c r="AO3" s="577"/>
      <c r="AP3" s="577"/>
      <c r="AQ3" s="134"/>
    </row>
    <row r="4" spans="1:45" ht="23.5" hidden="1" x14ac:dyDescent="0.55000000000000004">
      <c r="B4" s="169"/>
      <c r="C4" s="92" t="e">
        <f>+(C9+C10)/C6*1000</f>
        <v>#REF!</v>
      </c>
      <c r="D4" s="92" t="e">
        <f>+(G9+G10)/G6*1000</f>
        <v>#REF!</v>
      </c>
      <c r="E4" s="92" t="e">
        <f>+(E9+E10)/E6*1000</f>
        <v>#REF!</v>
      </c>
      <c r="F4" s="92" t="e">
        <f>+(F9+F10)/F6*1000</f>
        <v>#REF!</v>
      </c>
      <c r="I4" s="92" t="e">
        <f>+(I9+I10)/I6*1000</f>
        <v>#REF!</v>
      </c>
      <c r="K4" s="88"/>
      <c r="L4" s="169"/>
      <c r="M4" s="92"/>
      <c r="N4" s="92"/>
      <c r="O4" s="92"/>
      <c r="Q4" s="93"/>
      <c r="R4" s="82"/>
      <c r="S4" s="90"/>
      <c r="T4" s="94"/>
      <c r="U4" s="88"/>
      <c r="V4" s="88"/>
      <c r="W4" s="88"/>
      <c r="X4" s="88"/>
      <c r="Y4" s="88"/>
      <c r="Z4" s="88"/>
      <c r="AA4" s="88"/>
      <c r="AB4" s="88"/>
      <c r="AC4" s="88"/>
      <c r="AD4" s="88"/>
      <c r="AE4" s="88"/>
      <c r="AF4" s="88"/>
      <c r="AG4" s="88"/>
      <c r="AH4" s="88"/>
      <c r="AI4" s="88"/>
      <c r="AJ4" s="88"/>
      <c r="AK4" s="88"/>
      <c r="AL4" s="88"/>
      <c r="AM4" s="88"/>
      <c r="AN4" s="88"/>
      <c r="AO4" s="91"/>
      <c r="AP4" s="91"/>
      <c r="AQ4" s="78"/>
    </row>
    <row r="5" spans="1:45" s="95" customFormat="1" ht="33.75" customHeight="1" x14ac:dyDescent="0.35">
      <c r="B5" s="169" t="s">
        <v>5</v>
      </c>
      <c r="C5" s="85" t="s">
        <v>68</v>
      </c>
      <c r="D5" s="85" t="s">
        <v>69</v>
      </c>
      <c r="E5" s="85" t="s">
        <v>69</v>
      </c>
      <c r="F5" s="85" t="s">
        <v>69</v>
      </c>
      <c r="G5" s="85" t="s">
        <v>70</v>
      </c>
      <c r="H5" s="85" t="s">
        <v>70</v>
      </c>
      <c r="I5" s="85" t="s">
        <v>70</v>
      </c>
      <c r="J5" s="85"/>
      <c r="K5" s="88"/>
      <c r="L5" s="169" t="s">
        <v>71</v>
      </c>
      <c r="M5" s="96" t="s">
        <v>7</v>
      </c>
      <c r="N5" s="96" t="s">
        <v>8</v>
      </c>
      <c r="O5" s="96" t="s">
        <v>8</v>
      </c>
      <c r="Q5" s="147" t="s">
        <v>72</v>
      </c>
      <c r="R5" s="99" t="s">
        <v>54</v>
      </c>
      <c r="S5" s="99" t="s">
        <v>55</v>
      </c>
      <c r="T5" s="99" t="s">
        <v>56</v>
      </c>
      <c r="U5" s="99" t="s">
        <v>12</v>
      </c>
      <c r="V5" s="99" t="s">
        <v>57</v>
      </c>
      <c r="W5" s="99" t="s">
        <v>58</v>
      </c>
      <c r="X5" s="99" t="s">
        <v>59</v>
      </c>
      <c r="Y5" s="99" t="s">
        <v>60</v>
      </c>
      <c r="Z5" s="99" t="s">
        <v>62</v>
      </c>
      <c r="AA5" s="99" t="s">
        <v>64</v>
      </c>
      <c r="AB5" s="99" t="s">
        <v>65</v>
      </c>
      <c r="AC5" s="99" t="s">
        <v>73</v>
      </c>
      <c r="AD5" s="99" t="s">
        <v>53</v>
      </c>
      <c r="AE5" s="99" t="s">
        <v>77</v>
      </c>
      <c r="AF5" s="99" t="s">
        <v>78</v>
      </c>
      <c r="AG5" s="99" t="s">
        <v>79</v>
      </c>
      <c r="AH5" s="99" t="s">
        <v>90</v>
      </c>
      <c r="AI5" s="99" t="s">
        <v>91</v>
      </c>
      <c r="AJ5" s="99" t="s">
        <v>97</v>
      </c>
      <c r="AK5" s="99" t="s">
        <v>98</v>
      </c>
      <c r="AL5" s="99" t="s">
        <v>102</v>
      </c>
      <c r="AM5" s="99" t="s">
        <v>103</v>
      </c>
      <c r="AN5" s="99" t="s">
        <v>104</v>
      </c>
      <c r="AO5" s="100"/>
      <c r="AP5" s="97"/>
      <c r="AQ5" s="97"/>
    </row>
    <row r="6" spans="1:45" x14ac:dyDescent="0.35">
      <c r="B6" s="169" t="s">
        <v>13</v>
      </c>
      <c r="C6" s="101">
        <v>16.7</v>
      </c>
      <c r="D6" s="101">
        <v>16.7</v>
      </c>
      <c r="E6" s="101">
        <v>20.5</v>
      </c>
      <c r="F6" s="101">
        <v>20.5</v>
      </c>
      <c r="G6" s="101">
        <v>30.6</v>
      </c>
      <c r="H6" s="101">
        <v>30.6</v>
      </c>
      <c r="I6" s="101">
        <v>38.6</v>
      </c>
      <c r="J6" s="101"/>
      <c r="L6" s="169" t="s">
        <v>13</v>
      </c>
      <c r="M6" s="101">
        <v>15</v>
      </c>
      <c r="N6" s="101">
        <v>20.5</v>
      </c>
      <c r="O6" s="101">
        <v>20.5</v>
      </c>
      <c r="Q6" s="102" t="s">
        <v>14</v>
      </c>
      <c r="R6" s="104">
        <v>938.13</v>
      </c>
      <c r="S6" s="105">
        <v>959</v>
      </c>
      <c r="T6" s="104">
        <v>1006.25</v>
      </c>
      <c r="U6" s="130">
        <v>993.75</v>
      </c>
      <c r="V6" s="131">
        <v>1015.5</v>
      </c>
      <c r="W6" s="131">
        <v>1045.5999999999999</v>
      </c>
      <c r="X6" s="43">
        <v>1103.75</v>
      </c>
      <c r="Y6" s="43">
        <v>1148.75</v>
      </c>
      <c r="Z6" s="43">
        <v>1167</v>
      </c>
      <c r="AA6" s="43">
        <v>1221.25</v>
      </c>
      <c r="AB6" s="43">
        <v>1330</v>
      </c>
      <c r="AC6" s="43">
        <f>+'IHS (Mod)'!I5</f>
        <v>1280</v>
      </c>
      <c r="AD6" s="43">
        <f>+'IHS (Mod)'!J5</f>
        <v>1279.380005</v>
      </c>
      <c r="AE6" s="43">
        <v>1275.5</v>
      </c>
      <c r="AF6" s="43" t="e">
        <f>+#REF!</f>
        <v>#REF!</v>
      </c>
      <c r="AG6" s="43" t="e">
        <f>+#REF!</f>
        <v>#REF!</v>
      </c>
      <c r="AH6" s="43" t="e">
        <f>+#REF!</f>
        <v>#REF!</v>
      </c>
      <c r="AI6" s="43" t="e">
        <f>+#REF!</f>
        <v>#REF!</v>
      </c>
      <c r="AJ6" s="43" t="e">
        <f>+#REF!</f>
        <v>#REF!</v>
      </c>
      <c r="AK6" s="43" t="e">
        <f>+#REF!</f>
        <v>#REF!</v>
      </c>
      <c r="AL6" s="43" t="e">
        <f>+#REF!</f>
        <v>#REF!</v>
      </c>
      <c r="AM6" s="43" t="e">
        <f>+#REF!</f>
        <v>#REF!</v>
      </c>
      <c r="AN6" s="43" t="e">
        <f>+#REF!</f>
        <v>#REF!</v>
      </c>
      <c r="AO6" s="85"/>
      <c r="AP6" s="101"/>
      <c r="AQ6" s="101"/>
    </row>
    <row r="7" spans="1:45" x14ac:dyDescent="0.35">
      <c r="B7" s="170" t="s">
        <v>16</v>
      </c>
      <c r="C7" s="91" t="s">
        <v>17</v>
      </c>
      <c r="D7" s="91" t="s">
        <v>17</v>
      </c>
      <c r="E7" s="91" t="s">
        <v>17</v>
      </c>
      <c r="F7" s="91" t="s">
        <v>17</v>
      </c>
      <c r="G7" s="91" t="s">
        <v>17</v>
      </c>
      <c r="H7" s="91" t="s">
        <v>17</v>
      </c>
      <c r="I7" s="91" t="s">
        <v>17</v>
      </c>
      <c r="J7" s="91"/>
      <c r="L7" s="170" t="s">
        <v>16</v>
      </c>
      <c r="M7" s="91" t="s">
        <v>17</v>
      </c>
      <c r="N7" s="91" t="s">
        <v>17</v>
      </c>
      <c r="O7" s="91" t="s">
        <v>17</v>
      </c>
      <c r="Q7" s="128" t="s">
        <v>99</v>
      </c>
      <c r="R7" s="129">
        <v>25.09</v>
      </c>
      <c r="S7" s="129">
        <v>25.09</v>
      </c>
      <c r="T7" s="129">
        <v>25.09</v>
      </c>
      <c r="U7" s="129">
        <v>25</v>
      </c>
      <c r="V7" s="129">
        <v>25</v>
      </c>
      <c r="W7" s="129">
        <v>25</v>
      </c>
      <c r="X7" s="129">
        <v>25</v>
      </c>
      <c r="Y7" s="129">
        <v>25</v>
      </c>
      <c r="Z7" s="129">
        <v>25</v>
      </c>
      <c r="AA7" s="129">
        <v>25</v>
      </c>
      <c r="AB7" s="129">
        <v>25</v>
      </c>
      <c r="AC7" s="129">
        <v>33.139726027397259</v>
      </c>
      <c r="AD7" s="129">
        <f>+Septiembre18!AD8</f>
        <v>33.1236741020548</v>
      </c>
      <c r="AE7" s="129">
        <v>33.023219178082194</v>
      </c>
      <c r="AF7" s="129">
        <v>33.023219178082194</v>
      </c>
      <c r="AG7" s="129">
        <v>32.783732876712328</v>
      </c>
      <c r="AH7" s="129">
        <v>29.126712328767123</v>
      </c>
      <c r="AI7" s="129">
        <v>27.395420677397254</v>
      </c>
      <c r="AJ7" s="129">
        <v>26.796575342465754</v>
      </c>
      <c r="AK7" s="129">
        <v>13.948458904109588</v>
      </c>
      <c r="AL7" s="129">
        <v>14.191181506849315</v>
      </c>
      <c r="AM7" s="129">
        <v>14.255907534246576</v>
      </c>
      <c r="AN7" s="129" t="e">
        <f>+AQ7</f>
        <v>#REF!</v>
      </c>
      <c r="AO7" s="85" t="e">
        <f>+AN6*4.5%</f>
        <v>#REF!</v>
      </c>
      <c r="AP7" s="91" t="e">
        <f>+AO7/365</f>
        <v>#REF!</v>
      </c>
      <c r="AQ7" s="91" t="e">
        <f>+(AP7*210)*50%</f>
        <v>#REF!</v>
      </c>
    </row>
    <row r="8" spans="1:45" s="95" customFormat="1" ht="29" x14ac:dyDescent="0.35">
      <c r="B8" s="175" t="s">
        <v>92</v>
      </c>
      <c r="C8" s="177" t="s">
        <v>93</v>
      </c>
      <c r="D8" s="177" t="s">
        <v>94</v>
      </c>
      <c r="E8" s="176">
        <v>1</v>
      </c>
      <c r="F8" s="177" t="s">
        <v>93</v>
      </c>
      <c r="G8" s="176">
        <v>1</v>
      </c>
      <c r="H8" s="177" t="s">
        <v>94</v>
      </c>
      <c r="I8" s="177" t="s">
        <v>93</v>
      </c>
      <c r="J8" s="162"/>
      <c r="L8" s="175" t="str">
        <f>+B8</f>
        <v>% Resina (Virgen/PCR)</v>
      </c>
      <c r="M8" s="177" t="s">
        <v>94</v>
      </c>
      <c r="N8" s="176">
        <v>1</v>
      </c>
      <c r="O8" s="177" t="s">
        <v>94</v>
      </c>
      <c r="Q8" s="166" t="s">
        <v>20</v>
      </c>
      <c r="R8" s="129">
        <v>65</v>
      </c>
      <c r="S8" s="167">
        <v>65</v>
      </c>
      <c r="T8" s="129">
        <v>65</v>
      </c>
      <c r="U8" s="129">
        <v>65</v>
      </c>
      <c r="V8" s="129">
        <v>65</v>
      </c>
      <c r="W8" s="129">
        <v>65</v>
      </c>
      <c r="X8" s="129">
        <v>65</v>
      </c>
      <c r="Y8" s="129">
        <v>65</v>
      </c>
      <c r="Z8" s="129">
        <v>65</v>
      </c>
      <c r="AA8" s="129">
        <v>65</v>
      </c>
      <c r="AB8" s="129">
        <v>65</v>
      </c>
      <c r="AC8" s="129">
        <v>70</v>
      </c>
      <c r="AD8" s="129">
        <v>70</v>
      </c>
      <c r="AE8" s="129">
        <v>70</v>
      </c>
      <c r="AF8" s="129">
        <v>70</v>
      </c>
      <c r="AG8" s="129">
        <v>70</v>
      </c>
      <c r="AH8" s="129">
        <v>70</v>
      </c>
      <c r="AI8" s="129">
        <v>70</v>
      </c>
      <c r="AJ8" s="129">
        <v>70</v>
      </c>
      <c r="AK8" s="129">
        <v>70</v>
      </c>
      <c r="AL8" s="129">
        <v>70</v>
      </c>
      <c r="AM8" s="129">
        <v>70</v>
      </c>
      <c r="AN8" s="129">
        <v>70</v>
      </c>
      <c r="AO8" s="168"/>
      <c r="AP8" s="165"/>
      <c r="AQ8" s="165"/>
    </row>
    <row r="9" spans="1:45" x14ac:dyDescent="0.35">
      <c r="B9" s="170" t="s">
        <v>19</v>
      </c>
      <c r="C9" s="80" t="e">
        <f>+(C6*F2/1000)*1.01*50%</f>
        <v>#REF!</v>
      </c>
      <c r="D9" s="80" t="e">
        <f>+(D6*$F$2/1000)*1.01*75%</f>
        <v>#REF!</v>
      </c>
      <c r="E9" s="80" t="e">
        <f>+(E6*$F$2/1000)*1.01</f>
        <v>#REF!</v>
      </c>
      <c r="F9" s="80" t="e">
        <f>+(F6*$F$2/1000)*1.01*50%</f>
        <v>#REF!</v>
      </c>
      <c r="G9" s="80" t="e">
        <f>+(G6*F2/1000)*1.01</f>
        <v>#REF!</v>
      </c>
      <c r="H9" s="80" t="e">
        <f>+(H6*$F$2/1000)*1.01*75%</f>
        <v>#REF!</v>
      </c>
      <c r="I9" s="80" t="e">
        <f>+(I6*$F$2/1000)*1.01*50%</f>
        <v>#REF!</v>
      </c>
      <c r="J9" s="80"/>
      <c r="L9" s="170" t="s">
        <v>19</v>
      </c>
      <c r="M9" s="80" t="e">
        <f>+(M6*F2/1000)*1.005*75%</f>
        <v>#REF!</v>
      </c>
      <c r="N9" s="80" t="e">
        <f>+(N6*F2/1000)*1.005</f>
        <v>#REF!</v>
      </c>
      <c r="O9" s="80" t="e">
        <f>+(O6*F2/1000)*1.005*75%</f>
        <v>#REF!</v>
      </c>
      <c r="Q9" s="102"/>
      <c r="R9" s="104">
        <f>SUM(R6:R8)</f>
        <v>1028.22</v>
      </c>
      <c r="S9" s="104">
        <f>SUM(S6:S8)</f>
        <v>1049.0900000000001</v>
      </c>
      <c r="T9" s="104">
        <f>SUM(T6:T8)</f>
        <v>1096.3399999999999</v>
      </c>
      <c r="U9" s="104">
        <f>SUM(U6:U8)</f>
        <v>1083.75</v>
      </c>
      <c r="V9" s="104">
        <f t="shared" ref="V9:AM9" si="0">SUM(V6:V8)</f>
        <v>1105.5</v>
      </c>
      <c r="W9" s="104">
        <f t="shared" si="0"/>
        <v>1135.5999999999999</v>
      </c>
      <c r="X9" s="104">
        <f t="shared" si="0"/>
        <v>1193.75</v>
      </c>
      <c r="Y9" s="104">
        <f t="shared" si="0"/>
        <v>1238.75</v>
      </c>
      <c r="Z9" s="104">
        <f t="shared" si="0"/>
        <v>1257</v>
      </c>
      <c r="AA9" s="104">
        <f t="shared" si="0"/>
        <v>1311.25</v>
      </c>
      <c r="AB9" s="104">
        <f t="shared" si="0"/>
        <v>1420</v>
      </c>
      <c r="AC9" s="104">
        <f t="shared" si="0"/>
        <v>1383.1397260273973</v>
      </c>
      <c r="AD9" s="104">
        <f t="shared" si="0"/>
        <v>1382.5036791020548</v>
      </c>
      <c r="AE9" s="104">
        <f t="shared" si="0"/>
        <v>1378.5232191780822</v>
      </c>
      <c r="AF9" s="104" t="e">
        <f t="shared" si="0"/>
        <v>#REF!</v>
      </c>
      <c r="AG9" s="104" t="e">
        <f t="shared" si="0"/>
        <v>#REF!</v>
      </c>
      <c r="AH9" s="104" t="e">
        <f t="shared" si="0"/>
        <v>#REF!</v>
      </c>
      <c r="AI9" s="104" t="e">
        <f t="shared" si="0"/>
        <v>#REF!</v>
      </c>
      <c r="AJ9" s="104" t="e">
        <f t="shared" si="0"/>
        <v>#REF!</v>
      </c>
      <c r="AK9" s="104" t="e">
        <f t="shared" si="0"/>
        <v>#REF!</v>
      </c>
      <c r="AL9" s="104" t="e">
        <f t="shared" si="0"/>
        <v>#REF!</v>
      </c>
      <c r="AM9" s="104" t="e">
        <f t="shared" si="0"/>
        <v>#REF!</v>
      </c>
      <c r="AN9" s="104" t="e">
        <f t="shared" ref="AN9" si="1">SUM(AN6:AN8)</f>
        <v>#REF!</v>
      </c>
      <c r="AO9" s="79"/>
      <c r="AP9" s="80"/>
      <c r="AQ9" s="80"/>
    </row>
    <row r="10" spans="1:45" x14ac:dyDescent="0.35">
      <c r="B10" s="172" t="s">
        <v>23</v>
      </c>
      <c r="C10" s="76">
        <f>+(C6*$F$3/1000)*1.01*50%</f>
        <v>10.823567185650685</v>
      </c>
      <c r="D10" s="76">
        <f>+(D6*$F$3/1000)*1.01*25%</f>
        <v>5.4117835928253424</v>
      </c>
      <c r="E10" s="76">
        <v>0</v>
      </c>
      <c r="F10" s="76">
        <f>+(F6*$F$3/1000)*1.01*50%</f>
        <v>13.286414808732879</v>
      </c>
      <c r="G10" s="76">
        <v>0</v>
      </c>
      <c r="H10" s="76">
        <f>+(H6*$F$3/1000)*1.01*25%</f>
        <v>9.916202271883563</v>
      </c>
      <c r="I10" s="76">
        <f>+(I6*$F$3/1000)*1.01*50%</f>
        <v>25.017346908150685</v>
      </c>
      <c r="J10" s="76"/>
      <c r="K10" s="121"/>
      <c r="L10" s="172" t="s">
        <v>23</v>
      </c>
      <c r="M10" s="76">
        <f>+(M6*F3/1000)*1.005*25%</f>
        <v>4.8368196870719178</v>
      </c>
      <c r="N10" s="76">
        <v>0</v>
      </c>
      <c r="O10" s="76">
        <f>+(O6*F3/1000)*1.005*25%</f>
        <v>6.6103202389982876</v>
      </c>
      <c r="Q10" s="106" t="s">
        <v>27</v>
      </c>
      <c r="R10" s="108">
        <f>+R9*4%</f>
        <v>41.128800000000005</v>
      </c>
      <c r="S10" s="104">
        <f>+S9*4%</f>
        <v>41.963600000000007</v>
      </c>
      <c r="T10" s="108">
        <f>+T9*4%</f>
        <v>43.8536</v>
      </c>
      <c r="U10" s="108">
        <f>+U9*4%</f>
        <v>43.35</v>
      </c>
      <c r="V10" s="108">
        <f t="shared" ref="V10:AM10" si="2">+V9*4%</f>
        <v>44.22</v>
      </c>
      <c r="W10" s="108">
        <f t="shared" si="2"/>
        <v>45.423999999999999</v>
      </c>
      <c r="X10" s="108">
        <f t="shared" si="2"/>
        <v>47.75</v>
      </c>
      <c r="Y10" s="108">
        <f t="shared" si="2"/>
        <v>49.550000000000004</v>
      </c>
      <c r="Z10" s="108">
        <f t="shared" si="2"/>
        <v>50.28</v>
      </c>
      <c r="AA10" s="108">
        <f t="shared" si="2"/>
        <v>52.45</v>
      </c>
      <c r="AB10" s="108">
        <f t="shared" si="2"/>
        <v>56.800000000000004</v>
      </c>
      <c r="AC10" s="108">
        <f t="shared" si="2"/>
        <v>55.325589041095895</v>
      </c>
      <c r="AD10" s="108">
        <f t="shared" si="2"/>
        <v>55.30014716408219</v>
      </c>
      <c r="AE10" s="108">
        <f t="shared" si="2"/>
        <v>55.140928767123285</v>
      </c>
      <c r="AF10" s="108" t="e">
        <f t="shared" si="2"/>
        <v>#REF!</v>
      </c>
      <c r="AG10" s="108" t="e">
        <f t="shared" si="2"/>
        <v>#REF!</v>
      </c>
      <c r="AH10" s="108" t="e">
        <f t="shared" si="2"/>
        <v>#REF!</v>
      </c>
      <c r="AI10" s="108" t="e">
        <f t="shared" si="2"/>
        <v>#REF!</v>
      </c>
      <c r="AJ10" s="108" t="e">
        <f t="shared" si="2"/>
        <v>#REF!</v>
      </c>
      <c r="AK10" s="108" t="e">
        <f t="shared" si="2"/>
        <v>#REF!</v>
      </c>
      <c r="AL10" s="108" t="e">
        <f t="shared" si="2"/>
        <v>#REF!</v>
      </c>
      <c r="AM10" s="108" t="e">
        <f t="shared" si="2"/>
        <v>#REF!</v>
      </c>
      <c r="AN10" s="108" t="e">
        <f t="shared" ref="AN10" si="3">+AN9*4%</f>
        <v>#REF!</v>
      </c>
      <c r="AO10" s="79"/>
      <c r="AP10" s="80"/>
      <c r="AQ10" s="80"/>
    </row>
    <row r="11" spans="1:45" x14ac:dyDescent="0.35">
      <c r="B11" s="169" t="s">
        <v>95</v>
      </c>
      <c r="C11" s="84" t="e">
        <f>SUM(C9:C10)</f>
        <v>#REF!</v>
      </c>
      <c r="D11" s="84" t="e">
        <f t="shared" ref="D11:J11" si="4">SUM(D9:D10)</f>
        <v>#REF!</v>
      </c>
      <c r="E11" s="84" t="e">
        <f t="shared" si="4"/>
        <v>#REF!</v>
      </c>
      <c r="F11" s="84" t="e">
        <f t="shared" si="4"/>
        <v>#REF!</v>
      </c>
      <c r="G11" s="84" t="e">
        <f t="shared" si="4"/>
        <v>#REF!</v>
      </c>
      <c r="H11" s="84" t="e">
        <f t="shared" si="4"/>
        <v>#REF!</v>
      </c>
      <c r="I11" s="84" t="e">
        <f t="shared" si="4"/>
        <v>#REF!</v>
      </c>
      <c r="J11" s="80">
        <f t="shared" si="4"/>
        <v>0</v>
      </c>
      <c r="K11" s="80"/>
      <c r="L11" s="169" t="s">
        <v>95</v>
      </c>
      <c r="M11" s="84" t="e">
        <f t="shared" ref="M11:O11" si="5">SUM(M9:M10)</f>
        <v>#REF!</v>
      </c>
      <c r="N11" s="84" t="e">
        <f t="shared" si="5"/>
        <v>#REF!</v>
      </c>
      <c r="O11" s="84" t="e">
        <f t="shared" si="5"/>
        <v>#REF!</v>
      </c>
      <c r="Q11" s="157" t="s">
        <v>30</v>
      </c>
      <c r="R11" s="158">
        <f>+R10+R9</f>
        <v>1069.3488</v>
      </c>
      <c r="S11" s="159">
        <f>+S10+S9</f>
        <v>1091.0536000000002</v>
      </c>
      <c r="T11" s="158">
        <f>+T10+T9</f>
        <v>1140.1935999999998</v>
      </c>
      <c r="U11" s="158">
        <f>+U10+U9</f>
        <v>1127.0999999999999</v>
      </c>
      <c r="V11" s="158">
        <f t="shared" ref="V11:AM11" si="6">+V10+V9</f>
        <v>1149.72</v>
      </c>
      <c r="W11" s="158">
        <f t="shared" si="6"/>
        <v>1181.0239999999999</v>
      </c>
      <c r="X11" s="158">
        <f t="shared" si="6"/>
        <v>1241.5</v>
      </c>
      <c r="Y11" s="158">
        <f t="shared" si="6"/>
        <v>1288.3</v>
      </c>
      <c r="Z11" s="158">
        <f t="shared" si="6"/>
        <v>1307.28</v>
      </c>
      <c r="AA11" s="158">
        <f t="shared" si="6"/>
        <v>1363.7</v>
      </c>
      <c r="AB11" s="158">
        <f t="shared" si="6"/>
        <v>1476.8</v>
      </c>
      <c r="AC11" s="158">
        <f t="shared" si="6"/>
        <v>1438.4653150684931</v>
      </c>
      <c r="AD11" s="158">
        <f t="shared" si="6"/>
        <v>1437.8038262661369</v>
      </c>
      <c r="AE11" s="158">
        <f t="shared" si="6"/>
        <v>1433.6641479452055</v>
      </c>
      <c r="AF11" s="158" t="e">
        <f t="shared" si="6"/>
        <v>#REF!</v>
      </c>
      <c r="AG11" s="158" t="e">
        <f t="shared" si="6"/>
        <v>#REF!</v>
      </c>
      <c r="AH11" s="158" t="e">
        <f t="shared" si="6"/>
        <v>#REF!</v>
      </c>
      <c r="AI11" s="158" t="e">
        <f t="shared" si="6"/>
        <v>#REF!</v>
      </c>
      <c r="AJ11" s="158" t="e">
        <f t="shared" si="6"/>
        <v>#REF!</v>
      </c>
      <c r="AK11" s="158" t="e">
        <f t="shared" si="6"/>
        <v>#REF!</v>
      </c>
      <c r="AL11" s="158" t="e">
        <f t="shared" si="6"/>
        <v>#REF!</v>
      </c>
      <c r="AM11" s="158" t="e">
        <f t="shared" si="6"/>
        <v>#REF!</v>
      </c>
      <c r="AN11" s="158" t="e">
        <f t="shared" ref="AN11" si="7">+AN10+AN9</f>
        <v>#REF!</v>
      </c>
      <c r="AO11" s="79"/>
      <c r="AP11" s="80"/>
      <c r="AQ11" s="80"/>
    </row>
    <row r="12" spans="1:45" x14ac:dyDescent="0.35">
      <c r="B12" s="170" t="s">
        <v>26</v>
      </c>
      <c r="C12" s="80">
        <f>8.2+0.03</f>
        <v>8.2299999999999986</v>
      </c>
      <c r="D12" s="80">
        <v>8.2299999999999986</v>
      </c>
      <c r="E12" s="80">
        <f>8.2+0.03</f>
        <v>8.2299999999999986</v>
      </c>
      <c r="F12" s="80">
        <f>8.2+0.03</f>
        <v>8.2299999999999986</v>
      </c>
      <c r="G12" s="80">
        <v>11.200000000000001</v>
      </c>
      <c r="H12" s="80">
        <v>11.200000000000001</v>
      </c>
      <c r="I12" s="80">
        <f>11.15+0.05</f>
        <v>11.200000000000001</v>
      </c>
      <c r="J12" s="80"/>
      <c r="L12" s="170" t="s">
        <v>26</v>
      </c>
      <c r="M12" s="80">
        <f>27.2+0.11</f>
        <v>27.31</v>
      </c>
      <c r="N12" s="80">
        <f>27.2+0.12</f>
        <v>27.32</v>
      </c>
      <c r="O12" s="80">
        <f>27.2+0.12</f>
        <v>27.32</v>
      </c>
      <c r="Q12" s="160" t="s">
        <v>32</v>
      </c>
      <c r="R12" s="161">
        <f>+R11*(1-5%)</f>
        <v>1015.88136</v>
      </c>
      <c r="S12" s="161">
        <f t="shared" ref="S12:AM12" si="8">+S11*(1-5%)</f>
        <v>1036.5009200000002</v>
      </c>
      <c r="T12" s="161">
        <f t="shared" si="8"/>
        <v>1083.1839199999997</v>
      </c>
      <c r="U12" s="161">
        <f t="shared" si="8"/>
        <v>1070.7449999999999</v>
      </c>
      <c r="V12" s="161">
        <f t="shared" si="8"/>
        <v>1092.2339999999999</v>
      </c>
      <c r="W12" s="161">
        <f t="shared" si="8"/>
        <v>1121.9727999999998</v>
      </c>
      <c r="X12" s="161">
        <f t="shared" si="8"/>
        <v>1179.425</v>
      </c>
      <c r="Y12" s="161">
        <f t="shared" si="8"/>
        <v>1223.885</v>
      </c>
      <c r="Z12" s="161">
        <f t="shared" si="8"/>
        <v>1241.9159999999999</v>
      </c>
      <c r="AA12" s="161">
        <f t="shared" si="8"/>
        <v>1295.5149999999999</v>
      </c>
      <c r="AB12" s="161">
        <f t="shared" si="8"/>
        <v>1402.9599999999998</v>
      </c>
      <c r="AC12" s="161">
        <f t="shared" si="8"/>
        <v>1366.5420493150684</v>
      </c>
      <c r="AD12" s="161">
        <f t="shared" si="8"/>
        <v>1365.9136349528299</v>
      </c>
      <c r="AE12" s="161">
        <f t="shared" si="8"/>
        <v>1361.9809405479452</v>
      </c>
      <c r="AF12" s="161" t="e">
        <f t="shared" si="8"/>
        <v>#REF!</v>
      </c>
      <c r="AG12" s="161" t="e">
        <f t="shared" si="8"/>
        <v>#REF!</v>
      </c>
      <c r="AH12" s="161" t="e">
        <f t="shared" si="8"/>
        <v>#REF!</v>
      </c>
      <c r="AI12" s="161" t="e">
        <f t="shared" si="8"/>
        <v>#REF!</v>
      </c>
      <c r="AJ12" s="161" t="e">
        <f t="shared" si="8"/>
        <v>#REF!</v>
      </c>
      <c r="AK12" s="161" t="e">
        <f t="shared" si="8"/>
        <v>#REF!</v>
      </c>
      <c r="AL12" s="161" t="e">
        <f t="shared" si="8"/>
        <v>#REF!</v>
      </c>
      <c r="AM12" s="161" t="e">
        <f t="shared" si="8"/>
        <v>#REF!</v>
      </c>
      <c r="AN12" s="161">
        <v>1267</v>
      </c>
      <c r="AO12" s="79"/>
      <c r="AP12" s="80"/>
      <c r="AQ12" s="80"/>
      <c r="AR12" s="182">
        <v>1267</v>
      </c>
      <c r="AS12" s="81" t="s">
        <v>105</v>
      </c>
    </row>
    <row r="13" spans="1:45" x14ac:dyDescent="0.35">
      <c r="B13" s="170" t="s">
        <v>31</v>
      </c>
      <c r="C13" s="80">
        <v>1.5</v>
      </c>
      <c r="D13" s="80">
        <v>1.5</v>
      </c>
      <c r="E13" s="80">
        <v>1.83</v>
      </c>
      <c r="F13" s="80">
        <v>1.83</v>
      </c>
      <c r="G13" s="80">
        <v>3.45</v>
      </c>
      <c r="H13" s="80">
        <v>3.45</v>
      </c>
      <c r="I13" s="80">
        <v>3.45</v>
      </c>
      <c r="J13" s="80"/>
      <c r="L13" s="170" t="s">
        <v>31</v>
      </c>
      <c r="M13" s="80">
        <v>0.9</v>
      </c>
      <c r="N13" s="80">
        <v>2.1800000000000002</v>
      </c>
      <c r="O13" s="80">
        <v>2.1800000000000002</v>
      </c>
      <c r="Q13" s="128" t="s">
        <v>100</v>
      </c>
      <c r="R13" s="128" t="s">
        <v>18</v>
      </c>
      <c r="S13" s="128" t="s">
        <v>18</v>
      </c>
      <c r="T13" s="128" t="s">
        <v>18</v>
      </c>
      <c r="U13" s="128" t="s">
        <v>18</v>
      </c>
      <c r="V13" s="128" t="s">
        <v>18</v>
      </c>
      <c r="W13" s="128" t="s">
        <v>18</v>
      </c>
      <c r="X13" s="128" t="s">
        <v>18</v>
      </c>
      <c r="Y13" s="128" t="s">
        <v>18</v>
      </c>
      <c r="Z13" s="128" t="s">
        <v>18</v>
      </c>
      <c r="AA13" s="128" t="s">
        <v>18</v>
      </c>
      <c r="AB13" s="128" t="s">
        <v>18</v>
      </c>
      <c r="AC13" s="128" t="s">
        <v>18</v>
      </c>
      <c r="AD13" s="128" t="s">
        <v>18</v>
      </c>
      <c r="AE13" s="128" t="s">
        <v>18</v>
      </c>
      <c r="AF13" s="128" t="s">
        <v>18</v>
      </c>
      <c r="AG13" s="128" t="s">
        <v>18</v>
      </c>
      <c r="AH13" s="128" t="s">
        <v>18</v>
      </c>
      <c r="AI13" s="128" t="s">
        <v>18</v>
      </c>
      <c r="AJ13" s="129">
        <v>0</v>
      </c>
      <c r="AK13" s="129">
        <f>+AQ13</f>
        <v>16.401575342465755</v>
      </c>
      <c r="AL13" s="129">
        <v>15.097681007201158</v>
      </c>
      <c r="AM13" s="129">
        <v>15.162458159293488</v>
      </c>
      <c r="AN13" s="129">
        <f>+AQ13</f>
        <v>16.401575342465755</v>
      </c>
      <c r="AO13" s="85">
        <f>+AN12*4.5%</f>
        <v>57.015000000000001</v>
      </c>
      <c r="AP13" s="91">
        <f>+AO13/365</f>
        <v>0.15620547945205479</v>
      </c>
      <c r="AQ13" s="91">
        <f>+(AP13*210)*50%</f>
        <v>16.401575342465755</v>
      </c>
      <c r="AR13" s="182" t="e">
        <f>+AM14-AR12</f>
        <v>#REF!</v>
      </c>
      <c r="AS13" s="81" t="s">
        <v>106</v>
      </c>
    </row>
    <row r="14" spans="1:45" x14ac:dyDescent="0.35">
      <c r="B14" s="170" t="s">
        <v>34</v>
      </c>
      <c r="C14" s="80">
        <v>0.19</v>
      </c>
      <c r="D14" s="80">
        <v>0.19</v>
      </c>
      <c r="E14" s="80">
        <v>0.19</v>
      </c>
      <c r="F14" s="80">
        <v>0.19</v>
      </c>
      <c r="G14" s="80">
        <v>0.33</v>
      </c>
      <c r="H14" s="80">
        <v>0.33</v>
      </c>
      <c r="I14" s="80">
        <v>0.33</v>
      </c>
      <c r="J14" s="80"/>
      <c r="L14" s="170" t="s">
        <v>34</v>
      </c>
      <c r="M14" s="80">
        <v>4.3</v>
      </c>
      <c r="N14" s="80">
        <v>4.3</v>
      </c>
      <c r="O14" s="80">
        <v>4.3</v>
      </c>
      <c r="Q14" s="179" t="s">
        <v>101</v>
      </c>
      <c r="R14" s="179"/>
      <c r="S14" s="179"/>
      <c r="T14" s="179"/>
      <c r="U14" s="179"/>
      <c r="V14" s="179"/>
      <c r="W14" s="179"/>
      <c r="X14" s="179"/>
      <c r="Y14" s="179"/>
      <c r="Z14" s="179"/>
      <c r="AA14" s="179"/>
      <c r="AB14" s="179"/>
      <c r="AC14" s="179"/>
      <c r="AD14" s="179"/>
      <c r="AE14" s="179"/>
      <c r="AF14" s="179"/>
      <c r="AG14" s="179"/>
      <c r="AH14" s="179"/>
      <c r="AI14" s="179"/>
      <c r="AJ14" s="180"/>
      <c r="AK14" s="180" t="e">
        <f>+AK12+AK13</f>
        <v>#REF!</v>
      </c>
      <c r="AL14" s="180" t="e">
        <f>+AL12+AL13</f>
        <v>#REF!</v>
      </c>
      <c r="AM14" s="180" t="e">
        <f>+AM12+AM13</f>
        <v>#REF!</v>
      </c>
      <c r="AN14" s="180">
        <f>+AN12+AN13</f>
        <v>1283.4015753424658</v>
      </c>
      <c r="AO14" s="85"/>
      <c r="AP14" s="91"/>
      <c r="AQ14" s="80"/>
    </row>
    <row r="15" spans="1:45" x14ac:dyDescent="0.35">
      <c r="A15" s="81" t="s">
        <v>38</v>
      </c>
      <c r="B15" s="170" t="s">
        <v>36</v>
      </c>
      <c r="C15" s="80">
        <v>0.16</v>
      </c>
      <c r="D15" s="80">
        <v>0.16</v>
      </c>
      <c r="E15" s="80">
        <v>0.16</v>
      </c>
      <c r="F15" s="80">
        <v>0.16</v>
      </c>
      <c r="G15" s="80">
        <v>0.28000000000000003</v>
      </c>
      <c r="H15" s="80">
        <v>0.28000000000000003</v>
      </c>
      <c r="I15" s="80">
        <v>0.28000000000000003</v>
      </c>
      <c r="J15" s="80"/>
      <c r="L15" s="170" t="s">
        <v>36</v>
      </c>
      <c r="M15" s="80">
        <v>8.36</v>
      </c>
      <c r="N15" s="80">
        <v>8.36</v>
      </c>
      <c r="O15" s="80">
        <v>8.36</v>
      </c>
      <c r="Q15" s="157" t="s">
        <v>96</v>
      </c>
      <c r="R15" s="158">
        <f t="shared" ref="R15:AH15" si="9">+R11*75%+R12*25%</f>
        <v>1055.9819400000001</v>
      </c>
      <c r="S15" s="158">
        <f t="shared" si="9"/>
        <v>1077.4154300000002</v>
      </c>
      <c r="T15" s="158">
        <f t="shared" si="9"/>
        <v>1125.9411799999998</v>
      </c>
      <c r="U15" s="158">
        <f t="shared" si="9"/>
        <v>1113.01125</v>
      </c>
      <c r="V15" s="158">
        <f t="shared" si="9"/>
        <v>1135.3485000000001</v>
      </c>
      <c r="W15" s="158">
        <f t="shared" si="9"/>
        <v>1166.2611999999999</v>
      </c>
      <c r="X15" s="158">
        <f t="shared" si="9"/>
        <v>1225.98125</v>
      </c>
      <c r="Y15" s="158">
        <f t="shared" si="9"/>
        <v>1272.19625</v>
      </c>
      <c r="Z15" s="158">
        <f t="shared" si="9"/>
        <v>1290.9390000000001</v>
      </c>
      <c r="AA15" s="158">
        <f t="shared" si="9"/>
        <v>1346.6537499999999</v>
      </c>
      <c r="AB15" s="158">
        <f t="shared" si="9"/>
        <v>1458.34</v>
      </c>
      <c r="AC15" s="158">
        <f t="shared" si="9"/>
        <v>1420.4844986301368</v>
      </c>
      <c r="AD15" s="158">
        <f t="shared" si="9"/>
        <v>1419.8312784378102</v>
      </c>
      <c r="AE15" s="158">
        <f t="shared" si="9"/>
        <v>1415.7433460958905</v>
      </c>
      <c r="AF15" s="158" t="e">
        <f t="shared" si="9"/>
        <v>#REF!</v>
      </c>
      <c r="AG15" s="158" t="e">
        <f t="shared" si="9"/>
        <v>#REF!</v>
      </c>
      <c r="AH15" s="158" t="e">
        <f t="shared" si="9"/>
        <v>#REF!</v>
      </c>
      <c r="AI15" s="158" t="e">
        <f>+AI11*50%+AI12*50%</f>
        <v>#REF!</v>
      </c>
      <c r="AJ15" s="158" t="e">
        <f>+AJ11*50%+AJ12*50%</f>
        <v>#REF!</v>
      </c>
      <c r="AK15" s="158" t="e">
        <f>+AK11*50%+AK14*50%</f>
        <v>#REF!</v>
      </c>
      <c r="AL15" s="158" t="e">
        <f>+AL11*50%+AL14*50%</f>
        <v>#REF!</v>
      </c>
      <c r="AM15" s="158" t="e">
        <f>+AM11*50%+AM14*50%</f>
        <v>#REF!</v>
      </c>
      <c r="AN15" s="158" t="e">
        <f>+AN11*50%+AN14*50%</f>
        <v>#REF!</v>
      </c>
      <c r="AO15" s="80"/>
      <c r="AP15" s="80"/>
      <c r="AQ15" s="80"/>
    </row>
    <row r="16" spans="1:45" x14ac:dyDescent="0.35">
      <c r="B16" s="169" t="s">
        <v>39</v>
      </c>
      <c r="C16" s="84" t="e">
        <f>+C11+C12+C13+C14+C15</f>
        <v>#REF!</v>
      </c>
      <c r="D16" s="84" t="e">
        <f t="shared" ref="D16:I16" si="10">+D11+D12+D13+D14+D15</f>
        <v>#REF!</v>
      </c>
      <c r="E16" s="84" t="e">
        <f t="shared" si="10"/>
        <v>#REF!</v>
      </c>
      <c r="F16" s="84" t="e">
        <f t="shared" si="10"/>
        <v>#REF!</v>
      </c>
      <c r="G16" s="84" t="e">
        <f t="shared" si="10"/>
        <v>#REF!</v>
      </c>
      <c r="H16" s="84" t="e">
        <f t="shared" si="10"/>
        <v>#REF!</v>
      </c>
      <c r="I16" s="84" t="e">
        <f t="shared" si="10"/>
        <v>#REF!</v>
      </c>
      <c r="J16" s="84"/>
      <c r="L16" s="169" t="s">
        <v>39</v>
      </c>
      <c r="M16" s="84" t="e">
        <f t="shared" ref="M16:N16" si="11">+M11+M12+M13+M14+M15</f>
        <v>#REF!</v>
      </c>
      <c r="N16" s="84" t="e">
        <f t="shared" si="11"/>
        <v>#REF!</v>
      </c>
      <c r="O16" s="84" t="e">
        <f>+O11+O12+O13+O14+O15</f>
        <v>#REF!</v>
      </c>
      <c r="Q16" s="113" t="s">
        <v>37</v>
      </c>
      <c r="R16" s="118">
        <f>+R15*1%</f>
        <v>10.559819400000002</v>
      </c>
      <c r="S16" s="118">
        <f t="shared" ref="S16:AM16" si="12">+S15*1%</f>
        <v>10.774154300000003</v>
      </c>
      <c r="T16" s="118">
        <f t="shared" si="12"/>
        <v>11.259411799999999</v>
      </c>
      <c r="U16" s="118">
        <f t="shared" si="12"/>
        <v>11.130112500000001</v>
      </c>
      <c r="V16" s="118">
        <f t="shared" si="12"/>
        <v>11.353485000000001</v>
      </c>
      <c r="W16" s="118">
        <f t="shared" si="12"/>
        <v>11.662611999999999</v>
      </c>
      <c r="X16" s="118">
        <f t="shared" si="12"/>
        <v>12.259812500000001</v>
      </c>
      <c r="Y16" s="118">
        <f t="shared" si="12"/>
        <v>12.7219625</v>
      </c>
      <c r="Z16" s="118">
        <f t="shared" si="12"/>
        <v>12.909390000000002</v>
      </c>
      <c r="AA16" s="118">
        <f t="shared" si="12"/>
        <v>13.466537499999999</v>
      </c>
      <c r="AB16" s="118">
        <f t="shared" si="12"/>
        <v>14.583399999999999</v>
      </c>
      <c r="AC16" s="118">
        <f t="shared" si="12"/>
        <v>14.204844986301369</v>
      </c>
      <c r="AD16" s="118">
        <f t="shared" si="12"/>
        <v>14.198312784378102</v>
      </c>
      <c r="AE16" s="118">
        <f t="shared" si="12"/>
        <v>14.157433460958906</v>
      </c>
      <c r="AF16" s="118" t="e">
        <f t="shared" si="12"/>
        <v>#REF!</v>
      </c>
      <c r="AG16" s="118" t="e">
        <f t="shared" si="12"/>
        <v>#REF!</v>
      </c>
      <c r="AH16" s="118" t="e">
        <f t="shared" si="12"/>
        <v>#REF!</v>
      </c>
      <c r="AI16" s="118" t="e">
        <f t="shared" si="12"/>
        <v>#REF!</v>
      </c>
      <c r="AJ16" s="118" t="e">
        <f t="shared" si="12"/>
        <v>#REF!</v>
      </c>
      <c r="AK16" s="118" t="e">
        <f t="shared" si="12"/>
        <v>#REF!</v>
      </c>
      <c r="AL16" s="118" t="e">
        <f t="shared" si="12"/>
        <v>#REF!</v>
      </c>
      <c r="AM16" s="118" t="e">
        <f t="shared" si="12"/>
        <v>#REF!</v>
      </c>
      <c r="AN16" s="118" t="e">
        <f t="shared" ref="AN16" si="13">+AN15*1%</f>
        <v>#REF!</v>
      </c>
      <c r="AO16" s="79"/>
      <c r="AP16" s="80"/>
      <c r="AQ16" s="84"/>
    </row>
    <row r="17" spans="1:45" x14ac:dyDescent="0.35">
      <c r="Q17" s="113" t="s">
        <v>74</v>
      </c>
      <c r="R17" s="115">
        <f>+R16+R15</f>
        <v>1066.5417594</v>
      </c>
      <c r="S17" s="115">
        <f t="shared" ref="S17:AM17" si="14">+S16+S15</f>
        <v>1088.1895843000002</v>
      </c>
      <c r="T17" s="115">
        <f t="shared" si="14"/>
        <v>1137.2005917999998</v>
      </c>
      <c r="U17" s="115">
        <f t="shared" si="14"/>
        <v>1124.1413625</v>
      </c>
      <c r="V17" s="115">
        <f t="shared" si="14"/>
        <v>1146.7019850000001</v>
      </c>
      <c r="W17" s="115">
        <f t="shared" si="14"/>
        <v>1177.923812</v>
      </c>
      <c r="X17" s="115">
        <f t="shared" si="14"/>
        <v>1238.2410625</v>
      </c>
      <c r="Y17" s="115">
        <f t="shared" si="14"/>
        <v>1284.9182125</v>
      </c>
      <c r="Z17" s="115">
        <f t="shared" si="14"/>
        <v>1303.8483900000001</v>
      </c>
      <c r="AA17" s="115">
        <f t="shared" si="14"/>
        <v>1360.1202874999999</v>
      </c>
      <c r="AB17" s="115">
        <f t="shared" si="14"/>
        <v>1472.9233999999999</v>
      </c>
      <c r="AC17" s="115">
        <f t="shared" si="14"/>
        <v>1434.6893436164382</v>
      </c>
      <c r="AD17" s="115">
        <f t="shared" si="14"/>
        <v>1434.0295912221882</v>
      </c>
      <c r="AE17" s="115">
        <f t="shared" si="14"/>
        <v>1429.9007795568493</v>
      </c>
      <c r="AF17" s="115" t="e">
        <f t="shared" si="14"/>
        <v>#REF!</v>
      </c>
      <c r="AG17" s="115" t="e">
        <f t="shared" si="14"/>
        <v>#REF!</v>
      </c>
      <c r="AH17" s="115" t="e">
        <f t="shared" si="14"/>
        <v>#REF!</v>
      </c>
      <c r="AI17" s="115" t="e">
        <f t="shared" si="14"/>
        <v>#REF!</v>
      </c>
      <c r="AJ17" s="115" t="e">
        <f t="shared" si="14"/>
        <v>#REF!</v>
      </c>
      <c r="AK17" s="115" t="e">
        <f t="shared" si="14"/>
        <v>#REF!</v>
      </c>
      <c r="AL17" s="115" t="e">
        <f t="shared" si="14"/>
        <v>#REF!</v>
      </c>
      <c r="AM17" s="115" t="e">
        <f t="shared" si="14"/>
        <v>#REF!</v>
      </c>
      <c r="AN17" s="115" t="e">
        <f t="shared" ref="AN17" si="15">+AN16+AN15</f>
        <v>#REF!</v>
      </c>
      <c r="AO17" s="181"/>
      <c r="AP17" s="84"/>
      <c r="AQ17" s="84"/>
      <c r="AS17" s="182"/>
    </row>
    <row r="18" spans="1:45" x14ac:dyDescent="0.35">
      <c r="B18" s="169"/>
      <c r="C18" s="84"/>
      <c r="D18" s="84"/>
      <c r="E18" s="84"/>
      <c r="F18" s="84"/>
      <c r="G18" s="84"/>
      <c r="H18" s="84"/>
      <c r="I18" s="84"/>
      <c r="J18" s="84"/>
      <c r="K18" s="94"/>
      <c r="M18" s="84"/>
      <c r="N18" s="84"/>
      <c r="O18" s="84"/>
      <c r="Q18" s="85"/>
      <c r="R18" s="120" t="e">
        <f>+#REF!</f>
        <v>#REF!</v>
      </c>
      <c r="S18" s="120" t="e">
        <f>+R18</f>
        <v>#REF!</v>
      </c>
      <c r="T18" s="120" t="e">
        <f>+S18</f>
        <v>#REF!</v>
      </c>
      <c r="U18" s="120" t="e">
        <f>+T18</f>
        <v>#REF!</v>
      </c>
      <c r="V18" s="120" t="e">
        <f t="shared" ref="V18:AG18" si="16">+U18</f>
        <v>#REF!</v>
      </c>
      <c r="W18" s="120" t="e">
        <f t="shared" si="16"/>
        <v>#REF!</v>
      </c>
      <c r="X18" s="120" t="e">
        <f t="shared" si="16"/>
        <v>#REF!</v>
      </c>
      <c r="Y18" s="120" t="e">
        <f t="shared" si="16"/>
        <v>#REF!</v>
      </c>
      <c r="Z18" s="120" t="e">
        <f t="shared" si="16"/>
        <v>#REF!</v>
      </c>
      <c r="AA18" s="120" t="e">
        <f t="shared" si="16"/>
        <v>#REF!</v>
      </c>
      <c r="AB18" s="120" t="e">
        <f t="shared" si="16"/>
        <v>#REF!</v>
      </c>
      <c r="AC18" s="120" t="e">
        <f t="shared" si="16"/>
        <v>#REF!</v>
      </c>
      <c r="AD18" s="120" t="e">
        <f t="shared" si="16"/>
        <v>#REF!</v>
      </c>
      <c r="AE18" s="120" t="e">
        <f t="shared" si="16"/>
        <v>#REF!</v>
      </c>
      <c r="AF18" s="120" t="e">
        <f t="shared" si="16"/>
        <v>#REF!</v>
      </c>
      <c r="AG18" s="120" t="e">
        <f t="shared" si="16"/>
        <v>#REF!</v>
      </c>
      <c r="AH18" s="120"/>
      <c r="AI18" s="120"/>
      <c r="AJ18" s="120"/>
      <c r="AK18" s="120"/>
      <c r="AL18" s="120"/>
      <c r="AM18" s="120"/>
      <c r="AN18" s="120"/>
      <c r="AP18" s="84"/>
      <c r="AQ18" s="82"/>
    </row>
    <row r="19" spans="1:45" x14ac:dyDescent="0.35">
      <c r="C19" s="132"/>
      <c r="K19" s="94"/>
      <c r="Q19" s="82"/>
      <c r="R19" s="82"/>
      <c r="S19" s="82"/>
      <c r="U19" s="94"/>
      <c r="V19" s="94"/>
      <c r="W19" s="94"/>
      <c r="X19" s="94"/>
      <c r="Y19" s="94"/>
      <c r="Z19" s="94"/>
      <c r="AA19" s="94"/>
      <c r="AB19" s="94"/>
      <c r="AC19" s="94"/>
      <c r="AD19" s="94"/>
      <c r="AE19" s="94"/>
      <c r="AF19" s="94"/>
      <c r="AG19" s="94"/>
      <c r="AH19" s="94"/>
      <c r="AI19" s="94"/>
      <c r="AJ19" s="94"/>
      <c r="AK19" s="94"/>
      <c r="AL19" s="94"/>
      <c r="AM19" s="94"/>
      <c r="AN19" s="94"/>
      <c r="AP19" s="82"/>
      <c r="AQ19" s="82"/>
    </row>
    <row r="20" spans="1:45" x14ac:dyDescent="0.35">
      <c r="M20" s="86"/>
      <c r="AP20" s="82"/>
    </row>
    <row r="25" spans="1:45" x14ac:dyDescent="0.35">
      <c r="N25" s="123"/>
      <c r="AH25" s="164"/>
    </row>
    <row r="32" spans="1:45" s="82" customFormat="1" x14ac:dyDescent="0.35">
      <c r="A32" s="81"/>
      <c r="B32" s="173" t="s">
        <v>51</v>
      </c>
      <c r="J32" s="81"/>
      <c r="K32" s="81"/>
      <c r="L32" s="173"/>
      <c r="P32" s="81"/>
      <c r="Q32" s="81"/>
      <c r="R32" s="81"/>
      <c r="S32" s="81"/>
      <c r="T32" s="81"/>
      <c r="U32" s="81"/>
      <c r="V32" s="81"/>
      <c r="W32" s="81"/>
      <c r="X32" s="81"/>
      <c r="Y32" s="81"/>
      <c r="Z32" s="81"/>
      <c r="AA32" s="81"/>
      <c r="AB32" s="81"/>
      <c r="AC32" s="81"/>
      <c r="AD32" s="81"/>
      <c r="AE32" s="81"/>
      <c r="AF32" s="81"/>
      <c r="AG32" s="81"/>
      <c r="AH32" s="81"/>
      <c r="AI32" s="81"/>
      <c r="AJ32" s="81"/>
      <c r="AK32" s="81"/>
      <c r="AL32" s="81"/>
      <c r="AM32" s="81"/>
      <c r="AN32" s="81"/>
      <c r="AO32" s="81"/>
      <c r="AP32" s="81"/>
      <c r="AQ32" s="81"/>
      <c r="AR32" s="81"/>
      <c r="AS32" s="81"/>
    </row>
  </sheetData>
  <mergeCells count="6">
    <mergeCell ref="Q1:AQ1"/>
    <mergeCell ref="B2:D2"/>
    <mergeCell ref="Q2:R2"/>
    <mergeCell ref="AO2:AP2"/>
    <mergeCell ref="B3:D3"/>
    <mergeCell ref="AO3:AP3"/>
  </mergeCells>
  <pageMargins left="0.7" right="0.7" top="0.75" bottom="0.75" header="0.3" footer="0.3"/>
  <pageSetup orientation="portrait" r:id="rId1"/>
  <customProperties>
    <customPr name="EpmWorksheetKeyString_GUID" r:id="rId2"/>
  </customProperties>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27"/>
  <dimension ref="A1:AT32"/>
  <sheetViews>
    <sheetView zoomScale="85" zoomScaleNormal="85" workbookViewId="0">
      <selection activeCell="AP4" sqref="AP1:AP1048576"/>
    </sheetView>
  </sheetViews>
  <sheetFormatPr defaultColWidth="11.453125" defaultRowHeight="14.5" x14ac:dyDescent="0.35"/>
  <cols>
    <col min="1" max="1" width="3.453125" style="81" customWidth="1"/>
    <col min="2" max="2" width="14" style="173" customWidth="1"/>
    <col min="3" max="3" width="10.81640625" style="82" customWidth="1"/>
    <col min="4" max="5" width="10.54296875" style="82" hidden="1" customWidth="1"/>
    <col min="6" max="6" width="11" style="82" customWidth="1"/>
    <col min="7" max="7" width="11.1796875" style="82" hidden="1" customWidth="1"/>
    <col min="8" max="8" width="11" style="82" hidden="1" customWidth="1"/>
    <col min="9" max="9" width="11.54296875" style="82" customWidth="1"/>
    <col min="10" max="10" width="8.54296875" style="81" hidden="1" customWidth="1"/>
    <col min="11" max="11" width="2.81640625" style="81" customWidth="1"/>
    <col min="12" max="12" width="13.81640625" style="173" customWidth="1"/>
    <col min="13" max="14" width="10.81640625" style="82" customWidth="1"/>
    <col min="15" max="15" width="10.81640625" style="82" hidden="1" customWidth="1"/>
    <col min="16" max="16" width="2.81640625" style="81" customWidth="1"/>
    <col min="17" max="17" width="28.81640625" style="81" customWidth="1"/>
    <col min="18" max="18" width="16.1796875" style="81" hidden="1" customWidth="1"/>
    <col min="19" max="19" width="17.54296875" style="81" hidden="1" customWidth="1"/>
    <col min="20" max="20" width="14.54296875" style="81" hidden="1" customWidth="1"/>
    <col min="21" max="21" width="16" style="81" hidden="1" customWidth="1"/>
    <col min="22" max="22" width="17.81640625" style="81" hidden="1" customWidth="1"/>
    <col min="23" max="23" width="17.1796875" style="81" hidden="1" customWidth="1"/>
    <col min="24" max="29" width="14.453125" style="81" hidden="1" customWidth="1"/>
    <col min="30" max="30" width="16.453125" style="81" hidden="1" customWidth="1"/>
    <col min="31" max="33" width="14.81640625" style="81" hidden="1" customWidth="1"/>
    <col min="34" max="34" width="16.54296875" style="81" hidden="1" customWidth="1"/>
    <col min="35" max="36" width="17.54296875" style="81" hidden="1" customWidth="1"/>
    <col min="37" max="40" width="15.1796875" style="81" hidden="1" customWidth="1"/>
    <col min="41" max="41" width="13.81640625" style="81" customWidth="1"/>
    <col min="42" max="45" width="11.453125" style="81" customWidth="1"/>
    <col min="46" max="16384" width="11.453125" style="81"/>
  </cols>
  <sheetData>
    <row r="1" spans="1:44" x14ac:dyDescent="0.35">
      <c r="B1" s="122"/>
      <c r="C1" s="86"/>
      <c r="D1" s="86"/>
      <c r="E1" s="86"/>
      <c r="F1" s="87"/>
      <c r="G1" s="87"/>
      <c r="H1" s="87"/>
      <c r="I1" s="87"/>
      <c r="J1" s="87"/>
      <c r="K1" s="87"/>
      <c r="L1" s="122"/>
      <c r="M1" s="87"/>
      <c r="N1" s="87"/>
      <c r="O1" s="87"/>
      <c r="Q1" s="574"/>
      <c r="R1" s="574"/>
      <c r="S1" s="574"/>
      <c r="T1" s="574"/>
      <c r="U1" s="574"/>
      <c r="V1" s="574"/>
      <c r="W1" s="574"/>
      <c r="X1" s="574"/>
      <c r="Y1" s="574"/>
      <c r="Z1" s="574"/>
      <c r="AA1" s="574"/>
      <c r="AB1" s="574"/>
      <c r="AC1" s="574"/>
      <c r="AD1" s="574"/>
      <c r="AE1" s="574"/>
      <c r="AF1" s="574"/>
      <c r="AG1" s="574"/>
      <c r="AH1" s="574"/>
      <c r="AI1" s="574"/>
      <c r="AJ1" s="574"/>
      <c r="AK1" s="574"/>
      <c r="AL1" s="574"/>
      <c r="AM1" s="574"/>
      <c r="AN1" s="574"/>
      <c r="AO1" s="574"/>
      <c r="AP1" s="574"/>
      <c r="AQ1" s="574"/>
      <c r="AR1" s="574"/>
    </row>
    <row r="2" spans="1:44" s="142" customFormat="1" ht="15" customHeight="1" x14ac:dyDescent="0.35">
      <c r="B2" s="576" t="s">
        <v>66</v>
      </c>
      <c r="C2" s="576"/>
      <c r="D2" s="576"/>
      <c r="F2" s="141" t="e">
        <f>+AO11</f>
        <v>#REF!</v>
      </c>
      <c r="H2" s="141"/>
      <c r="I2" s="141"/>
      <c r="J2" s="143">
        <v>0.05</v>
      </c>
      <c r="K2" s="144"/>
      <c r="L2" s="171"/>
      <c r="M2" s="141"/>
      <c r="N2" s="141"/>
      <c r="O2" s="141"/>
      <c r="Q2" s="576"/>
      <c r="R2" s="576"/>
      <c r="S2" s="141"/>
      <c r="T2" s="143"/>
      <c r="U2" s="144"/>
      <c r="V2" s="144"/>
      <c r="W2" s="144"/>
      <c r="X2" s="144"/>
      <c r="Y2" s="144"/>
      <c r="Z2" s="144"/>
      <c r="AA2" s="144"/>
      <c r="AB2" s="144"/>
      <c r="AC2" s="144"/>
      <c r="AD2" s="144"/>
      <c r="AE2" s="144"/>
      <c r="AF2" s="144"/>
      <c r="AG2" s="144"/>
      <c r="AH2" s="144"/>
      <c r="AI2" s="144"/>
      <c r="AJ2" s="144"/>
      <c r="AK2" s="144"/>
      <c r="AL2" s="144"/>
      <c r="AM2" s="144"/>
      <c r="AN2" s="144"/>
      <c r="AO2" s="144"/>
      <c r="AP2" s="576"/>
      <c r="AQ2" s="576"/>
      <c r="AR2" s="141"/>
    </row>
    <row r="3" spans="1:44" s="133" customFormat="1" ht="15" customHeight="1" x14ac:dyDescent="0.35">
      <c r="B3" s="576" t="s">
        <v>67</v>
      </c>
      <c r="C3" s="576"/>
      <c r="D3" s="576"/>
      <c r="F3" s="134" t="e">
        <f>+AO14</f>
        <v>#REF!</v>
      </c>
      <c r="G3" s="135"/>
      <c r="H3" s="134"/>
      <c r="I3" s="134"/>
      <c r="J3" s="137" t="e">
        <f>+F2*J2</f>
        <v>#REF!</v>
      </c>
      <c r="K3" s="136"/>
      <c r="L3" s="174"/>
      <c r="M3" s="134"/>
      <c r="N3" s="134"/>
      <c r="O3" s="134"/>
      <c r="Q3" s="138"/>
      <c r="R3" s="139"/>
      <c r="S3" s="140"/>
      <c r="U3" s="136"/>
      <c r="V3" s="136"/>
      <c r="W3" s="136"/>
      <c r="X3" s="136"/>
      <c r="Y3" s="136"/>
      <c r="Z3" s="136"/>
      <c r="AA3" s="136"/>
      <c r="AB3" s="136"/>
      <c r="AC3" s="136"/>
      <c r="AD3" s="136"/>
      <c r="AE3" s="136"/>
      <c r="AF3" s="136"/>
      <c r="AG3" s="136"/>
      <c r="AH3" s="136"/>
      <c r="AI3" s="136"/>
      <c r="AJ3" s="136"/>
      <c r="AK3" s="136"/>
      <c r="AL3" s="136"/>
      <c r="AM3" s="136"/>
      <c r="AN3" s="136"/>
      <c r="AO3" s="136"/>
      <c r="AP3" s="577"/>
      <c r="AQ3" s="577"/>
      <c r="AR3" s="134"/>
    </row>
    <row r="4" spans="1:44" ht="23.5" hidden="1" x14ac:dyDescent="0.55000000000000004">
      <c r="B4" s="169"/>
      <c r="C4" s="92" t="e">
        <f>+(C9+C10)/C6*1000</f>
        <v>#REF!</v>
      </c>
      <c r="D4" s="92" t="e">
        <f>+(G9+G10)/G6*1000</f>
        <v>#REF!</v>
      </c>
      <c r="E4" s="92" t="e">
        <f>+(E9+E10)/E6*1000</f>
        <v>#REF!</v>
      </c>
      <c r="F4" s="92" t="e">
        <f>+(F9+F10)/F6*1000</f>
        <v>#REF!</v>
      </c>
      <c r="I4" s="92" t="e">
        <f>+(I9+I10)/I6*1000</f>
        <v>#REF!</v>
      </c>
      <c r="K4" s="88"/>
      <c r="L4" s="169"/>
      <c r="M4" s="92"/>
      <c r="N4" s="92"/>
      <c r="O4" s="92"/>
      <c r="Q4" s="93"/>
      <c r="R4" s="82"/>
      <c r="S4" s="90"/>
      <c r="T4" s="94"/>
      <c r="U4" s="88"/>
      <c r="V4" s="88"/>
      <c r="W4" s="88"/>
      <c r="X4" s="88"/>
      <c r="Y4" s="88"/>
      <c r="Z4" s="88"/>
      <c r="AA4" s="88"/>
      <c r="AB4" s="88"/>
      <c r="AC4" s="88"/>
      <c r="AD4" s="88"/>
      <c r="AE4" s="88"/>
      <c r="AF4" s="88"/>
      <c r="AG4" s="88"/>
      <c r="AH4" s="88"/>
      <c r="AI4" s="88"/>
      <c r="AJ4" s="88"/>
      <c r="AK4" s="88"/>
      <c r="AL4" s="88"/>
      <c r="AM4" s="88"/>
      <c r="AN4" s="88"/>
      <c r="AO4" s="88"/>
      <c r="AP4" s="91"/>
      <c r="AQ4" s="91"/>
      <c r="AR4" s="78"/>
    </row>
    <row r="5" spans="1:44" s="95" customFormat="1" ht="33.75" customHeight="1" x14ac:dyDescent="0.35">
      <c r="B5" s="169" t="s">
        <v>5</v>
      </c>
      <c r="C5" s="85" t="s">
        <v>68</v>
      </c>
      <c r="D5" s="85" t="s">
        <v>69</v>
      </c>
      <c r="E5" s="85" t="s">
        <v>69</v>
      </c>
      <c r="F5" s="85" t="s">
        <v>69</v>
      </c>
      <c r="G5" s="85" t="s">
        <v>70</v>
      </c>
      <c r="H5" s="85" t="s">
        <v>70</v>
      </c>
      <c r="I5" s="85" t="s">
        <v>70</v>
      </c>
      <c r="J5" s="85"/>
      <c r="K5" s="88"/>
      <c r="L5" s="169" t="s">
        <v>71</v>
      </c>
      <c r="M5" s="96" t="s">
        <v>7</v>
      </c>
      <c r="N5" s="96" t="s">
        <v>8</v>
      </c>
      <c r="O5" s="96" t="s">
        <v>8</v>
      </c>
      <c r="Q5" s="147" t="s">
        <v>72</v>
      </c>
      <c r="R5" s="99" t="s">
        <v>54</v>
      </c>
      <c r="S5" s="99" t="s">
        <v>55</v>
      </c>
      <c r="T5" s="99" t="s">
        <v>56</v>
      </c>
      <c r="U5" s="99" t="s">
        <v>12</v>
      </c>
      <c r="V5" s="99" t="s">
        <v>57</v>
      </c>
      <c r="W5" s="99" t="s">
        <v>58</v>
      </c>
      <c r="X5" s="99" t="s">
        <v>59</v>
      </c>
      <c r="Y5" s="99" t="s">
        <v>60</v>
      </c>
      <c r="Z5" s="99" t="s">
        <v>62</v>
      </c>
      <c r="AA5" s="99" t="s">
        <v>64</v>
      </c>
      <c r="AB5" s="99" t="s">
        <v>65</v>
      </c>
      <c r="AC5" s="99" t="s">
        <v>73</v>
      </c>
      <c r="AD5" s="99" t="s">
        <v>53</v>
      </c>
      <c r="AE5" s="99" t="s">
        <v>77</v>
      </c>
      <c r="AF5" s="99" t="s">
        <v>78</v>
      </c>
      <c r="AG5" s="99" t="s">
        <v>79</v>
      </c>
      <c r="AH5" s="99" t="s">
        <v>90</v>
      </c>
      <c r="AI5" s="99" t="s">
        <v>91</v>
      </c>
      <c r="AJ5" s="99" t="s">
        <v>97</v>
      </c>
      <c r="AK5" s="99" t="s">
        <v>98</v>
      </c>
      <c r="AL5" s="99" t="s">
        <v>102</v>
      </c>
      <c r="AM5" s="99" t="s">
        <v>103</v>
      </c>
      <c r="AN5" s="99" t="s">
        <v>104</v>
      </c>
      <c r="AO5" s="99" t="s">
        <v>107</v>
      </c>
      <c r="AP5" s="100"/>
      <c r="AQ5" s="97"/>
      <c r="AR5" s="97"/>
    </row>
    <row r="6" spans="1:44" x14ac:dyDescent="0.35">
      <c r="B6" s="169" t="s">
        <v>13</v>
      </c>
      <c r="C6" s="101">
        <v>16.7</v>
      </c>
      <c r="D6" s="101">
        <v>16.7</v>
      </c>
      <c r="E6" s="101">
        <v>20.5</v>
      </c>
      <c r="F6" s="101">
        <v>20.5</v>
      </c>
      <c r="G6" s="101">
        <v>30.6</v>
      </c>
      <c r="H6" s="101">
        <v>30.6</v>
      </c>
      <c r="I6" s="101">
        <v>38.6</v>
      </c>
      <c r="J6" s="101"/>
      <c r="L6" s="169" t="s">
        <v>13</v>
      </c>
      <c r="M6" s="101">
        <v>15</v>
      </c>
      <c r="N6" s="101">
        <v>20.5</v>
      </c>
      <c r="O6" s="101">
        <v>20.5</v>
      </c>
      <c r="Q6" s="102" t="s">
        <v>14</v>
      </c>
      <c r="R6" s="104">
        <v>938.13</v>
      </c>
      <c r="S6" s="105">
        <v>959</v>
      </c>
      <c r="T6" s="104">
        <v>1006.25</v>
      </c>
      <c r="U6" s="130">
        <v>993.75</v>
      </c>
      <c r="V6" s="131">
        <v>1015.5</v>
      </c>
      <c r="W6" s="131">
        <v>1045.5999999999999</v>
      </c>
      <c r="X6" s="43">
        <v>1103.75</v>
      </c>
      <c r="Y6" s="43">
        <v>1148.75</v>
      </c>
      <c r="Z6" s="43">
        <v>1167</v>
      </c>
      <c r="AA6" s="43">
        <v>1221.25</v>
      </c>
      <c r="AB6" s="43">
        <v>1330</v>
      </c>
      <c r="AC6" s="43">
        <f>+'IHS (Mod)'!I5</f>
        <v>1280</v>
      </c>
      <c r="AD6" s="43">
        <f>+'IHS (Mod)'!J5</f>
        <v>1279.380005</v>
      </c>
      <c r="AE6" s="43">
        <v>1275.5</v>
      </c>
      <c r="AF6" s="43" t="e">
        <f>+#REF!</f>
        <v>#REF!</v>
      </c>
      <c r="AG6" s="43" t="e">
        <f>+#REF!</f>
        <v>#REF!</v>
      </c>
      <c r="AH6" s="43" t="e">
        <f>+#REF!</f>
        <v>#REF!</v>
      </c>
      <c r="AI6" s="43" t="e">
        <f>+#REF!</f>
        <v>#REF!</v>
      </c>
      <c r="AJ6" s="43" t="e">
        <f>+#REF!</f>
        <v>#REF!</v>
      </c>
      <c r="AK6" s="43" t="e">
        <f>+#REF!</f>
        <v>#REF!</v>
      </c>
      <c r="AL6" s="43" t="e">
        <f>+#REF!</f>
        <v>#REF!</v>
      </c>
      <c r="AM6" s="43" t="e">
        <f>+#REF!</f>
        <v>#REF!</v>
      </c>
      <c r="AN6" s="43" t="e">
        <f>+#REF!</f>
        <v>#REF!</v>
      </c>
      <c r="AO6" s="43" t="e">
        <f>+#REF!</f>
        <v>#REF!</v>
      </c>
      <c r="AP6" s="85"/>
      <c r="AQ6" s="101"/>
      <c r="AR6" s="101"/>
    </row>
    <row r="7" spans="1:44" x14ac:dyDescent="0.35">
      <c r="B7" s="170" t="s">
        <v>16</v>
      </c>
      <c r="C7" s="91" t="s">
        <v>17</v>
      </c>
      <c r="D7" s="91" t="s">
        <v>17</v>
      </c>
      <c r="E7" s="91" t="s">
        <v>17</v>
      </c>
      <c r="F7" s="91" t="s">
        <v>17</v>
      </c>
      <c r="G7" s="91" t="s">
        <v>17</v>
      </c>
      <c r="H7" s="91" t="s">
        <v>17</v>
      </c>
      <c r="I7" s="91" t="s">
        <v>17</v>
      </c>
      <c r="J7" s="91"/>
      <c r="L7" s="170" t="s">
        <v>16</v>
      </c>
      <c r="M7" s="91" t="s">
        <v>17</v>
      </c>
      <c r="N7" s="91" t="s">
        <v>17</v>
      </c>
      <c r="O7" s="91" t="s">
        <v>17</v>
      </c>
      <c r="Q7" s="128" t="s">
        <v>99</v>
      </c>
      <c r="R7" s="129">
        <v>25.09</v>
      </c>
      <c r="S7" s="129">
        <v>25.09</v>
      </c>
      <c r="T7" s="129">
        <v>25.09</v>
      </c>
      <c r="U7" s="129">
        <v>25</v>
      </c>
      <c r="V7" s="129">
        <v>25</v>
      </c>
      <c r="W7" s="129">
        <v>25</v>
      </c>
      <c r="X7" s="129">
        <v>25</v>
      </c>
      <c r="Y7" s="129">
        <v>25</v>
      </c>
      <c r="Z7" s="129">
        <v>25</v>
      </c>
      <c r="AA7" s="129">
        <v>25</v>
      </c>
      <c r="AB7" s="129">
        <v>25</v>
      </c>
      <c r="AC7" s="129">
        <v>33.139726027397259</v>
      </c>
      <c r="AD7" s="129">
        <f>+Septiembre18!AD8</f>
        <v>33.1236741020548</v>
      </c>
      <c r="AE7" s="129">
        <v>33.023219178082194</v>
      </c>
      <c r="AF7" s="129">
        <v>33.023219178082194</v>
      </c>
      <c r="AG7" s="129">
        <v>32.783732876712328</v>
      </c>
      <c r="AH7" s="129">
        <v>29.126712328767123</v>
      </c>
      <c r="AI7" s="129">
        <v>27.395420677397254</v>
      </c>
      <c r="AJ7" s="129">
        <v>26.796575342465754</v>
      </c>
      <c r="AK7" s="129">
        <v>13.948458904109588</v>
      </c>
      <c r="AL7" s="129">
        <v>14.191181506849315</v>
      </c>
      <c r="AM7" s="129">
        <v>14.255907534246576</v>
      </c>
      <c r="AN7" s="129" t="e">
        <f>((((AN6*4.5%)/365)*210))*50%</f>
        <v>#REF!</v>
      </c>
      <c r="AO7" s="129" t="e">
        <f>((((AO6*4.5%)/365)*210))*50%</f>
        <v>#REF!</v>
      </c>
      <c r="AP7" s="85"/>
      <c r="AQ7" s="91"/>
      <c r="AR7" s="91"/>
    </row>
    <row r="8" spans="1:44" s="95" customFormat="1" ht="29" x14ac:dyDescent="0.35">
      <c r="B8" s="175" t="s">
        <v>92</v>
      </c>
      <c r="C8" s="177" t="s">
        <v>93</v>
      </c>
      <c r="D8" s="177" t="s">
        <v>94</v>
      </c>
      <c r="E8" s="176">
        <v>1</v>
      </c>
      <c r="F8" s="177" t="s">
        <v>93</v>
      </c>
      <c r="G8" s="176">
        <v>1</v>
      </c>
      <c r="H8" s="177" t="s">
        <v>94</v>
      </c>
      <c r="I8" s="177" t="s">
        <v>93</v>
      </c>
      <c r="J8" s="162"/>
      <c r="L8" s="175" t="str">
        <f>+B8</f>
        <v>% Resina (Virgen/PCR)</v>
      </c>
      <c r="M8" s="177" t="s">
        <v>94</v>
      </c>
      <c r="N8" s="176">
        <v>1</v>
      </c>
      <c r="O8" s="177" t="s">
        <v>94</v>
      </c>
      <c r="Q8" s="166" t="s">
        <v>20</v>
      </c>
      <c r="R8" s="129">
        <v>65</v>
      </c>
      <c r="S8" s="167">
        <v>65</v>
      </c>
      <c r="T8" s="129">
        <v>65</v>
      </c>
      <c r="U8" s="129">
        <v>65</v>
      </c>
      <c r="V8" s="129">
        <v>65</v>
      </c>
      <c r="W8" s="129">
        <v>65</v>
      </c>
      <c r="X8" s="129">
        <v>65</v>
      </c>
      <c r="Y8" s="129">
        <v>65</v>
      </c>
      <c r="Z8" s="129">
        <v>65</v>
      </c>
      <c r="AA8" s="129">
        <v>65</v>
      </c>
      <c r="AB8" s="129">
        <v>65</v>
      </c>
      <c r="AC8" s="129">
        <v>70</v>
      </c>
      <c r="AD8" s="129">
        <v>70</v>
      </c>
      <c r="AE8" s="129">
        <v>70</v>
      </c>
      <c r="AF8" s="129">
        <v>70</v>
      </c>
      <c r="AG8" s="129">
        <v>70</v>
      </c>
      <c r="AH8" s="129">
        <v>70</v>
      </c>
      <c r="AI8" s="129">
        <v>70</v>
      </c>
      <c r="AJ8" s="129">
        <v>70</v>
      </c>
      <c r="AK8" s="129">
        <v>70</v>
      </c>
      <c r="AL8" s="129">
        <v>70</v>
      </c>
      <c r="AM8" s="129">
        <v>70</v>
      </c>
      <c r="AN8" s="129">
        <v>70</v>
      </c>
      <c r="AO8" s="129">
        <v>70</v>
      </c>
      <c r="AP8" s="168"/>
      <c r="AQ8" s="165"/>
      <c r="AR8" s="165"/>
    </row>
    <row r="9" spans="1:44" x14ac:dyDescent="0.35">
      <c r="B9" s="170" t="s">
        <v>19</v>
      </c>
      <c r="C9" s="80" t="e">
        <f>+(C6*F2/1000)*1.01*50%</f>
        <v>#REF!</v>
      </c>
      <c r="D9" s="80" t="e">
        <f>+(D6*$F$2/1000)*1.01*75%</f>
        <v>#REF!</v>
      </c>
      <c r="E9" s="80" t="e">
        <f>+(E6*$F$2/1000)*1.01</f>
        <v>#REF!</v>
      </c>
      <c r="F9" s="80" t="e">
        <f>+(F6*$F$2/1000)*1.01*50%</f>
        <v>#REF!</v>
      </c>
      <c r="G9" s="80" t="e">
        <f>+(G6*F2/1000)*1.01</f>
        <v>#REF!</v>
      </c>
      <c r="H9" s="80" t="e">
        <f>+(H6*$F$2/1000)*1.01*75%</f>
        <v>#REF!</v>
      </c>
      <c r="I9" s="80" t="e">
        <f>+(I6*$F$2/1000)*1.01*50%</f>
        <v>#REF!</v>
      </c>
      <c r="J9" s="80"/>
      <c r="L9" s="170" t="s">
        <v>19</v>
      </c>
      <c r="M9" s="80" t="e">
        <f>+(M6*F2/1000)*1.005*75%</f>
        <v>#REF!</v>
      </c>
      <c r="N9" s="80" t="e">
        <f>+(N6*F2/1000)*1.005</f>
        <v>#REF!</v>
      </c>
      <c r="O9" s="80" t="e">
        <f>+(O6*F2/1000)*1.005*75%</f>
        <v>#REF!</v>
      </c>
      <c r="Q9" s="102"/>
      <c r="R9" s="104">
        <f>SUM(R6:R8)</f>
        <v>1028.22</v>
      </c>
      <c r="S9" s="104">
        <f>SUM(S6:S8)</f>
        <v>1049.0900000000001</v>
      </c>
      <c r="T9" s="104">
        <f>SUM(T6:T8)</f>
        <v>1096.3399999999999</v>
      </c>
      <c r="U9" s="104">
        <f>SUM(U6:U8)</f>
        <v>1083.75</v>
      </c>
      <c r="V9" s="104">
        <f t="shared" ref="V9:AN9" si="0">SUM(V6:V8)</f>
        <v>1105.5</v>
      </c>
      <c r="W9" s="104">
        <f t="shared" si="0"/>
        <v>1135.5999999999999</v>
      </c>
      <c r="X9" s="104">
        <f t="shared" si="0"/>
        <v>1193.75</v>
      </c>
      <c r="Y9" s="104">
        <f t="shared" si="0"/>
        <v>1238.75</v>
      </c>
      <c r="Z9" s="104">
        <f t="shared" si="0"/>
        <v>1257</v>
      </c>
      <c r="AA9" s="104">
        <f t="shared" si="0"/>
        <v>1311.25</v>
      </c>
      <c r="AB9" s="104">
        <f t="shared" si="0"/>
        <v>1420</v>
      </c>
      <c r="AC9" s="104">
        <f t="shared" si="0"/>
        <v>1383.1397260273973</v>
      </c>
      <c r="AD9" s="104">
        <f t="shared" si="0"/>
        <v>1382.5036791020548</v>
      </c>
      <c r="AE9" s="104">
        <f t="shared" si="0"/>
        <v>1378.5232191780822</v>
      </c>
      <c r="AF9" s="104" t="e">
        <f t="shared" si="0"/>
        <v>#REF!</v>
      </c>
      <c r="AG9" s="104" t="e">
        <f t="shared" si="0"/>
        <v>#REF!</v>
      </c>
      <c r="AH9" s="104" t="e">
        <f t="shared" si="0"/>
        <v>#REF!</v>
      </c>
      <c r="AI9" s="104" t="e">
        <f t="shared" si="0"/>
        <v>#REF!</v>
      </c>
      <c r="AJ9" s="104" t="e">
        <f t="shared" si="0"/>
        <v>#REF!</v>
      </c>
      <c r="AK9" s="104" t="e">
        <f t="shared" si="0"/>
        <v>#REF!</v>
      </c>
      <c r="AL9" s="104" t="e">
        <f t="shared" si="0"/>
        <v>#REF!</v>
      </c>
      <c r="AM9" s="104" t="e">
        <f t="shared" si="0"/>
        <v>#REF!</v>
      </c>
      <c r="AN9" s="104" t="e">
        <f t="shared" si="0"/>
        <v>#REF!</v>
      </c>
      <c r="AO9" s="104" t="e">
        <f t="shared" ref="AO9" si="1">SUM(AO6:AO8)</f>
        <v>#REF!</v>
      </c>
      <c r="AP9" s="79"/>
      <c r="AQ9" s="80"/>
      <c r="AR9" s="80"/>
    </row>
    <row r="10" spans="1:44" x14ac:dyDescent="0.35">
      <c r="B10" s="172" t="s">
        <v>23</v>
      </c>
      <c r="C10" s="76" t="e">
        <f>+(C6*$F$3/1000)*1.01*50%</f>
        <v>#REF!</v>
      </c>
      <c r="D10" s="76" t="e">
        <f>+(D6*$F$3/1000)*1.01*25%</f>
        <v>#REF!</v>
      </c>
      <c r="E10" s="76">
        <v>0</v>
      </c>
      <c r="F10" s="76" t="e">
        <f>+(F6*$F$3/1000)*1.01*50%</f>
        <v>#REF!</v>
      </c>
      <c r="G10" s="76">
        <v>0</v>
      </c>
      <c r="H10" s="76" t="e">
        <f>+(H6*$F$3/1000)*1.01*25%</f>
        <v>#REF!</v>
      </c>
      <c r="I10" s="76" t="e">
        <f>+(I6*$F$3/1000)*1.01*50%</f>
        <v>#REF!</v>
      </c>
      <c r="J10" s="76"/>
      <c r="K10" s="121"/>
      <c r="L10" s="172" t="s">
        <v>23</v>
      </c>
      <c r="M10" s="76" t="e">
        <f>+(M6*F3/1000)*1.005*25%</f>
        <v>#REF!</v>
      </c>
      <c r="N10" s="76">
        <v>0</v>
      </c>
      <c r="O10" s="76" t="e">
        <f>+(O6*F3/1000)*1.005*25%</f>
        <v>#REF!</v>
      </c>
      <c r="Q10" s="106" t="s">
        <v>27</v>
      </c>
      <c r="R10" s="108">
        <f>+R9*4%</f>
        <v>41.128800000000005</v>
      </c>
      <c r="S10" s="104">
        <f>+S9*4%</f>
        <v>41.963600000000007</v>
      </c>
      <c r="T10" s="108">
        <f>+T9*4%</f>
        <v>43.8536</v>
      </c>
      <c r="U10" s="108">
        <f>+U9*4%</f>
        <v>43.35</v>
      </c>
      <c r="V10" s="108">
        <f t="shared" ref="V10:AN10" si="2">+V9*4%</f>
        <v>44.22</v>
      </c>
      <c r="W10" s="108">
        <f t="shared" si="2"/>
        <v>45.423999999999999</v>
      </c>
      <c r="X10" s="108">
        <f t="shared" si="2"/>
        <v>47.75</v>
      </c>
      <c r="Y10" s="108">
        <f t="shared" si="2"/>
        <v>49.550000000000004</v>
      </c>
      <c r="Z10" s="108">
        <f t="shared" si="2"/>
        <v>50.28</v>
      </c>
      <c r="AA10" s="108">
        <f t="shared" si="2"/>
        <v>52.45</v>
      </c>
      <c r="AB10" s="108">
        <f t="shared" si="2"/>
        <v>56.800000000000004</v>
      </c>
      <c r="AC10" s="108">
        <f t="shared" si="2"/>
        <v>55.325589041095895</v>
      </c>
      <c r="AD10" s="108">
        <f t="shared" si="2"/>
        <v>55.30014716408219</v>
      </c>
      <c r="AE10" s="108">
        <f t="shared" si="2"/>
        <v>55.140928767123285</v>
      </c>
      <c r="AF10" s="108" t="e">
        <f t="shared" si="2"/>
        <v>#REF!</v>
      </c>
      <c r="AG10" s="108" t="e">
        <f t="shared" si="2"/>
        <v>#REF!</v>
      </c>
      <c r="AH10" s="108" t="e">
        <f t="shared" si="2"/>
        <v>#REF!</v>
      </c>
      <c r="AI10" s="108" t="e">
        <f t="shared" si="2"/>
        <v>#REF!</v>
      </c>
      <c r="AJ10" s="108" t="e">
        <f t="shared" si="2"/>
        <v>#REF!</v>
      </c>
      <c r="AK10" s="108" t="e">
        <f t="shared" si="2"/>
        <v>#REF!</v>
      </c>
      <c r="AL10" s="108" t="e">
        <f t="shared" si="2"/>
        <v>#REF!</v>
      </c>
      <c r="AM10" s="108" t="e">
        <f t="shared" si="2"/>
        <v>#REF!</v>
      </c>
      <c r="AN10" s="108" t="e">
        <f t="shared" si="2"/>
        <v>#REF!</v>
      </c>
      <c r="AO10" s="108" t="e">
        <f t="shared" ref="AO10" si="3">+AO9*4%</f>
        <v>#REF!</v>
      </c>
      <c r="AP10" s="79"/>
      <c r="AQ10" s="80"/>
      <c r="AR10" s="80"/>
    </row>
    <row r="11" spans="1:44" x14ac:dyDescent="0.35">
      <c r="B11" s="169" t="s">
        <v>95</v>
      </c>
      <c r="C11" s="84" t="e">
        <f>SUM(C9:C10)</f>
        <v>#REF!</v>
      </c>
      <c r="D11" s="84" t="e">
        <f t="shared" ref="D11:J11" si="4">SUM(D9:D10)</f>
        <v>#REF!</v>
      </c>
      <c r="E11" s="84" t="e">
        <f t="shared" si="4"/>
        <v>#REF!</v>
      </c>
      <c r="F11" s="84" t="e">
        <f t="shared" si="4"/>
        <v>#REF!</v>
      </c>
      <c r="G11" s="84" t="e">
        <f t="shared" si="4"/>
        <v>#REF!</v>
      </c>
      <c r="H11" s="84" t="e">
        <f t="shared" si="4"/>
        <v>#REF!</v>
      </c>
      <c r="I11" s="84" t="e">
        <f t="shared" si="4"/>
        <v>#REF!</v>
      </c>
      <c r="J11" s="80">
        <f t="shared" si="4"/>
        <v>0</v>
      </c>
      <c r="K11" s="80"/>
      <c r="L11" s="169" t="s">
        <v>95</v>
      </c>
      <c r="M11" s="84" t="e">
        <f t="shared" ref="M11:O11" si="5">SUM(M9:M10)</f>
        <v>#REF!</v>
      </c>
      <c r="N11" s="84" t="e">
        <f t="shared" si="5"/>
        <v>#REF!</v>
      </c>
      <c r="O11" s="84" t="e">
        <f t="shared" si="5"/>
        <v>#REF!</v>
      </c>
      <c r="Q11" s="157" t="s">
        <v>30</v>
      </c>
      <c r="R11" s="158">
        <f>+R10+R9</f>
        <v>1069.3488</v>
      </c>
      <c r="S11" s="159">
        <f>+S10+S9</f>
        <v>1091.0536000000002</v>
      </c>
      <c r="T11" s="158">
        <f>+T10+T9</f>
        <v>1140.1935999999998</v>
      </c>
      <c r="U11" s="158">
        <f>+U10+U9</f>
        <v>1127.0999999999999</v>
      </c>
      <c r="V11" s="158">
        <f t="shared" ref="V11:AN11" si="6">+V10+V9</f>
        <v>1149.72</v>
      </c>
      <c r="W11" s="158">
        <f t="shared" si="6"/>
        <v>1181.0239999999999</v>
      </c>
      <c r="X11" s="158">
        <f t="shared" si="6"/>
        <v>1241.5</v>
      </c>
      <c r="Y11" s="158">
        <f t="shared" si="6"/>
        <v>1288.3</v>
      </c>
      <c r="Z11" s="158">
        <f t="shared" si="6"/>
        <v>1307.28</v>
      </c>
      <c r="AA11" s="158">
        <f t="shared" si="6"/>
        <v>1363.7</v>
      </c>
      <c r="AB11" s="158">
        <f t="shared" si="6"/>
        <v>1476.8</v>
      </c>
      <c r="AC11" s="158">
        <f t="shared" si="6"/>
        <v>1438.4653150684931</v>
      </c>
      <c r="AD11" s="158">
        <f t="shared" si="6"/>
        <v>1437.8038262661369</v>
      </c>
      <c r="AE11" s="158">
        <f t="shared" si="6"/>
        <v>1433.6641479452055</v>
      </c>
      <c r="AF11" s="158" t="e">
        <f t="shared" si="6"/>
        <v>#REF!</v>
      </c>
      <c r="AG11" s="158" t="e">
        <f t="shared" si="6"/>
        <v>#REF!</v>
      </c>
      <c r="AH11" s="158" t="e">
        <f t="shared" si="6"/>
        <v>#REF!</v>
      </c>
      <c r="AI11" s="158" t="e">
        <f t="shared" si="6"/>
        <v>#REF!</v>
      </c>
      <c r="AJ11" s="158" t="e">
        <f t="shared" si="6"/>
        <v>#REF!</v>
      </c>
      <c r="AK11" s="158" t="e">
        <f t="shared" si="6"/>
        <v>#REF!</v>
      </c>
      <c r="AL11" s="158" t="e">
        <f t="shared" si="6"/>
        <v>#REF!</v>
      </c>
      <c r="AM11" s="158" t="e">
        <f t="shared" si="6"/>
        <v>#REF!</v>
      </c>
      <c r="AN11" s="158" t="e">
        <f t="shared" si="6"/>
        <v>#REF!</v>
      </c>
      <c r="AO11" s="158" t="e">
        <f t="shared" ref="AO11" si="7">+AO10+AO9</f>
        <v>#REF!</v>
      </c>
      <c r="AP11" s="79"/>
      <c r="AQ11" s="80"/>
      <c r="AR11" s="80"/>
    </row>
    <row r="12" spans="1:44" x14ac:dyDescent="0.35">
      <c r="B12" s="170" t="s">
        <v>26</v>
      </c>
      <c r="C12" s="80">
        <f>8.2+0.03</f>
        <v>8.2299999999999986</v>
      </c>
      <c r="D12" s="80">
        <v>8.2299999999999986</v>
      </c>
      <c r="E12" s="80">
        <f>8.2+0.03</f>
        <v>8.2299999999999986</v>
      </c>
      <c r="F12" s="80">
        <f>8.2+0.03</f>
        <v>8.2299999999999986</v>
      </c>
      <c r="G12" s="80">
        <v>11.200000000000001</v>
      </c>
      <c r="H12" s="80">
        <v>11.200000000000001</v>
      </c>
      <c r="I12" s="80">
        <f>11.15+0.05</f>
        <v>11.200000000000001</v>
      </c>
      <c r="J12" s="80"/>
      <c r="L12" s="170" t="s">
        <v>26</v>
      </c>
      <c r="M12" s="80">
        <f>27.2+0.11</f>
        <v>27.31</v>
      </c>
      <c r="N12" s="80">
        <f>27.2+0.12</f>
        <v>27.32</v>
      </c>
      <c r="O12" s="80">
        <f>27.2+0.12</f>
        <v>27.32</v>
      </c>
      <c r="Q12" s="160" t="s">
        <v>32</v>
      </c>
      <c r="R12" s="161">
        <f>+R11*(1-5%)</f>
        <v>1015.88136</v>
      </c>
      <c r="S12" s="161">
        <f t="shared" ref="S12:AM12" si="8">+S11*(1-5%)</f>
        <v>1036.5009200000002</v>
      </c>
      <c r="T12" s="161">
        <f t="shared" si="8"/>
        <v>1083.1839199999997</v>
      </c>
      <c r="U12" s="161">
        <f t="shared" si="8"/>
        <v>1070.7449999999999</v>
      </c>
      <c r="V12" s="161">
        <f t="shared" si="8"/>
        <v>1092.2339999999999</v>
      </c>
      <c r="W12" s="161">
        <f t="shared" si="8"/>
        <v>1121.9727999999998</v>
      </c>
      <c r="X12" s="161">
        <f t="shared" si="8"/>
        <v>1179.425</v>
      </c>
      <c r="Y12" s="161">
        <f t="shared" si="8"/>
        <v>1223.885</v>
      </c>
      <c r="Z12" s="161">
        <f t="shared" si="8"/>
        <v>1241.9159999999999</v>
      </c>
      <c r="AA12" s="161">
        <f t="shared" si="8"/>
        <v>1295.5149999999999</v>
      </c>
      <c r="AB12" s="161">
        <f t="shared" si="8"/>
        <v>1402.9599999999998</v>
      </c>
      <c r="AC12" s="161">
        <f t="shared" si="8"/>
        <v>1366.5420493150684</v>
      </c>
      <c r="AD12" s="161">
        <f t="shared" si="8"/>
        <v>1365.9136349528299</v>
      </c>
      <c r="AE12" s="161">
        <f t="shared" si="8"/>
        <v>1361.9809405479452</v>
      </c>
      <c r="AF12" s="161" t="e">
        <f t="shared" si="8"/>
        <v>#REF!</v>
      </c>
      <c r="AG12" s="161" t="e">
        <f t="shared" si="8"/>
        <v>#REF!</v>
      </c>
      <c r="AH12" s="161" t="e">
        <f t="shared" si="8"/>
        <v>#REF!</v>
      </c>
      <c r="AI12" s="161" t="e">
        <f t="shared" si="8"/>
        <v>#REF!</v>
      </c>
      <c r="AJ12" s="161" t="e">
        <f t="shared" si="8"/>
        <v>#REF!</v>
      </c>
      <c r="AK12" s="161" t="e">
        <f t="shared" si="8"/>
        <v>#REF!</v>
      </c>
      <c r="AL12" s="161" t="e">
        <f t="shared" si="8"/>
        <v>#REF!</v>
      </c>
      <c r="AM12" s="161" t="e">
        <f t="shared" si="8"/>
        <v>#REF!</v>
      </c>
      <c r="AN12" s="161">
        <v>1267</v>
      </c>
      <c r="AO12" s="161" t="e">
        <f t="shared" ref="AO12" si="9">+AO11*(1-5%)</f>
        <v>#REF!</v>
      </c>
      <c r="AP12" s="182">
        <v>1267</v>
      </c>
      <c r="AQ12" s="81" t="s">
        <v>105</v>
      </c>
      <c r="AR12" s="80"/>
    </row>
    <row r="13" spans="1:44" x14ac:dyDescent="0.35">
      <c r="B13" s="170" t="s">
        <v>31</v>
      </c>
      <c r="C13" s="80">
        <v>1.5</v>
      </c>
      <c r="D13" s="80">
        <v>1.5</v>
      </c>
      <c r="E13" s="80">
        <v>1.83</v>
      </c>
      <c r="F13" s="80">
        <v>1.83</v>
      </c>
      <c r="G13" s="80">
        <v>3.45</v>
      </c>
      <c r="H13" s="80">
        <v>3.45</v>
      </c>
      <c r="I13" s="80">
        <v>3.45</v>
      </c>
      <c r="J13" s="80"/>
      <c r="L13" s="170" t="s">
        <v>31</v>
      </c>
      <c r="M13" s="80">
        <v>0.9</v>
      </c>
      <c r="N13" s="80">
        <v>2.1800000000000002</v>
      </c>
      <c r="O13" s="80">
        <v>2.1800000000000002</v>
      </c>
      <c r="Q13" s="128" t="s">
        <v>100</v>
      </c>
      <c r="R13" s="128" t="s">
        <v>18</v>
      </c>
      <c r="S13" s="128" t="s">
        <v>18</v>
      </c>
      <c r="T13" s="128" t="s">
        <v>18</v>
      </c>
      <c r="U13" s="128" t="s">
        <v>18</v>
      </c>
      <c r="V13" s="128" t="s">
        <v>18</v>
      </c>
      <c r="W13" s="128" t="s">
        <v>18</v>
      </c>
      <c r="X13" s="128" t="s">
        <v>18</v>
      </c>
      <c r="Y13" s="128" t="s">
        <v>18</v>
      </c>
      <c r="Z13" s="128" t="s">
        <v>18</v>
      </c>
      <c r="AA13" s="128" t="s">
        <v>18</v>
      </c>
      <c r="AB13" s="128" t="s">
        <v>18</v>
      </c>
      <c r="AC13" s="128" t="s">
        <v>18</v>
      </c>
      <c r="AD13" s="128" t="s">
        <v>18</v>
      </c>
      <c r="AE13" s="128" t="s">
        <v>18</v>
      </c>
      <c r="AF13" s="128" t="s">
        <v>18</v>
      </c>
      <c r="AG13" s="128" t="s">
        <v>18</v>
      </c>
      <c r="AH13" s="128" t="s">
        <v>18</v>
      </c>
      <c r="AI13" s="128" t="s">
        <v>18</v>
      </c>
      <c r="AJ13" s="129">
        <v>0</v>
      </c>
      <c r="AK13" s="129">
        <f>+AR13</f>
        <v>0</v>
      </c>
      <c r="AL13" s="129">
        <v>15.097681007201158</v>
      </c>
      <c r="AM13" s="129">
        <v>15.162458159293488</v>
      </c>
      <c r="AN13" s="129">
        <f>((((AN12*4.5%)/365)*210))*50%</f>
        <v>16.401575342465755</v>
      </c>
      <c r="AO13" s="129" t="e">
        <f>((((AO12*4.5%)/365)*210))*50%</f>
        <v>#REF!</v>
      </c>
      <c r="AP13" s="182" t="e">
        <f>+AM14-AP12</f>
        <v>#REF!</v>
      </c>
      <c r="AQ13" s="81" t="s">
        <v>106</v>
      </c>
      <c r="AR13" s="91"/>
    </row>
    <row r="14" spans="1:44" x14ac:dyDescent="0.35">
      <c r="B14" s="170" t="s">
        <v>34</v>
      </c>
      <c r="C14" s="80">
        <v>0.19</v>
      </c>
      <c r="D14" s="80">
        <v>0.19</v>
      </c>
      <c r="E14" s="80">
        <v>0.19</v>
      </c>
      <c r="F14" s="80">
        <v>0.19</v>
      </c>
      <c r="G14" s="80">
        <v>0.33</v>
      </c>
      <c r="H14" s="80">
        <v>0.33</v>
      </c>
      <c r="I14" s="80">
        <v>0.33</v>
      </c>
      <c r="J14" s="80"/>
      <c r="L14" s="170" t="s">
        <v>34</v>
      </c>
      <c r="M14" s="80">
        <v>4.3</v>
      </c>
      <c r="N14" s="80">
        <v>4.3</v>
      </c>
      <c r="O14" s="80">
        <v>4.3</v>
      </c>
      <c r="Q14" s="179" t="s">
        <v>101</v>
      </c>
      <c r="R14" s="179"/>
      <c r="S14" s="179"/>
      <c r="T14" s="179"/>
      <c r="U14" s="179"/>
      <c r="V14" s="179"/>
      <c r="W14" s="179"/>
      <c r="X14" s="179"/>
      <c r="Y14" s="179"/>
      <c r="Z14" s="179"/>
      <c r="AA14" s="179"/>
      <c r="AB14" s="179"/>
      <c r="AC14" s="179"/>
      <c r="AD14" s="179"/>
      <c r="AE14" s="179"/>
      <c r="AF14" s="179"/>
      <c r="AG14" s="179"/>
      <c r="AH14" s="179"/>
      <c r="AI14" s="179"/>
      <c r="AJ14" s="180"/>
      <c r="AK14" s="180" t="e">
        <f>+AK12+AK13</f>
        <v>#REF!</v>
      </c>
      <c r="AL14" s="180" t="e">
        <f>+AL12+AL13</f>
        <v>#REF!</v>
      </c>
      <c r="AM14" s="180" t="e">
        <f>+AM12+AM13</f>
        <v>#REF!</v>
      </c>
      <c r="AN14" s="180">
        <f>+AN12+AN13</f>
        <v>1283.4015753424658</v>
      </c>
      <c r="AO14" s="180" t="e">
        <f>+AO12+AO13</f>
        <v>#REF!</v>
      </c>
      <c r="AP14" s="85"/>
      <c r="AQ14" s="91"/>
      <c r="AR14" s="80"/>
    </row>
    <row r="15" spans="1:44" x14ac:dyDescent="0.35">
      <c r="A15" s="81" t="s">
        <v>38</v>
      </c>
      <c r="B15" s="170" t="s">
        <v>36</v>
      </c>
      <c r="C15" s="80">
        <v>0.16</v>
      </c>
      <c r="D15" s="80">
        <v>0.16</v>
      </c>
      <c r="E15" s="80">
        <v>0.16</v>
      </c>
      <c r="F15" s="80">
        <v>0.16</v>
      </c>
      <c r="G15" s="80">
        <v>0.28000000000000003</v>
      </c>
      <c r="H15" s="80">
        <v>0.28000000000000003</v>
      </c>
      <c r="I15" s="80">
        <v>0.28000000000000003</v>
      </c>
      <c r="J15" s="80"/>
      <c r="L15" s="170" t="s">
        <v>36</v>
      </c>
      <c r="M15" s="80">
        <v>8.36</v>
      </c>
      <c r="N15" s="80">
        <v>8.36</v>
      </c>
      <c r="O15" s="80">
        <v>8.36</v>
      </c>
      <c r="Q15" s="157" t="s">
        <v>96</v>
      </c>
      <c r="R15" s="158">
        <f t="shared" ref="R15:AH15" si="10">+R11*75%+R12*25%</f>
        <v>1055.9819400000001</v>
      </c>
      <c r="S15" s="158">
        <f t="shared" si="10"/>
        <v>1077.4154300000002</v>
      </c>
      <c r="T15" s="158">
        <f t="shared" si="10"/>
        <v>1125.9411799999998</v>
      </c>
      <c r="U15" s="158">
        <f t="shared" si="10"/>
        <v>1113.01125</v>
      </c>
      <c r="V15" s="158">
        <f t="shared" si="10"/>
        <v>1135.3485000000001</v>
      </c>
      <c r="W15" s="158">
        <f t="shared" si="10"/>
        <v>1166.2611999999999</v>
      </c>
      <c r="X15" s="158">
        <f t="shared" si="10"/>
        <v>1225.98125</v>
      </c>
      <c r="Y15" s="158">
        <f t="shared" si="10"/>
        <v>1272.19625</v>
      </c>
      <c r="Z15" s="158">
        <f t="shared" si="10"/>
        <v>1290.9390000000001</v>
      </c>
      <c r="AA15" s="158">
        <f t="shared" si="10"/>
        <v>1346.6537499999999</v>
      </c>
      <c r="AB15" s="158">
        <f t="shared" si="10"/>
        <v>1458.34</v>
      </c>
      <c r="AC15" s="158">
        <f t="shared" si="10"/>
        <v>1420.4844986301368</v>
      </c>
      <c r="AD15" s="158">
        <f t="shared" si="10"/>
        <v>1419.8312784378102</v>
      </c>
      <c r="AE15" s="158">
        <f t="shared" si="10"/>
        <v>1415.7433460958905</v>
      </c>
      <c r="AF15" s="158" t="e">
        <f t="shared" si="10"/>
        <v>#REF!</v>
      </c>
      <c r="AG15" s="158" t="e">
        <f t="shared" si="10"/>
        <v>#REF!</v>
      </c>
      <c r="AH15" s="158" t="e">
        <f t="shared" si="10"/>
        <v>#REF!</v>
      </c>
      <c r="AI15" s="158" t="e">
        <f>+AI11*50%+AI12*50%</f>
        <v>#REF!</v>
      </c>
      <c r="AJ15" s="158" t="e">
        <f>+AJ11*50%+AJ12*50%</f>
        <v>#REF!</v>
      </c>
      <c r="AK15" s="158" t="e">
        <f>+AK11*50%+AK14*50%</f>
        <v>#REF!</v>
      </c>
      <c r="AL15" s="158" t="e">
        <f>+AL11*50%+AL14*50%</f>
        <v>#REF!</v>
      </c>
      <c r="AM15" s="158" t="e">
        <f>+AM11*50%+AM14*50%</f>
        <v>#REF!</v>
      </c>
      <c r="AN15" s="158" t="e">
        <f>+AN11*50%+AN14*50%</f>
        <v>#REF!</v>
      </c>
      <c r="AO15" s="158" t="e">
        <f>+AO11*50%+AO14*50%</f>
        <v>#REF!</v>
      </c>
      <c r="AP15" s="80"/>
      <c r="AQ15" s="80"/>
      <c r="AR15" s="80"/>
    </row>
    <row r="16" spans="1:44" x14ac:dyDescent="0.35">
      <c r="B16" s="169" t="s">
        <v>39</v>
      </c>
      <c r="C16" s="84" t="e">
        <f>+C11+C12+C13+C14+C15</f>
        <v>#REF!</v>
      </c>
      <c r="D16" s="84" t="e">
        <f t="shared" ref="D16:I16" si="11">+D11+D12+D13+D14+D15</f>
        <v>#REF!</v>
      </c>
      <c r="E16" s="84" t="e">
        <f t="shared" si="11"/>
        <v>#REF!</v>
      </c>
      <c r="F16" s="84" t="e">
        <f t="shared" si="11"/>
        <v>#REF!</v>
      </c>
      <c r="G16" s="84" t="e">
        <f t="shared" si="11"/>
        <v>#REF!</v>
      </c>
      <c r="H16" s="84" t="e">
        <f t="shared" si="11"/>
        <v>#REF!</v>
      </c>
      <c r="I16" s="84" t="e">
        <f t="shared" si="11"/>
        <v>#REF!</v>
      </c>
      <c r="J16" s="84"/>
      <c r="L16" s="169" t="s">
        <v>39</v>
      </c>
      <c r="M16" s="84" t="e">
        <f t="shared" ref="M16:N16" si="12">+M11+M12+M13+M14+M15</f>
        <v>#REF!</v>
      </c>
      <c r="N16" s="84" t="e">
        <f t="shared" si="12"/>
        <v>#REF!</v>
      </c>
      <c r="O16" s="84" t="e">
        <f>+O11+O12+O13+O14+O15</f>
        <v>#REF!</v>
      </c>
      <c r="Q16" s="113" t="s">
        <v>37</v>
      </c>
      <c r="R16" s="118">
        <f>+R15*1%</f>
        <v>10.559819400000002</v>
      </c>
      <c r="S16" s="118">
        <f t="shared" ref="S16:AN16" si="13">+S15*1%</f>
        <v>10.774154300000003</v>
      </c>
      <c r="T16" s="118">
        <f t="shared" si="13"/>
        <v>11.259411799999999</v>
      </c>
      <c r="U16" s="118">
        <f t="shared" si="13"/>
        <v>11.130112500000001</v>
      </c>
      <c r="V16" s="118">
        <f t="shared" si="13"/>
        <v>11.353485000000001</v>
      </c>
      <c r="W16" s="118">
        <f t="shared" si="13"/>
        <v>11.662611999999999</v>
      </c>
      <c r="X16" s="118">
        <f t="shared" si="13"/>
        <v>12.259812500000001</v>
      </c>
      <c r="Y16" s="118">
        <f t="shared" si="13"/>
        <v>12.7219625</v>
      </c>
      <c r="Z16" s="118">
        <f t="shared" si="13"/>
        <v>12.909390000000002</v>
      </c>
      <c r="AA16" s="118">
        <f t="shared" si="13"/>
        <v>13.466537499999999</v>
      </c>
      <c r="AB16" s="118">
        <f t="shared" si="13"/>
        <v>14.583399999999999</v>
      </c>
      <c r="AC16" s="118">
        <f t="shared" si="13"/>
        <v>14.204844986301369</v>
      </c>
      <c r="AD16" s="118">
        <f t="shared" si="13"/>
        <v>14.198312784378102</v>
      </c>
      <c r="AE16" s="118">
        <f t="shared" si="13"/>
        <v>14.157433460958906</v>
      </c>
      <c r="AF16" s="118" t="e">
        <f t="shared" si="13"/>
        <v>#REF!</v>
      </c>
      <c r="AG16" s="118" t="e">
        <f t="shared" si="13"/>
        <v>#REF!</v>
      </c>
      <c r="AH16" s="118" t="e">
        <f t="shared" si="13"/>
        <v>#REF!</v>
      </c>
      <c r="AI16" s="118" t="e">
        <f t="shared" si="13"/>
        <v>#REF!</v>
      </c>
      <c r="AJ16" s="118" t="e">
        <f t="shared" si="13"/>
        <v>#REF!</v>
      </c>
      <c r="AK16" s="118" t="e">
        <f t="shared" si="13"/>
        <v>#REF!</v>
      </c>
      <c r="AL16" s="118" t="e">
        <f t="shared" si="13"/>
        <v>#REF!</v>
      </c>
      <c r="AM16" s="118" t="e">
        <f t="shared" si="13"/>
        <v>#REF!</v>
      </c>
      <c r="AN16" s="118" t="e">
        <f t="shared" si="13"/>
        <v>#REF!</v>
      </c>
      <c r="AO16" s="118" t="e">
        <f t="shared" ref="AO16" si="14">+AO15*1%</f>
        <v>#REF!</v>
      </c>
      <c r="AP16" s="79"/>
      <c r="AQ16" s="80"/>
      <c r="AR16" s="84"/>
    </row>
    <row r="17" spans="1:46" x14ac:dyDescent="0.35">
      <c r="Q17" s="113" t="s">
        <v>74</v>
      </c>
      <c r="R17" s="115">
        <f>+R16+R15</f>
        <v>1066.5417594</v>
      </c>
      <c r="S17" s="115">
        <f t="shared" ref="S17:AN17" si="15">+S16+S15</f>
        <v>1088.1895843000002</v>
      </c>
      <c r="T17" s="115">
        <f t="shared" si="15"/>
        <v>1137.2005917999998</v>
      </c>
      <c r="U17" s="115">
        <f t="shared" si="15"/>
        <v>1124.1413625</v>
      </c>
      <c r="V17" s="115">
        <f t="shared" si="15"/>
        <v>1146.7019850000001</v>
      </c>
      <c r="W17" s="115">
        <f t="shared" si="15"/>
        <v>1177.923812</v>
      </c>
      <c r="X17" s="115">
        <f t="shared" si="15"/>
        <v>1238.2410625</v>
      </c>
      <c r="Y17" s="115">
        <f t="shared" si="15"/>
        <v>1284.9182125</v>
      </c>
      <c r="Z17" s="115">
        <f t="shared" si="15"/>
        <v>1303.8483900000001</v>
      </c>
      <c r="AA17" s="115">
        <f t="shared" si="15"/>
        <v>1360.1202874999999</v>
      </c>
      <c r="AB17" s="115">
        <f t="shared" si="15"/>
        <v>1472.9233999999999</v>
      </c>
      <c r="AC17" s="115">
        <f t="shared" si="15"/>
        <v>1434.6893436164382</v>
      </c>
      <c r="AD17" s="115">
        <f t="shared" si="15"/>
        <v>1434.0295912221882</v>
      </c>
      <c r="AE17" s="115">
        <f t="shared" si="15"/>
        <v>1429.9007795568493</v>
      </c>
      <c r="AF17" s="115" t="e">
        <f t="shared" si="15"/>
        <v>#REF!</v>
      </c>
      <c r="AG17" s="115" t="e">
        <f t="shared" si="15"/>
        <v>#REF!</v>
      </c>
      <c r="AH17" s="115" t="e">
        <f t="shared" si="15"/>
        <v>#REF!</v>
      </c>
      <c r="AI17" s="115" t="e">
        <f t="shared" si="15"/>
        <v>#REF!</v>
      </c>
      <c r="AJ17" s="115" t="e">
        <f t="shared" si="15"/>
        <v>#REF!</v>
      </c>
      <c r="AK17" s="115" t="e">
        <f t="shared" si="15"/>
        <v>#REF!</v>
      </c>
      <c r="AL17" s="115" t="e">
        <f t="shared" si="15"/>
        <v>#REF!</v>
      </c>
      <c r="AM17" s="115" t="e">
        <f t="shared" si="15"/>
        <v>#REF!</v>
      </c>
      <c r="AN17" s="115" t="e">
        <f t="shared" si="15"/>
        <v>#REF!</v>
      </c>
      <c r="AO17" s="115" t="e">
        <f t="shared" ref="AO17" si="16">+AO16+AO15</f>
        <v>#REF!</v>
      </c>
      <c r="AP17" s="181"/>
      <c r="AQ17" s="84"/>
      <c r="AR17" s="84"/>
      <c r="AT17" s="182"/>
    </row>
    <row r="18" spans="1:46" x14ac:dyDescent="0.35">
      <c r="B18" s="169"/>
      <c r="C18" s="84"/>
      <c r="D18" s="84"/>
      <c r="E18" s="84"/>
      <c r="F18" s="84"/>
      <c r="G18" s="84"/>
      <c r="H18" s="84"/>
      <c r="I18" s="84"/>
      <c r="J18" s="84"/>
      <c r="K18" s="94"/>
      <c r="M18" s="84"/>
      <c r="N18" s="84"/>
      <c r="O18" s="84"/>
      <c r="Q18" s="85"/>
      <c r="R18" s="120" t="e">
        <f>+#REF!</f>
        <v>#REF!</v>
      </c>
      <c r="S18" s="120" t="e">
        <f>+R18</f>
        <v>#REF!</v>
      </c>
      <c r="T18" s="120" t="e">
        <f>+S18</f>
        <v>#REF!</v>
      </c>
      <c r="U18" s="120" t="e">
        <f>+T18</f>
        <v>#REF!</v>
      </c>
      <c r="V18" s="120" t="e">
        <f t="shared" ref="V18:AG18" si="17">+U18</f>
        <v>#REF!</v>
      </c>
      <c r="W18" s="120" t="e">
        <f t="shared" si="17"/>
        <v>#REF!</v>
      </c>
      <c r="X18" s="120" t="e">
        <f t="shared" si="17"/>
        <v>#REF!</v>
      </c>
      <c r="Y18" s="120" t="e">
        <f t="shared" si="17"/>
        <v>#REF!</v>
      </c>
      <c r="Z18" s="120" t="e">
        <f t="shared" si="17"/>
        <v>#REF!</v>
      </c>
      <c r="AA18" s="120" t="e">
        <f t="shared" si="17"/>
        <v>#REF!</v>
      </c>
      <c r="AB18" s="120" t="e">
        <f t="shared" si="17"/>
        <v>#REF!</v>
      </c>
      <c r="AC18" s="120" t="e">
        <f t="shared" si="17"/>
        <v>#REF!</v>
      </c>
      <c r="AD18" s="120" t="e">
        <f t="shared" si="17"/>
        <v>#REF!</v>
      </c>
      <c r="AE18" s="120" t="e">
        <f t="shared" si="17"/>
        <v>#REF!</v>
      </c>
      <c r="AF18" s="120" t="e">
        <f t="shared" si="17"/>
        <v>#REF!</v>
      </c>
      <c r="AG18" s="120" t="e">
        <f t="shared" si="17"/>
        <v>#REF!</v>
      </c>
      <c r="AH18" s="120"/>
      <c r="AI18" s="120"/>
      <c r="AJ18" s="120"/>
      <c r="AK18" s="120"/>
      <c r="AL18" s="120"/>
      <c r="AM18" s="120"/>
      <c r="AN18" s="120"/>
      <c r="AO18" s="120"/>
      <c r="AQ18" s="84"/>
      <c r="AR18" s="82"/>
    </row>
    <row r="19" spans="1:46" x14ac:dyDescent="0.35">
      <c r="C19" s="132"/>
      <c r="K19" s="94"/>
      <c r="Q19" s="82"/>
      <c r="R19" s="82"/>
      <c r="S19" s="82"/>
      <c r="U19" s="94"/>
      <c r="V19" s="94"/>
      <c r="W19" s="94"/>
      <c r="X19" s="94"/>
      <c r="Y19" s="94"/>
      <c r="Z19" s="94"/>
      <c r="AA19" s="94"/>
      <c r="AB19" s="94"/>
      <c r="AC19" s="94"/>
      <c r="AD19" s="94"/>
      <c r="AE19" s="94"/>
      <c r="AF19" s="94"/>
      <c r="AG19" s="94"/>
      <c r="AH19" s="94"/>
      <c r="AI19" s="94"/>
      <c r="AJ19" s="94"/>
      <c r="AK19" s="94"/>
      <c r="AL19" s="94"/>
      <c r="AM19" s="94"/>
      <c r="AN19" s="94"/>
      <c r="AO19" s="94"/>
      <c r="AQ19" s="82"/>
      <c r="AR19" s="82"/>
    </row>
    <row r="20" spans="1:46" x14ac:dyDescent="0.35">
      <c r="M20" s="86"/>
      <c r="AQ20" s="82"/>
    </row>
    <row r="25" spans="1:46" x14ac:dyDescent="0.35">
      <c r="N25" s="123"/>
      <c r="AH25" s="164"/>
    </row>
    <row r="32" spans="1:46" s="82" customFormat="1" x14ac:dyDescent="0.35">
      <c r="A32" s="81"/>
      <c r="B32" s="173" t="s">
        <v>51</v>
      </c>
      <c r="J32" s="81"/>
      <c r="K32" s="81"/>
      <c r="L32" s="173"/>
      <c r="P32" s="81"/>
      <c r="Q32" s="81"/>
      <c r="R32" s="81"/>
      <c r="S32" s="81"/>
      <c r="T32" s="81"/>
      <c r="U32" s="81"/>
      <c r="V32" s="81"/>
      <c r="W32" s="81"/>
      <c r="X32" s="81"/>
      <c r="Y32" s="81"/>
      <c r="Z32" s="81"/>
      <c r="AA32" s="81"/>
      <c r="AB32" s="81"/>
      <c r="AC32" s="81"/>
      <c r="AD32" s="81"/>
      <c r="AE32" s="81"/>
      <c r="AF32" s="81"/>
      <c r="AG32" s="81"/>
      <c r="AH32" s="81"/>
      <c r="AI32" s="81"/>
      <c r="AJ32" s="81"/>
      <c r="AK32" s="81"/>
      <c r="AL32" s="81"/>
      <c r="AM32" s="81"/>
      <c r="AN32" s="81"/>
      <c r="AO32" s="81"/>
      <c r="AP32" s="81"/>
      <c r="AQ32" s="81"/>
      <c r="AR32" s="81"/>
      <c r="AS32" s="81"/>
      <c r="AT32" s="81"/>
    </row>
  </sheetData>
  <mergeCells count="6">
    <mergeCell ref="Q1:AR1"/>
    <mergeCell ref="B2:D2"/>
    <mergeCell ref="Q2:R2"/>
    <mergeCell ref="AP2:AQ2"/>
    <mergeCell ref="B3:D3"/>
    <mergeCell ref="AP3:AQ3"/>
  </mergeCells>
  <pageMargins left="0.7" right="0.7" top="0.75" bottom="0.75" header="0.3" footer="0.3"/>
  <pageSetup orientation="portrait" r:id="rId1"/>
  <customProperties>
    <customPr name="EpmWorksheetKeyString_GUID" r:id="rId2"/>
  </customProperties>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28"/>
  <dimension ref="A1:AU32"/>
  <sheetViews>
    <sheetView zoomScale="85" zoomScaleNormal="85" workbookViewId="0">
      <selection activeCell="AP5" sqref="AP5"/>
    </sheetView>
  </sheetViews>
  <sheetFormatPr defaultColWidth="11.453125" defaultRowHeight="14.5" x14ac:dyDescent="0.35"/>
  <cols>
    <col min="1" max="1" width="3.453125" style="81" customWidth="1"/>
    <col min="2" max="2" width="14" style="173" customWidth="1"/>
    <col min="3" max="3" width="10.81640625" style="82" customWidth="1"/>
    <col min="4" max="5" width="10.54296875" style="82" hidden="1" customWidth="1"/>
    <col min="6" max="6" width="11" style="82" customWidth="1"/>
    <col min="7" max="7" width="11.1796875" style="82" hidden="1" customWidth="1"/>
    <col min="8" max="8" width="11" style="82" hidden="1" customWidth="1"/>
    <col min="9" max="9" width="11.54296875" style="82" customWidth="1"/>
    <col min="10" max="10" width="8.54296875" style="81" hidden="1" customWidth="1"/>
    <col min="11" max="11" width="2.81640625" style="81" customWidth="1"/>
    <col min="12" max="12" width="13.81640625" style="173" customWidth="1"/>
    <col min="13" max="15" width="10.81640625" style="82" customWidth="1"/>
    <col min="16" max="16" width="2.81640625" style="81" customWidth="1"/>
    <col min="17" max="17" width="28.81640625" style="81" customWidth="1"/>
    <col min="18" max="18" width="16.1796875" style="81" hidden="1" customWidth="1"/>
    <col min="19" max="19" width="17.54296875" style="81" hidden="1" customWidth="1"/>
    <col min="20" max="20" width="14.54296875" style="81" hidden="1" customWidth="1"/>
    <col min="21" max="21" width="16" style="81" hidden="1" customWidth="1"/>
    <col min="22" max="22" width="17.81640625" style="81" hidden="1" customWidth="1"/>
    <col min="23" max="23" width="17.1796875" style="81" hidden="1" customWidth="1"/>
    <col min="24" max="29" width="14.453125" style="81" hidden="1" customWidth="1"/>
    <col min="30" max="30" width="16.453125" style="81" hidden="1" customWidth="1"/>
    <col min="31" max="33" width="14.81640625" style="81" hidden="1" customWidth="1"/>
    <col min="34" max="34" width="16.54296875" style="81" hidden="1" customWidth="1"/>
    <col min="35" max="36" width="17.54296875" style="81" hidden="1" customWidth="1"/>
    <col min="37" max="40" width="15.1796875" style="81" hidden="1" customWidth="1"/>
    <col min="41" max="41" width="13.81640625" style="81" hidden="1" customWidth="1"/>
    <col min="42" max="42" width="13.81640625" style="81" customWidth="1"/>
    <col min="43" max="46" width="11.453125" style="81" customWidth="1"/>
    <col min="47" max="16384" width="11.453125" style="81"/>
  </cols>
  <sheetData>
    <row r="1" spans="1:45" x14ac:dyDescent="0.35">
      <c r="B1" s="122"/>
      <c r="C1" s="86"/>
      <c r="D1" s="86"/>
      <c r="E1" s="86"/>
      <c r="F1" s="87"/>
      <c r="G1" s="87"/>
      <c r="H1" s="87"/>
      <c r="I1" s="87"/>
      <c r="J1" s="87"/>
      <c r="K1" s="87"/>
      <c r="L1" s="122"/>
      <c r="M1" s="87"/>
      <c r="N1" s="87"/>
      <c r="O1" s="87"/>
      <c r="Q1" s="574"/>
      <c r="R1" s="574"/>
      <c r="S1" s="574"/>
      <c r="T1" s="574"/>
      <c r="U1" s="574"/>
      <c r="V1" s="574"/>
      <c r="W1" s="574"/>
      <c r="X1" s="574"/>
      <c r="Y1" s="574"/>
      <c r="Z1" s="574"/>
      <c r="AA1" s="574"/>
      <c r="AB1" s="574"/>
      <c r="AC1" s="574"/>
      <c r="AD1" s="574"/>
      <c r="AE1" s="574"/>
      <c r="AF1" s="574"/>
      <c r="AG1" s="574"/>
      <c r="AH1" s="574"/>
      <c r="AI1" s="574"/>
      <c r="AJ1" s="574"/>
      <c r="AK1" s="574"/>
      <c r="AL1" s="574"/>
      <c r="AM1" s="574"/>
      <c r="AN1" s="574"/>
      <c r="AO1" s="574"/>
      <c r="AP1" s="574"/>
      <c r="AQ1" s="574"/>
      <c r="AR1" s="574"/>
      <c r="AS1" s="574"/>
    </row>
    <row r="2" spans="1:45" s="142" customFormat="1" ht="15" customHeight="1" x14ac:dyDescent="0.35">
      <c r="B2" s="576" t="s">
        <v>66</v>
      </c>
      <c r="C2" s="576"/>
      <c r="D2" s="576"/>
      <c r="F2" s="141" t="e">
        <f>+AP11</f>
        <v>#REF!</v>
      </c>
      <c r="H2" s="141"/>
      <c r="I2" s="141"/>
      <c r="J2" s="143">
        <v>0.05</v>
      </c>
      <c r="K2" s="144"/>
      <c r="L2" s="171"/>
      <c r="M2" s="141"/>
      <c r="N2" s="141"/>
      <c r="O2" s="141"/>
      <c r="Q2" s="576"/>
      <c r="R2" s="576"/>
      <c r="S2" s="141"/>
      <c r="T2" s="143"/>
      <c r="U2" s="144"/>
      <c r="V2" s="144"/>
      <c r="W2" s="144"/>
      <c r="X2" s="144"/>
      <c r="Y2" s="144"/>
      <c r="Z2" s="144"/>
      <c r="AA2" s="144"/>
      <c r="AB2" s="144"/>
      <c r="AC2" s="144"/>
      <c r="AD2" s="144"/>
      <c r="AE2" s="144"/>
      <c r="AF2" s="144"/>
      <c r="AG2" s="144"/>
      <c r="AH2" s="144"/>
      <c r="AI2" s="144"/>
      <c r="AJ2" s="144"/>
      <c r="AK2" s="144"/>
      <c r="AL2" s="144"/>
      <c r="AM2" s="144"/>
      <c r="AN2" s="144"/>
      <c r="AO2" s="144"/>
      <c r="AP2" s="144"/>
      <c r="AQ2" s="576"/>
      <c r="AR2" s="576"/>
      <c r="AS2" s="141"/>
    </row>
    <row r="3" spans="1:45" s="133" customFormat="1" ht="15" customHeight="1" x14ac:dyDescent="0.35">
      <c r="B3" s="576" t="s">
        <v>67</v>
      </c>
      <c r="C3" s="576"/>
      <c r="D3" s="576"/>
      <c r="F3" s="134" t="e">
        <f>+AP14</f>
        <v>#REF!</v>
      </c>
      <c r="G3" s="135"/>
      <c r="H3" s="134"/>
      <c r="I3" s="134"/>
      <c r="J3" s="137" t="e">
        <f>+F2*J2</f>
        <v>#REF!</v>
      </c>
      <c r="K3" s="136"/>
      <c r="L3" s="174"/>
      <c r="M3" s="134"/>
      <c r="N3" s="134"/>
      <c r="O3" s="134"/>
      <c r="Q3" s="138"/>
      <c r="R3" s="139"/>
      <c r="S3" s="140"/>
      <c r="U3" s="136"/>
      <c r="V3" s="136"/>
      <c r="W3" s="136"/>
      <c r="X3" s="136"/>
      <c r="Y3" s="136"/>
      <c r="Z3" s="136"/>
      <c r="AA3" s="136"/>
      <c r="AB3" s="136"/>
      <c r="AC3" s="136"/>
      <c r="AD3" s="136"/>
      <c r="AE3" s="136"/>
      <c r="AF3" s="136"/>
      <c r="AG3" s="136"/>
      <c r="AH3" s="136"/>
      <c r="AI3" s="136"/>
      <c r="AJ3" s="136"/>
      <c r="AK3" s="136"/>
      <c r="AL3" s="136"/>
      <c r="AM3" s="136"/>
      <c r="AN3" s="136"/>
      <c r="AO3" s="136"/>
      <c r="AP3" s="136"/>
      <c r="AQ3" s="577"/>
      <c r="AR3" s="577"/>
      <c r="AS3" s="134"/>
    </row>
    <row r="4" spans="1:45" ht="23.5" hidden="1" x14ac:dyDescent="0.55000000000000004">
      <c r="B4" s="169"/>
      <c r="C4" s="92" t="e">
        <f>+(C9+C10)/C6*1000</f>
        <v>#REF!</v>
      </c>
      <c r="D4" s="92" t="e">
        <f>+(G9+G10)/G6*1000</f>
        <v>#REF!</v>
      </c>
      <c r="E4" s="92" t="e">
        <f>+(E9+E10)/E6*1000</f>
        <v>#REF!</v>
      </c>
      <c r="F4" s="92" t="e">
        <f>+(F9+F10)/F6*1000</f>
        <v>#REF!</v>
      </c>
      <c r="I4" s="92" t="e">
        <f>+(I9+I10)/I6*1000</f>
        <v>#REF!</v>
      </c>
      <c r="K4" s="88"/>
      <c r="L4" s="169"/>
      <c r="M4" s="92"/>
      <c r="N4" s="92"/>
      <c r="O4" s="92"/>
      <c r="Q4" s="93"/>
      <c r="R4" s="82"/>
      <c r="S4" s="90"/>
      <c r="T4" s="94"/>
      <c r="U4" s="88"/>
      <c r="V4" s="88"/>
      <c r="W4" s="88"/>
      <c r="X4" s="88"/>
      <c r="Y4" s="88"/>
      <c r="Z4" s="88"/>
      <c r="AA4" s="88"/>
      <c r="AB4" s="88"/>
      <c r="AC4" s="88"/>
      <c r="AD4" s="88"/>
      <c r="AE4" s="88"/>
      <c r="AF4" s="88"/>
      <c r="AG4" s="88"/>
      <c r="AH4" s="88"/>
      <c r="AI4" s="88"/>
      <c r="AJ4" s="88"/>
      <c r="AK4" s="88"/>
      <c r="AL4" s="88"/>
      <c r="AM4" s="88"/>
      <c r="AN4" s="88"/>
      <c r="AO4" s="88"/>
      <c r="AP4" s="88"/>
      <c r="AQ4" s="91"/>
      <c r="AR4" s="91"/>
      <c r="AS4" s="78"/>
    </row>
    <row r="5" spans="1:45" s="95" customFormat="1" ht="33.75" customHeight="1" x14ac:dyDescent="0.35">
      <c r="B5" s="169" t="s">
        <v>5</v>
      </c>
      <c r="C5" s="85" t="s">
        <v>68</v>
      </c>
      <c r="D5" s="85" t="s">
        <v>69</v>
      </c>
      <c r="E5" s="85" t="s">
        <v>69</v>
      </c>
      <c r="F5" s="85" t="s">
        <v>69</v>
      </c>
      <c r="G5" s="85" t="s">
        <v>70</v>
      </c>
      <c r="H5" s="85" t="s">
        <v>70</v>
      </c>
      <c r="I5" s="85" t="s">
        <v>70</v>
      </c>
      <c r="J5" s="85"/>
      <c r="K5" s="88"/>
      <c r="L5" s="169" t="s">
        <v>71</v>
      </c>
      <c r="M5" s="96" t="s">
        <v>7</v>
      </c>
      <c r="N5" s="96" t="s">
        <v>8</v>
      </c>
      <c r="O5" s="96" t="s">
        <v>8</v>
      </c>
      <c r="Q5" s="147" t="s">
        <v>72</v>
      </c>
      <c r="R5" s="99" t="s">
        <v>54</v>
      </c>
      <c r="S5" s="99" t="s">
        <v>55</v>
      </c>
      <c r="T5" s="99" t="s">
        <v>56</v>
      </c>
      <c r="U5" s="99" t="s">
        <v>12</v>
      </c>
      <c r="V5" s="99" t="s">
        <v>57</v>
      </c>
      <c r="W5" s="99" t="s">
        <v>58</v>
      </c>
      <c r="X5" s="99" t="s">
        <v>59</v>
      </c>
      <c r="Y5" s="99" t="s">
        <v>60</v>
      </c>
      <c r="Z5" s="99" t="s">
        <v>62</v>
      </c>
      <c r="AA5" s="99" t="s">
        <v>64</v>
      </c>
      <c r="AB5" s="99" t="s">
        <v>65</v>
      </c>
      <c r="AC5" s="99" t="s">
        <v>73</v>
      </c>
      <c r="AD5" s="99" t="s">
        <v>53</v>
      </c>
      <c r="AE5" s="99" t="s">
        <v>77</v>
      </c>
      <c r="AF5" s="99" t="s">
        <v>78</v>
      </c>
      <c r="AG5" s="99" t="s">
        <v>79</v>
      </c>
      <c r="AH5" s="99" t="s">
        <v>90</v>
      </c>
      <c r="AI5" s="99" t="s">
        <v>91</v>
      </c>
      <c r="AJ5" s="99" t="s">
        <v>97</v>
      </c>
      <c r="AK5" s="99" t="s">
        <v>98</v>
      </c>
      <c r="AL5" s="99" t="s">
        <v>102</v>
      </c>
      <c r="AM5" s="99" t="s">
        <v>103</v>
      </c>
      <c r="AN5" s="99" t="s">
        <v>104</v>
      </c>
      <c r="AO5" s="99" t="s">
        <v>107</v>
      </c>
      <c r="AP5" s="99" t="s">
        <v>108</v>
      </c>
      <c r="AQ5" s="100"/>
      <c r="AR5" s="97"/>
      <c r="AS5" s="97"/>
    </row>
    <row r="6" spans="1:45" x14ac:dyDescent="0.35">
      <c r="B6" s="169" t="s">
        <v>13</v>
      </c>
      <c r="C6" s="101">
        <v>16.7</v>
      </c>
      <c r="D6" s="101">
        <v>16.7</v>
      </c>
      <c r="E6" s="101">
        <v>20.5</v>
      </c>
      <c r="F6" s="101">
        <v>20.5</v>
      </c>
      <c r="G6" s="101">
        <v>30.6</v>
      </c>
      <c r="H6" s="101">
        <v>30.6</v>
      </c>
      <c r="I6" s="101">
        <v>38.6</v>
      </c>
      <c r="J6" s="101"/>
      <c r="L6" s="169" t="s">
        <v>13</v>
      </c>
      <c r="M6" s="101">
        <v>15</v>
      </c>
      <c r="N6" s="101">
        <v>20.5</v>
      </c>
      <c r="O6" s="101">
        <v>20.5</v>
      </c>
      <c r="Q6" s="102" t="s">
        <v>14</v>
      </c>
      <c r="R6" s="104">
        <v>938.13</v>
      </c>
      <c r="S6" s="105">
        <v>959</v>
      </c>
      <c r="T6" s="104">
        <v>1006.25</v>
      </c>
      <c r="U6" s="130">
        <v>993.75</v>
      </c>
      <c r="V6" s="131">
        <v>1015.5</v>
      </c>
      <c r="W6" s="131">
        <v>1045.5999999999999</v>
      </c>
      <c r="X6" s="43">
        <v>1103.75</v>
      </c>
      <c r="Y6" s="43">
        <v>1148.75</v>
      </c>
      <c r="Z6" s="43">
        <v>1167</v>
      </c>
      <c r="AA6" s="43">
        <v>1221.25</v>
      </c>
      <c r="AB6" s="43">
        <v>1330</v>
      </c>
      <c r="AC6" s="43">
        <f>+'IHS (Mod)'!I5</f>
        <v>1280</v>
      </c>
      <c r="AD6" s="43">
        <f>+'IHS (Mod)'!J5</f>
        <v>1279.380005</v>
      </c>
      <c r="AE6" s="43">
        <v>1275.5</v>
      </c>
      <c r="AF6" s="43" t="e">
        <f>+#REF!</f>
        <v>#REF!</v>
      </c>
      <c r="AG6" s="43" t="e">
        <f>+#REF!</f>
        <v>#REF!</v>
      </c>
      <c r="AH6" s="43" t="e">
        <f>+#REF!</f>
        <v>#REF!</v>
      </c>
      <c r="AI6" s="43" t="e">
        <f>+#REF!</f>
        <v>#REF!</v>
      </c>
      <c r="AJ6" s="43" t="e">
        <f>+#REF!</f>
        <v>#REF!</v>
      </c>
      <c r="AK6" s="43" t="e">
        <f>+#REF!</f>
        <v>#REF!</v>
      </c>
      <c r="AL6" s="43" t="e">
        <f>+#REF!</f>
        <v>#REF!</v>
      </c>
      <c r="AM6" s="43" t="e">
        <f>+#REF!</f>
        <v>#REF!</v>
      </c>
      <c r="AN6" s="43" t="e">
        <f>+#REF!</f>
        <v>#REF!</v>
      </c>
      <c r="AO6" s="43" t="e">
        <f>+#REF!</f>
        <v>#REF!</v>
      </c>
      <c r="AP6" s="43" t="e">
        <f>+#REF!</f>
        <v>#REF!</v>
      </c>
      <c r="AQ6" s="85"/>
      <c r="AR6" s="101"/>
      <c r="AS6" s="101"/>
    </row>
    <row r="7" spans="1:45" x14ac:dyDescent="0.35">
      <c r="B7" s="170" t="s">
        <v>16</v>
      </c>
      <c r="C7" s="91" t="s">
        <v>17</v>
      </c>
      <c r="D7" s="91" t="s">
        <v>17</v>
      </c>
      <c r="E7" s="91" t="s">
        <v>17</v>
      </c>
      <c r="F7" s="91" t="s">
        <v>17</v>
      </c>
      <c r="G7" s="91" t="s">
        <v>17</v>
      </c>
      <c r="H7" s="91" t="s">
        <v>17</v>
      </c>
      <c r="I7" s="91" t="s">
        <v>17</v>
      </c>
      <c r="J7" s="91"/>
      <c r="L7" s="170" t="s">
        <v>16</v>
      </c>
      <c r="M7" s="91" t="s">
        <v>17</v>
      </c>
      <c r="N7" s="91" t="s">
        <v>17</v>
      </c>
      <c r="O7" s="91" t="s">
        <v>17</v>
      </c>
      <c r="Q7" s="128" t="s">
        <v>99</v>
      </c>
      <c r="R7" s="129">
        <v>25.09</v>
      </c>
      <c r="S7" s="129">
        <v>25.09</v>
      </c>
      <c r="T7" s="129">
        <v>25.09</v>
      </c>
      <c r="U7" s="129">
        <v>25</v>
      </c>
      <c r="V7" s="129">
        <v>25</v>
      </c>
      <c r="W7" s="129">
        <v>25</v>
      </c>
      <c r="X7" s="129">
        <v>25</v>
      </c>
      <c r="Y7" s="129">
        <v>25</v>
      </c>
      <c r="Z7" s="129">
        <v>25</v>
      </c>
      <c r="AA7" s="129">
        <v>25</v>
      </c>
      <c r="AB7" s="129">
        <v>25</v>
      </c>
      <c r="AC7" s="129">
        <v>33.139726027397259</v>
      </c>
      <c r="AD7" s="129">
        <f>+Septiembre18!AD8</f>
        <v>33.1236741020548</v>
      </c>
      <c r="AE7" s="129">
        <v>33.023219178082194</v>
      </c>
      <c r="AF7" s="129">
        <v>33.023219178082194</v>
      </c>
      <c r="AG7" s="129">
        <v>32.783732876712328</v>
      </c>
      <c r="AH7" s="129">
        <v>29.126712328767123</v>
      </c>
      <c r="AI7" s="129">
        <v>27.395420677397254</v>
      </c>
      <c r="AJ7" s="129">
        <v>26.796575342465754</v>
      </c>
      <c r="AK7" s="129">
        <v>13.948458904109588</v>
      </c>
      <c r="AL7" s="129">
        <v>14.191181506849315</v>
      </c>
      <c r="AM7" s="129">
        <v>14.255907534246576</v>
      </c>
      <c r="AN7" s="129" t="e">
        <f>((((AN6*4.5%)/365)*210))*50%</f>
        <v>#REF!</v>
      </c>
      <c r="AO7" s="129" t="e">
        <f>((((AO6*4.5%)/365)*210))*50%</f>
        <v>#REF!</v>
      </c>
      <c r="AP7" s="129" t="e">
        <f>((((AP6*4.5%)/365)*210))*50%</f>
        <v>#REF!</v>
      </c>
      <c r="AQ7" s="85"/>
      <c r="AR7" s="91"/>
      <c r="AS7" s="91"/>
    </row>
    <row r="8" spans="1:45" s="95" customFormat="1" ht="29" x14ac:dyDescent="0.35">
      <c r="B8" s="175" t="s">
        <v>92</v>
      </c>
      <c r="C8" s="177" t="s">
        <v>93</v>
      </c>
      <c r="D8" s="177" t="s">
        <v>94</v>
      </c>
      <c r="E8" s="176">
        <v>1</v>
      </c>
      <c r="F8" s="177" t="s">
        <v>93</v>
      </c>
      <c r="G8" s="176">
        <v>1</v>
      </c>
      <c r="H8" s="177" t="s">
        <v>94</v>
      </c>
      <c r="I8" s="177" t="s">
        <v>93</v>
      </c>
      <c r="J8" s="162"/>
      <c r="L8" s="175" t="str">
        <f>+B8</f>
        <v>% Resina (Virgen/PCR)</v>
      </c>
      <c r="M8" s="177" t="s">
        <v>94</v>
      </c>
      <c r="N8" s="176">
        <v>1</v>
      </c>
      <c r="O8" s="177" t="s">
        <v>94</v>
      </c>
      <c r="Q8" s="166" t="s">
        <v>20</v>
      </c>
      <c r="R8" s="129">
        <v>65</v>
      </c>
      <c r="S8" s="167">
        <v>65</v>
      </c>
      <c r="T8" s="129">
        <v>65</v>
      </c>
      <c r="U8" s="129">
        <v>65</v>
      </c>
      <c r="V8" s="129">
        <v>65</v>
      </c>
      <c r="W8" s="129">
        <v>65</v>
      </c>
      <c r="X8" s="129">
        <v>65</v>
      </c>
      <c r="Y8" s="129">
        <v>65</v>
      </c>
      <c r="Z8" s="129">
        <v>65</v>
      </c>
      <c r="AA8" s="129">
        <v>65</v>
      </c>
      <c r="AB8" s="129">
        <v>65</v>
      </c>
      <c r="AC8" s="129">
        <v>70</v>
      </c>
      <c r="AD8" s="129">
        <v>70</v>
      </c>
      <c r="AE8" s="129">
        <v>70</v>
      </c>
      <c r="AF8" s="129">
        <v>70</v>
      </c>
      <c r="AG8" s="129">
        <v>70</v>
      </c>
      <c r="AH8" s="129">
        <v>70</v>
      </c>
      <c r="AI8" s="129">
        <v>70</v>
      </c>
      <c r="AJ8" s="129">
        <v>70</v>
      </c>
      <c r="AK8" s="129">
        <v>70</v>
      </c>
      <c r="AL8" s="129">
        <v>70</v>
      </c>
      <c r="AM8" s="129">
        <v>70</v>
      </c>
      <c r="AN8" s="129">
        <v>70</v>
      </c>
      <c r="AO8" s="129">
        <v>70</v>
      </c>
      <c r="AP8" s="129">
        <v>70</v>
      </c>
      <c r="AQ8" s="168"/>
      <c r="AR8" s="165"/>
      <c r="AS8" s="165"/>
    </row>
    <row r="9" spans="1:45" x14ac:dyDescent="0.35">
      <c r="B9" s="170" t="s">
        <v>19</v>
      </c>
      <c r="C9" s="80" t="e">
        <f>+(C6*F2/1000)*1.01*50%</f>
        <v>#REF!</v>
      </c>
      <c r="D9" s="80" t="e">
        <f>+(D6*$F$2/1000)*1.01*75%</f>
        <v>#REF!</v>
      </c>
      <c r="E9" s="80" t="e">
        <f>+(E6*$F$2/1000)*1.01</f>
        <v>#REF!</v>
      </c>
      <c r="F9" s="80" t="e">
        <f>+(F6*$F$2/1000)*1.01*50%</f>
        <v>#REF!</v>
      </c>
      <c r="G9" s="80" t="e">
        <f>+(G6*F2/1000)*1.01</f>
        <v>#REF!</v>
      </c>
      <c r="H9" s="80" t="e">
        <f>+(H6*$F$2/1000)*1.01*75%</f>
        <v>#REF!</v>
      </c>
      <c r="I9" s="80" t="e">
        <f>+(I6*$F$2/1000)*1.01*50%</f>
        <v>#REF!</v>
      </c>
      <c r="J9" s="80"/>
      <c r="L9" s="170" t="s">
        <v>19</v>
      </c>
      <c r="M9" s="80" t="e">
        <f>+(M6*F2/1000)*1.005*75%</f>
        <v>#REF!</v>
      </c>
      <c r="N9" s="80" t="e">
        <f>+(N6*F2/1000)*1.005</f>
        <v>#REF!</v>
      </c>
      <c r="O9" s="80" t="e">
        <f>+(O6*F2/1000)*1.005*75%</f>
        <v>#REF!</v>
      </c>
      <c r="Q9" s="102"/>
      <c r="R9" s="104">
        <f>SUM(R6:R8)</f>
        <v>1028.22</v>
      </c>
      <c r="S9" s="104">
        <f>SUM(S6:S8)</f>
        <v>1049.0900000000001</v>
      </c>
      <c r="T9" s="104">
        <f>SUM(T6:T8)</f>
        <v>1096.3399999999999</v>
      </c>
      <c r="U9" s="104">
        <f>SUM(U6:U8)</f>
        <v>1083.75</v>
      </c>
      <c r="V9" s="104">
        <f t="shared" ref="V9:AP9" si="0">SUM(V6:V8)</f>
        <v>1105.5</v>
      </c>
      <c r="W9" s="104">
        <f t="shared" si="0"/>
        <v>1135.5999999999999</v>
      </c>
      <c r="X9" s="104">
        <f t="shared" si="0"/>
        <v>1193.75</v>
      </c>
      <c r="Y9" s="104">
        <f t="shared" si="0"/>
        <v>1238.75</v>
      </c>
      <c r="Z9" s="104">
        <f t="shared" si="0"/>
        <v>1257</v>
      </c>
      <c r="AA9" s="104">
        <f t="shared" si="0"/>
        <v>1311.25</v>
      </c>
      <c r="AB9" s="104">
        <f t="shared" si="0"/>
        <v>1420</v>
      </c>
      <c r="AC9" s="104">
        <f t="shared" si="0"/>
        <v>1383.1397260273973</v>
      </c>
      <c r="AD9" s="104">
        <f t="shared" si="0"/>
        <v>1382.5036791020548</v>
      </c>
      <c r="AE9" s="104">
        <f t="shared" si="0"/>
        <v>1378.5232191780822</v>
      </c>
      <c r="AF9" s="104" t="e">
        <f t="shared" si="0"/>
        <v>#REF!</v>
      </c>
      <c r="AG9" s="104" t="e">
        <f t="shared" si="0"/>
        <v>#REF!</v>
      </c>
      <c r="AH9" s="104" t="e">
        <f t="shared" si="0"/>
        <v>#REF!</v>
      </c>
      <c r="AI9" s="104" t="e">
        <f t="shared" si="0"/>
        <v>#REF!</v>
      </c>
      <c r="AJ9" s="104" t="e">
        <f t="shared" si="0"/>
        <v>#REF!</v>
      </c>
      <c r="AK9" s="104" t="e">
        <f t="shared" si="0"/>
        <v>#REF!</v>
      </c>
      <c r="AL9" s="104" t="e">
        <f t="shared" si="0"/>
        <v>#REF!</v>
      </c>
      <c r="AM9" s="104" t="e">
        <f t="shared" si="0"/>
        <v>#REF!</v>
      </c>
      <c r="AN9" s="104" t="e">
        <f t="shared" si="0"/>
        <v>#REF!</v>
      </c>
      <c r="AO9" s="104" t="e">
        <f t="shared" si="0"/>
        <v>#REF!</v>
      </c>
      <c r="AP9" s="104" t="e">
        <f t="shared" si="0"/>
        <v>#REF!</v>
      </c>
      <c r="AQ9" s="79"/>
      <c r="AR9" s="80"/>
      <c r="AS9" s="80"/>
    </row>
    <row r="10" spans="1:45" x14ac:dyDescent="0.35">
      <c r="B10" s="172" t="s">
        <v>23</v>
      </c>
      <c r="C10" s="76" t="e">
        <f>+(C6*$F$3/1000)*1.01*50%</f>
        <v>#REF!</v>
      </c>
      <c r="D10" s="76" t="e">
        <f>+(D6*$F$3/1000)*1.01*25%</f>
        <v>#REF!</v>
      </c>
      <c r="E10" s="76">
        <v>0</v>
      </c>
      <c r="F10" s="76" t="e">
        <f>+(F6*$F$3/1000)*1.01*50%</f>
        <v>#REF!</v>
      </c>
      <c r="G10" s="76">
        <v>0</v>
      </c>
      <c r="H10" s="76" t="e">
        <f>+(H6*$F$3/1000)*1.01*25%</f>
        <v>#REF!</v>
      </c>
      <c r="I10" s="76" t="e">
        <f>+(I6*$F$3/1000)*1.01*50%</f>
        <v>#REF!</v>
      </c>
      <c r="J10" s="76"/>
      <c r="K10" s="121"/>
      <c r="L10" s="172" t="s">
        <v>23</v>
      </c>
      <c r="M10" s="76" t="e">
        <f>+(M6*F3/1000)*1.005*25%</f>
        <v>#REF!</v>
      </c>
      <c r="N10" s="76">
        <v>0</v>
      </c>
      <c r="O10" s="76" t="e">
        <f>+(O6*F3/1000)*1.005*25%</f>
        <v>#REF!</v>
      </c>
      <c r="Q10" s="106" t="s">
        <v>27</v>
      </c>
      <c r="R10" s="108">
        <f>+R9*4%</f>
        <v>41.128800000000005</v>
      </c>
      <c r="S10" s="104">
        <f>+S9*4%</f>
        <v>41.963600000000007</v>
      </c>
      <c r="T10" s="108">
        <f>+T9*4%</f>
        <v>43.8536</v>
      </c>
      <c r="U10" s="108">
        <f>+U9*4%</f>
        <v>43.35</v>
      </c>
      <c r="V10" s="108">
        <f t="shared" ref="V10:AP10" si="1">+V9*4%</f>
        <v>44.22</v>
      </c>
      <c r="W10" s="108">
        <f t="shared" si="1"/>
        <v>45.423999999999999</v>
      </c>
      <c r="X10" s="108">
        <f t="shared" si="1"/>
        <v>47.75</v>
      </c>
      <c r="Y10" s="108">
        <f t="shared" si="1"/>
        <v>49.550000000000004</v>
      </c>
      <c r="Z10" s="108">
        <f t="shared" si="1"/>
        <v>50.28</v>
      </c>
      <c r="AA10" s="108">
        <f t="shared" si="1"/>
        <v>52.45</v>
      </c>
      <c r="AB10" s="108">
        <f t="shared" si="1"/>
        <v>56.800000000000004</v>
      </c>
      <c r="AC10" s="108">
        <f t="shared" si="1"/>
        <v>55.325589041095895</v>
      </c>
      <c r="AD10" s="108">
        <f t="shared" si="1"/>
        <v>55.30014716408219</v>
      </c>
      <c r="AE10" s="108">
        <f t="shared" si="1"/>
        <v>55.140928767123285</v>
      </c>
      <c r="AF10" s="108" t="e">
        <f t="shared" si="1"/>
        <v>#REF!</v>
      </c>
      <c r="AG10" s="108" t="e">
        <f t="shared" si="1"/>
        <v>#REF!</v>
      </c>
      <c r="AH10" s="108" t="e">
        <f t="shared" si="1"/>
        <v>#REF!</v>
      </c>
      <c r="AI10" s="108" t="e">
        <f t="shared" si="1"/>
        <v>#REF!</v>
      </c>
      <c r="AJ10" s="108" t="e">
        <f t="shared" si="1"/>
        <v>#REF!</v>
      </c>
      <c r="AK10" s="108" t="e">
        <f t="shared" si="1"/>
        <v>#REF!</v>
      </c>
      <c r="AL10" s="108" t="e">
        <f t="shared" si="1"/>
        <v>#REF!</v>
      </c>
      <c r="AM10" s="108" t="e">
        <f t="shared" si="1"/>
        <v>#REF!</v>
      </c>
      <c r="AN10" s="108" t="e">
        <f t="shared" si="1"/>
        <v>#REF!</v>
      </c>
      <c r="AO10" s="108" t="e">
        <f t="shared" si="1"/>
        <v>#REF!</v>
      </c>
      <c r="AP10" s="108" t="e">
        <f t="shared" si="1"/>
        <v>#REF!</v>
      </c>
      <c r="AQ10" s="79"/>
      <c r="AR10" s="80"/>
      <c r="AS10" s="80"/>
    </row>
    <row r="11" spans="1:45" x14ac:dyDescent="0.35">
      <c r="B11" s="169" t="s">
        <v>95</v>
      </c>
      <c r="C11" s="84" t="e">
        <f>SUM(C9:C10)</f>
        <v>#REF!</v>
      </c>
      <c r="D11" s="84" t="e">
        <f t="shared" ref="D11:J11" si="2">SUM(D9:D10)</f>
        <v>#REF!</v>
      </c>
      <c r="E11" s="84" t="e">
        <f t="shared" si="2"/>
        <v>#REF!</v>
      </c>
      <c r="F11" s="84" t="e">
        <f t="shared" si="2"/>
        <v>#REF!</v>
      </c>
      <c r="G11" s="84" t="e">
        <f t="shared" si="2"/>
        <v>#REF!</v>
      </c>
      <c r="H11" s="84" t="e">
        <f t="shared" si="2"/>
        <v>#REF!</v>
      </c>
      <c r="I11" s="84" t="e">
        <f t="shared" si="2"/>
        <v>#REF!</v>
      </c>
      <c r="J11" s="80">
        <f t="shared" si="2"/>
        <v>0</v>
      </c>
      <c r="K11" s="80"/>
      <c r="L11" s="169" t="s">
        <v>95</v>
      </c>
      <c r="M11" s="84" t="e">
        <f t="shared" ref="M11:O11" si="3">SUM(M9:M10)</f>
        <v>#REF!</v>
      </c>
      <c r="N11" s="84" t="e">
        <f t="shared" si="3"/>
        <v>#REF!</v>
      </c>
      <c r="O11" s="84" t="e">
        <f t="shared" si="3"/>
        <v>#REF!</v>
      </c>
      <c r="Q11" s="157" t="s">
        <v>30</v>
      </c>
      <c r="R11" s="158">
        <f>+R10+R9</f>
        <v>1069.3488</v>
      </c>
      <c r="S11" s="159">
        <f>+S10+S9</f>
        <v>1091.0536000000002</v>
      </c>
      <c r="T11" s="158">
        <f>+T10+T9</f>
        <v>1140.1935999999998</v>
      </c>
      <c r="U11" s="158">
        <f>+U10+U9</f>
        <v>1127.0999999999999</v>
      </c>
      <c r="V11" s="158">
        <f t="shared" ref="V11:AP11" si="4">+V10+V9</f>
        <v>1149.72</v>
      </c>
      <c r="W11" s="158">
        <f t="shared" si="4"/>
        <v>1181.0239999999999</v>
      </c>
      <c r="X11" s="158">
        <f t="shared" si="4"/>
        <v>1241.5</v>
      </c>
      <c r="Y11" s="158">
        <f t="shared" si="4"/>
        <v>1288.3</v>
      </c>
      <c r="Z11" s="158">
        <f t="shared" si="4"/>
        <v>1307.28</v>
      </c>
      <c r="AA11" s="158">
        <f t="shared" si="4"/>
        <v>1363.7</v>
      </c>
      <c r="AB11" s="158">
        <f t="shared" si="4"/>
        <v>1476.8</v>
      </c>
      <c r="AC11" s="158">
        <f t="shared" si="4"/>
        <v>1438.4653150684931</v>
      </c>
      <c r="AD11" s="158">
        <f t="shared" si="4"/>
        <v>1437.8038262661369</v>
      </c>
      <c r="AE11" s="158">
        <f t="shared" si="4"/>
        <v>1433.6641479452055</v>
      </c>
      <c r="AF11" s="158" t="e">
        <f t="shared" si="4"/>
        <v>#REF!</v>
      </c>
      <c r="AG11" s="158" t="e">
        <f t="shared" si="4"/>
        <v>#REF!</v>
      </c>
      <c r="AH11" s="158" t="e">
        <f t="shared" si="4"/>
        <v>#REF!</v>
      </c>
      <c r="AI11" s="158" t="e">
        <f t="shared" si="4"/>
        <v>#REF!</v>
      </c>
      <c r="AJ11" s="158" t="e">
        <f t="shared" si="4"/>
        <v>#REF!</v>
      </c>
      <c r="AK11" s="158" t="e">
        <f t="shared" si="4"/>
        <v>#REF!</v>
      </c>
      <c r="AL11" s="158" t="e">
        <f t="shared" si="4"/>
        <v>#REF!</v>
      </c>
      <c r="AM11" s="158" t="e">
        <f t="shared" si="4"/>
        <v>#REF!</v>
      </c>
      <c r="AN11" s="158" t="e">
        <f t="shared" si="4"/>
        <v>#REF!</v>
      </c>
      <c r="AO11" s="158" t="e">
        <f t="shared" si="4"/>
        <v>#REF!</v>
      </c>
      <c r="AP11" s="158" t="e">
        <f t="shared" si="4"/>
        <v>#REF!</v>
      </c>
      <c r="AQ11" s="79"/>
      <c r="AR11" s="80"/>
      <c r="AS11" s="80"/>
    </row>
    <row r="12" spans="1:45" x14ac:dyDescent="0.35">
      <c r="B12" s="170" t="s">
        <v>26</v>
      </c>
      <c r="C12" s="80">
        <f>8.2+0.03</f>
        <v>8.2299999999999986</v>
      </c>
      <c r="D12" s="80">
        <v>8.2299999999999986</v>
      </c>
      <c r="E12" s="80">
        <f>8.2+0.03</f>
        <v>8.2299999999999986</v>
      </c>
      <c r="F12" s="80">
        <f>8.2+0.03</f>
        <v>8.2299999999999986</v>
      </c>
      <c r="G12" s="80">
        <v>11.200000000000001</v>
      </c>
      <c r="H12" s="80">
        <v>11.200000000000001</v>
      </c>
      <c r="I12" s="80">
        <f>11.15+0.05</f>
        <v>11.200000000000001</v>
      </c>
      <c r="J12" s="80"/>
      <c r="L12" s="170" t="s">
        <v>26</v>
      </c>
      <c r="M12" s="80">
        <f>27.2+0.11</f>
        <v>27.31</v>
      </c>
      <c r="N12" s="80">
        <f>27.2+0.12</f>
        <v>27.32</v>
      </c>
      <c r="O12" s="80">
        <f>27.2+0.12</f>
        <v>27.32</v>
      </c>
      <c r="Q12" s="160" t="s">
        <v>32</v>
      </c>
      <c r="R12" s="161">
        <f>+R11*(1-5%)</f>
        <v>1015.88136</v>
      </c>
      <c r="S12" s="161">
        <f t="shared" ref="S12:AM12" si="5">+S11*(1-5%)</f>
        <v>1036.5009200000002</v>
      </c>
      <c r="T12" s="161">
        <f t="shared" si="5"/>
        <v>1083.1839199999997</v>
      </c>
      <c r="U12" s="161">
        <f t="shared" si="5"/>
        <v>1070.7449999999999</v>
      </c>
      <c r="V12" s="161">
        <f t="shared" si="5"/>
        <v>1092.2339999999999</v>
      </c>
      <c r="W12" s="161">
        <f t="shared" si="5"/>
        <v>1121.9727999999998</v>
      </c>
      <c r="X12" s="161">
        <f t="shared" si="5"/>
        <v>1179.425</v>
      </c>
      <c r="Y12" s="161">
        <f t="shared" si="5"/>
        <v>1223.885</v>
      </c>
      <c r="Z12" s="161">
        <f t="shared" si="5"/>
        <v>1241.9159999999999</v>
      </c>
      <c r="AA12" s="161">
        <f t="shared" si="5"/>
        <v>1295.5149999999999</v>
      </c>
      <c r="AB12" s="161">
        <f t="shared" si="5"/>
        <v>1402.9599999999998</v>
      </c>
      <c r="AC12" s="161">
        <f t="shared" si="5"/>
        <v>1366.5420493150684</v>
      </c>
      <c r="AD12" s="161">
        <f t="shared" si="5"/>
        <v>1365.9136349528299</v>
      </c>
      <c r="AE12" s="161">
        <f t="shared" si="5"/>
        <v>1361.9809405479452</v>
      </c>
      <c r="AF12" s="161" t="e">
        <f t="shared" si="5"/>
        <v>#REF!</v>
      </c>
      <c r="AG12" s="161" t="e">
        <f t="shared" si="5"/>
        <v>#REF!</v>
      </c>
      <c r="AH12" s="161" t="e">
        <f t="shared" si="5"/>
        <v>#REF!</v>
      </c>
      <c r="AI12" s="161" t="e">
        <f t="shared" si="5"/>
        <v>#REF!</v>
      </c>
      <c r="AJ12" s="161" t="e">
        <f t="shared" si="5"/>
        <v>#REF!</v>
      </c>
      <c r="AK12" s="161" t="e">
        <f t="shared" si="5"/>
        <v>#REF!</v>
      </c>
      <c r="AL12" s="161" t="e">
        <f t="shared" si="5"/>
        <v>#REF!</v>
      </c>
      <c r="AM12" s="161" t="e">
        <f t="shared" si="5"/>
        <v>#REF!</v>
      </c>
      <c r="AN12" s="161">
        <v>1267</v>
      </c>
      <c r="AO12" s="161" t="e">
        <f t="shared" ref="AO12:AP12" si="6">+AO11*(1-5%)</f>
        <v>#REF!</v>
      </c>
      <c r="AP12" s="161" t="e">
        <f t="shared" si="6"/>
        <v>#REF!</v>
      </c>
      <c r="AQ12" s="182">
        <v>1267</v>
      </c>
      <c r="AR12" s="81" t="s">
        <v>105</v>
      </c>
      <c r="AS12" s="80"/>
    </row>
    <row r="13" spans="1:45" x14ac:dyDescent="0.35">
      <c r="B13" s="170" t="s">
        <v>31</v>
      </c>
      <c r="C13" s="80">
        <v>1.5</v>
      </c>
      <c r="D13" s="80">
        <v>1.5</v>
      </c>
      <c r="E13" s="80">
        <v>1.83</v>
      </c>
      <c r="F13" s="80">
        <v>1.83</v>
      </c>
      <c r="G13" s="80">
        <v>3.45</v>
      </c>
      <c r="H13" s="80">
        <v>3.45</v>
      </c>
      <c r="I13" s="80">
        <v>3.45</v>
      </c>
      <c r="J13" s="80"/>
      <c r="L13" s="170" t="s">
        <v>31</v>
      </c>
      <c r="M13" s="80">
        <v>0.9</v>
      </c>
      <c r="N13" s="80">
        <v>2.1800000000000002</v>
      </c>
      <c r="O13" s="80">
        <v>2.1800000000000002</v>
      </c>
      <c r="Q13" s="128" t="s">
        <v>100</v>
      </c>
      <c r="R13" s="128" t="s">
        <v>18</v>
      </c>
      <c r="S13" s="128" t="s">
        <v>18</v>
      </c>
      <c r="T13" s="128" t="s">
        <v>18</v>
      </c>
      <c r="U13" s="128" t="s">
        <v>18</v>
      </c>
      <c r="V13" s="128" t="s">
        <v>18</v>
      </c>
      <c r="W13" s="128" t="s">
        <v>18</v>
      </c>
      <c r="X13" s="128" t="s">
        <v>18</v>
      </c>
      <c r="Y13" s="128" t="s">
        <v>18</v>
      </c>
      <c r="Z13" s="128" t="s">
        <v>18</v>
      </c>
      <c r="AA13" s="128" t="s">
        <v>18</v>
      </c>
      <c r="AB13" s="128" t="s">
        <v>18</v>
      </c>
      <c r="AC13" s="128" t="s">
        <v>18</v>
      </c>
      <c r="AD13" s="128" t="s">
        <v>18</v>
      </c>
      <c r="AE13" s="128" t="s">
        <v>18</v>
      </c>
      <c r="AF13" s="128" t="s">
        <v>18</v>
      </c>
      <c r="AG13" s="128" t="s">
        <v>18</v>
      </c>
      <c r="AH13" s="128" t="s">
        <v>18</v>
      </c>
      <c r="AI13" s="128" t="s">
        <v>18</v>
      </c>
      <c r="AJ13" s="129">
        <v>0</v>
      </c>
      <c r="AK13" s="129">
        <f>+AS13</f>
        <v>0</v>
      </c>
      <c r="AL13" s="129">
        <v>15.097681007201158</v>
      </c>
      <c r="AM13" s="129">
        <v>15.162458159293488</v>
      </c>
      <c r="AN13" s="129">
        <f>((((AN12*4.5%)/365)*210))*50%</f>
        <v>16.401575342465755</v>
      </c>
      <c r="AO13" s="129" t="e">
        <f>((((AO12*4.5%)/365)*210))*50%</f>
        <v>#REF!</v>
      </c>
      <c r="AP13" s="129" t="e">
        <f>((((AP12*4.5%)/365)*210))*50%</f>
        <v>#REF!</v>
      </c>
      <c r="AQ13" s="182" t="e">
        <f>+AP14-AQ12</f>
        <v>#REF!</v>
      </c>
      <c r="AR13" s="81" t="s">
        <v>106</v>
      </c>
      <c r="AS13" s="91"/>
    </row>
    <row r="14" spans="1:45" x14ac:dyDescent="0.35">
      <c r="B14" s="170" t="s">
        <v>34</v>
      </c>
      <c r="C14" s="80">
        <v>0.19</v>
      </c>
      <c r="D14" s="80">
        <v>0.19</v>
      </c>
      <c r="E14" s="80">
        <v>0.19</v>
      </c>
      <c r="F14" s="80">
        <v>0.19</v>
      </c>
      <c r="G14" s="80">
        <v>0.33</v>
      </c>
      <c r="H14" s="80">
        <v>0.33</v>
      </c>
      <c r="I14" s="80">
        <v>0.33</v>
      </c>
      <c r="J14" s="80"/>
      <c r="L14" s="170" t="s">
        <v>34</v>
      </c>
      <c r="M14" s="80">
        <v>4.3</v>
      </c>
      <c r="N14" s="80">
        <v>4.3</v>
      </c>
      <c r="O14" s="80">
        <v>4.3</v>
      </c>
      <c r="Q14" s="179" t="s">
        <v>101</v>
      </c>
      <c r="R14" s="179"/>
      <c r="S14" s="179"/>
      <c r="T14" s="179"/>
      <c r="U14" s="179"/>
      <c r="V14" s="179"/>
      <c r="W14" s="179"/>
      <c r="X14" s="179"/>
      <c r="Y14" s="179"/>
      <c r="Z14" s="179"/>
      <c r="AA14" s="179"/>
      <c r="AB14" s="179"/>
      <c r="AC14" s="179"/>
      <c r="AD14" s="179"/>
      <c r="AE14" s="179"/>
      <c r="AF14" s="179"/>
      <c r="AG14" s="179"/>
      <c r="AH14" s="179"/>
      <c r="AI14" s="179"/>
      <c r="AJ14" s="180"/>
      <c r="AK14" s="180" t="e">
        <f t="shared" ref="AK14:AP14" si="7">+AK12+AK13</f>
        <v>#REF!</v>
      </c>
      <c r="AL14" s="180" t="e">
        <f t="shared" si="7"/>
        <v>#REF!</v>
      </c>
      <c r="AM14" s="180" t="e">
        <f t="shared" si="7"/>
        <v>#REF!</v>
      </c>
      <c r="AN14" s="180">
        <f t="shared" si="7"/>
        <v>1283.4015753424658</v>
      </c>
      <c r="AO14" s="180" t="e">
        <f t="shared" si="7"/>
        <v>#REF!</v>
      </c>
      <c r="AP14" s="180" t="e">
        <f t="shared" si="7"/>
        <v>#REF!</v>
      </c>
      <c r="AQ14" s="85"/>
      <c r="AR14" s="91"/>
      <c r="AS14" s="80"/>
    </row>
    <row r="15" spans="1:45" x14ac:dyDescent="0.35">
      <c r="A15" s="81" t="s">
        <v>38</v>
      </c>
      <c r="B15" s="170" t="s">
        <v>36</v>
      </c>
      <c r="C15" s="80">
        <v>0.16</v>
      </c>
      <c r="D15" s="80">
        <v>0.16</v>
      </c>
      <c r="E15" s="80">
        <v>0.16</v>
      </c>
      <c r="F15" s="80">
        <v>0.16</v>
      </c>
      <c r="G15" s="80">
        <v>0.28000000000000003</v>
      </c>
      <c r="H15" s="80">
        <v>0.28000000000000003</v>
      </c>
      <c r="I15" s="80">
        <v>0.28000000000000003</v>
      </c>
      <c r="J15" s="80"/>
      <c r="L15" s="170" t="s">
        <v>36</v>
      </c>
      <c r="M15" s="80">
        <v>8.36</v>
      </c>
      <c r="N15" s="80">
        <v>8.36</v>
      </c>
      <c r="O15" s="80">
        <v>8.36</v>
      </c>
      <c r="Q15" s="157" t="s">
        <v>96</v>
      </c>
      <c r="R15" s="158">
        <f t="shared" ref="R15:AH15" si="8">+R11*75%+R12*25%</f>
        <v>1055.9819400000001</v>
      </c>
      <c r="S15" s="158">
        <f t="shared" si="8"/>
        <v>1077.4154300000002</v>
      </c>
      <c r="T15" s="158">
        <f t="shared" si="8"/>
        <v>1125.9411799999998</v>
      </c>
      <c r="U15" s="158">
        <f t="shared" si="8"/>
        <v>1113.01125</v>
      </c>
      <c r="V15" s="158">
        <f t="shared" si="8"/>
        <v>1135.3485000000001</v>
      </c>
      <c r="W15" s="158">
        <f t="shared" si="8"/>
        <v>1166.2611999999999</v>
      </c>
      <c r="X15" s="158">
        <f t="shared" si="8"/>
        <v>1225.98125</v>
      </c>
      <c r="Y15" s="158">
        <f t="shared" si="8"/>
        <v>1272.19625</v>
      </c>
      <c r="Z15" s="158">
        <f t="shared" si="8"/>
        <v>1290.9390000000001</v>
      </c>
      <c r="AA15" s="158">
        <f t="shared" si="8"/>
        <v>1346.6537499999999</v>
      </c>
      <c r="AB15" s="158">
        <f t="shared" si="8"/>
        <v>1458.34</v>
      </c>
      <c r="AC15" s="158">
        <f t="shared" si="8"/>
        <v>1420.4844986301368</v>
      </c>
      <c r="AD15" s="158">
        <f t="shared" si="8"/>
        <v>1419.8312784378102</v>
      </c>
      <c r="AE15" s="158">
        <f t="shared" si="8"/>
        <v>1415.7433460958905</v>
      </c>
      <c r="AF15" s="158" t="e">
        <f t="shared" si="8"/>
        <v>#REF!</v>
      </c>
      <c r="AG15" s="158" t="e">
        <f t="shared" si="8"/>
        <v>#REF!</v>
      </c>
      <c r="AH15" s="158" t="e">
        <f t="shared" si="8"/>
        <v>#REF!</v>
      </c>
      <c r="AI15" s="158" t="e">
        <f>+AI11*50%+AI12*50%</f>
        <v>#REF!</v>
      </c>
      <c r="AJ15" s="158" t="e">
        <f>+AJ11*50%+AJ12*50%</f>
        <v>#REF!</v>
      </c>
      <c r="AK15" s="158" t="e">
        <f t="shared" ref="AK15:AP15" si="9">+AK11*50%+AK14*50%</f>
        <v>#REF!</v>
      </c>
      <c r="AL15" s="158" t="e">
        <f t="shared" si="9"/>
        <v>#REF!</v>
      </c>
      <c r="AM15" s="158" t="e">
        <f t="shared" si="9"/>
        <v>#REF!</v>
      </c>
      <c r="AN15" s="158" t="e">
        <f t="shared" si="9"/>
        <v>#REF!</v>
      </c>
      <c r="AO15" s="158" t="e">
        <f t="shared" si="9"/>
        <v>#REF!</v>
      </c>
      <c r="AP15" s="158" t="e">
        <f t="shared" si="9"/>
        <v>#REF!</v>
      </c>
      <c r="AQ15" s="80"/>
      <c r="AR15" s="80"/>
      <c r="AS15" s="80"/>
    </row>
    <row r="16" spans="1:45" x14ac:dyDescent="0.35">
      <c r="B16" s="169" t="s">
        <v>39</v>
      </c>
      <c r="C16" s="84" t="e">
        <f>+C11+C12+C13+C14+C15</f>
        <v>#REF!</v>
      </c>
      <c r="D16" s="84" t="e">
        <f t="shared" ref="D16:I16" si="10">+D11+D12+D13+D14+D15</f>
        <v>#REF!</v>
      </c>
      <c r="E16" s="84" t="e">
        <f t="shared" si="10"/>
        <v>#REF!</v>
      </c>
      <c r="F16" s="84" t="e">
        <f t="shared" si="10"/>
        <v>#REF!</v>
      </c>
      <c r="G16" s="84" t="e">
        <f t="shared" si="10"/>
        <v>#REF!</v>
      </c>
      <c r="H16" s="84" t="e">
        <f t="shared" si="10"/>
        <v>#REF!</v>
      </c>
      <c r="I16" s="84" t="e">
        <f t="shared" si="10"/>
        <v>#REF!</v>
      </c>
      <c r="J16" s="84"/>
      <c r="L16" s="169" t="s">
        <v>39</v>
      </c>
      <c r="M16" s="84" t="e">
        <f t="shared" ref="M16:N16" si="11">+M11+M12+M13+M14+M15</f>
        <v>#REF!</v>
      </c>
      <c r="N16" s="84" t="e">
        <f t="shared" si="11"/>
        <v>#REF!</v>
      </c>
      <c r="O16" s="84" t="e">
        <f>+O11+O12+O13+O14+O15</f>
        <v>#REF!</v>
      </c>
      <c r="Q16" s="113" t="s">
        <v>37</v>
      </c>
      <c r="R16" s="118">
        <f>+R15*1%</f>
        <v>10.559819400000002</v>
      </c>
      <c r="S16" s="118">
        <f t="shared" ref="S16:AP16" si="12">+S15*1%</f>
        <v>10.774154300000003</v>
      </c>
      <c r="T16" s="118">
        <f t="shared" si="12"/>
        <v>11.259411799999999</v>
      </c>
      <c r="U16" s="118">
        <f t="shared" si="12"/>
        <v>11.130112500000001</v>
      </c>
      <c r="V16" s="118">
        <f t="shared" si="12"/>
        <v>11.353485000000001</v>
      </c>
      <c r="W16" s="118">
        <f t="shared" si="12"/>
        <v>11.662611999999999</v>
      </c>
      <c r="X16" s="118">
        <f t="shared" si="12"/>
        <v>12.259812500000001</v>
      </c>
      <c r="Y16" s="118">
        <f t="shared" si="12"/>
        <v>12.7219625</v>
      </c>
      <c r="Z16" s="118">
        <f t="shared" si="12"/>
        <v>12.909390000000002</v>
      </c>
      <c r="AA16" s="118">
        <f t="shared" si="12"/>
        <v>13.466537499999999</v>
      </c>
      <c r="AB16" s="118">
        <f t="shared" si="12"/>
        <v>14.583399999999999</v>
      </c>
      <c r="AC16" s="118">
        <f t="shared" si="12"/>
        <v>14.204844986301369</v>
      </c>
      <c r="AD16" s="118">
        <f t="shared" si="12"/>
        <v>14.198312784378102</v>
      </c>
      <c r="AE16" s="118">
        <f t="shared" si="12"/>
        <v>14.157433460958906</v>
      </c>
      <c r="AF16" s="118" t="e">
        <f t="shared" si="12"/>
        <v>#REF!</v>
      </c>
      <c r="AG16" s="118" t="e">
        <f t="shared" si="12"/>
        <v>#REF!</v>
      </c>
      <c r="AH16" s="118" t="e">
        <f t="shared" si="12"/>
        <v>#REF!</v>
      </c>
      <c r="AI16" s="118" t="e">
        <f t="shared" si="12"/>
        <v>#REF!</v>
      </c>
      <c r="AJ16" s="118" t="e">
        <f t="shared" si="12"/>
        <v>#REF!</v>
      </c>
      <c r="AK16" s="118" t="e">
        <f t="shared" si="12"/>
        <v>#REF!</v>
      </c>
      <c r="AL16" s="118" t="e">
        <f t="shared" si="12"/>
        <v>#REF!</v>
      </c>
      <c r="AM16" s="118" t="e">
        <f t="shared" si="12"/>
        <v>#REF!</v>
      </c>
      <c r="AN16" s="118" t="e">
        <f t="shared" si="12"/>
        <v>#REF!</v>
      </c>
      <c r="AO16" s="118" t="e">
        <f t="shared" si="12"/>
        <v>#REF!</v>
      </c>
      <c r="AP16" s="118" t="e">
        <f t="shared" si="12"/>
        <v>#REF!</v>
      </c>
      <c r="AQ16" s="79"/>
      <c r="AR16" s="80"/>
      <c r="AS16" s="84"/>
    </row>
    <row r="17" spans="1:47" x14ac:dyDescent="0.35">
      <c r="Q17" s="113" t="s">
        <v>74</v>
      </c>
      <c r="R17" s="115">
        <f>+R16+R15</f>
        <v>1066.5417594</v>
      </c>
      <c r="S17" s="115">
        <f t="shared" ref="S17:AP17" si="13">+S16+S15</f>
        <v>1088.1895843000002</v>
      </c>
      <c r="T17" s="115">
        <f t="shared" si="13"/>
        <v>1137.2005917999998</v>
      </c>
      <c r="U17" s="115">
        <f t="shared" si="13"/>
        <v>1124.1413625</v>
      </c>
      <c r="V17" s="115">
        <f t="shared" si="13"/>
        <v>1146.7019850000001</v>
      </c>
      <c r="W17" s="115">
        <f t="shared" si="13"/>
        <v>1177.923812</v>
      </c>
      <c r="X17" s="115">
        <f t="shared" si="13"/>
        <v>1238.2410625</v>
      </c>
      <c r="Y17" s="115">
        <f t="shared" si="13"/>
        <v>1284.9182125</v>
      </c>
      <c r="Z17" s="115">
        <f t="shared" si="13"/>
        <v>1303.8483900000001</v>
      </c>
      <c r="AA17" s="115">
        <f t="shared" si="13"/>
        <v>1360.1202874999999</v>
      </c>
      <c r="AB17" s="115">
        <f t="shared" si="13"/>
        <v>1472.9233999999999</v>
      </c>
      <c r="AC17" s="115">
        <f t="shared" si="13"/>
        <v>1434.6893436164382</v>
      </c>
      <c r="AD17" s="115">
        <f t="shared" si="13"/>
        <v>1434.0295912221882</v>
      </c>
      <c r="AE17" s="115">
        <f t="shared" si="13"/>
        <v>1429.9007795568493</v>
      </c>
      <c r="AF17" s="115" t="e">
        <f t="shared" si="13"/>
        <v>#REF!</v>
      </c>
      <c r="AG17" s="115" t="e">
        <f t="shared" si="13"/>
        <v>#REF!</v>
      </c>
      <c r="AH17" s="115" t="e">
        <f t="shared" si="13"/>
        <v>#REF!</v>
      </c>
      <c r="AI17" s="115" t="e">
        <f t="shared" si="13"/>
        <v>#REF!</v>
      </c>
      <c r="AJ17" s="115" t="e">
        <f t="shared" si="13"/>
        <v>#REF!</v>
      </c>
      <c r="AK17" s="115" t="e">
        <f t="shared" si="13"/>
        <v>#REF!</v>
      </c>
      <c r="AL17" s="115" t="e">
        <f t="shared" si="13"/>
        <v>#REF!</v>
      </c>
      <c r="AM17" s="115" t="e">
        <f t="shared" si="13"/>
        <v>#REF!</v>
      </c>
      <c r="AN17" s="115" t="e">
        <f t="shared" si="13"/>
        <v>#REF!</v>
      </c>
      <c r="AO17" s="115" t="e">
        <f t="shared" si="13"/>
        <v>#REF!</v>
      </c>
      <c r="AP17" s="115" t="e">
        <f t="shared" si="13"/>
        <v>#REF!</v>
      </c>
      <c r="AQ17" s="181"/>
      <c r="AR17" s="84"/>
      <c r="AS17" s="84"/>
      <c r="AU17" s="182"/>
    </row>
    <row r="18" spans="1:47" x14ac:dyDescent="0.35">
      <c r="B18" s="169"/>
      <c r="C18" s="84"/>
      <c r="D18" s="84"/>
      <c r="E18" s="84"/>
      <c r="F18" s="84"/>
      <c r="G18" s="84"/>
      <c r="H18" s="84"/>
      <c r="I18" s="84"/>
      <c r="J18" s="84"/>
      <c r="K18" s="94"/>
      <c r="M18" s="84"/>
      <c r="N18" s="84"/>
      <c r="O18" s="84"/>
      <c r="Q18" s="85"/>
      <c r="R18" s="120" t="e">
        <f>+#REF!</f>
        <v>#REF!</v>
      </c>
      <c r="S18" s="120" t="e">
        <f>+R18</f>
        <v>#REF!</v>
      </c>
      <c r="T18" s="120" t="e">
        <f>+S18</f>
        <v>#REF!</v>
      </c>
      <c r="U18" s="120" t="e">
        <f>+T18</f>
        <v>#REF!</v>
      </c>
      <c r="V18" s="120" t="e">
        <f t="shared" ref="V18:AG18" si="14">+U18</f>
        <v>#REF!</v>
      </c>
      <c r="W18" s="120" t="e">
        <f t="shared" si="14"/>
        <v>#REF!</v>
      </c>
      <c r="X18" s="120" t="e">
        <f t="shared" si="14"/>
        <v>#REF!</v>
      </c>
      <c r="Y18" s="120" t="e">
        <f t="shared" si="14"/>
        <v>#REF!</v>
      </c>
      <c r="Z18" s="120" t="e">
        <f t="shared" si="14"/>
        <v>#REF!</v>
      </c>
      <c r="AA18" s="120" t="e">
        <f t="shared" si="14"/>
        <v>#REF!</v>
      </c>
      <c r="AB18" s="120" t="e">
        <f t="shared" si="14"/>
        <v>#REF!</v>
      </c>
      <c r="AC18" s="120" t="e">
        <f t="shared" si="14"/>
        <v>#REF!</v>
      </c>
      <c r="AD18" s="120" t="e">
        <f t="shared" si="14"/>
        <v>#REF!</v>
      </c>
      <c r="AE18" s="120" t="e">
        <f t="shared" si="14"/>
        <v>#REF!</v>
      </c>
      <c r="AF18" s="120" t="e">
        <f t="shared" si="14"/>
        <v>#REF!</v>
      </c>
      <c r="AG18" s="120" t="e">
        <f t="shared" si="14"/>
        <v>#REF!</v>
      </c>
      <c r="AH18" s="120"/>
      <c r="AI18" s="120"/>
      <c r="AJ18" s="120"/>
      <c r="AK18" s="120"/>
      <c r="AL18" s="120"/>
      <c r="AM18" s="120"/>
      <c r="AN18" s="120"/>
      <c r="AO18" s="120"/>
      <c r="AP18" s="120"/>
      <c r="AR18" s="84"/>
      <c r="AS18" s="82"/>
    </row>
    <row r="19" spans="1:47" x14ac:dyDescent="0.35">
      <c r="C19" s="132"/>
      <c r="K19" s="94"/>
      <c r="Q19" s="82"/>
      <c r="R19" s="82"/>
      <c r="S19" s="82"/>
      <c r="U19" s="94"/>
      <c r="V19" s="94"/>
      <c r="W19" s="94"/>
      <c r="X19" s="94"/>
      <c r="Y19" s="94"/>
      <c r="Z19" s="94"/>
      <c r="AA19" s="94"/>
      <c r="AB19" s="94"/>
      <c r="AC19" s="94"/>
      <c r="AD19" s="94"/>
      <c r="AE19" s="94"/>
      <c r="AF19" s="94"/>
      <c r="AG19" s="94"/>
      <c r="AH19" s="94"/>
      <c r="AI19" s="94"/>
      <c r="AJ19" s="94"/>
      <c r="AK19" s="94"/>
      <c r="AL19" s="94"/>
      <c r="AM19" s="94"/>
      <c r="AN19" s="94"/>
      <c r="AO19" s="94"/>
      <c r="AP19" s="94"/>
      <c r="AR19" s="82"/>
      <c r="AS19" s="82"/>
    </row>
    <row r="20" spans="1:47" x14ac:dyDescent="0.35">
      <c r="M20" s="86"/>
      <c r="AR20" s="82"/>
    </row>
    <row r="25" spans="1:47" x14ac:dyDescent="0.35">
      <c r="N25" s="123"/>
      <c r="AH25" s="164"/>
    </row>
    <row r="32" spans="1:47" s="82" customFormat="1" x14ac:dyDescent="0.35">
      <c r="A32" s="81"/>
      <c r="B32" s="173" t="s">
        <v>51</v>
      </c>
      <c r="J32" s="81"/>
      <c r="K32" s="81"/>
      <c r="L32" s="173"/>
      <c r="P32" s="81"/>
      <c r="Q32" s="81"/>
      <c r="R32" s="81"/>
      <c r="S32" s="81"/>
      <c r="T32" s="81"/>
      <c r="U32" s="81"/>
      <c r="V32" s="81"/>
      <c r="W32" s="81"/>
      <c r="X32" s="81"/>
      <c r="Y32" s="81"/>
      <c r="Z32" s="81"/>
      <c r="AA32" s="81"/>
      <c r="AB32" s="81"/>
      <c r="AC32" s="81"/>
      <c r="AD32" s="81"/>
      <c r="AE32" s="81"/>
      <c r="AF32" s="81"/>
      <c r="AG32" s="81"/>
      <c r="AH32" s="81"/>
      <c r="AI32" s="81"/>
      <c r="AJ32" s="81"/>
      <c r="AK32" s="81"/>
      <c r="AL32" s="81"/>
      <c r="AM32" s="81"/>
      <c r="AN32" s="81"/>
      <c r="AO32" s="81"/>
      <c r="AP32" s="81"/>
      <c r="AQ32" s="81"/>
      <c r="AR32" s="81"/>
      <c r="AS32" s="81"/>
      <c r="AT32" s="81"/>
      <c r="AU32" s="81"/>
    </row>
  </sheetData>
  <mergeCells count="6">
    <mergeCell ref="Q1:AS1"/>
    <mergeCell ref="B2:D2"/>
    <mergeCell ref="Q2:R2"/>
    <mergeCell ref="AQ2:AR2"/>
    <mergeCell ref="B3:D3"/>
    <mergeCell ref="AQ3:AR3"/>
  </mergeCells>
  <pageMargins left="0.7" right="0.7" top="0.75" bottom="0.75" header="0.3" footer="0.3"/>
  <pageSetup orientation="portrait" r:id="rId1"/>
  <customProperties>
    <customPr name="EpmWorksheetKeyString_GUID" r:id="rId2"/>
  </customProperties>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29"/>
  <dimension ref="A1:AU32"/>
  <sheetViews>
    <sheetView zoomScale="85" zoomScaleNormal="85" workbookViewId="0">
      <selection activeCell="AP5" sqref="AP5"/>
    </sheetView>
  </sheetViews>
  <sheetFormatPr defaultColWidth="11.453125" defaultRowHeight="14.5" x14ac:dyDescent="0.35"/>
  <cols>
    <col min="1" max="1" width="3.453125" style="81" customWidth="1"/>
    <col min="2" max="2" width="14" style="173" customWidth="1"/>
    <col min="3" max="3" width="10.81640625" style="82" customWidth="1"/>
    <col min="4" max="5" width="10.54296875" style="82" hidden="1" customWidth="1"/>
    <col min="6" max="6" width="11" style="82" customWidth="1"/>
    <col min="7" max="7" width="11.1796875" style="82" hidden="1" customWidth="1"/>
    <col min="8" max="8" width="11" style="82" hidden="1" customWidth="1"/>
    <col min="9" max="9" width="11.54296875" style="82" customWidth="1"/>
    <col min="10" max="10" width="8.54296875" style="81" hidden="1" customWidth="1"/>
    <col min="11" max="11" width="2.81640625" style="81" customWidth="1"/>
    <col min="12" max="12" width="13.81640625" style="173" customWidth="1"/>
    <col min="13" max="15" width="10.81640625" style="82" customWidth="1"/>
    <col min="16" max="16" width="2.81640625" style="81" customWidth="1"/>
    <col min="17" max="17" width="28.81640625" style="81" customWidth="1"/>
    <col min="18" max="18" width="16.1796875" style="81" hidden="1" customWidth="1"/>
    <col min="19" max="19" width="17.54296875" style="81" hidden="1" customWidth="1"/>
    <col min="20" max="20" width="14.54296875" style="81" hidden="1" customWidth="1"/>
    <col min="21" max="21" width="16" style="81" hidden="1" customWidth="1"/>
    <col min="22" max="22" width="17.81640625" style="81" hidden="1" customWidth="1"/>
    <col min="23" max="23" width="17.1796875" style="81" hidden="1" customWidth="1"/>
    <col min="24" max="29" width="14.453125" style="81" hidden="1" customWidth="1"/>
    <col min="30" max="30" width="16.453125" style="81" hidden="1" customWidth="1"/>
    <col min="31" max="33" width="14.81640625" style="81" hidden="1" customWidth="1"/>
    <col min="34" max="34" width="16.54296875" style="81" hidden="1" customWidth="1"/>
    <col min="35" max="36" width="17.54296875" style="81" hidden="1" customWidth="1"/>
    <col min="37" max="40" width="15.1796875" style="81" hidden="1" customWidth="1"/>
    <col min="41" max="41" width="13.81640625" style="81" hidden="1" customWidth="1"/>
    <col min="42" max="42" width="13.81640625" style="81" customWidth="1"/>
    <col min="43" max="46" width="11.453125" style="81" customWidth="1"/>
    <col min="47" max="16384" width="11.453125" style="81"/>
  </cols>
  <sheetData>
    <row r="1" spans="1:45" x14ac:dyDescent="0.35">
      <c r="B1" s="122"/>
      <c r="C1" s="86"/>
      <c r="D1" s="86"/>
      <c r="E1" s="86"/>
      <c r="F1" s="87"/>
      <c r="G1" s="87"/>
      <c r="H1" s="87"/>
      <c r="I1" s="87"/>
      <c r="J1" s="87"/>
      <c r="K1" s="87"/>
      <c r="L1" s="122"/>
      <c r="M1" s="87"/>
      <c r="N1" s="87"/>
      <c r="O1" s="87"/>
      <c r="Q1" s="574"/>
      <c r="R1" s="574"/>
      <c r="S1" s="574"/>
      <c r="T1" s="574"/>
      <c r="U1" s="574"/>
      <c r="V1" s="574"/>
      <c r="W1" s="574"/>
      <c r="X1" s="574"/>
      <c r="Y1" s="574"/>
      <c r="Z1" s="574"/>
      <c r="AA1" s="574"/>
      <c r="AB1" s="574"/>
      <c r="AC1" s="574"/>
      <c r="AD1" s="574"/>
      <c r="AE1" s="574"/>
      <c r="AF1" s="574"/>
      <c r="AG1" s="574"/>
      <c r="AH1" s="574"/>
      <c r="AI1" s="574"/>
      <c r="AJ1" s="574"/>
      <c r="AK1" s="574"/>
      <c r="AL1" s="574"/>
      <c r="AM1" s="574"/>
      <c r="AN1" s="574"/>
      <c r="AO1" s="574"/>
      <c r="AP1" s="574"/>
      <c r="AQ1" s="574"/>
      <c r="AR1" s="574"/>
      <c r="AS1" s="574"/>
    </row>
    <row r="2" spans="1:45" s="142" customFormat="1" ht="15" customHeight="1" x14ac:dyDescent="0.35">
      <c r="B2" s="576" t="s">
        <v>66</v>
      </c>
      <c r="C2" s="576"/>
      <c r="D2" s="576"/>
      <c r="F2" s="141" t="e">
        <f>+AP11</f>
        <v>#REF!</v>
      </c>
      <c r="H2" s="141"/>
      <c r="I2" s="141"/>
      <c r="J2" s="143">
        <v>0.05</v>
      </c>
      <c r="K2" s="144"/>
      <c r="L2" s="171"/>
      <c r="M2" s="141"/>
      <c r="N2" s="141"/>
      <c r="O2" s="141"/>
      <c r="Q2" s="576"/>
      <c r="R2" s="576"/>
      <c r="S2" s="141"/>
      <c r="T2" s="143"/>
      <c r="U2" s="144"/>
      <c r="V2" s="144"/>
      <c r="W2" s="144"/>
      <c r="X2" s="144"/>
      <c r="Y2" s="144"/>
      <c r="Z2" s="144"/>
      <c r="AA2" s="144"/>
      <c r="AB2" s="144"/>
      <c r="AC2" s="144"/>
      <c r="AD2" s="144"/>
      <c r="AE2" s="144"/>
      <c r="AF2" s="144"/>
      <c r="AG2" s="144"/>
      <c r="AH2" s="144"/>
      <c r="AI2" s="144"/>
      <c r="AJ2" s="144"/>
      <c r="AK2" s="144"/>
      <c r="AL2" s="144"/>
      <c r="AM2" s="144"/>
      <c r="AN2" s="144"/>
      <c r="AO2" s="144"/>
      <c r="AP2" s="144"/>
      <c r="AQ2" s="576"/>
      <c r="AR2" s="576"/>
      <c r="AS2" s="141"/>
    </row>
    <row r="3" spans="1:45" s="133" customFormat="1" ht="15" customHeight="1" x14ac:dyDescent="0.35">
      <c r="B3" s="576" t="s">
        <v>67</v>
      </c>
      <c r="C3" s="576"/>
      <c r="D3" s="576"/>
      <c r="F3" s="134" t="e">
        <f>+AP14</f>
        <v>#REF!</v>
      </c>
      <c r="G3" s="135"/>
      <c r="H3" s="134"/>
      <c r="I3" s="134"/>
      <c r="J3" s="137" t="e">
        <f>+F2*J2</f>
        <v>#REF!</v>
      </c>
      <c r="K3" s="136"/>
      <c r="L3" s="174"/>
      <c r="M3" s="134"/>
      <c r="N3" s="134"/>
      <c r="O3" s="134"/>
      <c r="Q3" s="138"/>
      <c r="R3" s="139"/>
      <c r="S3" s="140"/>
      <c r="U3" s="136"/>
      <c r="V3" s="136"/>
      <c r="W3" s="136"/>
      <c r="X3" s="136"/>
      <c r="Y3" s="136"/>
      <c r="Z3" s="136"/>
      <c r="AA3" s="136"/>
      <c r="AB3" s="136"/>
      <c r="AC3" s="136"/>
      <c r="AD3" s="136"/>
      <c r="AE3" s="136"/>
      <c r="AF3" s="136"/>
      <c r="AG3" s="136"/>
      <c r="AH3" s="136"/>
      <c r="AI3" s="136"/>
      <c r="AJ3" s="136"/>
      <c r="AK3" s="136"/>
      <c r="AL3" s="136"/>
      <c r="AM3" s="136"/>
      <c r="AN3" s="136"/>
      <c r="AO3" s="136"/>
      <c r="AP3" s="136"/>
      <c r="AQ3" s="577"/>
      <c r="AR3" s="577"/>
      <c r="AS3" s="134"/>
    </row>
    <row r="4" spans="1:45" ht="23.5" hidden="1" x14ac:dyDescent="0.55000000000000004">
      <c r="B4" s="169"/>
      <c r="C4" s="92" t="e">
        <f>+(C9+C10)/C6*1000</f>
        <v>#REF!</v>
      </c>
      <c r="D4" s="92" t="e">
        <f>+(G9+G10)/G6*1000</f>
        <v>#REF!</v>
      </c>
      <c r="E4" s="92" t="e">
        <f>+(E9+E10)/E6*1000</f>
        <v>#REF!</v>
      </c>
      <c r="F4" s="92" t="e">
        <f>+(F9+F10)/F6*1000</f>
        <v>#REF!</v>
      </c>
      <c r="I4" s="92" t="e">
        <f>+(I9+I10)/I6*1000</f>
        <v>#REF!</v>
      </c>
      <c r="K4" s="88"/>
      <c r="L4" s="169"/>
      <c r="M4" s="92"/>
      <c r="N4" s="92"/>
      <c r="O4" s="92"/>
      <c r="Q4" s="93"/>
      <c r="R4" s="82"/>
      <c r="S4" s="90"/>
      <c r="T4" s="94"/>
      <c r="U4" s="88"/>
      <c r="V4" s="88"/>
      <c r="W4" s="88"/>
      <c r="X4" s="88"/>
      <c r="Y4" s="88"/>
      <c r="Z4" s="88"/>
      <c r="AA4" s="88"/>
      <c r="AB4" s="88"/>
      <c r="AC4" s="88"/>
      <c r="AD4" s="88"/>
      <c r="AE4" s="88"/>
      <c r="AF4" s="88"/>
      <c r="AG4" s="88"/>
      <c r="AH4" s="88"/>
      <c r="AI4" s="88"/>
      <c r="AJ4" s="88"/>
      <c r="AK4" s="88"/>
      <c r="AL4" s="88"/>
      <c r="AM4" s="88"/>
      <c r="AN4" s="88"/>
      <c r="AO4" s="88"/>
      <c r="AP4" s="88"/>
      <c r="AQ4" s="91"/>
      <c r="AR4" s="91"/>
      <c r="AS4" s="78"/>
    </row>
    <row r="5" spans="1:45" s="95" customFormat="1" ht="33.75" customHeight="1" x14ac:dyDescent="0.35">
      <c r="B5" s="169" t="s">
        <v>5</v>
      </c>
      <c r="C5" s="85" t="s">
        <v>68</v>
      </c>
      <c r="D5" s="85" t="s">
        <v>69</v>
      </c>
      <c r="E5" s="85" t="s">
        <v>69</v>
      </c>
      <c r="F5" s="85" t="s">
        <v>69</v>
      </c>
      <c r="G5" s="85" t="s">
        <v>70</v>
      </c>
      <c r="H5" s="85" t="s">
        <v>70</v>
      </c>
      <c r="I5" s="85" t="s">
        <v>70</v>
      </c>
      <c r="J5" s="85"/>
      <c r="K5" s="88"/>
      <c r="L5" s="169" t="s">
        <v>71</v>
      </c>
      <c r="M5" s="96" t="s">
        <v>7</v>
      </c>
      <c r="N5" s="96" t="s">
        <v>8</v>
      </c>
      <c r="O5" s="96" t="s">
        <v>8</v>
      </c>
      <c r="Q5" s="147" t="s">
        <v>72</v>
      </c>
      <c r="R5" s="99" t="s">
        <v>54</v>
      </c>
      <c r="S5" s="99" t="s">
        <v>55</v>
      </c>
      <c r="T5" s="99" t="s">
        <v>56</v>
      </c>
      <c r="U5" s="99" t="s">
        <v>12</v>
      </c>
      <c r="V5" s="99" t="s">
        <v>57</v>
      </c>
      <c r="W5" s="99" t="s">
        <v>58</v>
      </c>
      <c r="X5" s="99" t="s">
        <v>59</v>
      </c>
      <c r="Y5" s="99" t="s">
        <v>60</v>
      </c>
      <c r="Z5" s="99" t="s">
        <v>62</v>
      </c>
      <c r="AA5" s="99" t="s">
        <v>64</v>
      </c>
      <c r="AB5" s="99" t="s">
        <v>65</v>
      </c>
      <c r="AC5" s="99" t="s">
        <v>73</v>
      </c>
      <c r="AD5" s="99" t="s">
        <v>53</v>
      </c>
      <c r="AE5" s="99" t="s">
        <v>77</v>
      </c>
      <c r="AF5" s="99" t="s">
        <v>78</v>
      </c>
      <c r="AG5" s="99" t="s">
        <v>79</v>
      </c>
      <c r="AH5" s="99" t="s">
        <v>90</v>
      </c>
      <c r="AI5" s="99" t="s">
        <v>91</v>
      </c>
      <c r="AJ5" s="99" t="s">
        <v>97</v>
      </c>
      <c r="AK5" s="99" t="s">
        <v>98</v>
      </c>
      <c r="AL5" s="99" t="s">
        <v>102</v>
      </c>
      <c r="AM5" s="99" t="s">
        <v>103</v>
      </c>
      <c r="AN5" s="99" t="s">
        <v>104</v>
      </c>
      <c r="AO5" s="99" t="s">
        <v>107</v>
      </c>
      <c r="AP5" s="99" t="s">
        <v>108</v>
      </c>
      <c r="AQ5" s="100"/>
      <c r="AR5" s="97"/>
      <c r="AS5" s="97"/>
    </row>
    <row r="6" spans="1:45" x14ac:dyDescent="0.35">
      <c r="B6" s="169" t="s">
        <v>13</v>
      </c>
      <c r="C6" s="101">
        <v>16.7</v>
      </c>
      <c r="D6" s="101">
        <v>16.7</v>
      </c>
      <c r="E6" s="101">
        <v>20.5</v>
      </c>
      <c r="F6" s="101">
        <v>20.5</v>
      </c>
      <c r="G6" s="101">
        <v>30.6</v>
      </c>
      <c r="H6" s="101">
        <v>30.6</v>
      </c>
      <c r="I6" s="101">
        <v>38.6</v>
      </c>
      <c r="J6" s="101"/>
      <c r="L6" s="169" t="s">
        <v>13</v>
      </c>
      <c r="M6" s="101">
        <v>15</v>
      </c>
      <c r="N6" s="101">
        <v>20.5</v>
      </c>
      <c r="O6" s="101">
        <v>20.5</v>
      </c>
      <c r="Q6" s="102" t="s">
        <v>14</v>
      </c>
      <c r="R6" s="104">
        <v>938.13</v>
      </c>
      <c r="S6" s="105">
        <v>959</v>
      </c>
      <c r="T6" s="104">
        <v>1006.25</v>
      </c>
      <c r="U6" s="130">
        <v>993.75</v>
      </c>
      <c r="V6" s="131">
        <v>1015.5</v>
      </c>
      <c r="W6" s="131">
        <v>1045.5999999999999</v>
      </c>
      <c r="X6" s="43">
        <v>1103.75</v>
      </c>
      <c r="Y6" s="43">
        <v>1148.75</v>
      </c>
      <c r="Z6" s="43">
        <v>1167</v>
      </c>
      <c r="AA6" s="43">
        <v>1221.25</v>
      </c>
      <c r="AB6" s="43">
        <v>1330</v>
      </c>
      <c r="AC6" s="43">
        <f>+'IHS (Mod)'!I5</f>
        <v>1280</v>
      </c>
      <c r="AD6" s="43">
        <f>+'IHS (Mod)'!J5</f>
        <v>1279.380005</v>
      </c>
      <c r="AE6" s="43">
        <v>1275.5</v>
      </c>
      <c r="AF6" s="43" t="e">
        <f>+#REF!</f>
        <v>#REF!</v>
      </c>
      <c r="AG6" s="43" t="e">
        <f>+#REF!</f>
        <v>#REF!</v>
      </c>
      <c r="AH6" s="43" t="e">
        <f>+#REF!</f>
        <v>#REF!</v>
      </c>
      <c r="AI6" s="43" t="e">
        <f>+#REF!</f>
        <v>#REF!</v>
      </c>
      <c r="AJ6" s="43" t="e">
        <f>+#REF!</f>
        <v>#REF!</v>
      </c>
      <c r="AK6" s="43" t="e">
        <f>+#REF!</f>
        <v>#REF!</v>
      </c>
      <c r="AL6" s="43" t="e">
        <f>+#REF!</f>
        <v>#REF!</v>
      </c>
      <c r="AM6" s="43" t="e">
        <f>+#REF!</f>
        <v>#REF!</v>
      </c>
      <c r="AN6" s="43" t="e">
        <f>+#REF!</f>
        <v>#REF!</v>
      </c>
      <c r="AO6" s="43" t="e">
        <f>+#REF!</f>
        <v>#REF!</v>
      </c>
      <c r="AP6" s="43" t="e">
        <f>+#REF!</f>
        <v>#REF!</v>
      </c>
      <c r="AQ6" s="85"/>
      <c r="AR6" s="101"/>
      <c r="AS6" s="101"/>
    </row>
    <row r="7" spans="1:45" x14ac:dyDescent="0.35">
      <c r="B7" s="170" t="s">
        <v>16</v>
      </c>
      <c r="C7" s="91" t="s">
        <v>17</v>
      </c>
      <c r="D7" s="91" t="s">
        <v>17</v>
      </c>
      <c r="E7" s="91" t="s">
        <v>17</v>
      </c>
      <c r="F7" s="91" t="s">
        <v>17</v>
      </c>
      <c r="G7" s="91" t="s">
        <v>17</v>
      </c>
      <c r="H7" s="91" t="s">
        <v>17</v>
      </c>
      <c r="I7" s="91" t="s">
        <v>17</v>
      </c>
      <c r="J7" s="91"/>
      <c r="L7" s="170" t="s">
        <v>16</v>
      </c>
      <c r="M7" s="91" t="s">
        <v>17</v>
      </c>
      <c r="N7" s="91" t="s">
        <v>17</v>
      </c>
      <c r="O7" s="91" t="s">
        <v>17</v>
      </c>
      <c r="Q7" s="128" t="s">
        <v>99</v>
      </c>
      <c r="R7" s="129">
        <v>25.09</v>
      </c>
      <c r="S7" s="129">
        <v>25.09</v>
      </c>
      <c r="T7" s="129">
        <v>25.09</v>
      </c>
      <c r="U7" s="129">
        <v>25</v>
      </c>
      <c r="V7" s="129">
        <v>25</v>
      </c>
      <c r="W7" s="129">
        <v>25</v>
      </c>
      <c r="X7" s="129">
        <v>25</v>
      </c>
      <c r="Y7" s="129">
        <v>25</v>
      </c>
      <c r="Z7" s="129">
        <v>25</v>
      </c>
      <c r="AA7" s="129">
        <v>25</v>
      </c>
      <c r="AB7" s="129">
        <v>25</v>
      </c>
      <c r="AC7" s="129">
        <v>33.139726027397259</v>
      </c>
      <c r="AD7" s="129">
        <f>+Septiembre18!AD8</f>
        <v>33.1236741020548</v>
      </c>
      <c r="AE7" s="129">
        <v>33.023219178082194</v>
      </c>
      <c r="AF7" s="129">
        <v>33.023219178082194</v>
      </c>
      <c r="AG7" s="129">
        <v>32.783732876712328</v>
      </c>
      <c r="AH7" s="129">
        <v>29.126712328767123</v>
      </c>
      <c r="AI7" s="129">
        <v>27.395420677397254</v>
      </c>
      <c r="AJ7" s="129">
        <v>26.796575342465754</v>
      </c>
      <c r="AK7" s="129">
        <v>13.948458904109588</v>
      </c>
      <c r="AL7" s="129">
        <v>14.191181506849315</v>
      </c>
      <c r="AM7" s="129">
        <v>14.255907534246576</v>
      </c>
      <c r="AN7" s="129" t="e">
        <f>((((AN6*4.5%)/365)*210))*50%</f>
        <v>#REF!</v>
      </c>
      <c r="AO7" s="129" t="e">
        <f>((((AO6*4.5%)/365)*210))*50%</f>
        <v>#REF!</v>
      </c>
      <c r="AP7" s="129" t="e">
        <f>((((AP6*4.5%)/365)*210))*50%</f>
        <v>#REF!</v>
      </c>
      <c r="AQ7" s="85"/>
      <c r="AR7" s="91"/>
      <c r="AS7" s="91"/>
    </row>
    <row r="8" spans="1:45" s="95" customFormat="1" ht="29" x14ac:dyDescent="0.35">
      <c r="B8" s="175" t="s">
        <v>92</v>
      </c>
      <c r="C8" s="177" t="s">
        <v>93</v>
      </c>
      <c r="D8" s="177" t="s">
        <v>94</v>
      </c>
      <c r="E8" s="176">
        <v>1</v>
      </c>
      <c r="F8" s="177" t="s">
        <v>93</v>
      </c>
      <c r="G8" s="176">
        <v>1</v>
      </c>
      <c r="H8" s="177" t="s">
        <v>94</v>
      </c>
      <c r="I8" s="177" t="s">
        <v>93</v>
      </c>
      <c r="J8" s="162"/>
      <c r="L8" s="175" t="str">
        <f>+B8</f>
        <v>% Resina (Virgen/PCR)</v>
      </c>
      <c r="M8" s="177" t="s">
        <v>94</v>
      </c>
      <c r="N8" s="176">
        <v>1</v>
      </c>
      <c r="O8" s="177" t="s">
        <v>94</v>
      </c>
      <c r="Q8" s="166" t="s">
        <v>20</v>
      </c>
      <c r="R8" s="129">
        <v>65</v>
      </c>
      <c r="S8" s="167">
        <v>65</v>
      </c>
      <c r="T8" s="129">
        <v>65</v>
      </c>
      <c r="U8" s="129">
        <v>65</v>
      </c>
      <c r="V8" s="129">
        <v>65</v>
      </c>
      <c r="W8" s="129">
        <v>65</v>
      </c>
      <c r="X8" s="129">
        <v>65</v>
      </c>
      <c r="Y8" s="129">
        <v>65</v>
      </c>
      <c r="Z8" s="129">
        <v>65</v>
      </c>
      <c r="AA8" s="129">
        <v>65</v>
      </c>
      <c r="AB8" s="129">
        <v>65</v>
      </c>
      <c r="AC8" s="129">
        <v>70</v>
      </c>
      <c r="AD8" s="129">
        <v>70</v>
      </c>
      <c r="AE8" s="129">
        <v>70</v>
      </c>
      <c r="AF8" s="129">
        <v>70</v>
      </c>
      <c r="AG8" s="129">
        <v>70</v>
      </c>
      <c r="AH8" s="129">
        <v>70</v>
      </c>
      <c r="AI8" s="129">
        <v>70</v>
      </c>
      <c r="AJ8" s="129">
        <v>70</v>
      </c>
      <c r="AK8" s="129">
        <v>70</v>
      </c>
      <c r="AL8" s="129">
        <v>70</v>
      </c>
      <c r="AM8" s="129">
        <v>70</v>
      </c>
      <c r="AN8" s="129">
        <v>70</v>
      </c>
      <c r="AO8" s="129">
        <v>70</v>
      </c>
      <c r="AP8" s="129">
        <v>70</v>
      </c>
      <c r="AQ8" s="168"/>
      <c r="AR8" s="165"/>
      <c r="AS8" s="165"/>
    </row>
    <row r="9" spans="1:45" x14ac:dyDescent="0.35">
      <c r="B9" s="170" t="s">
        <v>19</v>
      </c>
      <c r="C9" s="80" t="e">
        <f>+(C6*F2/1000)*1.01*50%</f>
        <v>#REF!</v>
      </c>
      <c r="D9" s="80" t="e">
        <f>+(D6*$F$2/1000)*1.01*75%</f>
        <v>#REF!</v>
      </c>
      <c r="E9" s="80" t="e">
        <f>+(E6*$F$2/1000)*1.01</f>
        <v>#REF!</v>
      </c>
      <c r="F9" s="80" t="e">
        <f>+(F6*$F$2/1000)*1.01*50%</f>
        <v>#REF!</v>
      </c>
      <c r="G9" s="80" t="e">
        <f>+(G6*F2/1000)*1.01</f>
        <v>#REF!</v>
      </c>
      <c r="H9" s="80" t="e">
        <f>+(H6*$F$2/1000)*1.01*75%</f>
        <v>#REF!</v>
      </c>
      <c r="I9" s="80" t="e">
        <f>+(I6*$F$2/1000)*1.01*50%</f>
        <v>#REF!</v>
      </c>
      <c r="J9" s="80"/>
      <c r="L9" s="170" t="s">
        <v>19</v>
      </c>
      <c r="M9" s="80" t="e">
        <f>+(M6*F2/1000)*1.005*75%</f>
        <v>#REF!</v>
      </c>
      <c r="N9" s="80" t="e">
        <f>+(N6*F2/1000)*1.005</f>
        <v>#REF!</v>
      </c>
      <c r="O9" s="80" t="e">
        <f>+(O6*F2/1000)*1.005*75%</f>
        <v>#REF!</v>
      </c>
      <c r="Q9" s="102"/>
      <c r="R9" s="104">
        <f>SUM(R6:R8)</f>
        <v>1028.22</v>
      </c>
      <c r="S9" s="104">
        <f>SUM(S6:S8)</f>
        <v>1049.0900000000001</v>
      </c>
      <c r="T9" s="104">
        <f>SUM(T6:T8)</f>
        <v>1096.3399999999999</v>
      </c>
      <c r="U9" s="104">
        <f>SUM(U6:U8)</f>
        <v>1083.75</v>
      </c>
      <c r="V9" s="104">
        <f t="shared" ref="V9:AP9" si="0">SUM(V6:V8)</f>
        <v>1105.5</v>
      </c>
      <c r="W9" s="104">
        <f t="shared" si="0"/>
        <v>1135.5999999999999</v>
      </c>
      <c r="X9" s="104">
        <f t="shared" si="0"/>
        <v>1193.75</v>
      </c>
      <c r="Y9" s="104">
        <f t="shared" si="0"/>
        <v>1238.75</v>
      </c>
      <c r="Z9" s="104">
        <f t="shared" si="0"/>
        <v>1257</v>
      </c>
      <c r="AA9" s="104">
        <f t="shared" si="0"/>
        <v>1311.25</v>
      </c>
      <c r="AB9" s="104">
        <f t="shared" si="0"/>
        <v>1420</v>
      </c>
      <c r="AC9" s="104">
        <f t="shared" si="0"/>
        <v>1383.1397260273973</v>
      </c>
      <c r="AD9" s="104">
        <f t="shared" si="0"/>
        <v>1382.5036791020548</v>
      </c>
      <c r="AE9" s="104">
        <f t="shared" si="0"/>
        <v>1378.5232191780822</v>
      </c>
      <c r="AF9" s="104" t="e">
        <f t="shared" si="0"/>
        <v>#REF!</v>
      </c>
      <c r="AG9" s="104" t="e">
        <f t="shared" si="0"/>
        <v>#REF!</v>
      </c>
      <c r="AH9" s="104" t="e">
        <f t="shared" si="0"/>
        <v>#REF!</v>
      </c>
      <c r="AI9" s="104" t="e">
        <f t="shared" si="0"/>
        <v>#REF!</v>
      </c>
      <c r="AJ9" s="104" t="e">
        <f t="shared" si="0"/>
        <v>#REF!</v>
      </c>
      <c r="AK9" s="104" t="e">
        <f t="shared" si="0"/>
        <v>#REF!</v>
      </c>
      <c r="AL9" s="104" t="e">
        <f t="shared" si="0"/>
        <v>#REF!</v>
      </c>
      <c r="AM9" s="104" t="e">
        <f t="shared" si="0"/>
        <v>#REF!</v>
      </c>
      <c r="AN9" s="104" t="e">
        <f t="shared" si="0"/>
        <v>#REF!</v>
      </c>
      <c r="AO9" s="104" t="e">
        <f t="shared" si="0"/>
        <v>#REF!</v>
      </c>
      <c r="AP9" s="104" t="e">
        <f t="shared" si="0"/>
        <v>#REF!</v>
      </c>
      <c r="AQ9" s="79"/>
      <c r="AR9" s="80"/>
      <c r="AS9" s="80"/>
    </row>
    <row r="10" spans="1:45" x14ac:dyDescent="0.35">
      <c r="B10" s="172" t="s">
        <v>23</v>
      </c>
      <c r="C10" s="76" t="e">
        <f>+(C6*$F$3/1000)*1.01*50%</f>
        <v>#REF!</v>
      </c>
      <c r="D10" s="76" t="e">
        <f>+(D6*$F$3/1000)*1.01*25%</f>
        <v>#REF!</v>
      </c>
      <c r="E10" s="76">
        <v>0</v>
      </c>
      <c r="F10" s="76" t="e">
        <f>+(F6*$F$3/1000)*1.01*50%</f>
        <v>#REF!</v>
      </c>
      <c r="G10" s="76">
        <v>0</v>
      </c>
      <c r="H10" s="76" t="e">
        <f>+(H6*$F$3/1000)*1.01*25%</f>
        <v>#REF!</v>
      </c>
      <c r="I10" s="76" t="e">
        <f>+(I6*$F$3/1000)*1.01*50%</f>
        <v>#REF!</v>
      </c>
      <c r="J10" s="76"/>
      <c r="K10" s="121"/>
      <c r="L10" s="172" t="s">
        <v>23</v>
      </c>
      <c r="M10" s="76" t="e">
        <f>+(M6*F3/1000)*1.005*25%</f>
        <v>#REF!</v>
      </c>
      <c r="N10" s="76">
        <v>0</v>
      </c>
      <c r="O10" s="76" t="e">
        <f>+(O6*F3/1000)*1.005*25%</f>
        <v>#REF!</v>
      </c>
      <c r="Q10" s="106" t="s">
        <v>27</v>
      </c>
      <c r="R10" s="108">
        <f>+R9*4%</f>
        <v>41.128800000000005</v>
      </c>
      <c r="S10" s="104">
        <f>+S9*4%</f>
        <v>41.963600000000007</v>
      </c>
      <c r="T10" s="108">
        <f>+T9*4%</f>
        <v>43.8536</v>
      </c>
      <c r="U10" s="108">
        <f>+U9*4%</f>
        <v>43.35</v>
      </c>
      <c r="V10" s="108">
        <f t="shared" ref="V10:AP10" si="1">+V9*4%</f>
        <v>44.22</v>
      </c>
      <c r="W10" s="108">
        <f t="shared" si="1"/>
        <v>45.423999999999999</v>
      </c>
      <c r="X10" s="108">
        <f t="shared" si="1"/>
        <v>47.75</v>
      </c>
      <c r="Y10" s="108">
        <f t="shared" si="1"/>
        <v>49.550000000000004</v>
      </c>
      <c r="Z10" s="108">
        <f t="shared" si="1"/>
        <v>50.28</v>
      </c>
      <c r="AA10" s="108">
        <f t="shared" si="1"/>
        <v>52.45</v>
      </c>
      <c r="AB10" s="108">
        <f t="shared" si="1"/>
        <v>56.800000000000004</v>
      </c>
      <c r="AC10" s="108">
        <f t="shared" si="1"/>
        <v>55.325589041095895</v>
      </c>
      <c r="AD10" s="108">
        <f t="shared" si="1"/>
        <v>55.30014716408219</v>
      </c>
      <c r="AE10" s="108">
        <f t="shared" si="1"/>
        <v>55.140928767123285</v>
      </c>
      <c r="AF10" s="108" t="e">
        <f t="shared" si="1"/>
        <v>#REF!</v>
      </c>
      <c r="AG10" s="108" t="e">
        <f t="shared" si="1"/>
        <v>#REF!</v>
      </c>
      <c r="AH10" s="108" t="e">
        <f t="shared" si="1"/>
        <v>#REF!</v>
      </c>
      <c r="AI10" s="108" t="e">
        <f t="shared" si="1"/>
        <v>#REF!</v>
      </c>
      <c r="AJ10" s="108" t="e">
        <f t="shared" si="1"/>
        <v>#REF!</v>
      </c>
      <c r="AK10" s="108" t="e">
        <f t="shared" si="1"/>
        <v>#REF!</v>
      </c>
      <c r="AL10" s="108" t="e">
        <f t="shared" si="1"/>
        <v>#REF!</v>
      </c>
      <c r="AM10" s="108" t="e">
        <f t="shared" si="1"/>
        <v>#REF!</v>
      </c>
      <c r="AN10" s="108" t="e">
        <f t="shared" si="1"/>
        <v>#REF!</v>
      </c>
      <c r="AO10" s="108" t="e">
        <f t="shared" si="1"/>
        <v>#REF!</v>
      </c>
      <c r="AP10" s="108" t="e">
        <f t="shared" si="1"/>
        <v>#REF!</v>
      </c>
      <c r="AQ10" s="79"/>
      <c r="AR10" s="80"/>
      <c r="AS10" s="80"/>
    </row>
    <row r="11" spans="1:45" x14ac:dyDescent="0.35">
      <c r="B11" s="169" t="s">
        <v>95</v>
      </c>
      <c r="C11" s="84" t="e">
        <f>SUM(C9:C10)</f>
        <v>#REF!</v>
      </c>
      <c r="D11" s="84" t="e">
        <f t="shared" ref="D11:J11" si="2">SUM(D9:D10)</f>
        <v>#REF!</v>
      </c>
      <c r="E11" s="84" t="e">
        <f t="shared" si="2"/>
        <v>#REF!</v>
      </c>
      <c r="F11" s="84" t="e">
        <f t="shared" si="2"/>
        <v>#REF!</v>
      </c>
      <c r="G11" s="84" t="e">
        <f t="shared" si="2"/>
        <v>#REF!</v>
      </c>
      <c r="H11" s="84" t="e">
        <f t="shared" si="2"/>
        <v>#REF!</v>
      </c>
      <c r="I11" s="84" t="e">
        <f t="shared" si="2"/>
        <v>#REF!</v>
      </c>
      <c r="J11" s="80">
        <f t="shared" si="2"/>
        <v>0</v>
      </c>
      <c r="K11" s="80"/>
      <c r="L11" s="169" t="s">
        <v>95</v>
      </c>
      <c r="M11" s="84" t="e">
        <f t="shared" ref="M11:O11" si="3">SUM(M9:M10)</f>
        <v>#REF!</v>
      </c>
      <c r="N11" s="84" t="e">
        <f t="shared" si="3"/>
        <v>#REF!</v>
      </c>
      <c r="O11" s="84" t="e">
        <f t="shared" si="3"/>
        <v>#REF!</v>
      </c>
      <c r="Q11" s="157" t="s">
        <v>30</v>
      </c>
      <c r="R11" s="158">
        <f>+R10+R9</f>
        <v>1069.3488</v>
      </c>
      <c r="S11" s="159">
        <f>+S10+S9</f>
        <v>1091.0536000000002</v>
      </c>
      <c r="T11" s="158">
        <f>+T10+T9</f>
        <v>1140.1935999999998</v>
      </c>
      <c r="U11" s="158">
        <f>+U10+U9</f>
        <v>1127.0999999999999</v>
      </c>
      <c r="V11" s="158">
        <f t="shared" ref="V11:AP11" si="4">+V10+V9</f>
        <v>1149.72</v>
      </c>
      <c r="W11" s="158">
        <f t="shared" si="4"/>
        <v>1181.0239999999999</v>
      </c>
      <c r="X11" s="158">
        <f t="shared" si="4"/>
        <v>1241.5</v>
      </c>
      <c r="Y11" s="158">
        <f t="shared" si="4"/>
        <v>1288.3</v>
      </c>
      <c r="Z11" s="158">
        <f t="shared" si="4"/>
        <v>1307.28</v>
      </c>
      <c r="AA11" s="158">
        <f t="shared" si="4"/>
        <v>1363.7</v>
      </c>
      <c r="AB11" s="158">
        <f t="shared" si="4"/>
        <v>1476.8</v>
      </c>
      <c r="AC11" s="158">
        <f t="shared" si="4"/>
        <v>1438.4653150684931</v>
      </c>
      <c r="AD11" s="158">
        <f t="shared" si="4"/>
        <v>1437.8038262661369</v>
      </c>
      <c r="AE11" s="158">
        <f t="shared" si="4"/>
        <v>1433.6641479452055</v>
      </c>
      <c r="AF11" s="158" t="e">
        <f t="shared" si="4"/>
        <v>#REF!</v>
      </c>
      <c r="AG11" s="158" t="e">
        <f t="shared" si="4"/>
        <v>#REF!</v>
      </c>
      <c r="AH11" s="158" t="e">
        <f t="shared" si="4"/>
        <v>#REF!</v>
      </c>
      <c r="AI11" s="158" t="e">
        <f t="shared" si="4"/>
        <v>#REF!</v>
      </c>
      <c r="AJ11" s="158" t="e">
        <f t="shared" si="4"/>
        <v>#REF!</v>
      </c>
      <c r="AK11" s="158" t="e">
        <f t="shared" si="4"/>
        <v>#REF!</v>
      </c>
      <c r="AL11" s="158" t="e">
        <f t="shared" si="4"/>
        <v>#REF!</v>
      </c>
      <c r="AM11" s="158" t="e">
        <f t="shared" si="4"/>
        <v>#REF!</v>
      </c>
      <c r="AN11" s="158" t="e">
        <f t="shared" si="4"/>
        <v>#REF!</v>
      </c>
      <c r="AO11" s="158" t="e">
        <f t="shared" si="4"/>
        <v>#REF!</v>
      </c>
      <c r="AP11" s="158" t="e">
        <f t="shared" si="4"/>
        <v>#REF!</v>
      </c>
      <c r="AQ11" s="79"/>
      <c r="AR11" s="80"/>
      <c r="AS11" s="80"/>
    </row>
    <row r="12" spans="1:45" x14ac:dyDescent="0.35">
      <c r="B12" s="170" t="s">
        <v>26</v>
      </c>
      <c r="C12" s="80">
        <f>8.2+0.03</f>
        <v>8.2299999999999986</v>
      </c>
      <c r="D12" s="80">
        <v>8.2299999999999986</v>
      </c>
      <c r="E12" s="80">
        <f>8.2+0.03</f>
        <v>8.2299999999999986</v>
      </c>
      <c r="F12" s="80">
        <f>8.2+0.03</f>
        <v>8.2299999999999986</v>
      </c>
      <c r="G12" s="80">
        <v>11.200000000000001</v>
      </c>
      <c r="H12" s="80">
        <v>11.200000000000001</v>
      </c>
      <c r="I12" s="80">
        <f>11.15+0.05</f>
        <v>11.200000000000001</v>
      </c>
      <c r="J12" s="80"/>
      <c r="L12" s="170" t="s">
        <v>26</v>
      </c>
      <c r="M12" s="80">
        <f>27.2+0.11</f>
        <v>27.31</v>
      </c>
      <c r="N12" s="80">
        <f>27.2+0.12</f>
        <v>27.32</v>
      </c>
      <c r="O12" s="80">
        <f>27.2+0.12</f>
        <v>27.32</v>
      </c>
      <c r="Q12" s="160" t="s">
        <v>32</v>
      </c>
      <c r="R12" s="161">
        <f>+R11*(1-5%)</f>
        <v>1015.88136</v>
      </c>
      <c r="S12" s="161">
        <f t="shared" ref="S12:AM12" si="5">+S11*(1-5%)</f>
        <v>1036.5009200000002</v>
      </c>
      <c r="T12" s="161">
        <f t="shared" si="5"/>
        <v>1083.1839199999997</v>
      </c>
      <c r="U12" s="161">
        <f t="shared" si="5"/>
        <v>1070.7449999999999</v>
      </c>
      <c r="V12" s="161">
        <f t="shared" si="5"/>
        <v>1092.2339999999999</v>
      </c>
      <c r="W12" s="161">
        <f t="shared" si="5"/>
        <v>1121.9727999999998</v>
      </c>
      <c r="X12" s="161">
        <f t="shared" si="5"/>
        <v>1179.425</v>
      </c>
      <c r="Y12" s="161">
        <f t="shared" si="5"/>
        <v>1223.885</v>
      </c>
      <c r="Z12" s="161">
        <f t="shared" si="5"/>
        <v>1241.9159999999999</v>
      </c>
      <c r="AA12" s="161">
        <f t="shared" si="5"/>
        <v>1295.5149999999999</v>
      </c>
      <c r="AB12" s="161">
        <f t="shared" si="5"/>
        <v>1402.9599999999998</v>
      </c>
      <c r="AC12" s="161">
        <f t="shared" si="5"/>
        <v>1366.5420493150684</v>
      </c>
      <c r="AD12" s="161">
        <f t="shared" si="5"/>
        <v>1365.9136349528299</v>
      </c>
      <c r="AE12" s="161">
        <f t="shared" si="5"/>
        <v>1361.9809405479452</v>
      </c>
      <c r="AF12" s="161" t="e">
        <f t="shared" si="5"/>
        <v>#REF!</v>
      </c>
      <c r="AG12" s="161" t="e">
        <f t="shared" si="5"/>
        <v>#REF!</v>
      </c>
      <c r="AH12" s="161" t="e">
        <f t="shared" si="5"/>
        <v>#REF!</v>
      </c>
      <c r="AI12" s="161" t="e">
        <f t="shared" si="5"/>
        <v>#REF!</v>
      </c>
      <c r="AJ12" s="161" t="e">
        <f t="shared" si="5"/>
        <v>#REF!</v>
      </c>
      <c r="AK12" s="161" t="e">
        <f t="shared" si="5"/>
        <v>#REF!</v>
      </c>
      <c r="AL12" s="161" t="e">
        <f t="shared" si="5"/>
        <v>#REF!</v>
      </c>
      <c r="AM12" s="161" t="e">
        <f t="shared" si="5"/>
        <v>#REF!</v>
      </c>
      <c r="AN12" s="161">
        <v>1267</v>
      </c>
      <c r="AO12" s="161" t="e">
        <f t="shared" ref="AO12:AP12" si="6">+AO11*(1-5%)</f>
        <v>#REF!</v>
      </c>
      <c r="AP12" s="161" t="e">
        <f t="shared" si="6"/>
        <v>#REF!</v>
      </c>
      <c r="AQ12" s="182">
        <v>1267</v>
      </c>
      <c r="AR12" s="81" t="s">
        <v>105</v>
      </c>
      <c r="AS12" s="80"/>
    </row>
    <row r="13" spans="1:45" x14ac:dyDescent="0.35">
      <c r="B13" s="170" t="s">
        <v>31</v>
      </c>
      <c r="C13" s="80">
        <v>1.5</v>
      </c>
      <c r="D13" s="80">
        <v>1.5</v>
      </c>
      <c r="E13" s="80">
        <v>1.83</v>
      </c>
      <c r="F13" s="80">
        <v>1.83</v>
      </c>
      <c r="G13" s="80">
        <v>3.45</v>
      </c>
      <c r="H13" s="80">
        <v>3.45</v>
      </c>
      <c r="I13" s="80">
        <v>3.45</v>
      </c>
      <c r="J13" s="80"/>
      <c r="L13" s="170" t="s">
        <v>31</v>
      </c>
      <c r="M13" s="80">
        <v>0.9</v>
      </c>
      <c r="N13" s="80">
        <v>2.1800000000000002</v>
      </c>
      <c r="O13" s="80">
        <v>2.1800000000000002</v>
      </c>
      <c r="Q13" s="128" t="s">
        <v>100</v>
      </c>
      <c r="R13" s="128" t="s">
        <v>18</v>
      </c>
      <c r="S13" s="128" t="s">
        <v>18</v>
      </c>
      <c r="T13" s="128" t="s">
        <v>18</v>
      </c>
      <c r="U13" s="128" t="s">
        <v>18</v>
      </c>
      <c r="V13" s="128" t="s">
        <v>18</v>
      </c>
      <c r="W13" s="128" t="s">
        <v>18</v>
      </c>
      <c r="X13" s="128" t="s">
        <v>18</v>
      </c>
      <c r="Y13" s="128" t="s">
        <v>18</v>
      </c>
      <c r="Z13" s="128" t="s">
        <v>18</v>
      </c>
      <c r="AA13" s="128" t="s">
        <v>18</v>
      </c>
      <c r="AB13" s="128" t="s">
        <v>18</v>
      </c>
      <c r="AC13" s="128" t="s">
        <v>18</v>
      </c>
      <c r="AD13" s="128" t="s">
        <v>18</v>
      </c>
      <c r="AE13" s="128" t="s">
        <v>18</v>
      </c>
      <c r="AF13" s="128" t="s">
        <v>18</v>
      </c>
      <c r="AG13" s="128" t="s">
        <v>18</v>
      </c>
      <c r="AH13" s="128" t="s">
        <v>18</v>
      </c>
      <c r="AI13" s="128" t="s">
        <v>18</v>
      </c>
      <c r="AJ13" s="129">
        <v>0</v>
      </c>
      <c r="AK13" s="129">
        <f>+AS13</f>
        <v>0</v>
      </c>
      <c r="AL13" s="129">
        <v>15.097681007201158</v>
      </c>
      <c r="AM13" s="129">
        <v>15.162458159293488</v>
      </c>
      <c r="AN13" s="129">
        <f>((((AN12*4.5%)/365)*210))*50%</f>
        <v>16.401575342465755</v>
      </c>
      <c r="AO13" s="129" t="e">
        <f>((((AO12*4.5%)/365)*210))*50%</f>
        <v>#REF!</v>
      </c>
      <c r="AP13" s="129" t="e">
        <f>((((AP12*4.5%)/365)*210))*50%</f>
        <v>#REF!</v>
      </c>
      <c r="AQ13" s="182" t="e">
        <f>+AP14-AQ12</f>
        <v>#REF!</v>
      </c>
      <c r="AR13" s="81" t="s">
        <v>106</v>
      </c>
      <c r="AS13" s="91"/>
    </row>
    <row r="14" spans="1:45" x14ac:dyDescent="0.35">
      <c r="B14" s="170" t="s">
        <v>34</v>
      </c>
      <c r="C14" s="80">
        <v>0.19</v>
      </c>
      <c r="D14" s="80">
        <v>0.19</v>
      </c>
      <c r="E14" s="80">
        <v>0.19</v>
      </c>
      <c r="F14" s="80">
        <v>0.19</v>
      </c>
      <c r="G14" s="80">
        <v>0.33</v>
      </c>
      <c r="H14" s="80">
        <v>0.33</v>
      </c>
      <c r="I14" s="80">
        <v>0.33</v>
      </c>
      <c r="J14" s="80"/>
      <c r="L14" s="170" t="s">
        <v>34</v>
      </c>
      <c r="M14" s="80">
        <v>4.3</v>
      </c>
      <c r="N14" s="80">
        <v>4.3</v>
      </c>
      <c r="O14" s="80">
        <v>4.3</v>
      </c>
      <c r="Q14" s="179" t="s">
        <v>101</v>
      </c>
      <c r="R14" s="179"/>
      <c r="S14" s="179"/>
      <c r="T14" s="179"/>
      <c r="U14" s="179"/>
      <c r="V14" s="179"/>
      <c r="W14" s="179"/>
      <c r="X14" s="179"/>
      <c r="Y14" s="179"/>
      <c r="Z14" s="179"/>
      <c r="AA14" s="179"/>
      <c r="AB14" s="179"/>
      <c r="AC14" s="179"/>
      <c r="AD14" s="179"/>
      <c r="AE14" s="179"/>
      <c r="AF14" s="179"/>
      <c r="AG14" s="179"/>
      <c r="AH14" s="179"/>
      <c r="AI14" s="179"/>
      <c r="AJ14" s="180"/>
      <c r="AK14" s="180" t="e">
        <f t="shared" ref="AK14:AP14" si="7">+AK12+AK13</f>
        <v>#REF!</v>
      </c>
      <c r="AL14" s="180" t="e">
        <f t="shared" si="7"/>
        <v>#REF!</v>
      </c>
      <c r="AM14" s="180" t="e">
        <f t="shared" si="7"/>
        <v>#REF!</v>
      </c>
      <c r="AN14" s="180">
        <f t="shared" si="7"/>
        <v>1283.4015753424658</v>
      </c>
      <c r="AO14" s="180" t="e">
        <f t="shared" si="7"/>
        <v>#REF!</v>
      </c>
      <c r="AP14" s="180" t="e">
        <f t="shared" si="7"/>
        <v>#REF!</v>
      </c>
      <c r="AQ14" s="85"/>
      <c r="AR14" s="91"/>
      <c r="AS14" s="80"/>
    </row>
    <row r="15" spans="1:45" x14ac:dyDescent="0.35">
      <c r="A15" s="81" t="s">
        <v>38</v>
      </c>
      <c r="B15" s="170" t="s">
        <v>36</v>
      </c>
      <c r="C15" s="80">
        <v>0.16</v>
      </c>
      <c r="D15" s="80">
        <v>0.16</v>
      </c>
      <c r="E15" s="80">
        <v>0.16</v>
      </c>
      <c r="F15" s="80">
        <v>0.16</v>
      </c>
      <c r="G15" s="80">
        <v>0.28000000000000003</v>
      </c>
      <c r="H15" s="80">
        <v>0.28000000000000003</v>
      </c>
      <c r="I15" s="80">
        <v>0.28000000000000003</v>
      </c>
      <c r="J15" s="80"/>
      <c r="L15" s="170" t="s">
        <v>36</v>
      </c>
      <c r="M15" s="80">
        <v>8.36</v>
      </c>
      <c r="N15" s="80">
        <v>8.36</v>
      </c>
      <c r="O15" s="80">
        <v>8.36</v>
      </c>
      <c r="Q15" s="157" t="s">
        <v>96</v>
      </c>
      <c r="R15" s="158">
        <f t="shared" ref="R15:AH15" si="8">+R11*75%+R12*25%</f>
        <v>1055.9819400000001</v>
      </c>
      <c r="S15" s="158">
        <f t="shared" si="8"/>
        <v>1077.4154300000002</v>
      </c>
      <c r="T15" s="158">
        <f t="shared" si="8"/>
        <v>1125.9411799999998</v>
      </c>
      <c r="U15" s="158">
        <f t="shared" si="8"/>
        <v>1113.01125</v>
      </c>
      <c r="V15" s="158">
        <f t="shared" si="8"/>
        <v>1135.3485000000001</v>
      </c>
      <c r="W15" s="158">
        <f t="shared" si="8"/>
        <v>1166.2611999999999</v>
      </c>
      <c r="X15" s="158">
        <f t="shared" si="8"/>
        <v>1225.98125</v>
      </c>
      <c r="Y15" s="158">
        <f t="shared" si="8"/>
        <v>1272.19625</v>
      </c>
      <c r="Z15" s="158">
        <f t="shared" si="8"/>
        <v>1290.9390000000001</v>
      </c>
      <c r="AA15" s="158">
        <f t="shared" si="8"/>
        <v>1346.6537499999999</v>
      </c>
      <c r="AB15" s="158">
        <f t="shared" si="8"/>
        <v>1458.34</v>
      </c>
      <c r="AC15" s="158">
        <f t="shared" si="8"/>
        <v>1420.4844986301368</v>
      </c>
      <c r="AD15" s="158">
        <f t="shared" si="8"/>
        <v>1419.8312784378102</v>
      </c>
      <c r="AE15" s="158">
        <f t="shared" si="8"/>
        <v>1415.7433460958905</v>
      </c>
      <c r="AF15" s="158" t="e">
        <f t="shared" si="8"/>
        <v>#REF!</v>
      </c>
      <c r="AG15" s="158" t="e">
        <f t="shared" si="8"/>
        <v>#REF!</v>
      </c>
      <c r="AH15" s="158" t="e">
        <f t="shared" si="8"/>
        <v>#REF!</v>
      </c>
      <c r="AI15" s="158" t="e">
        <f>+AI11*50%+AI12*50%</f>
        <v>#REF!</v>
      </c>
      <c r="AJ15" s="158" t="e">
        <f>+AJ11*50%+AJ12*50%</f>
        <v>#REF!</v>
      </c>
      <c r="AK15" s="158" t="e">
        <f t="shared" ref="AK15:AP15" si="9">+AK11*50%+AK14*50%</f>
        <v>#REF!</v>
      </c>
      <c r="AL15" s="158" t="e">
        <f t="shared" si="9"/>
        <v>#REF!</v>
      </c>
      <c r="AM15" s="158" t="e">
        <f t="shared" si="9"/>
        <v>#REF!</v>
      </c>
      <c r="AN15" s="158" t="e">
        <f t="shared" si="9"/>
        <v>#REF!</v>
      </c>
      <c r="AO15" s="158" t="e">
        <f t="shared" si="9"/>
        <v>#REF!</v>
      </c>
      <c r="AP15" s="158" t="e">
        <f t="shared" si="9"/>
        <v>#REF!</v>
      </c>
      <c r="AQ15" s="80"/>
      <c r="AR15" s="80"/>
      <c r="AS15" s="80"/>
    </row>
    <row r="16" spans="1:45" x14ac:dyDescent="0.35">
      <c r="B16" s="169" t="s">
        <v>39</v>
      </c>
      <c r="C16" s="84" t="e">
        <f>+C11+C12+C13+C14+C15</f>
        <v>#REF!</v>
      </c>
      <c r="D16" s="84" t="e">
        <f t="shared" ref="D16:I16" si="10">+D11+D12+D13+D14+D15</f>
        <v>#REF!</v>
      </c>
      <c r="E16" s="84" t="e">
        <f t="shared" si="10"/>
        <v>#REF!</v>
      </c>
      <c r="F16" s="84" t="e">
        <f t="shared" si="10"/>
        <v>#REF!</v>
      </c>
      <c r="G16" s="84" t="e">
        <f t="shared" si="10"/>
        <v>#REF!</v>
      </c>
      <c r="H16" s="84" t="e">
        <f t="shared" si="10"/>
        <v>#REF!</v>
      </c>
      <c r="I16" s="84" t="e">
        <f t="shared" si="10"/>
        <v>#REF!</v>
      </c>
      <c r="J16" s="84"/>
      <c r="L16" s="169" t="s">
        <v>39</v>
      </c>
      <c r="M16" s="84" t="e">
        <f t="shared" ref="M16:N16" si="11">+M11+M12+M13+M14+M15</f>
        <v>#REF!</v>
      </c>
      <c r="N16" s="84" t="e">
        <f t="shared" si="11"/>
        <v>#REF!</v>
      </c>
      <c r="O16" s="84" t="e">
        <f>+O11+O12+O13+O14+O15</f>
        <v>#REF!</v>
      </c>
      <c r="Q16" s="113" t="s">
        <v>37</v>
      </c>
      <c r="R16" s="118">
        <f>+R15*1%</f>
        <v>10.559819400000002</v>
      </c>
      <c r="S16" s="118">
        <f t="shared" ref="S16:AP16" si="12">+S15*1%</f>
        <v>10.774154300000003</v>
      </c>
      <c r="T16" s="118">
        <f t="shared" si="12"/>
        <v>11.259411799999999</v>
      </c>
      <c r="U16" s="118">
        <f t="shared" si="12"/>
        <v>11.130112500000001</v>
      </c>
      <c r="V16" s="118">
        <f t="shared" si="12"/>
        <v>11.353485000000001</v>
      </c>
      <c r="W16" s="118">
        <f t="shared" si="12"/>
        <v>11.662611999999999</v>
      </c>
      <c r="X16" s="118">
        <f t="shared" si="12"/>
        <v>12.259812500000001</v>
      </c>
      <c r="Y16" s="118">
        <f t="shared" si="12"/>
        <v>12.7219625</v>
      </c>
      <c r="Z16" s="118">
        <f t="shared" si="12"/>
        <v>12.909390000000002</v>
      </c>
      <c r="AA16" s="118">
        <f t="shared" si="12"/>
        <v>13.466537499999999</v>
      </c>
      <c r="AB16" s="118">
        <f t="shared" si="12"/>
        <v>14.583399999999999</v>
      </c>
      <c r="AC16" s="118">
        <f t="shared" si="12"/>
        <v>14.204844986301369</v>
      </c>
      <c r="AD16" s="118">
        <f t="shared" si="12"/>
        <v>14.198312784378102</v>
      </c>
      <c r="AE16" s="118">
        <f t="shared" si="12"/>
        <v>14.157433460958906</v>
      </c>
      <c r="AF16" s="118" t="e">
        <f t="shared" si="12"/>
        <v>#REF!</v>
      </c>
      <c r="AG16" s="118" t="e">
        <f t="shared" si="12"/>
        <v>#REF!</v>
      </c>
      <c r="AH16" s="118" t="e">
        <f t="shared" si="12"/>
        <v>#REF!</v>
      </c>
      <c r="AI16" s="118" t="e">
        <f t="shared" si="12"/>
        <v>#REF!</v>
      </c>
      <c r="AJ16" s="118" t="e">
        <f t="shared" si="12"/>
        <v>#REF!</v>
      </c>
      <c r="AK16" s="118" t="e">
        <f t="shared" si="12"/>
        <v>#REF!</v>
      </c>
      <c r="AL16" s="118" t="e">
        <f t="shared" si="12"/>
        <v>#REF!</v>
      </c>
      <c r="AM16" s="118" t="e">
        <f t="shared" si="12"/>
        <v>#REF!</v>
      </c>
      <c r="AN16" s="118" t="e">
        <f t="shared" si="12"/>
        <v>#REF!</v>
      </c>
      <c r="AO16" s="118" t="e">
        <f t="shared" si="12"/>
        <v>#REF!</v>
      </c>
      <c r="AP16" s="118" t="e">
        <f t="shared" si="12"/>
        <v>#REF!</v>
      </c>
      <c r="AQ16" s="79"/>
      <c r="AR16" s="80"/>
      <c r="AS16" s="84"/>
    </row>
    <row r="17" spans="1:47" x14ac:dyDescent="0.35">
      <c r="Q17" s="113" t="s">
        <v>74</v>
      </c>
      <c r="R17" s="115">
        <f>+R16+R15</f>
        <v>1066.5417594</v>
      </c>
      <c r="S17" s="115">
        <f t="shared" ref="S17:AP17" si="13">+S16+S15</f>
        <v>1088.1895843000002</v>
      </c>
      <c r="T17" s="115">
        <f t="shared" si="13"/>
        <v>1137.2005917999998</v>
      </c>
      <c r="U17" s="115">
        <f t="shared" si="13"/>
        <v>1124.1413625</v>
      </c>
      <c r="V17" s="115">
        <f t="shared" si="13"/>
        <v>1146.7019850000001</v>
      </c>
      <c r="W17" s="115">
        <f t="shared" si="13"/>
        <v>1177.923812</v>
      </c>
      <c r="X17" s="115">
        <f t="shared" si="13"/>
        <v>1238.2410625</v>
      </c>
      <c r="Y17" s="115">
        <f t="shared" si="13"/>
        <v>1284.9182125</v>
      </c>
      <c r="Z17" s="115">
        <f t="shared" si="13"/>
        <v>1303.8483900000001</v>
      </c>
      <c r="AA17" s="115">
        <f t="shared" si="13"/>
        <v>1360.1202874999999</v>
      </c>
      <c r="AB17" s="115">
        <f t="shared" si="13"/>
        <v>1472.9233999999999</v>
      </c>
      <c r="AC17" s="115">
        <f t="shared" si="13"/>
        <v>1434.6893436164382</v>
      </c>
      <c r="AD17" s="115">
        <f t="shared" si="13"/>
        <v>1434.0295912221882</v>
      </c>
      <c r="AE17" s="115">
        <f t="shared" si="13"/>
        <v>1429.9007795568493</v>
      </c>
      <c r="AF17" s="115" t="e">
        <f t="shared" si="13"/>
        <v>#REF!</v>
      </c>
      <c r="AG17" s="115" t="e">
        <f t="shared" si="13"/>
        <v>#REF!</v>
      </c>
      <c r="AH17" s="115" t="e">
        <f t="shared" si="13"/>
        <v>#REF!</v>
      </c>
      <c r="AI17" s="115" t="e">
        <f t="shared" si="13"/>
        <v>#REF!</v>
      </c>
      <c r="AJ17" s="115" t="e">
        <f t="shared" si="13"/>
        <v>#REF!</v>
      </c>
      <c r="AK17" s="115" t="e">
        <f t="shared" si="13"/>
        <v>#REF!</v>
      </c>
      <c r="AL17" s="115" t="e">
        <f t="shared" si="13"/>
        <v>#REF!</v>
      </c>
      <c r="AM17" s="115" t="e">
        <f t="shared" si="13"/>
        <v>#REF!</v>
      </c>
      <c r="AN17" s="115" t="e">
        <f t="shared" si="13"/>
        <v>#REF!</v>
      </c>
      <c r="AO17" s="115" t="e">
        <f t="shared" si="13"/>
        <v>#REF!</v>
      </c>
      <c r="AP17" s="115" t="e">
        <f t="shared" si="13"/>
        <v>#REF!</v>
      </c>
      <c r="AQ17" s="181"/>
      <c r="AR17" s="84"/>
      <c r="AS17" s="84"/>
      <c r="AU17" s="182"/>
    </row>
    <row r="18" spans="1:47" x14ac:dyDescent="0.35">
      <c r="B18" s="169"/>
      <c r="C18" s="84"/>
      <c r="D18" s="84"/>
      <c r="E18" s="84"/>
      <c r="F18" s="84"/>
      <c r="G18" s="84"/>
      <c r="H18" s="84"/>
      <c r="I18" s="84"/>
      <c r="J18" s="84"/>
      <c r="K18" s="94"/>
      <c r="M18" s="84"/>
      <c r="N18" s="84"/>
      <c r="O18" s="84"/>
      <c r="Q18" s="85"/>
      <c r="R18" s="120" t="e">
        <f>+#REF!</f>
        <v>#REF!</v>
      </c>
      <c r="S18" s="120" t="e">
        <f>+R18</f>
        <v>#REF!</v>
      </c>
      <c r="T18" s="120" t="e">
        <f>+S18</f>
        <v>#REF!</v>
      </c>
      <c r="U18" s="120" t="e">
        <f>+T18</f>
        <v>#REF!</v>
      </c>
      <c r="V18" s="120" t="e">
        <f t="shared" ref="V18:AG18" si="14">+U18</f>
        <v>#REF!</v>
      </c>
      <c r="W18" s="120" t="e">
        <f t="shared" si="14"/>
        <v>#REF!</v>
      </c>
      <c r="X18" s="120" t="e">
        <f t="shared" si="14"/>
        <v>#REF!</v>
      </c>
      <c r="Y18" s="120" t="e">
        <f t="shared" si="14"/>
        <v>#REF!</v>
      </c>
      <c r="Z18" s="120" t="e">
        <f t="shared" si="14"/>
        <v>#REF!</v>
      </c>
      <c r="AA18" s="120" t="e">
        <f t="shared" si="14"/>
        <v>#REF!</v>
      </c>
      <c r="AB18" s="120" t="e">
        <f t="shared" si="14"/>
        <v>#REF!</v>
      </c>
      <c r="AC18" s="120" t="e">
        <f t="shared" si="14"/>
        <v>#REF!</v>
      </c>
      <c r="AD18" s="120" t="e">
        <f t="shared" si="14"/>
        <v>#REF!</v>
      </c>
      <c r="AE18" s="120" t="e">
        <f t="shared" si="14"/>
        <v>#REF!</v>
      </c>
      <c r="AF18" s="120" t="e">
        <f t="shared" si="14"/>
        <v>#REF!</v>
      </c>
      <c r="AG18" s="120" t="e">
        <f t="shared" si="14"/>
        <v>#REF!</v>
      </c>
      <c r="AH18" s="120"/>
      <c r="AI18" s="120"/>
      <c r="AJ18" s="120"/>
      <c r="AK18" s="120"/>
      <c r="AL18" s="120"/>
      <c r="AM18" s="120"/>
      <c r="AN18" s="120"/>
      <c r="AO18" s="120"/>
      <c r="AP18" s="120"/>
      <c r="AR18" s="84"/>
      <c r="AS18" s="82"/>
    </row>
    <row r="19" spans="1:47" x14ac:dyDescent="0.35">
      <c r="C19" s="132"/>
      <c r="K19" s="94"/>
      <c r="Q19" s="82"/>
      <c r="R19" s="82"/>
      <c r="S19" s="82"/>
      <c r="U19" s="94"/>
      <c r="V19" s="94"/>
      <c r="W19" s="94"/>
      <c r="X19" s="94"/>
      <c r="Y19" s="94"/>
      <c r="Z19" s="94"/>
      <c r="AA19" s="94"/>
      <c r="AB19" s="94"/>
      <c r="AC19" s="94"/>
      <c r="AD19" s="94"/>
      <c r="AE19" s="94"/>
      <c r="AF19" s="94"/>
      <c r="AG19" s="94"/>
      <c r="AH19" s="94"/>
      <c r="AI19" s="94"/>
      <c r="AJ19" s="94"/>
      <c r="AK19" s="94"/>
      <c r="AL19" s="94"/>
      <c r="AM19" s="94"/>
      <c r="AN19" s="94"/>
      <c r="AO19" s="94"/>
      <c r="AP19" s="94"/>
      <c r="AR19" s="82"/>
      <c r="AS19" s="82"/>
    </row>
    <row r="20" spans="1:47" x14ac:dyDescent="0.35">
      <c r="M20" s="86"/>
      <c r="AR20" s="82"/>
    </row>
    <row r="25" spans="1:47" x14ac:dyDescent="0.35">
      <c r="N25" s="123"/>
      <c r="AH25" s="164"/>
    </row>
    <row r="32" spans="1:47" s="82" customFormat="1" x14ac:dyDescent="0.35">
      <c r="A32" s="81"/>
      <c r="B32" s="173" t="s">
        <v>51</v>
      </c>
      <c r="J32" s="81"/>
      <c r="K32" s="81"/>
      <c r="L32" s="173"/>
      <c r="P32" s="81"/>
      <c r="Q32" s="81"/>
      <c r="R32" s="81"/>
      <c r="S32" s="81"/>
      <c r="T32" s="81"/>
      <c r="U32" s="81"/>
      <c r="V32" s="81"/>
      <c r="W32" s="81"/>
      <c r="X32" s="81"/>
      <c r="Y32" s="81"/>
      <c r="Z32" s="81"/>
      <c r="AA32" s="81"/>
      <c r="AB32" s="81"/>
      <c r="AC32" s="81"/>
      <c r="AD32" s="81"/>
      <c r="AE32" s="81"/>
      <c r="AF32" s="81"/>
      <c r="AG32" s="81"/>
      <c r="AH32" s="81"/>
      <c r="AI32" s="81"/>
      <c r="AJ32" s="81"/>
      <c r="AK32" s="81"/>
      <c r="AL32" s="81"/>
      <c r="AM32" s="81"/>
      <c r="AN32" s="81"/>
      <c r="AO32" s="81"/>
      <c r="AP32" s="81"/>
      <c r="AQ32" s="81"/>
      <c r="AR32" s="81"/>
      <c r="AS32" s="81"/>
      <c r="AT32" s="81"/>
      <c r="AU32" s="81"/>
    </row>
  </sheetData>
  <mergeCells count="6">
    <mergeCell ref="Q1:AS1"/>
    <mergeCell ref="B2:D2"/>
    <mergeCell ref="Q2:R2"/>
    <mergeCell ref="AQ2:AR2"/>
    <mergeCell ref="B3:D3"/>
    <mergeCell ref="AQ3:AR3"/>
  </mergeCells>
  <pageMargins left="0.7" right="0.7" top="0.75" bottom="0.75" header="0.3" footer="0.3"/>
  <pageSetup orientation="portrait" r:id="rId1"/>
  <customProperties>
    <customPr name="EpmWorksheetKeyString_GUID" r:id="rId2"/>
  </customProperties>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Hoja30"/>
  <dimension ref="C2:D13"/>
  <sheetViews>
    <sheetView workbookViewId="0">
      <selection activeCell="D12" sqref="D12"/>
    </sheetView>
  </sheetViews>
  <sheetFormatPr defaultColWidth="9.54296875" defaultRowHeight="12" x14ac:dyDescent="0.3"/>
  <cols>
    <col min="1" max="2" width="9.54296875" style="185"/>
    <col min="3" max="3" width="29" style="185" customWidth="1"/>
    <col min="4" max="4" width="12.1796875" style="185" customWidth="1"/>
    <col min="5" max="16384" width="9.54296875" style="185"/>
  </cols>
  <sheetData>
    <row r="2" spans="3:4" ht="24" customHeight="1" x14ac:dyDescent="0.3">
      <c r="C2" s="183" t="s">
        <v>72</v>
      </c>
      <c r="D2" s="184" t="s">
        <v>107</v>
      </c>
    </row>
    <row r="3" spans="3:4" x14ac:dyDescent="0.3">
      <c r="C3" s="186" t="s">
        <v>14</v>
      </c>
      <c r="D3" s="193">
        <v>926.25</v>
      </c>
    </row>
    <row r="4" spans="3:4" ht="12.75" customHeight="1" x14ac:dyDescent="0.3">
      <c r="C4" s="187" t="s">
        <v>99</v>
      </c>
      <c r="D4" s="188">
        <f>((((D3*4.5%)/365)*210))*50%</f>
        <v>11.990496575342465</v>
      </c>
    </row>
    <row r="5" spans="3:4" x14ac:dyDescent="0.3">
      <c r="C5" s="189" t="s">
        <v>20</v>
      </c>
      <c r="D5" s="188">
        <v>70</v>
      </c>
    </row>
    <row r="6" spans="3:4" x14ac:dyDescent="0.3">
      <c r="C6" s="186" t="s">
        <v>109</v>
      </c>
      <c r="D6" s="190">
        <f t="shared" ref="D6" si="0">SUM(D3:D5)</f>
        <v>1008.2404965753425</v>
      </c>
    </row>
    <row r="7" spans="3:4" x14ac:dyDescent="0.3">
      <c r="C7" s="191" t="s">
        <v>27</v>
      </c>
      <c r="D7" s="192">
        <f t="shared" ref="D7" si="1">+D6*4%</f>
        <v>40.329619863013697</v>
      </c>
    </row>
    <row r="8" spans="3:4" x14ac:dyDescent="0.3">
      <c r="C8" s="195" t="s">
        <v>110</v>
      </c>
      <c r="D8" s="194">
        <f t="shared" ref="D8" si="2">+D7+D6</f>
        <v>1048.5701164383561</v>
      </c>
    </row>
    <row r="9" spans="3:4" x14ac:dyDescent="0.3">
      <c r="C9" s="191" t="s">
        <v>32</v>
      </c>
      <c r="D9" s="192">
        <f>D8*(1-5%)</f>
        <v>996.14161061643824</v>
      </c>
    </row>
    <row r="10" spans="3:4" ht="12" customHeight="1" x14ac:dyDescent="0.3">
      <c r="C10" s="187" t="s">
        <v>100</v>
      </c>
      <c r="D10" s="188">
        <f>((((D9*4.5%)/365)*210))*50%</f>
        <v>12.895257836062111</v>
      </c>
    </row>
    <row r="11" spans="3:4" x14ac:dyDescent="0.3">
      <c r="C11" s="196" t="s">
        <v>111</v>
      </c>
      <c r="D11" s="197">
        <f>+D9+D10</f>
        <v>1009.0368684525004</v>
      </c>
    </row>
    <row r="12" spans="3:4" x14ac:dyDescent="0.3">
      <c r="C12" s="198" t="s">
        <v>112</v>
      </c>
      <c r="D12" s="199">
        <v>1267</v>
      </c>
    </row>
    <row r="13" spans="3:4" x14ac:dyDescent="0.3">
      <c r="C13" s="198" t="s">
        <v>113</v>
      </c>
      <c r="D13" s="199">
        <f>+D11-D12</f>
        <v>-257.96313154749964</v>
      </c>
    </row>
  </sheetData>
  <pageMargins left="0.7" right="0.7" top="0.75" bottom="0.75" header="0.3" footer="0.3"/>
  <pageSetup orientation="portrait" r:id="rId1"/>
  <customProperties>
    <customPr name="EpmWorksheetKeyString_GUID" r:id="rId2"/>
  </customPropertie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Hoja31"/>
  <dimension ref="A1:AV33"/>
  <sheetViews>
    <sheetView zoomScale="85" zoomScaleNormal="85" workbookViewId="0">
      <selection activeCell="AS21" sqref="AS21"/>
    </sheetView>
  </sheetViews>
  <sheetFormatPr defaultColWidth="11.453125" defaultRowHeight="14.5" x14ac:dyDescent="0.35"/>
  <cols>
    <col min="1" max="1" width="3.453125" style="81" customWidth="1"/>
    <col min="2" max="2" width="14" style="173" customWidth="1"/>
    <col min="3" max="3" width="10.81640625" style="82" customWidth="1"/>
    <col min="4" max="5" width="10.54296875" style="82" hidden="1" customWidth="1"/>
    <col min="6" max="6" width="11" style="82" customWidth="1"/>
    <col min="7" max="7" width="11.1796875" style="82" hidden="1" customWidth="1"/>
    <col min="8" max="8" width="11" style="82" hidden="1" customWidth="1"/>
    <col min="9" max="9" width="11.54296875" style="82" customWidth="1"/>
    <col min="10" max="10" width="8.54296875" style="81" hidden="1" customWidth="1"/>
    <col min="11" max="11" width="2.81640625" style="81" customWidth="1"/>
    <col min="12" max="12" width="13.81640625" style="173" customWidth="1"/>
    <col min="13" max="15" width="10.81640625" style="82" customWidth="1"/>
    <col min="16" max="16" width="2.81640625" style="81" customWidth="1"/>
    <col min="17" max="17" width="28.81640625" style="81" customWidth="1"/>
    <col min="18" max="18" width="16.1796875" style="81" hidden="1" customWidth="1"/>
    <col min="19" max="19" width="17.54296875" style="81" hidden="1" customWidth="1"/>
    <col min="20" max="20" width="14.54296875" style="81" hidden="1" customWidth="1"/>
    <col min="21" max="21" width="16" style="81" hidden="1" customWidth="1"/>
    <col min="22" max="22" width="17.81640625" style="81" hidden="1" customWidth="1"/>
    <col min="23" max="23" width="17.1796875" style="81" hidden="1" customWidth="1"/>
    <col min="24" max="29" width="14.453125" style="81" hidden="1" customWidth="1"/>
    <col min="30" max="30" width="16.453125" style="81" hidden="1" customWidth="1"/>
    <col min="31" max="33" width="14.81640625" style="81" hidden="1" customWidth="1"/>
    <col min="34" max="34" width="16.54296875" style="81" hidden="1" customWidth="1"/>
    <col min="35" max="36" width="17.54296875" style="81" hidden="1" customWidth="1"/>
    <col min="37" max="40" width="15.1796875" style="81" hidden="1" customWidth="1"/>
    <col min="41" max="41" width="13.81640625" style="81" hidden="1" customWidth="1"/>
    <col min="42" max="42" width="14.453125" style="81" hidden="1" customWidth="1"/>
    <col min="43" max="43" width="16.54296875" style="81" bestFit="1" customWidth="1"/>
    <col min="44" max="47" width="11.453125" style="81" customWidth="1"/>
    <col min="48" max="16384" width="11.453125" style="81"/>
  </cols>
  <sheetData>
    <row r="1" spans="1:46" x14ac:dyDescent="0.35">
      <c r="B1" s="122"/>
      <c r="C1" s="86"/>
      <c r="D1" s="86"/>
      <c r="E1" s="86"/>
      <c r="F1" s="87"/>
      <c r="G1" s="87"/>
      <c r="H1" s="87"/>
      <c r="I1" s="87"/>
      <c r="J1" s="87"/>
      <c r="K1" s="87"/>
      <c r="L1" s="122"/>
      <c r="M1" s="87"/>
      <c r="N1" s="87"/>
      <c r="O1" s="87"/>
      <c r="Q1" s="574"/>
      <c r="R1" s="574"/>
      <c r="S1" s="574"/>
      <c r="T1" s="574"/>
      <c r="U1" s="574"/>
      <c r="V1" s="574"/>
      <c r="W1" s="574"/>
      <c r="X1" s="574"/>
      <c r="Y1" s="574"/>
      <c r="Z1" s="574"/>
      <c r="AA1" s="574"/>
      <c r="AB1" s="574"/>
      <c r="AC1" s="574"/>
      <c r="AD1" s="574"/>
      <c r="AE1" s="574"/>
      <c r="AF1" s="574"/>
      <c r="AG1" s="574"/>
      <c r="AH1" s="574"/>
      <c r="AI1" s="574"/>
      <c r="AJ1" s="574"/>
      <c r="AK1" s="574"/>
      <c r="AL1" s="574"/>
      <c r="AM1" s="574"/>
      <c r="AN1" s="574"/>
      <c r="AO1" s="574"/>
      <c r="AP1" s="574"/>
      <c r="AQ1" s="574"/>
      <c r="AR1" s="574"/>
      <c r="AS1" s="574"/>
      <c r="AT1" s="574"/>
    </row>
    <row r="2" spans="1:46" s="142" customFormat="1" ht="15" customHeight="1" x14ac:dyDescent="0.35">
      <c r="B2" s="576" t="s">
        <v>66</v>
      </c>
      <c r="C2" s="576"/>
      <c r="D2" s="576"/>
      <c r="F2" s="141" t="e">
        <f>+AQ12</f>
        <v>#REF!</v>
      </c>
      <c r="H2" s="141"/>
      <c r="I2" s="141"/>
      <c r="J2" s="143">
        <v>0.05</v>
      </c>
      <c r="K2" s="144"/>
      <c r="L2" s="171"/>
      <c r="M2" s="141"/>
      <c r="N2" s="141"/>
      <c r="O2" s="141"/>
      <c r="Q2" s="576"/>
      <c r="R2" s="576"/>
      <c r="S2" s="141"/>
      <c r="T2" s="143"/>
      <c r="U2" s="144"/>
      <c r="V2" s="144"/>
      <c r="W2" s="144"/>
      <c r="X2" s="144"/>
      <c r="Y2" s="144"/>
      <c r="Z2" s="144"/>
      <c r="AA2" s="144"/>
      <c r="AB2" s="144"/>
      <c r="AC2" s="144"/>
      <c r="AD2" s="144"/>
      <c r="AE2" s="144"/>
      <c r="AF2" s="144"/>
      <c r="AG2" s="144"/>
      <c r="AH2" s="144"/>
      <c r="AI2" s="144"/>
      <c r="AJ2" s="144"/>
      <c r="AK2" s="144"/>
      <c r="AL2" s="144"/>
      <c r="AM2" s="144"/>
      <c r="AN2" s="144"/>
      <c r="AO2" s="144"/>
      <c r="AP2" s="144"/>
      <c r="AQ2" s="144"/>
      <c r="AR2" s="576"/>
      <c r="AS2" s="576"/>
      <c r="AT2" s="141"/>
    </row>
    <row r="3" spans="1:46" s="133" customFormat="1" ht="15" customHeight="1" x14ac:dyDescent="0.35">
      <c r="B3" s="576" t="s">
        <v>67</v>
      </c>
      <c r="C3" s="576"/>
      <c r="D3" s="576"/>
      <c r="F3" s="134" t="e">
        <f>+AQ15</f>
        <v>#REF!</v>
      </c>
      <c r="G3" s="135"/>
      <c r="H3" s="134"/>
      <c r="I3" s="134"/>
      <c r="J3" s="137" t="e">
        <f>+F2*J2</f>
        <v>#REF!</v>
      </c>
      <c r="K3" s="136"/>
      <c r="L3" s="200"/>
      <c r="M3" s="200"/>
      <c r="N3" s="134"/>
      <c r="O3" s="134"/>
      <c r="Q3" s="138"/>
      <c r="R3" s="139"/>
      <c r="S3" s="140"/>
      <c r="U3" s="136"/>
      <c r="V3" s="136"/>
      <c r="W3" s="136"/>
      <c r="X3" s="136"/>
      <c r="Y3" s="136"/>
      <c r="Z3" s="136"/>
      <c r="AA3" s="136"/>
      <c r="AB3" s="136"/>
      <c r="AC3" s="136"/>
      <c r="AD3" s="136"/>
      <c r="AE3" s="136"/>
      <c r="AF3" s="136"/>
      <c r="AG3" s="136"/>
      <c r="AH3" s="136"/>
      <c r="AI3" s="136"/>
      <c r="AJ3" s="136"/>
      <c r="AK3" s="136"/>
      <c r="AL3" s="136"/>
      <c r="AM3" s="136"/>
      <c r="AN3" s="136"/>
      <c r="AO3" s="136"/>
      <c r="AP3" s="136"/>
      <c r="AQ3" s="136"/>
      <c r="AR3" s="577"/>
      <c r="AS3" s="577"/>
      <c r="AT3" s="134"/>
    </row>
    <row r="4" spans="1:46" ht="23.5" hidden="1" x14ac:dyDescent="0.55000000000000004">
      <c r="B4" s="169"/>
      <c r="C4" s="92" t="e">
        <f>+(C10+C11)/C6*1000</f>
        <v>#REF!</v>
      </c>
      <c r="D4" s="92" t="e">
        <f>+(G10+G11)/G6*1000</f>
        <v>#REF!</v>
      </c>
      <c r="E4" s="92" t="e">
        <f>+(E10+E11)/E6*1000</f>
        <v>#REF!</v>
      </c>
      <c r="F4" s="92" t="e">
        <f>+(F10+F11)/F6*1000</f>
        <v>#REF!</v>
      </c>
      <c r="I4" s="92" t="e">
        <f>+(I10+I11)/I6*1000</f>
        <v>#REF!</v>
      </c>
      <c r="K4" s="88"/>
      <c r="L4" s="169"/>
      <c r="M4" s="92"/>
      <c r="N4" s="92"/>
      <c r="O4" s="92"/>
      <c r="Q4" s="93"/>
      <c r="R4" s="82"/>
      <c r="S4" s="90"/>
      <c r="T4" s="94"/>
      <c r="U4" s="88"/>
      <c r="V4" s="88"/>
      <c r="W4" s="88"/>
      <c r="X4" s="88"/>
      <c r="Y4" s="88"/>
      <c r="Z4" s="88"/>
      <c r="AA4" s="88"/>
      <c r="AB4" s="88"/>
      <c r="AC4" s="88"/>
      <c r="AD4" s="88"/>
      <c r="AE4" s="88"/>
      <c r="AF4" s="88"/>
      <c r="AG4" s="88"/>
      <c r="AH4" s="88"/>
      <c r="AI4" s="88"/>
      <c r="AJ4" s="88"/>
      <c r="AK4" s="88"/>
      <c r="AL4" s="88"/>
      <c r="AM4" s="88"/>
      <c r="AN4" s="88"/>
      <c r="AO4" s="88"/>
      <c r="AP4" s="88"/>
      <c r="AQ4" s="88"/>
      <c r="AR4" s="91"/>
      <c r="AS4" s="91"/>
      <c r="AT4" s="78"/>
    </row>
    <row r="5" spans="1:46" s="95" customFormat="1" ht="33.75" customHeight="1" x14ac:dyDescent="0.35">
      <c r="B5" s="169" t="s">
        <v>5</v>
      </c>
      <c r="C5" s="85" t="s">
        <v>68</v>
      </c>
      <c r="D5" s="85" t="s">
        <v>69</v>
      </c>
      <c r="E5" s="85" t="s">
        <v>69</v>
      </c>
      <c r="F5" s="85" t="s">
        <v>69</v>
      </c>
      <c r="G5" s="85" t="s">
        <v>70</v>
      </c>
      <c r="H5" s="85" t="s">
        <v>70</v>
      </c>
      <c r="I5" s="85" t="s">
        <v>70</v>
      </c>
      <c r="J5" s="85"/>
      <c r="K5" s="88"/>
      <c r="L5" s="169" t="s">
        <v>71</v>
      </c>
      <c r="M5" s="96" t="s">
        <v>7</v>
      </c>
      <c r="N5" s="96" t="s">
        <v>8</v>
      </c>
      <c r="O5" s="96" t="s">
        <v>8</v>
      </c>
      <c r="Q5" s="147" t="s">
        <v>72</v>
      </c>
      <c r="R5" s="99" t="s">
        <v>54</v>
      </c>
      <c r="S5" s="99" t="s">
        <v>55</v>
      </c>
      <c r="T5" s="99" t="s">
        <v>56</v>
      </c>
      <c r="U5" s="99" t="s">
        <v>12</v>
      </c>
      <c r="V5" s="99" t="s">
        <v>57</v>
      </c>
      <c r="W5" s="99" t="s">
        <v>58</v>
      </c>
      <c r="X5" s="99" t="s">
        <v>59</v>
      </c>
      <c r="Y5" s="99" t="s">
        <v>60</v>
      </c>
      <c r="Z5" s="99" t="s">
        <v>62</v>
      </c>
      <c r="AA5" s="99" t="s">
        <v>64</v>
      </c>
      <c r="AB5" s="99" t="s">
        <v>65</v>
      </c>
      <c r="AC5" s="99" t="s">
        <v>73</v>
      </c>
      <c r="AD5" s="99" t="s">
        <v>53</v>
      </c>
      <c r="AE5" s="99" t="s">
        <v>77</v>
      </c>
      <c r="AF5" s="99" t="s">
        <v>78</v>
      </c>
      <c r="AG5" s="99" t="s">
        <v>79</v>
      </c>
      <c r="AH5" s="99" t="s">
        <v>90</v>
      </c>
      <c r="AI5" s="99" t="s">
        <v>91</v>
      </c>
      <c r="AJ5" s="99" t="s">
        <v>97</v>
      </c>
      <c r="AK5" s="99" t="s">
        <v>98</v>
      </c>
      <c r="AL5" s="99" t="s">
        <v>102</v>
      </c>
      <c r="AM5" s="99" t="s">
        <v>103</v>
      </c>
      <c r="AN5" s="99" t="s">
        <v>104</v>
      </c>
      <c r="AO5" s="99" t="s">
        <v>107</v>
      </c>
      <c r="AP5" s="99" t="s">
        <v>108</v>
      </c>
      <c r="AQ5" s="99" t="s">
        <v>114</v>
      </c>
      <c r="AR5" s="100"/>
      <c r="AS5" s="97"/>
      <c r="AT5" s="97"/>
    </row>
    <row r="6" spans="1:46" x14ac:dyDescent="0.35">
      <c r="B6" s="169" t="s">
        <v>13</v>
      </c>
      <c r="C6" s="101">
        <v>16.7</v>
      </c>
      <c r="D6" s="101">
        <v>16.7</v>
      </c>
      <c r="E6" s="101">
        <v>20.5</v>
      </c>
      <c r="F6" s="101">
        <v>20.5</v>
      </c>
      <c r="G6" s="101">
        <v>30.6</v>
      </c>
      <c r="H6" s="101">
        <v>30.6</v>
      </c>
      <c r="I6" s="101">
        <v>38.6</v>
      </c>
      <c r="J6" s="101"/>
      <c r="L6" s="169" t="s">
        <v>13</v>
      </c>
      <c r="M6" s="101">
        <v>15</v>
      </c>
      <c r="N6" s="101">
        <v>20.5</v>
      </c>
      <c r="O6" s="101">
        <v>20.5</v>
      </c>
      <c r="Q6" s="102" t="s">
        <v>14</v>
      </c>
      <c r="R6" s="104">
        <v>938.13</v>
      </c>
      <c r="S6" s="105">
        <v>959</v>
      </c>
      <c r="T6" s="104">
        <v>1006.25</v>
      </c>
      <c r="U6" s="130">
        <v>993.75</v>
      </c>
      <c r="V6" s="131">
        <v>1015.5</v>
      </c>
      <c r="W6" s="131">
        <v>1045.5999999999999</v>
      </c>
      <c r="X6" s="43">
        <v>1103.75</v>
      </c>
      <c r="Y6" s="43">
        <v>1148.75</v>
      </c>
      <c r="Z6" s="43">
        <v>1167</v>
      </c>
      <c r="AA6" s="43">
        <v>1221.25</v>
      </c>
      <c r="AB6" s="43">
        <v>1330</v>
      </c>
      <c r="AC6" s="43">
        <f>+'IHS (Mod)'!I5</f>
        <v>1280</v>
      </c>
      <c r="AD6" s="43">
        <f>+'IHS (Mod)'!J5</f>
        <v>1279.380005</v>
      </c>
      <c r="AE6" s="43">
        <v>1275.5</v>
      </c>
      <c r="AF6" s="43" t="e">
        <f>+#REF!</f>
        <v>#REF!</v>
      </c>
      <c r="AG6" s="43" t="e">
        <f>+#REF!</f>
        <v>#REF!</v>
      </c>
      <c r="AH6" s="43" t="e">
        <f>+#REF!</f>
        <v>#REF!</v>
      </c>
      <c r="AI6" s="43" t="e">
        <f>+#REF!</f>
        <v>#REF!</v>
      </c>
      <c r="AJ6" s="43" t="e">
        <f>+#REF!</f>
        <v>#REF!</v>
      </c>
      <c r="AK6" s="43" t="e">
        <f>+#REF!</f>
        <v>#REF!</v>
      </c>
      <c r="AL6" s="43" t="e">
        <f>+#REF!</f>
        <v>#REF!</v>
      </c>
      <c r="AM6" s="43" t="e">
        <f>+#REF!</f>
        <v>#REF!</v>
      </c>
      <c r="AN6" s="43" t="e">
        <f>+#REF!</f>
        <v>#REF!</v>
      </c>
      <c r="AO6" s="43" t="e">
        <f>+#REF!</f>
        <v>#REF!</v>
      </c>
      <c r="AP6" s="43" t="e">
        <f>+#REF!</f>
        <v>#REF!</v>
      </c>
      <c r="AQ6" s="43" t="e">
        <f>+#REF!</f>
        <v>#REF!</v>
      </c>
      <c r="AR6" s="85"/>
      <c r="AS6" s="101"/>
      <c r="AT6" s="101"/>
    </row>
    <row r="7" spans="1:46" x14ac:dyDescent="0.35">
      <c r="B7" s="170" t="s">
        <v>16</v>
      </c>
      <c r="C7" s="91" t="s">
        <v>17</v>
      </c>
      <c r="D7" s="91" t="s">
        <v>17</v>
      </c>
      <c r="E7" s="91" t="s">
        <v>17</v>
      </c>
      <c r="F7" s="91" t="s">
        <v>17</v>
      </c>
      <c r="G7" s="91" t="s">
        <v>17</v>
      </c>
      <c r="H7" s="91" t="s">
        <v>17</v>
      </c>
      <c r="I7" s="91" t="s">
        <v>17</v>
      </c>
      <c r="J7" s="91"/>
      <c r="L7" s="170" t="s">
        <v>16</v>
      </c>
      <c r="M7" s="91" t="s">
        <v>17</v>
      </c>
      <c r="N7" s="91" t="s">
        <v>17</v>
      </c>
      <c r="O7" s="91" t="s">
        <v>17</v>
      </c>
      <c r="Q7" s="128" t="s">
        <v>99</v>
      </c>
      <c r="R7" s="129">
        <v>25.09</v>
      </c>
      <c r="S7" s="129">
        <v>25.09</v>
      </c>
      <c r="T7" s="129">
        <v>25.09</v>
      </c>
      <c r="U7" s="129">
        <v>25</v>
      </c>
      <c r="V7" s="129">
        <v>25</v>
      </c>
      <c r="W7" s="129">
        <v>25</v>
      </c>
      <c r="X7" s="129">
        <v>25</v>
      </c>
      <c r="Y7" s="129">
        <v>25</v>
      </c>
      <c r="Z7" s="129">
        <v>25</v>
      </c>
      <c r="AA7" s="129">
        <v>25</v>
      </c>
      <c r="AB7" s="129">
        <v>25</v>
      </c>
      <c r="AC7" s="129">
        <v>33.139726027397259</v>
      </c>
      <c r="AD7" s="129">
        <f>+Septiembre18!AD8</f>
        <v>33.1236741020548</v>
      </c>
      <c r="AE7" s="129">
        <v>33.023219178082194</v>
      </c>
      <c r="AF7" s="129">
        <v>33.023219178082194</v>
      </c>
      <c r="AG7" s="129">
        <v>32.783732876712328</v>
      </c>
      <c r="AH7" s="129">
        <v>29.126712328767123</v>
      </c>
      <c r="AI7" s="129">
        <v>27.395420677397254</v>
      </c>
      <c r="AJ7" s="129">
        <v>26.796575342465754</v>
      </c>
      <c r="AK7" s="129">
        <v>13.948458904109588</v>
      </c>
      <c r="AL7" s="129">
        <v>14.191181506849315</v>
      </c>
      <c r="AM7" s="129">
        <v>14.255907534246576</v>
      </c>
      <c r="AN7" s="129" t="e">
        <f>((((AN6*4.5%)/365)*210))*50%</f>
        <v>#REF!</v>
      </c>
      <c r="AO7" s="129" t="e">
        <f>((((AO6*4.5%)/365)*210))*50%</f>
        <v>#REF!</v>
      </c>
      <c r="AP7" s="129" t="e">
        <f>((((AP6*4.5%)/365)*210))*50%</f>
        <v>#REF!</v>
      </c>
      <c r="AQ7" s="129" t="e">
        <f>((((AQ6*4.5%)/365)*210))*50%</f>
        <v>#REF!</v>
      </c>
      <c r="AR7" s="85"/>
      <c r="AS7" s="91"/>
      <c r="AT7" s="91"/>
    </row>
    <row r="8" spans="1:46" x14ac:dyDescent="0.35">
      <c r="B8" s="170" t="s">
        <v>115</v>
      </c>
      <c r="C8" s="91" t="s">
        <v>116</v>
      </c>
      <c r="D8" s="91"/>
      <c r="E8" s="91"/>
      <c r="F8" s="91" t="s">
        <v>117</v>
      </c>
      <c r="G8" s="91"/>
      <c r="H8" s="91"/>
      <c r="I8" s="91" t="s">
        <v>118</v>
      </c>
      <c r="J8" s="91"/>
      <c r="L8" s="170"/>
      <c r="M8" s="91" t="s">
        <v>119</v>
      </c>
      <c r="N8" s="91" t="s">
        <v>120</v>
      </c>
      <c r="O8" s="91"/>
      <c r="Q8" s="128"/>
      <c r="R8" s="129"/>
      <c r="S8" s="129"/>
      <c r="T8" s="129"/>
      <c r="U8" s="129"/>
      <c r="V8" s="129"/>
      <c r="W8" s="129"/>
      <c r="X8" s="129"/>
      <c r="Y8" s="129"/>
      <c r="Z8" s="129"/>
      <c r="AA8" s="129"/>
      <c r="AB8" s="129"/>
      <c r="AC8" s="129"/>
      <c r="AD8" s="129"/>
      <c r="AE8" s="129"/>
      <c r="AF8" s="129"/>
      <c r="AG8" s="129"/>
      <c r="AH8" s="129"/>
      <c r="AI8" s="129"/>
      <c r="AJ8" s="129"/>
      <c r="AK8" s="129"/>
      <c r="AL8" s="129"/>
      <c r="AM8" s="129"/>
      <c r="AN8" s="129"/>
      <c r="AO8" s="129"/>
      <c r="AP8" s="129"/>
      <c r="AQ8" s="129"/>
      <c r="AR8" s="85"/>
      <c r="AS8" s="91"/>
      <c r="AT8" s="91"/>
    </row>
    <row r="9" spans="1:46" s="95" customFormat="1" ht="29" x14ac:dyDescent="0.35">
      <c r="B9" s="175" t="s">
        <v>92</v>
      </c>
      <c r="C9" s="177" t="s">
        <v>93</v>
      </c>
      <c r="D9" s="177" t="s">
        <v>94</v>
      </c>
      <c r="E9" s="176">
        <v>1</v>
      </c>
      <c r="F9" s="177" t="s">
        <v>93</v>
      </c>
      <c r="G9" s="176">
        <v>1</v>
      </c>
      <c r="H9" s="177" t="s">
        <v>94</v>
      </c>
      <c r="I9" s="177" t="s">
        <v>93</v>
      </c>
      <c r="J9" s="162"/>
      <c r="L9" s="175" t="str">
        <f>+B9</f>
        <v>% Resina (Virgen/PCR)</v>
      </c>
      <c r="M9" s="177" t="s">
        <v>94</v>
      </c>
      <c r="N9" s="176">
        <v>1</v>
      </c>
      <c r="O9" s="177" t="s">
        <v>94</v>
      </c>
      <c r="Q9" s="166" t="s">
        <v>20</v>
      </c>
      <c r="R9" s="129">
        <v>65</v>
      </c>
      <c r="S9" s="167">
        <v>65</v>
      </c>
      <c r="T9" s="129">
        <v>65</v>
      </c>
      <c r="U9" s="129">
        <v>65</v>
      </c>
      <c r="V9" s="129">
        <v>65</v>
      </c>
      <c r="W9" s="129">
        <v>65</v>
      </c>
      <c r="X9" s="129">
        <v>65</v>
      </c>
      <c r="Y9" s="129">
        <v>65</v>
      </c>
      <c r="Z9" s="129">
        <v>65</v>
      </c>
      <c r="AA9" s="129">
        <v>65</v>
      </c>
      <c r="AB9" s="129">
        <v>65</v>
      </c>
      <c r="AC9" s="129">
        <v>70</v>
      </c>
      <c r="AD9" s="129">
        <v>70</v>
      </c>
      <c r="AE9" s="129">
        <v>70</v>
      </c>
      <c r="AF9" s="129">
        <v>70</v>
      </c>
      <c r="AG9" s="129">
        <v>70</v>
      </c>
      <c r="AH9" s="129">
        <v>70</v>
      </c>
      <c r="AI9" s="129">
        <v>70</v>
      </c>
      <c r="AJ9" s="129">
        <v>70</v>
      </c>
      <c r="AK9" s="129">
        <v>70</v>
      </c>
      <c r="AL9" s="129">
        <v>70</v>
      </c>
      <c r="AM9" s="129">
        <v>70</v>
      </c>
      <c r="AN9" s="129">
        <v>70</v>
      </c>
      <c r="AO9" s="129">
        <v>70</v>
      </c>
      <c r="AP9" s="129">
        <v>70</v>
      </c>
      <c r="AQ9" s="129">
        <v>70</v>
      </c>
      <c r="AR9" s="168"/>
      <c r="AS9" s="165"/>
      <c r="AT9" s="165"/>
    </row>
    <row r="10" spans="1:46" x14ac:dyDescent="0.35">
      <c r="B10" s="170" t="s">
        <v>19</v>
      </c>
      <c r="C10" s="80" t="e">
        <f>+(C6*F2/1000)*1.01*50%</f>
        <v>#REF!</v>
      </c>
      <c r="D10" s="80" t="e">
        <f>+(D6*$F$2/1000)*1.01*75%</f>
        <v>#REF!</v>
      </c>
      <c r="E10" s="80" t="e">
        <f>+(E6*$F$2/1000)*1.01</f>
        <v>#REF!</v>
      </c>
      <c r="F10" s="80" t="e">
        <f>+(F6*$F$2/1000)*1.01*50%</f>
        <v>#REF!</v>
      </c>
      <c r="G10" s="80" t="e">
        <f>+(G6*F2/1000)*1.01</f>
        <v>#REF!</v>
      </c>
      <c r="H10" s="80" t="e">
        <f>+(H6*$F$2/1000)*1.01*75%</f>
        <v>#REF!</v>
      </c>
      <c r="I10" s="80" t="e">
        <f>+(I6*$F$2/1000)*1.01*50%</f>
        <v>#REF!</v>
      </c>
      <c r="J10" s="80"/>
      <c r="L10" s="170" t="s">
        <v>19</v>
      </c>
      <c r="M10" s="80" t="e">
        <f>+(M6*F2/1000)*1.005*75%</f>
        <v>#REF!</v>
      </c>
      <c r="N10" s="80" t="e">
        <f>+(N6*F2/1000)*1.005</f>
        <v>#REF!</v>
      </c>
      <c r="O10" s="80" t="e">
        <f>+(O6*F2/1000)*1.005*75%</f>
        <v>#REF!</v>
      </c>
      <c r="Q10" s="102"/>
      <c r="R10" s="104">
        <f>SUM(R6:R9)</f>
        <v>1028.22</v>
      </c>
      <c r="S10" s="104">
        <f>SUM(S6:S9)</f>
        <v>1049.0900000000001</v>
      </c>
      <c r="T10" s="104">
        <f>SUM(T6:T9)</f>
        <v>1096.3399999999999</v>
      </c>
      <c r="U10" s="104">
        <f>SUM(U6:U9)</f>
        <v>1083.75</v>
      </c>
      <c r="V10" s="104">
        <f t="shared" ref="V10:AP10" si="0">SUM(V6:V9)</f>
        <v>1105.5</v>
      </c>
      <c r="W10" s="104">
        <f t="shared" si="0"/>
        <v>1135.5999999999999</v>
      </c>
      <c r="X10" s="104">
        <f t="shared" si="0"/>
        <v>1193.75</v>
      </c>
      <c r="Y10" s="104">
        <f t="shared" si="0"/>
        <v>1238.75</v>
      </c>
      <c r="Z10" s="104">
        <f t="shared" si="0"/>
        <v>1257</v>
      </c>
      <c r="AA10" s="104">
        <f t="shared" si="0"/>
        <v>1311.25</v>
      </c>
      <c r="AB10" s="104">
        <f t="shared" si="0"/>
        <v>1420</v>
      </c>
      <c r="AC10" s="104">
        <f t="shared" si="0"/>
        <v>1383.1397260273973</v>
      </c>
      <c r="AD10" s="104">
        <f t="shared" si="0"/>
        <v>1382.5036791020548</v>
      </c>
      <c r="AE10" s="104">
        <f t="shared" si="0"/>
        <v>1378.5232191780822</v>
      </c>
      <c r="AF10" s="104" t="e">
        <f t="shared" si="0"/>
        <v>#REF!</v>
      </c>
      <c r="AG10" s="104" t="e">
        <f t="shared" si="0"/>
        <v>#REF!</v>
      </c>
      <c r="AH10" s="104" t="e">
        <f t="shared" si="0"/>
        <v>#REF!</v>
      </c>
      <c r="AI10" s="104" t="e">
        <f t="shared" si="0"/>
        <v>#REF!</v>
      </c>
      <c r="AJ10" s="104" t="e">
        <f t="shared" si="0"/>
        <v>#REF!</v>
      </c>
      <c r="AK10" s="104" t="e">
        <f t="shared" si="0"/>
        <v>#REF!</v>
      </c>
      <c r="AL10" s="104" t="e">
        <f t="shared" si="0"/>
        <v>#REF!</v>
      </c>
      <c r="AM10" s="104" t="e">
        <f t="shared" si="0"/>
        <v>#REF!</v>
      </c>
      <c r="AN10" s="104" t="e">
        <f t="shared" si="0"/>
        <v>#REF!</v>
      </c>
      <c r="AO10" s="104" t="e">
        <f t="shared" si="0"/>
        <v>#REF!</v>
      </c>
      <c r="AP10" s="104" t="e">
        <f t="shared" si="0"/>
        <v>#REF!</v>
      </c>
      <c r="AQ10" s="104" t="e">
        <f t="shared" ref="AQ10" si="1">SUM(AQ6:AQ9)</f>
        <v>#REF!</v>
      </c>
      <c r="AR10" s="79"/>
      <c r="AS10" s="80"/>
      <c r="AT10" s="80"/>
    </row>
    <row r="11" spans="1:46" x14ac:dyDescent="0.35">
      <c r="B11" s="172" t="s">
        <v>23</v>
      </c>
      <c r="C11" s="76" t="e">
        <f>+(C6*$F$3/1000)*1.01*50%</f>
        <v>#REF!</v>
      </c>
      <c r="D11" s="76" t="e">
        <f>+(D6*$F$3/1000)*1.01*25%</f>
        <v>#REF!</v>
      </c>
      <c r="E11" s="76">
        <v>0</v>
      </c>
      <c r="F11" s="76" t="e">
        <f>+(F6*$F$3/1000)*1.01*50%</f>
        <v>#REF!</v>
      </c>
      <c r="G11" s="76">
        <v>0</v>
      </c>
      <c r="H11" s="76" t="e">
        <f>+(H6*$F$3/1000)*1.01*25%</f>
        <v>#REF!</v>
      </c>
      <c r="I11" s="76" t="e">
        <f>+(I6*$F$3/1000)*1.01*50%</f>
        <v>#REF!</v>
      </c>
      <c r="J11" s="76"/>
      <c r="K11" s="121"/>
      <c r="L11" s="172" t="s">
        <v>23</v>
      </c>
      <c r="M11" s="76" t="e">
        <f>+(M6*F3/1000)*1.005*25%</f>
        <v>#REF!</v>
      </c>
      <c r="N11" s="76">
        <v>0</v>
      </c>
      <c r="O11" s="76" t="e">
        <f>+(O6*F3/1000)*1.005*25%</f>
        <v>#REF!</v>
      </c>
      <c r="Q11" s="106" t="s">
        <v>27</v>
      </c>
      <c r="R11" s="108">
        <f>+R10*4%</f>
        <v>41.128800000000005</v>
      </c>
      <c r="S11" s="104">
        <f>+S10*4%</f>
        <v>41.963600000000007</v>
      </c>
      <c r="T11" s="108">
        <f>+T10*4%</f>
        <v>43.8536</v>
      </c>
      <c r="U11" s="108">
        <f>+U10*4%</f>
        <v>43.35</v>
      </c>
      <c r="V11" s="108">
        <f t="shared" ref="V11:AP11" si="2">+V10*4%</f>
        <v>44.22</v>
      </c>
      <c r="W11" s="108">
        <f t="shared" si="2"/>
        <v>45.423999999999999</v>
      </c>
      <c r="X11" s="108">
        <f t="shared" si="2"/>
        <v>47.75</v>
      </c>
      <c r="Y11" s="108">
        <f t="shared" si="2"/>
        <v>49.550000000000004</v>
      </c>
      <c r="Z11" s="108">
        <f t="shared" si="2"/>
        <v>50.28</v>
      </c>
      <c r="AA11" s="108">
        <f t="shared" si="2"/>
        <v>52.45</v>
      </c>
      <c r="AB11" s="108">
        <f t="shared" si="2"/>
        <v>56.800000000000004</v>
      </c>
      <c r="AC11" s="108">
        <f t="shared" si="2"/>
        <v>55.325589041095895</v>
      </c>
      <c r="AD11" s="108">
        <f t="shared" si="2"/>
        <v>55.30014716408219</v>
      </c>
      <c r="AE11" s="108">
        <f t="shared" si="2"/>
        <v>55.140928767123285</v>
      </c>
      <c r="AF11" s="108" t="e">
        <f t="shared" si="2"/>
        <v>#REF!</v>
      </c>
      <c r="AG11" s="108" t="e">
        <f t="shared" si="2"/>
        <v>#REF!</v>
      </c>
      <c r="AH11" s="108" t="e">
        <f t="shared" si="2"/>
        <v>#REF!</v>
      </c>
      <c r="AI11" s="108" t="e">
        <f t="shared" si="2"/>
        <v>#REF!</v>
      </c>
      <c r="AJ11" s="108" t="e">
        <f t="shared" si="2"/>
        <v>#REF!</v>
      </c>
      <c r="AK11" s="108" t="e">
        <f t="shared" si="2"/>
        <v>#REF!</v>
      </c>
      <c r="AL11" s="108" t="e">
        <f t="shared" si="2"/>
        <v>#REF!</v>
      </c>
      <c r="AM11" s="108" t="e">
        <f t="shared" si="2"/>
        <v>#REF!</v>
      </c>
      <c r="AN11" s="108" t="e">
        <f t="shared" si="2"/>
        <v>#REF!</v>
      </c>
      <c r="AO11" s="108" t="e">
        <f t="shared" si="2"/>
        <v>#REF!</v>
      </c>
      <c r="AP11" s="108" t="e">
        <f t="shared" si="2"/>
        <v>#REF!</v>
      </c>
      <c r="AQ11" s="108" t="e">
        <f t="shared" ref="AQ11" si="3">+AQ10*4%</f>
        <v>#REF!</v>
      </c>
      <c r="AR11" s="79"/>
      <c r="AS11" s="80"/>
      <c r="AT11" s="80"/>
    </row>
    <row r="12" spans="1:46" x14ac:dyDescent="0.35">
      <c r="B12" s="169" t="s">
        <v>95</v>
      </c>
      <c r="C12" s="84" t="e">
        <f>SUM(C10:C11)</f>
        <v>#REF!</v>
      </c>
      <c r="D12" s="84" t="e">
        <f t="shared" ref="D12:J12" si="4">SUM(D10:D11)</f>
        <v>#REF!</v>
      </c>
      <c r="E12" s="84" t="e">
        <f t="shared" si="4"/>
        <v>#REF!</v>
      </c>
      <c r="F12" s="84" t="e">
        <f t="shared" si="4"/>
        <v>#REF!</v>
      </c>
      <c r="G12" s="84" t="e">
        <f t="shared" si="4"/>
        <v>#REF!</v>
      </c>
      <c r="H12" s="84" t="e">
        <f t="shared" si="4"/>
        <v>#REF!</v>
      </c>
      <c r="I12" s="84" t="e">
        <f t="shared" si="4"/>
        <v>#REF!</v>
      </c>
      <c r="J12" s="80">
        <f t="shared" si="4"/>
        <v>0</v>
      </c>
      <c r="K12" s="80"/>
      <c r="L12" s="169" t="s">
        <v>95</v>
      </c>
      <c r="M12" s="84" t="e">
        <f t="shared" ref="M12:O12" si="5">SUM(M10:M11)</f>
        <v>#REF!</v>
      </c>
      <c r="N12" s="84" t="e">
        <f t="shared" si="5"/>
        <v>#REF!</v>
      </c>
      <c r="O12" s="84" t="e">
        <f t="shared" si="5"/>
        <v>#REF!</v>
      </c>
      <c r="Q12" s="157" t="s">
        <v>30</v>
      </c>
      <c r="R12" s="158">
        <f>+R11+R10</f>
        <v>1069.3488</v>
      </c>
      <c r="S12" s="159">
        <f>+S11+S10</f>
        <v>1091.0536000000002</v>
      </c>
      <c r="T12" s="158">
        <f>+T11+T10</f>
        <v>1140.1935999999998</v>
      </c>
      <c r="U12" s="158">
        <f>+U11+U10</f>
        <v>1127.0999999999999</v>
      </c>
      <c r="V12" s="158">
        <f t="shared" ref="V12:AP12" si="6">+V11+V10</f>
        <v>1149.72</v>
      </c>
      <c r="W12" s="158">
        <f t="shared" si="6"/>
        <v>1181.0239999999999</v>
      </c>
      <c r="X12" s="158">
        <f t="shared" si="6"/>
        <v>1241.5</v>
      </c>
      <c r="Y12" s="158">
        <f t="shared" si="6"/>
        <v>1288.3</v>
      </c>
      <c r="Z12" s="158">
        <f t="shared" si="6"/>
        <v>1307.28</v>
      </c>
      <c r="AA12" s="158">
        <f t="shared" si="6"/>
        <v>1363.7</v>
      </c>
      <c r="AB12" s="158">
        <f t="shared" si="6"/>
        <v>1476.8</v>
      </c>
      <c r="AC12" s="158">
        <f t="shared" si="6"/>
        <v>1438.4653150684931</v>
      </c>
      <c r="AD12" s="158">
        <f t="shared" si="6"/>
        <v>1437.8038262661369</v>
      </c>
      <c r="AE12" s="158">
        <f t="shared" si="6"/>
        <v>1433.6641479452055</v>
      </c>
      <c r="AF12" s="158" t="e">
        <f t="shared" si="6"/>
        <v>#REF!</v>
      </c>
      <c r="AG12" s="158" t="e">
        <f t="shared" si="6"/>
        <v>#REF!</v>
      </c>
      <c r="AH12" s="158" t="e">
        <f t="shared" si="6"/>
        <v>#REF!</v>
      </c>
      <c r="AI12" s="158" t="e">
        <f t="shared" si="6"/>
        <v>#REF!</v>
      </c>
      <c r="AJ12" s="158" t="e">
        <f t="shared" si="6"/>
        <v>#REF!</v>
      </c>
      <c r="AK12" s="158" t="e">
        <f t="shared" si="6"/>
        <v>#REF!</v>
      </c>
      <c r="AL12" s="158" t="e">
        <f t="shared" si="6"/>
        <v>#REF!</v>
      </c>
      <c r="AM12" s="158" t="e">
        <f t="shared" si="6"/>
        <v>#REF!</v>
      </c>
      <c r="AN12" s="158" t="e">
        <f t="shared" si="6"/>
        <v>#REF!</v>
      </c>
      <c r="AO12" s="158" t="e">
        <f t="shared" si="6"/>
        <v>#REF!</v>
      </c>
      <c r="AP12" s="158" t="e">
        <f t="shared" si="6"/>
        <v>#REF!</v>
      </c>
      <c r="AQ12" s="158" t="e">
        <f t="shared" ref="AQ12" si="7">+AQ11+AQ10</f>
        <v>#REF!</v>
      </c>
      <c r="AR12" s="79"/>
      <c r="AS12" s="80"/>
      <c r="AT12" s="80"/>
    </row>
    <row r="13" spans="1:46" x14ac:dyDescent="0.35">
      <c r="B13" s="170" t="s">
        <v>26</v>
      </c>
      <c r="C13" s="80">
        <f>8.2+0.03</f>
        <v>8.2299999999999986</v>
      </c>
      <c r="D13" s="80">
        <v>8.2299999999999986</v>
      </c>
      <c r="E13" s="80">
        <f>8.2+0.03</f>
        <v>8.2299999999999986</v>
      </c>
      <c r="F13" s="80">
        <f>8.2+0.03</f>
        <v>8.2299999999999986</v>
      </c>
      <c r="G13" s="80">
        <v>11.200000000000001</v>
      </c>
      <c r="H13" s="80">
        <v>11.200000000000001</v>
      </c>
      <c r="I13" s="80">
        <f>11.15+0.05</f>
        <v>11.200000000000001</v>
      </c>
      <c r="J13" s="80"/>
      <c r="L13" s="170" t="s">
        <v>26</v>
      </c>
      <c r="M13" s="80">
        <f>27.2+0.11</f>
        <v>27.31</v>
      </c>
      <c r="N13" s="80">
        <f>27.2+0.12</f>
        <v>27.32</v>
      </c>
      <c r="O13" s="80">
        <f>27.2+0.12</f>
        <v>27.32</v>
      </c>
      <c r="Q13" s="160" t="s">
        <v>32</v>
      </c>
      <c r="R13" s="161">
        <f>+R12*(1-5%)</f>
        <v>1015.88136</v>
      </c>
      <c r="S13" s="161">
        <f t="shared" ref="S13:AM13" si="8">+S12*(1-5%)</f>
        <v>1036.5009200000002</v>
      </c>
      <c r="T13" s="161">
        <f t="shared" si="8"/>
        <v>1083.1839199999997</v>
      </c>
      <c r="U13" s="161">
        <f t="shared" si="8"/>
        <v>1070.7449999999999</v>
      </c>
      <c r="V13" s="161">
        <f t="shared" si="8"/>
        <v>1092.2339999999999</v>
      </c>
      <c r="W13" s="161">
        <f t="shared" si="8"/>
        <v>1121.9727999999998</v>
      </c>
      <c r="X13" s="161">
        <f t="shared" si="8"/>
        <v>1179.425</v>
      </c>
      <c r="Y13" s="161">
        <f t="shared" si="8"/>
        <v>1223.885</v>
      </c>
      <c r="Z13" s="161">
        <f t="shared" si="8"/>
        <v>1241.9159999999999</v>
      </c>
      <c r="AA13" s="161">
        <f t="shared" si="8"/>
        <v>1295.5149999999999</v>
      </c>
      <c r="AB13" s="161">
        <f t="shared" si="8"/>
        <v>1402.9599999999998</v>
      </c>
      <c r="AC13" s="161">
        <f t="shared" si="8"/>
        <v>1366.5420493150684</v>
      </c>
      <c r="AD13" s="161">
        <f t="shared" si="8"/>
        <v>1365.9136349528299</v>
      </c>
      <c r="AE13" s="161">
        <f t="shared" si="8"/>
        <v>1361.9809405479452</v>
      </c>
      <c r="AF13" s="161" t="e">
        <f t="shared" si="8"/>
        <v>#REF!</v>
      </c>
      <c r="AG13" s="161" t="e">
        <f t="shared" si="8"/>
        <v>#REF!</v>
      </c>
      <c r="AH13" s="161" t="e">
        <f t="shared" si="8"/>
        <v>#REF!</v>
      </c>
      <c r="AI13" s="161" t="e">
        <f t="shared" si="8"/>
        <v>#REF!</v>
      </c>
      <c r="AJ13" s="161" t="e">
        <f t="shared" si="8"/>
        <v>#REF!</v>
      </c>
      <c r="AK13" s="161" t="e">
        <f t="shared" si="8"/>
        <v>#REF!</v>
      </c>
      <c r="AL13" s="161" t="e">
        <f t="shared" si="8"/>
        <v>#REF!</v>
      </c>
      <c r="AM13" s="161" t="e">
        <f t="shared" si="8"/>
        <v>#REF!</v>
      </c>
      <c r="AN13" s="161">
        <v>1267</v>
      </c>
      <c r="AO13" s="161" t="e">
        <f t="shared" ref="AO13:AQ13" si="9">+AO12*(1-5%)</f>
        <v>#REF!</v>
      </c>
      <c r="AP13" s="161" t="e">
        <f t="shared" si="9"/>
        <v>#REF!</v>
      </c>
      <c r="AQ13" s="161" t="e">
        <f t="shared" si="9"/>
        <v>#REF!</v>
      </c>
      <c r="AR13" s="182">
        <v>1267</v>
      </c>
      <c r="AS13" s="81" t="s">
        <v>105</v>
      </c>
      <c r="AT13" s="80"/>
    </row>
    <row r="14" spans="1:46" x14ac:dyDescent="0.35">
      <c r="B14" s="170" t="s">
        <v>31</v>
      </c>
      <c r="C14" s="80">
        <v>1.5</v>
      </c>
      <c r="D14" s="80">
        <v>1.5</v>
      </c>
      <c r="E14" s="80">
        <v>1.83</v>
      </c>
      <c r="F14" s="80">
        <v>1.83</v>
      </c>
      <c r="G14" s="80">
        <v>3.45</v>
      </c>
      <c r="H14" s="80">
        <v>3.45</v>
      </c>
      <c r="I14" s="80">
        <v>3.45</v>
      </c>
      <c r="J14" s="80"/>
      <c r="L14" s="170" t="s">
        <v>31</v>
      </c>
      <c r="M14" s="80">
        <v>0.9</v>
      </c>
      <c r="N14" s="80">
        <v>2.1800000000000002</v>
      </c>
      <c r="O14" s="80">
        <v>2.1800000000000002</v>
      </c>
      <c r="Q14" s="128" t="s">
        <v>100</v>
      </c>
      <c r="R14" s="128" t="s">
        <v>18</v>
      </c>
      <c r="S14" s="128" t="s">
        <v>18</v>
      </c>
      <c r="T14" s="128" t="s">
        <v>18</v>
      </c>
      <c r="U14" s="128" t="s">
        <v>18</v>
      </c>
      <c r="V14" s="128" t="s">
        <v>18</v>
      </c>
      <c r="W14" s="128" t="s">
        <v>18</v>
      </c>
      <c r="X14" s="128" t="s">
        <v>18</v>
      </c>
      <c r="Y14" s="128" t="s">
        <v>18</v>
      </c>
      <c r="Z14" s="128" t="s">
        <v>18</v>
      </c>
      <c r="AA14" s="128" t="s">
        <v>18</v>
      </c>
      <c r="AB14" s="128" t="s">
        <v>18</v>
      </c>
      <c r="AC14" s="128" t="s">
        <v>18</v>
      </c>
      <c r="AD14" s="128" t="s">
        <v>18</v>
      </c>
      <c r="AE14" s="128" t="s">
        <v>18</v>
      </c>
      <c r="AF14" s="128" t="s">
        <v>18</v>
      </c>
      <c r="AG14" s="128" t="s">
        <v>18</v>
      </c>
      <c r="AH14" s="128" t="s">
        <v>18</v>
      </c>
      <c r="AI14" s="128" t="s">
        <v>18</v>
      </c>
      <c r="AJ14" s="129">
        <v>0</v>
      </c>
      <c r="AK14" s="129">
        <f>+AT14</f>
        <v>0</v>
      </c>
      <c r="AL14" s="129">
        <v>15.097681007201158</v>
      </c>
      <c r="AM14" s="129">
        <v>15.162458159293488</v>
      </c>
      <c r="AN14" s="129">
        <f>((((AN13*4.5%)/365)*210))*50%</f>
        <v>16.401575342465755</v>
      </c>
      <c r="AO14" s="129" t="e">
        <f>((((AO13*4.5%)/365)*210))*50%</f>
        <v>#REF!</v>
      </c>
      <c r="AP14" s="129" t="e">
        <f>((((AP13*4.5%)/365)*210))*50%</f>
        <v>#REF!</v>
      </c>
      <c r="AQ14" s="129" t="e">
        <f>((((AQ13*4.5%)/365)*210))*50%</f>
        <v>#REF!</v>
      </c>
      <c r="AR14" s="182" t="e">
        <f>+AQ15-AR13</f>
        <v>#REF!</v>
      </c>
      <c r="AS14" s="81" t="s">
        <v>106</v>
      </c>
      <c r="AT14" s="91"/>
    </row>
    <row r="15" spans="1:46" x14ac:dyDescent="0.35">
      <c r="B15" s="170" t="s">
        <v>34</v>
      </c>
      <c r="C15" s="80">
        <v>0.19</v>
      </c>
      <c r="D15" s="80">
        <v>0.19</v>
      </c>
      <c r="E15" s="80">
        <v>0.19</v>
      </c>
      <c r="F15" s="80">
        <v>0.19</v>
      </c>
      <c r="G15" s="80">
        <v>0.33</v>
      </c>
      <c r="H15" s="80">
        <v>0.33</v>
      </c>
      <c r="I15" s="80">
        <v>0.33</v>
      </c>
      <c r="J15" s="80"/>
      <c r="L15" s="170" t="s">
        <v>34</v>
      </c>
      <c r="M15" s="80">
        <v>4.3</v>
      </c>
      <c r="N15" s="80">
        <v>4.3</v>
      </c>
      <c r="O15" s="80">
        <v>4.3</v>
      </c>
      <c r="Q15" s="179" t="s">
        <v>101</v>
      </c>
      <c r="R15" s="179"/>
      <c r="S15" s="179"/>
      <c r="T15" s="179"/>
      <c r="U15" s="179"/>
      <c r="V15" s="179"/>
      <c r="W15" s="179"/>
      <c r="X15" s="179"/>
      <c r="Y15" s="179"/>
      <c r="Z15" s="179"/>
      <c r="AA15" s="179"/>
      <c r="AB15" s="179"/>
      <c r="AC15" s="179"/>
      <c r="AD15" s="179"/>
      <c r="AE15" s="179"/>
      <c r="AF15" s="179"/>
      <c r="AG15" s="179"/>
      <c r="AH15" s="179"/>
      <c r="AI15" s="179"/>
      <c r="AJ15" s="180"/>
      <c r="AK15" s="180" t="e">
        <f t="shared" ref="AK15:AQ15" si="10">+AK13+AK14</f>
        <v>#REF!</v>
      </c>
      <c r="AL15" s="180" t="e">
        <f t="shared" si="10"/>
        <v>#REF!</v>
      </c>
      <c r="AM15" s="180" t="e">
        <f t="shared" si="10"/>
        <v>#REF!</v>
      </c>
      <c r="AN15" s="180">
        <f t="shared" si="10"/>
        <v>1283.4015753424658</v>
      </c>
      <c r="AO15" s="180" t="e">
        <f t="shared" si="10"/>
        <v>#REF!</v>
      </c>
      <c r="AP15" s="180" t="e">
        <f t="shared" si="10"/>
        <v>#REF!</v>
      </c>
      <c r="AQ15" s="180" t="e">
        <f t="shared" si="10"/>
        <v>#REF!</v>
      </c>
      <c r="AR15" s="85"/>
      <c r="AS15" s="91"/>
      <c r="AT15" s="80"/>
    </row>
    <row r="16" spans="1:46" x14ac:dyDescent="0.35">
      <c r="A16" s="81" t="s">
        <v>38</v>
      </c>
      <c r="B16" s="170" t="s">
        <v>36</v>
      </c>
      <c r="C16" s="80">
        <v>0.16</v>
      </c>
      <c r="D16" s="80">
        <v>0.16</v>
      </c>
      <c r="E16" s="80">
        <v>0.16</v>
      </c>
      <c r="F16" s="80">
        <v>0.16</v>
      </c>
      <c r="G16" s="80">
        <v>0.28000000000000003</v>
      </c>
      <c r="H16" s="80">
        <v>0.28000000000000003</v>
      </c>
      <c r="I16" s="80">
        <v>0.28000000000000003</v>
      </c>
      <c r="J16" s="80"/>
      <c r="L16" s="170" t="s">
        <v>36</v>
      </c>
      <c r="M16" s="80">
        <v>8.36</v>
      </c>
      <c r="N16" s="80">
        <v>8.36</v>
      </c>
      <c r="O16" s="80">
        <v>8.36</v>
      </c>
      <c r="Q16" s="157" t="s">
        <v>96</v>
      </c>
      <c r="R16" s="158">
        <f t="shared" ref="R16:AH16" si="11">+R12*75%+R13*25%</f>
        <v>1055.9819400000001</v>
      </c>
      <c r="S16" s="158">
        <f t="shared" si="11"/>
        <v>1077.4154300000002</v>
      </c>
      <c r="T16" s="158">
        <f t="shared" si="11"/>
        <v>1125.9411799999998</v>
      </c>
      <c r="U16" s="158">
        <f t="shared" si="11"/>
        <v>1113.01125</v>
      </c>
      <c r="V16" s="158">
        <f t="shared" si="11"/>
        <v>1135.3485000000001</v>
      </c>
      <c r="W16" s="158">
        <f t="shared" si="11"/>
        <v>1166.2611999999999</v>
      </c>
      <c r="X16" s="158">
        <f t="shared" si="11"/>
        <v>1225.98125</v>
      </c>
      <c r="Y16" s="158">
        <f t="shared" si="11"/>
        <v>1272.19625</v>
      </c>
      <c r="Z16" s="158">
        <f t="shared" si="11"/>
        <v>1290.9390000000001</v>
      </c>
      <c r="AA16" s="158">
        <f t="shared" si="11"/>
        <v>1346.6537499999999</v>
      </c>
      <c r="AB16" s="158">
        <f t="shared" si="11"/>
        <v>1458.34</v>
      </c>
      <c r="AC16" s="158">
        <f t="shared" si="11"/>
        <v>1420.4844986301368</v>
      </c>
      <c r="AD16" s="158">
        <f t="shared" si="11"/>
        <v>1419.8312784378102</v>
      </c>
      <c r="AE16" s="158">
        <f t="shared" si="11"/>
        <v>1415.7433460958905</v>
      </c>
      <c r="AF16" s="158" t="e">
        <f t="shared" si="11"/>
        <v>#REF!</v>
      </c>
      <c r="AG16" s="158" t="e">
        <f t="shared" si="11"/>
        <v>#REF!</v>
      </c>
      <c r="AH16" s="158" t="e">
        <f t="shared" si="11"/>
        <v>#REF!</v>
      </c>
      <c r="AI16" s="158" t="e">
        <f>+AI12*50%+AI13*50%</f>
        <v>#REF!</v>
      </c>
      <c r="AJ16" s="158" t="e">
        <f>+AJ12*50%+AJ13*50%</f>
        <v>#REF!</v>
      </c>
      <c r="AK16" s="158" t="e">
        <f t="shared" ref="AK16:AQ16" si="12">+AK12*50%+AK15*50%</f>
        <v>#REF!</v>
      </c>
      <c r="AL16" s="158" t="e">
        <f t="shared" si="12"/>
        <v>#REF!</v>
      </c>
      <c r="AM16" s="158" t="e">
        <f t="shared" si="12"/>
        <v>#REF!</v>
      </c>
      <c r="AN16" s="158" t="e">
        <f t="shared" si="12"/>
        <v>#REF!</v>
      </c>
      <c r="AO16" s="158" t="e">
        <f t="shared" si="12"/>
        <v>#REF!</v>
      </c>
      <c r="AP16" s="158" t="e">
        <f t="shared" si="12"/>
        <v>#REF!</v>
      </c>
      <c r="AQ16" s="158" t="e">
        <f t="shared" si="12"/>
        <v>#REF!</v>
      </c>
      <c r="AR16" s="80"/>
      <c r="AS16" s="80"/>
      <c r="AT16" s="80"/>
    </row>
    <row r="17" spans="2:48" x14ac:dyDescent="0.35">
      <c r="B17" s="169" t="s">
        <v>39</v>
      </c>
      <c r="C17" s="84" t="e">
        <f>+C12+C13+C14+C15+C16</f>
        <v>#REF!</v>
      </c>
      <c r="D17" s="84" t="e">
        <f t="shared" ref="D17:I17" si="13">+D12+D13+D14+D15+D16</f>
        <v>#REF!</v>
      </c>
      <c r="E17" s="84" t="e">
        <f t="shared" si="13"/>
        <v>#REF!</v>
      </c>
      <c r="F17" s="84" t="e">
        <f t="shared" si="13"/>
        <v>#REF!</v>
      </c>
      <c r="G17" s="84" t="e">
        <f t="shared" si="13"/>
        <v>#REF!</v>
      </c>
      <c r="H17" s="84" t="e">
        <f t="shared" si="13"/>
        <v>#REF!</v>
      </c>
      <c r="I17" s="84" t="e">
        <f t="shared" si="13"/>
        <v>#REF!</v>
      </c>
      <c r="J17" s="84"/>
      <c r="L17" s="169" t="s">
        <v>39</v>
      </c>
      <c r="M17" s="84" t="e">
        <f t="shared" ref="M17:N17" si="14">+M12+M13+M14+M15+M16</f>
        <v>#REF!</v>
      </c>
      <c r="N17" s="84" t="e">
        <f t="shared" si="14"/>
        <v>#REF!</v>
      </c>
      <c r="O17" s="84" t="e">
        <f>+O12+O13+O14+O15+O16</f>
        <v>#REF!</v>
      </c>
      <c r="Q17" s="113" t="s">
        <v>37</v>
      </c>
      <c r="R17" s="118">
        <f>+R16*1%</f>
        <v>10.559819400000002</v>
      </c>
      <c r="S17" s="118">
        <f t="shared" ref="S17:AP17" si="15">+S16*1%</f>
        <v>10.774154300000003</v>
      </c>
      <c r="T17" s="118">
        <f t="shared" si="15"/>
        <v>11.259411799999999</v>
      </c>
      <c r="U17" s="118">
        <f t="shared" si="15"/>
        <v>11.130112500000001</v>
      </c>
      <c r="V17" s="118">
        <f t="shared" si="15"/>
        <v>11.353485000000001</v>
      </c>
      <c r="W17" s="118">
        <f t="shared" si="15"/>
        <v>11.662611999999999</v>
      </c>
      <c r="X17" s="118">
        <f t="shared" si="15"/>
        <v>12.259812500000001</v>
      </c>
      <c r="Y17" s="118">
        <f t="shared" si="15"/>
        <v>12.7219625</v>
      </c>
      <c r="Z17" s="118">
        <f t="shared" si="15"/>
        <v>12.909390000000002</v>
      </c>
      <c r="AA17" s="118">
        <f t="shared" si="15"/>
        <v>13.466537499999999</v>
      </c>
      <c r="AB17" s="118">
        <f t="shared" si="15"/>
        <v>14.583399999999999</v>
      </c>
      <c r="AC17" s="118">
        <f t="shared" si="15"/>
        <v>14.204844986301369</v>
      </c>
      <c r="AD17" s="118">
        <f t="shared" si="15"/>
        <v>14.198312784378102</v>
      </c>
      <c r="AE17" s="118">
        <f t="shared" si="15"/>
        <v>14.157433460958906</v>
      </c>
      <c r="AF17" s="118" t="e">
        <f t="shared" si="15"/>
        <v>#REF!</v>
      </c>
      <c r="AG17" s="118" t="e">
        <f t="shared" si="15"/>
        <v>#REF!</v>
      </c>
      <c r="AH17" s="118" t="e">
        <f t="shared" si="15"/>
        <v>#REF!</v>
      </c>
      <c r="AI17" s="118" t="e">
        <f t="shared" si="15"/>
        <v>#REF!</v>
      </c>
      <c r="AJ17" s="118" t="e">
        <f t="shared" si="15"/>
        <v>#REF!</v>
      </c>
      <c r="AK17" s="118" t="e">
        <f t="shared" si="15"/>
        <v>#REF!</v>
      </c>
      <c r="AL17" s="118" t="e">
        <f t="shared" si="15"/>
        <v>#REF!</v>
      </c>
      <c r="AM17" s="118" t="e">
        <f t="shared" si="15"/>
        <v>#REF!</v>
      </c>
      <c r="AN17" s="118" t="e">
        <f t="shared" si="15"/>
        <v>#REF!</v>
      </c>
      <c r="AO17" s="118" t="e">
        <f t="shared" si="15"/>
        <v>#REF!</v>
      </c>
      <c r="AP17" s="118" t="e">
        <f t="shared" si="15"/>
        <v>#REF!</v>
      </c>
      <c r="AQ17" s="118" t="e">
        <f t="shared" ref="AQ17" si="16">+AQ16*1%</f>
        <v>#REF!</v>
      </c>
      <c r="AR17" s="79"/>
      <c r="AS17" s="80"/>
      <c r="AT17" s="84"/>
    </row>
    <row r="18" spans="2:48" x14ac:dyDescent="0.35">
      <c r="Q18" s="113" t="s">
        <v>74</v>
      </c>
      <c r="R18" s="115">
        <f>+R17+R16</f>
        <v>1066.5417594</v>
      </c>
      <c r="S18" s="115">
        <f t="shared" ref="S18:AP18" si="17">+S17+S16</f>
        <v>1088.1895843000002</v>
      </c>
      <c r="T18" s="115">
        <f t="shared" si="17"/>
        <v>1137.2005917999998</v>
      </c>
      <c r="U18" s="115">
        <f t="shared" si="17"/>
        <v>1124.1413625</v>
      </c>
      <c r="V18" s="115">
        <f t="shared" si="17"/>
        <v>1146.7019850000001</v>
      </c>
      <c r="W18" s="115">
        <f t="shared" si="17"/>
        <v>1177.923812</v>
      </c>
      <c r="X18" s="115">
        <f t="shared" si="17"/>
        <v>1238.2410625</v>
      </c>
      <c r="Y18" s="115">
        <f t="shared" si="17"/>
        <v>1284.9182125</v>
      </c>
      <c r="Z18" s="115">
        <f t="shared" si="17"/>
        <v>1303.8483900000001</v>
      </c>
      <c r="AA18" s="115">
        <f t="shared" si="17"/>
        <v>1360.1202874999999</v>
      </c>
      <c r="AB18" s="115">
        <f t="shared" si="17"/>
        <v>1472.9233999999999</v>
      </c>
      <c r="AC18" s="115">
        <f t="shared" si="17"/>
        <v>1434.6893436164382</v>
      </c>
      <c r="AD18" s="115">
        <f t="shared" si="17"/>
        <v>1434.0295912221882</v>
      </c>
      <c r="AE18" s="115">
        <f t="shared" si="17"/>
        <v>1429.9007795568493</v>
      </c>
      <c r="AF18" s="115" t="e">
        <f t="shared" si="17"/>
        <v>#REF!</v>
      </c>
      <c r="AG18" s="115" t="e">
        <f t="shared" si="17"/>
        <v>#REF!</v>
      </c>
      <c r="AH18" s="115" t="e">
        <f t="shared" si="17"/>
        <v>#REF!</v>
      </c>
      <c r="AI18" s="115" t="e">
        <f t="shared" si="17"/>
        <v>#REF!</v>
      </c>
      <c r="AJ18" s="115" t="e">
        <f t="shared" si="17"/>
        <v>#REF!</v>
      </c>
      <c r="AK18" s="115" t="e">
        <f t="shared" si="17"/>
        <v>#REF!</v>
      </c>
      <c r="AL18" s="115" t="e">
        <f t="shared" si="17"/>
        <v>#REF!</v>
      </c>
      <c r="AM18" s="115" t="e">
        <f t="shared" si="17"/>
        <v>#REF!</v>
      </c>
      <c r="AN18" s="115" t="e">
        <f t="shared" si="17"/>
        <v>#REF!</v>
      </c>
      <c r="AO18" s="115" t="e">
        <f t="shared" si="17"/>
        <v>#REF!</v>
      </c>
      <c r="AP18" s="115" t="e">
        <f t="shared" si="17"/>
        <v>#REF!</v>
      </c>
      <c r="AQ18" s="115" t="e">
        <f t="shared" ref="AQ18" si="18">+AQ17+AQ16</f>
        <v>#REF!</v>
      </c>
      <c r="AR18" s="181"/>
      <c r="AS18" s="84"/>
      <c r="AT18" s="84"/>
      <c r="AV18" s="182"/>
    </row>
    <row r="19" spans="2:48" x14ac:dyDescent="0.35">
      <c r="B19" s="169"/>
      <c r="C19" s="84"/>
      <c r="D19" s="84"/>
      <c r="E19" s="84"/>
      <c r="F19" s="84"/>
      <c r="G19" s="84"/>
      <c r="H19" s="84"/>
      <c r="I19" s="84"/>
      <c r="J19" s="84"/>
      <c r="K19" s="94"/>
      <c r="M19" s="84"/>
      <c r="N19" s="84"/>
      <c r="O19" s="84"/>
      <c r="Q19" s="85"/>
      <c r="R19" s="120" t="e">
        <f>+#REF!</f>
        <v>#REF!</v>
      </c>
      <c r="S19" s="120" t="e">
        <f>+R19</f>
        <v>#REF!</v>
      </c>
      <c r="T19" s="120" t="e">
        <f>+S19</f>
        <v>#REF!</v>
      </c>
      <c r="U19" s="120" t="e">
        <f>+T19</f>
        <v>#REF!</v>
      </c>
      <c r="V19" s="120" t="e">
        <f t="shared" ref="V19:AG19" si="19">+U19</f>
        <v>#REF!</v>
      </c>
      <c r="W19" s="120" t="e">
        <f t="shared" si="19"/>
        <v>#REF!</v>
      </c>
      <c r="X19" s="120" t="e">
        <f t="shared" si="19"/>
        <v>#REF!</v>
      </c>
      <c r="Y19" s="120" t="e">
        <f t="shared" si="19"/>
        <v>#REF!</v>
      </c>
      <c r="Z19" s="120" t="e">
        <f t="shared" si="19"/>
        <v>#REF!</v>
      </c>
      <c r="AA19" s="120" t="e">
        <f t="shared" si="19"/>
        <v>#REF!</v>
      </c>
      <c r="AB19" s="120" t="e">
        <f t="shared" si="19"/>
        <v>#REF!</v>
      </c>
      <c r="AC19" s="120" t="e">
        <f t="shared" si="19"/>
        <v>#REF!</v>
      </c>
      <c r="AD19" s="120" t="e">
        <f t="shared" si="19"/>
        <v>#REF!</v>
      </c>
      <c r="AE19" s="120" t="e">
        <f t="shared" si="19"/>
        <v>#REF!</v>
      </c>
      <c r="AF19" s="120" t="e">
        <f t="shared" si="19"/>
        <v>#REF!</v>
      </c>
      <c r="AG19" s="120" t="e">
        <f t="shared" si="19"/>
        <v>#REF!</v>
      </c>
      <c r="AH19" s="120"/>
      <c r="AI19" s="120"/>
      <c r="AJ19" s="120"/>
      <c r="AK19" s="120"/>
      <c r="AL19" s="120"/>
      <c r="AM19" s="120"/>
      <c r="AN19" s="120"/>
      <c r="AO19" s="120"/>
      <c r="AP19" s="120"/>
      <c r="AQ19" s="120"/>
      <c r="AS19" s="84"/>
      <c r="AT19" s="82"/>
    </row>
    <row r="20" spans="2:48" x14ac:dyDescent="0.35">
      <c r="C20" s="132"/>
      <c r="D20" s="132"/>
      <c r="E20" s="132"/>
      <c r="F20" s="132"/>
      <c r="G20" s="132"/>
      <c r="H20" s="132"/>
      <c r="I20" s="132"/>
      <c r="K20" s="94"/>
      <c r="Q20" s="82"/>
      <c r="R20" s="82"/>
      <c r="S20" s="82"/>
      <c r="U20" s="94"/>
      <c r="V20" s="94"/>
      <c r="W20" s="94"/>
      <c r="X20" s="94"/>
      <c r="Y20" s="94"/>
      <c r="Z20" s="94"/>
      <c r="AA20" s="94"/>
      <c r="AB20" s="94"/>
      <c r="AC20" s="94"/>
      <c r="AD20" s="94"/>
      <c r="AE20" s="94"/>
      <c r="AF20" s="94"/>
      <c r="AG20" s="94"/>
      <c r="AH20" s="94"/>
      <c r="AI20" s="94"/>
      <c r="AJ20" s="94"/>
      <c r="AK20" s="94"/>
      <c r="AL20" s="94"/>
      <c r="AM20" s="94"/>
      <c r="AN20" s="94"/>
      <c r="AO20" s="94"/>
      <c r="AP20" s="94"/>
      <c r="AQ20" s="94"/>
      <c r="AS20" s="82"/>
      <c r="AT20" s="82"/>
    </row>
    <row r="21" spans="2:48" x14ac:dyDescent="0.35">
      <c r="M21" s="86"/>
      <c r="AS21" s="82"/>
    </row>
    <row r="22" spans="2:48" x14ac:dyDescent="0.35">
      <c r="C22" s="201"/>
      <c r="F22" s="201"/>
      <c r="I22" s="201"/>
      <c r="M22" s="201"/>
      <c r="N22" s="201"/>
      <c r="O22" s="201"/>
    </row>
    <row r="23" spans="2:48" x14ac:dyDescent="0.35">
      <c r="F23" s="201">
        <f>+F22-F20</f>
        <v>0</v>
      </c>
    </row>
    <row r="26" spans="2:48" x14ac:dyDescent="0.35">
      <c r="N26" s="123"/>
      <c r="AH26" s="164"/>
    </row>
    <row r="33" spans="1:48" s="82" customFormat="1" x14ac:dyDescent="0.35">
      <c r="A33" s="81"/>
      <c r="B33" s="173" t="s">
        <v>51</v>
      </c>
      <c r="J33" s="81"/>
      <c r="K33" s="81"/>
      <c r="L33" s="173"/>
      <c r="P33" s="81"/>
      <c r="Q33" s="81"/>
      <c r="R33" s="81"/>
      <c r="S33" s="81"/>
      <c r="T33" s="81"/>
      <c r="U33" s="81"/>
      <c r="V33" s="81"/>
      <c r="W33" s="81"/>
      <c r="X33" s="81"/>
      <c r="Y33" s="81"/>
      <c r="Z33" s="81"/>
      <c r="AA33" s="81"/>
      <c r="AB33" s="81"/>
      <c r="AC33" s="81"/>
      <c r="AD33" s="81"/>
      <c r="AE33" s="81"/>
      <c r="AF33" s="81"/>
      <c r="AG33" s="81"/>
      <c r="AH33" s="81"/>
      <c r="AI33" s="81"/>
      <c r="AJ33" s="81"/>
      <c r="AK33" s="81"/>
      <c r="AL33" s="81"/>
      <c r="AM33" s="81"/>
      <c r="AN33" s="81"/>
      <c r="AO33" s="81"/>
      <c r="AP33" s="81"/>
      <c r="AQ33" s="81"/>
      <c r="AR33" s="81"/>
      <c r="AS33" s="81"/>
      <c r="AT33" s="81"/>
      <c r="AU33" s="81"/>
      <c r="AV33" s="81"/>
    </row>
  </sheetData>
  <mergeCells count="6">
    <mergeCell ref="Q1:AT1"/>
    <mergeCell ref="B2:D2"/>
    <mergeCell ref="Q2:R2"/>
    <mergeCell ref="AR2:AS2"/>
    <mergeCell ref="B3:D3"/>
    <mergeCell ref="AR3:AS3"/>
  </mergeCells>
  <pageMargins left="0.7" right="0.7" top="0.75" bottom="0.75" header="0.3" footer="0.3"/>
  <pageSetup orientation="portrait" r:id="rId1"/>
  <customProperties>
    <customPr name="EpmWorksheetKeyString_GUID" r:id="rId2"/>
  </customProperties>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BC35"/>
  <sheetViews>
    <sheetView topLeftCell="B1" zoomScale="90" zoomScaleNormal="90" workbookViewId="0">
      <selection activeCell="B1" sqref="B1:N19"/>
    </sheetView>
  </sheetViews>
  <sheetFormatPr defaultColWidth="11.453125" defaultRowHeight="14.5" x14ac:dyDescent="0.35"/>
  <cols>
    <col min="1" max="1" width="3.453125" style="81" customWidth="1"/>
    <col min="2" max="2" width="18.81640625" style="173" bestFit="1" customWidth="1"/>
    <col min="3" max="3" width="10.81640625" style="82" customWidth="1"/>
    <col min="4" max="5" width="10.54296875" style="82" hidden="1" customWidth="1"/>
    <col min="6" max="6" width="11" style="82" customWidth="1"/>
    <col min="7" max="7" width="11.1796875" style="82" hidden="1" customWidth="1"/>
    <col min="8" max="8" width="11" style="82" hidden="1" customWidth="1"/>
    <col min="9" max="9" width="11.54296875" style="82" customWidth="1"/>
    <col min="10" max="10" width="8.54296875" style="81" hidden="1" customWidth="1"/>
    <col min="11" max="11" width="2.81640625" style="81" customWidth="1"/>
    <col min="12" max="12" width="20" style="173" customWidth="1"/>
    <col min="13" max="14" width="10.81640625" style="82" customWidth="1"/>
    <col min="15" max="15" width="10.81640625" style="82" hidden="1" customWidth="1"/>
    <col min="16" max="16" width="2.81640625" style="81" customWidth="1"/>
    <col min="17" max="17" width="29.1796875" style="81" customWidth="1"/>
    <col min="18" max="18" width="16.1796875" style="81" hidden="1" customWidth="1"/>
    <col min="19" max="19" width="17.54296875" style="81" hidden="1" customWidth="1"/>
    <col min="20" max="20" width="14.54296875" style="81" hidden="1" customWidth="1"/>
    <col min="21" max="21" width="16" style="81" hidden="1" customWidth="1"/>
    <col min="22" max="22" width="17.81640625" style="81" hidden="1" customWidth="1"/>
    <col min="23" max="23" width="17.1796875" style="81" hidden="1" customWidth="1"/>
    <col min="24" max="29" width="14.453125" style="81" hidden="1" customWidth="1"/>
    <col min="30" max="30" width="16.453125" style="81" hidden="1" customWidth="1"/>
    <col min="31" max="33" width="14.81640625" style="81" hidden="1" customWidth="1"/>
    <col min="34" max="34" width="16.54296875" style="81" hidden="1" customWidth="1"/>
    <col min="35" max="36" width="17.54296875" style="81" hidden="1" customWidth="1"/>
    <col min="37" max="40" width="15.1796875" style="81" hidden="1" customWidth="1"/>
    <col min="41" max="41" width="13.81640625" style="81" hidden="1" customWidth="1"/>
    <col min="42" max="42" width="14.453125" style="81" hidden="1" customWidth="1"/>
    <col min="43" max="45" width="16.54296875" style="81" hidden="1" customWidth="1"/>
    <col min="46" max="46" width="15.81640625" style="81" hidden="1" customWidth="1"/>
    <col min="47" max="49" width="16.54296875" style="81" hidden="1" customWidth="1"/>
    <col min="50" max="50" width="16.54296875" style="81" bestFit="1" customWidth="1"/>
    <col min="51" max="54" width="11.453125" style="81" customWidth="1"/>
    <col min="55" max="16384" width="11.453125" style="81"/>
  </cols>
  <sheetData>
    <row r="1" spans="2:54" x14ac:dyDescent="0.35">
      <c r="B1" s="122"/>
      <c r="C1" s="86"/>
      <c r="D1" s="86"/>
      <c r="E1" s="86"/>
      <c r="F1" s="87"/>
      <c r="G1" s="87"/>
      <c r="H1" s="87"/>
      <c r="I1" s="87"/>
      <c r="J1" s="87"/>
      <c r="K1" s="87"/>
      <c r="L1" s="122"/>
      <c r="M1" s="87"/>
      <c r="N1" s="87"/>
      <c r="O1" s="87"/>
      <c r="Q1" s="574"/>
      <c r="R1" s="574"/>
      <c r="S1" s="574"/>
      <c r="T1" s="574"/>
      <c r="U1" s="574"/>
      <c r="V1" s="574"/>
      <c r="W1" s="574"/>
      <c r="X1" s="574"/>
      <c r="Y1" s="574"/>
      <c r="Z1" s="574"/>
      <c r="AA1" s="574"/>
      <c r="AB1" s="574"/>
      <c r="AC1" s="574"/>
      <c r="AD1" s="574"/>
      <c r="AE1" s="574"/>
      <c r="AF1" s="574"/>
      <c r="AG1" s="574"/>
      <c r="AH1" s="574"/>
      <c r="AI1" s="574"/>
      <c r="AJ1" s="574"/>
      <c r="AK1" s="574"/>
      <c r="AL1" s="574"/>
      <c r="AM1" s="574"/>
      <c r="AN1" s="574"/>
      <c r="AO1" s="574"/>
      <c r="AP1" s="574"/>
      <c r="AQ1" s="574"/>
      <c r="AR1" s="574"/>
      <c r="AS1" s="574"/>
      <c r="AT1" s="574"/>
      <c r="AU1" s="574"/>
      <c r="AV1" s="574"/>
      <c r="AW1" s="574"/>
      <c r="AX1" s="574"/>
      <c r="AY1" s="574"/>
      <c r="AZ1" s="574"/>
      <c r="BA1" s="574"/>
    </row>
    <row r="2" spans="2:54" s="142" customFormat="1" ht="15" customHeight="1" x14ac:dyDescent="0.35">
      <c r="B2" s="576" t="s">
        <v>66</v>
      </c>
      <c r="C2" s="576"/>
      <c r="D2" s="576"/>
      <c r="F2" s="141" t="e">
        <f>+AX12</f>
        <v>#REF!</v>
      </c>
      <c r="H2" s="141"/>
      <c r="I2" s="141"/>
      <c r="J2" s="143">
        <v>0.05</v>
      </c>
      <c r="K2" s="144"/>
      <c r="L2" s="171"/>
      <c r="M2" s="141"/>
      <c r="N2" s="141"/>
      <c r="O2" s="141"/>
      <c r="Q2" s="576"/>
      <c r="R2" s="576"/>
      <c r="S2" s="141"/>
      <c r="T2" s="143"/>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4"/>
      <c r="AV2" s="144"/>
      <c r="AW2" s="144"/>
      <c r="AX2" s="144"/>
      <c r="AY2" s="576"/>
      <c r="AZ2" s="576"/>
      <c r="BA2" s="141"/>
    </row>
    <row r="3" spans="2:54" s="133" customFormat="1" ht="15" customHeight="1" x14ac:dyDescent="0.35">
      <c r="B3" s="576" t="s">
        <v>67</v>
      </c>
      <c r="C3" s="576"/>
      <c r="D3" s="576"/>
      <c r="F3" s="134">
        <f>+AX16</f>
        <v>1344.6847602739726</v>
      </c>
      <c r="G3" s="135"/>
      <c r="H3" s="134"/>
      <c r="I3" s="134"/>
      <c r="J3" s="137" t="e">
        <f>+F2*J2</f>
        <v>#REF!</v>
      </c>
      <c r="K3" s="136"/>
      <c r="L3" s="200"/>
      <c r="M3" s="200"/>
      <c r="N3" s="134"/>
      <c r="O3" s="134"/>
      <c r="Q3" s="138"/>
      <c r="R3" s="139"/>
      <c r="S3" s="140"/>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577"/>
      <c r="AZ3" s="577"/>
      <c r="BA3" s="134"/>
    </row>
    <row r="4" spans="2:54" ht="23.5" hidden="1" x14ac:dyDescent="0.55000000000000004">
      <c r="B4" s="169"/>
      <c r="C4" s="92" t="e">
        <f>+(C10+C11)/C6*1000</f>
        <v>#REF!</v>
      </c>
      <c r="D4" s="92" t="e">
        <f>+(G10+G11)/G6*1000</f>
        <v>#REF!</v>
      </c>
      <c r="E4" s="92" t="e">
        <f>+(E10+E11)/E6*1000</f>
        <v>#REF!</v>
      </c>
      <c r="F4" s="92" t="e">
        <f>+(F10+F11)/F6*1000</f>
        <v>#REF!</v>
      </c>
      <c r="I4" s="92" t="e">
        <f>+(I10+I11)/I6*1000</f>
        <v>#REF!</v>
      </c>
      <c r="K4" s="88"/>
      <c r="L4" s="169"/>
      <c r="M4" s="92"/>
      <c r="N4" s="92"/>
      <c r="O4" s="92"/>
      <c r="Q4" s="93"/>
      <c r="R4" s="82"/>
      <c r="S4" s="90"/>
      <c r="T4" s="94"/>
      <c r="U4" s="88"/>
      <c r="V4" s="8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88"/>
      <c r="AW4" s="88"/>
      <c r="AX4" s="88"/>
      <c r="AY4" s="91"/>
      <c r="AZ4" s="91"/>
      <c r="BA4" s="78"/>
    </row>
    <row r="5" spans="2:54" s="95" customFormat="1" ht="33.75" customHeight="1" x14ac:dyDescent="0.35">
      <c r="B5" s="169" t="s">
        <v>5</v>
      </c>
      <c r="C5" s="85" t="s">
        <v>68</v>
      </c>
      <c r="D5" s="85" t="s">
        <v>69</v>
      </c>
      <c r="E5" s="85" t="s">
        <v>69</v>
      </c>
      <c r="F5" s="85" t="s">
        <v>69</v>
      </c>
      <c r="G5" s="85" t="s">
        <v>70</v>
      </c>
      <c r="H5" s="85" t="s">
        <v>70</v>
      </c>
      <c r="I5" s="85" t="s">
        <v>70</v>
      </c>
      <c r="J5" s="85"/>
      <c r="K5" s="88"/>
      <c r="L5" s="169" t="s">
        <v>71</v>
      </c>
      <c r="M5" s="96" t="s">
        <v>7</v>
      </c>
      <c r="N5" s="96" t="s">
        <v>8</v>
      </c>
      <c r="O5" s="96" t="s">
        <v>8</v>
      </c>
      <c r="Q5" s="147" t="s">
        <v>72</v>
      </c>
      <c r="R5" s="99" t="s">
        <v>54</v>
      </c>
      <c r="S5" s="99" t="s">
        <v>55</v>
      </c>
      <c r="T5" s="99" t="s">
        <v>56</v>
      </c>
      <c r="U5" s="99" t="s">
        <v>12</v>
      </c>
      <c r="V5" s="99" t="s">
        <v>57</v>
      </c>
      <c r="W5" s="99" t="s">
        <v>58</v>
      </c>
      <c r="X5" s="99" t="s">
        <v>59</v>
      </c>
      <c r="Y5" s="99" t="s">
        <v>60</v>
      </c>
      <c r="Z5" s="99" t="s">
        <v>62</v>
      </c>
      <c r="AA5" s="99" t="s">
        <v>64</v>
      </c>
      <c r="AB5" s="99" t="s">
        <v>65</v>
      </c>
      <c r="AC5" s="99" t="s">
        <v>73</v>
      </c>
      <c r="AD5" s="99" t="s">
        <v>53</v>
      </c>
      <c r="AE5" s="99" t="s">
        <v>77</v>
      </c>
      <c r="AF5" s="99" t="s">
        <v>78</v>
      </c>
      <c r="AG5" s="99" t="s">
        <v>79</v>
      </c>
      <c r="AH5" s="99" t="s">
        <v>90</v>
      </c>
      <c r="AI5" s="99" t="s">
        <v>91</v>
      </c>
      <c r="AJ5" s="99" t="s">
        <v>97</v>
      </c>
      <c r="AK5" s="99" t="s">
        <v>98</v>
      </c>
      <c r="AL5" s="99" t="s">
        <v>102</v>
      </c>
      <c r="AM5" s="99" t="s">
        <v>103</v>
      </c>
      <c r="AN5" s="99" t="s">
        <v>104</v>
      </c>
      <c r="AO5" s="99" t="s">
        <v>107</v>
      </c>
      <c r="AP5" s="99" t="s">
        <v>108</v>
      </c>
      <c r="AQ5" s="99" t="s">
        <v>114</v>
      </c>
      <c r="AR5" s="99" t="s">
        <v>121</v>
      </c>
      <c r="AS5" s="99" t="s">
        <v>122</v>
      </c>
      <c r="AT5" s="99" t="s">
        <v>123</v>
      </c>
      <c r="AU5" s="99" t="s">
        <v>124</v>
      </c>
      <c r="AV5" s="99" t="s">
        <v>125</v>
      </c>
      <c r="AW5" s="99" t="s">
        <v>126</v>
      </c>
      <c r="AX5" s="99" t="s">
        <v>127</v>
      </c>
      <c r="AY5" s="100"/>
      <c r="AZ5" s="97"/>
      <c r="BA5" s="97"/>
    </row>
    <row r="6" spans="2:54" x14ac:dyDescent="0.35">
      <c r="B6" s="169" t="s">
        <v>13</v>
      </c>
      <c r="C6" s="101">
        <v>16.7</v>
      </c>
      <c r="D6" s="101">
        <v>16.7</v>
      </c>
      <c r="E6" s="101">
        <v>20.5</v>
      </c>
      <c r="F6" s="101">
        <v>20.5</v>
      </c>
      <c r="G6" s="101">
        <v>30.6</v>
      </c>
      <c r="H6" s="101">
        <v>30.6</v>
      </c>
      <c r="I6" s="101">
        <v>38.6</v>
      </c>
      <c r="J6" s="101"/>
      <c r="L6" s="169" t="s">
        <v>13</v>
      </c>
      <c r="M6" s="101">
        <v>15</v>
      </c>
      <c r="N6" s="101">
        <v>20.5</v>
      </c>
      <c r="O6" s="101">
        <v>20.5</v>
      </c>
      <c r="Q6" s="102" t="s">
        <v>14</v>
      </c>
      <c r="R6" s="104">
        <v>938.13</v>
      </c>
      <c r="S6" s="105">
        <v>959</v>
      </c>
      <c r="T6" s="104">
        <v>1006.25</v>
      </c>
      <c r="U6" s="130">
        <v>993.75</v>
      </c>
      <c r="V6" s="131">
        <v>1015.5</v>
      </c>
      <c r="W6" s="131">
        <v>1045.5999999999999</v>
      </c>
      <c r="X6" s="43">
        <v>1103.75</v>
      </c>
      <c r="Y6" s="43">
        <v>1148.75</v>
      </c>
      <c r="Z6" s="43">
        <v>1167</v>
      </c>
      <c r="AA6" s="43">
        <v>1221.25</v>
      </c>
      <c r="AB6" s="43">
        <v>1330</v>
      </c>
      <c r="AC6" s="43">
        <f>+'IHS (Mod)'!I5</f>
        <v>1280</v>
      </c>
      <c r="AD6" s="43">
        <f>+'IHS (Mod)'!J5</f>
        <v>1279.380005</v>
      </c>
      <c r="AE6" s="43">
        <v>1275.5</v>
      </c>
      <c r="AF6" s="43" t="e">
        <f>+#REF!</f>
        <v>#REF!</v>
      </c>
      <c r="AG6" s="43" t="e">
        <f>+#REF!</f>
        <v>#REF!</v>
      </c>
      <c r="AH6" s="43" t="e">
        <f>+#REF!</f>
        <v>#REF!</v>
      </c>
      <c r="AI6" s="43" t="e">
        <f>+#REF!</f>
        <v>#REF!</v>
      </c>
      <c r="AJ6" s="43" t="e">
        <f>+#REF!</f>
        <v>#REF!</v>
      </c>
      <c r="AK6" s="43" t="e">
        <f>+#REF!</f>
        <v>#REF!</v>
      </c>
      <c r="AL6" s="43" t="e">
        <f>+#REF!</f>
        <v>#REF!</v>
      </c>
      <c r="AM6" s="43" t="e">
        <f>+#REF!</f>
        <v>#REF!</v>
      </c>
      <c r="AN6" s="43" t="e">
        <f>+#REF!</f>
        <v>#REF!</v>
      </c>
      <c r="AO6" s="43" t="e">
        <f>+#REF!</f>
        <v>#REF!</v>
      </c>
      <c r="AP6" s="43" t="e">
        <f>+#REF!</f>
        <v>#REF!</v>
      </c>
      <c r="AQ6" s="43" t="e">
        <f>+#REF!</f>
        <v>#REF!</v>
      </c>
      <c r="AR6" s="43" t="e">
        <f>+#REF!</f>
        <v>#REF!</v>
      </c>
      <c r="AS6" s="43" t="e">
        <f>+#REF!</f>
        <v>#REF!</v>
      </c>
      <c r="AT6" s="43" t="e">
        <f>+#REF!</f>
        <v>#REF!</v>
      </c>
      <c r="AU6" s="43" t="e">
        <f>+#REF!</f>
        <v>#REF!</v>
      </c>
      <c r="AV6" s="43" t="e">
        <f>+#REF!</f>
        <v>#REF!</v>
      </c>
      <c r="AW6" s="43" t="e">
        <f>+#REF!</f>
        <v>#REF!</v>
      </c>
      <c r="AX6" s="43" t="e">
        <f>+#REF!</f>
        <v>#REF!</v>
      </c>
      <c r="AY6" s="85"/>
      <c r="AZ6" s="101"/>
      <c r="BA6" s="101"/>
    </row>
    <row r="7" spans="2:54" x14ac:dyDescent="0.35">
      <c r="B7" s="170" t="s">
        <v>16</v>
      </c>
      <c r="C7" s="91" t="s">
        <v>17</v>
      </c>
      <c r="D7" s="91" t="s">
        <v>17</v>
      </c>
      <c r="E7" s="91" t="s">
        <v>17</v>
      </c>
      <c r="F7" s="91" t="s">
        <v>17</v>
      </c>
      <c r="G7" s="91" t="s">
        <v>17</v>
      </c>
      <c r="H7" s="91" t="s">
        <v>17</v>
      </c>
      <c r="I7" s="91" t="s">
        <v>17</v>
      </c>
      <c r="J7" s="91"/>
      <c r="L7" s="170" t="s">
        <v>16</v>
      </c>
      <c r="M7" s="91" t="s">
        <v>17</v>
      </c>
      <c r="N7" s="91" t="s">
        <v>17</v>
      </c>
      <c r="O7" s="91" t="s">
        <v>17</v>
      </c>
      <c r="Q7" s="128" t="s">
        <v>99</v>
      </c>
      <c r="R7" s="129">
        <v>25.09</v>
      </c>
      <c r="S7" s="129">
        <v>25.09</v>
      </c>
      <c r="T7" s="129">
        <v>25.09</v>
      </c>
      <c r="U7" s="129">
        <v>25</v>
      </c>
      <c r="V7" s="129">
        <v>25</v>
      </c>
      <c r="W7" s="129">
        <v>25</v>
      </c>
      <c r="X7" s="129">
        <v>25</v>
      </c>
      <c r="Y7" s="129">
        <v>25</v>
      </c>
      <c r="Z7" s="129">
        <v>25</v>
      </c>
      <c r="AA7" s="129">
        <v>25</v>
      </c>
      <c r="AB7" s="129">
        <v>25</v>
      </c>
      <c r="AC7" s="129">
        <v>33.139726027397259</v>
      </c>
      <c r="AD7" s="129">
        <f>+Septiembre18!AD8</f>
        <v>33.1236741020548</v>
      </c>
      <c r="AE7" s="129">
        <v>33.023219178082194</v>
      </c>
      <c r="AF7" s="129">
        <v>33.023219178082194</v>
      </c>
      <c r="AG7" s="129">
        <v>32.783732876712328</v>
      </c>
      <c r="AH7" s="129">
        <v>29.126712328767123</v>
      </c>
      <c r="AI7" s="129">
        <v>27.395420677397254</v>
      </c>
      <c r="AJ7" s="129">
        <v>26.796575342465754</v>
      </c>
      <c r="AK7" s="129">
        <v>13.948458904109588</v>
      </c>
      <c r="AL7" s="129">
        <v>14.191181506849315</v>
      </c>
      <c r="AM7" s="129">
        <v>14.255907534246576</v>
      </c>
      <c r="AN7" s="129" t="e">
        <f t="shared" ref="AN7:AU7" si="0">((((AN6*4.5%)/365)*210))*50%</f>
        <v>#REF!</v>
      </c>
      <c r="AO7" s="129" t="e">
        <f t="shared" si="0"/>
        <v>#REF!</v>
      </c>
      <c r="AP7" s="129" t="e">
        <f t="shared" si="0"/>
        <v>#REF!</v>
      </c>
      <c r="AQ7" s="129" t="e">
        <f t="shared" si="0"/>
        <v>#REF!</v>
      </c>
      <c r="AR7" s="129" t="e">
        <f t="shared" si="0"/>
        <v>#REF!</v>
      </c>
      <c r="AS7" s="129" t="e">
        <f t="shared" si="0"/>
        <v>#REF!</v>
      </c>
      <c r="AT7" s="129" t="e">
        <f t="shared" si="0"/>
        <v>#REF!</v>
      </c>
      <c r="AU7" s="129" t="e">
        <f t="shared" si="0"/>
        <v>#REF!</v>
      </c>
      <c r="AV7" s="129" t="e">
        <f>((((AV6*4.5%)/365)*210))*50%</f>
        <v>#REF!</v>
      </c>
      <c r="AW7" s="129" t="e">
        <f>((((AW6*4.5%)/365)*210))*50%</f>
        <v>#REF!</v>
      </c>
      <c r="AX7" s="129" t="e">
        <f>((((AX6*4.5%)/365)*210))*50%</f>
        <v>#REF!</v>
      </c>
      <c r="AY7" s="85"/>
      <c r="AZ7" s="91"/>
      <c r="BA7" s="91"/>
    </row>
    <row r="8" spans="2:54" x14ac:dyDescent="0.35">
      <c r="B8" s="170" t="s">
        <v>115</v>
      </c>
      <c r="C8" s="91" t="s">
        <v>116</v>
      </c>
      <c r="D8" s="91"/>
      <c r="E8" s="91"/>
      <c r="F8" s="91" t="s">
        <v>117</v>
      </c>
      <c r="G8" s="91"/>
      <c r="H8" s="91"/>
      <c r="I8" s="91" t="s">
        <v>118</v>
      </c>
      <c r="J8" s="91"/>
      <c r="L8" s="170"/>
      <c r="M8" s="91" t="s">
        <v>119</v>
      </c>
      <c r="N8" s="91" t="s">
        <v>120</v>
      </c>
      <c r="O8" s="91"/>
      <c r="Q8" s="128"/>
      <c r="R8" s="129"/>
      <c r="S8" s="129"/>
      <c r="T8" s="129"/>
      <c r="U8" s="129"/>
      <c r="V8" s="129"/>
      <c r="W8" s="129"/>
      <c r="X8" s="129"/>
      <c r="Y8" s="129"/>
      <c r="Z8" s="129"/>
      <c r="AA8" s="129"/>
      <c r="AB8" s="129"/>
      <c r="AC8" s="129"/>
      <c r="AD8" s="129"/>
      <c r="AE8" s="129"/>
      <c r="AF8" s="129"/>
      <c r="AG8" s="129"/>
      <c r="AH8" s="129"/>
      <c r="AI8" s="129"/>
      <c r="AJ8" s="129"/>
      <c r="AK8" s="129"/>
      <c r="AL8" s="129"/>
      <c r="AM8" s="129"/>
      <c r="AN8" s="129"/>
      <c r="AO8" s="129"/>
      <c r="AP8" s="129"/>
      <c r="AQ8" s="129"/>
      <c r="AR8" s="129"/>
      <c r="AS8" s="129"/>
      <c r="AT8" s="129"/>
      <c r="AU8" s="129"/>
      <c r="AV8" s="129"/>
      <c r="AW8" s="129"/>
      <c r="AX8" s="129"/>
      <c r="AY8" s="85"/>
      <c r="AZ8" s="91"/>
      <c r="BA8" s="91"/>
    </row>
    <row r="9" spans="2:54" s="95" customFormat="1" ht="29" x14ac:dyDescent="0.35">
      <c r="B9" s="175" t="s">
        <v>92</v>
      </c>
      <c r="C9" s="177" t="s">
        <v>93</v>
      </c>
      <c r="D9" s="177" t="s">
        <v>94</v>
      </c>
      <c r="E9" s="176">
        <v>1</v>
      </c>
      <c r="F9" s="177" t="s">
        <v>93</v>
      </c>
      <c r="G9" s="176">
        <v>1</v>
      </c>
      <c r="H9" s="177" t="s">
        <v>94</v>
      </c>
      <c r="I9" s="177" t="s">
        <v>93</v>
      </c>
      <c r="J9" s="162"/>
      <c r="L9" s="175" t="str">
        <f>+B9</f>
        <v>% Resina (Virgen/PCR)</v>
      </c>
      <c r="M9" s="177" t="s">
        <v>94</v>
      </c>
      <c r="N9" s="176">
        <v>1</v>
      </c>
      <c r="O9" s="177" t="s">
        <v>94</v>
      </c>
      <c r="Q9" s="166" t="s">
        <v>128</v>
      </c>
      <c r="R9" s="129">
        <v>65</v>
      </c>
      <c r="S9" s="167">
        <v>65</v>
      </c>
      <c r="T9" s="129">
        <v>65</v>
      </c>
      <c r="U9" s="129">
        <v>65</v>
      </c>
      <c r="V9" s="129">
        <v>65</v>
      </c>
      <c r="W9" s="129">
        <v>65</v>
      </c>
      <c r="X9" s="129">
        <v>65</v>
      </c>
      <c r="Y9" s="129">
        <v>65</v>
      </c>
      <c r="Z9" s="129">
        <v>65</v>
      </c>
      <c r="AA9" s="129">
        <v>65</v>
      </c>
      <c r="AB9" s="129">
        <v>65</v>
      </c>
      <c r="AC9" s="129">
        <v>70</v>
      </c>
      <c r="AD9" s="129">
        <v>70</v>
      </c>
      <c r="AE9" s="129">
        <v>70</v>
      </c>
      <c r="AF9" s="129">
        <v>70</v>
      </c>
      <c r="AG9" s="129">
        <v>70</v>
      </c>
      <c r="AH9" s="129">
        <v>70</v>
      </c>
      <c r="AI9" s="129">
        <v>70</v>
      </c>
      <c r="AJ9" s="129">
        <v>70</v>
      </c>
      <c r="AK9" s="129">
        <v>70</v>
      </c>
      <c r="AL9" s="129">
        <v>70</v>
      </c>
      <c r="AM9" s="129">
        <v>70</v>
      </c>
      <c r="AN9" s="129">
        <v>70</v>
      </c>
      <c r="AO9" s="129">
        <v>70</v>
      </c>
      <c r="AP9" s="129">
        <v>70</v>
      </c>
      <c r="AQ9" s="129">
        <v>70</v>
      </c>
      <c r="AR9" s="129">
        <v>70</v>
      </c>
      <c r="AS9" s="129">
        <v>70</v>
      </c>
      <c r="AT9" s="209">
        <v>70</v>
      </c>
      <c r="AU9" s="209">
        <v>90.46</v>
      </c>
      <c r="AV9" s="210">
        <v>78.56</v>
      </c>
      <c r="AW9" s="210">
        <v>78.56</v>
      </c>
      <c r="AX9" s="210">
        <v>78.56</v>
      </c>
      <c r="AY9" s="208"/>
      <c r="AZ9" s="165"/>
      <c r="BA9" s="165"/>
    </row>
    <row r="10" spans="2:54" x14ac:dyDescent="0.35">
      <c r="B10" s="170" t="s">
        <v>19</v>
      </c>
      <c r="C10" s="80" t="e">
        <f>+(C6*F2/1000)*1.01*50%</f>
        <v>#REF!</v>
      </c>
      <c r="D10" s="80" t="e">
        <f>+(D6*$F$2/1000)*1.01*75%</f>
        <v>#REF!</v>
      </c>
      <c r="E10" s="80" t="e">
        <f>+(E6*$F$2/1000)*1.01</f>
        <v>#REF!</v>
      </c>
      <c r="F10" s="80" t="e">
        <f>+(F6*$F$2/1000)*1.01*50%</f>
        <v>#REF!</v>
      </c>
      <c r="G10" s="80" t="e">
        <f>+(G6*F2/1000)*1.01</f>
        <v>#REF!</v>
      </c>
      <c r="H10" s="80" t="e">
        <f>+(H6*$F$2/1000)*1.01*75%</f>
        <v>#REF!</v>
      </c>
      <c r="I10" s="80" t="e">
        <f>+(I6*$F$2/1000)*1.01*50%</f>
        <v>#REF!</v>
      </c>
      <c r="J10" s="80"/>
      <c r="L10" s="170" t="s">
        <v>19</v>
      </c>
      <c r="M10" s="80" t="e">
        <f>+(M6*F2/1000)*1.005*75%</f>
        <v>#REF!</v>
      </c>
      <c r="N10" s="80" t="e">
        <f>+(N6*F2/1000)*1.005</f>
        <v>#REF!</v>
      </c>
      <c r="O10" s="80" t="e">
        <f>+(O6*F2/1000)*1.005*75%</f>
        <v>#REF!</v>
      </c>
      <c r="Q10" s="102"/>
      <c r="R10" s="104">
        <f>SUM(R6:R9)</f>
        <v>1028.22</v>
      </c>
      <c r="S10" s="104">
        <f>SUM(S6:S9)</f>
        <v>1049.0900000000001</v>
      </c>
      <c r="T10" s="104">
        <f>SUM(T6:T9)</f>
        <v>1096.3399999999999</v>
      </c>
      <c r="U10" s="104">
        <f>SUM(U6:U9)</f>
        <v>1083.75</v>
      </c>
      <c r="V10" s="104">
        <f t="shared" ref="V10:AX10" si="1">SUM(V6:V9)</f>
        <v>1105.5</v>
      </c>
      <c r="W10" s="104">
        <f t="shared" si="1"/>
        <v>1135.5999999999999</v>
      </c>
      <c r="X10" s="104">
        <f t="shared" si="1"/>
        <v>1193.75</v>
      </c>
      <c r="Y10" s="104">
        <f t="shared" si="1"/>
        <v>1238.75</v>
      </c>
      <c r="Z10" s="104">
        <f t="shared" si="1"/>
        <v>1257</v>
      </c>
      <c r="AA10" s="104">
        <f t="shared" si="1"/>
        <v>1311.25</v>
      </c>
      <c r="AB10" s="104">
        <f t="shared" si="1"/>
        <v>1420</v>
      </c>
      <c r="AC10" s="104">
        <f t="shared" si="1"/>
        <v>1383.1397260273973</v>
      </c>
      <c r="AD10" s="104">
        <f t="shared" si="1"/>
        <v>1382.5036791020548</v>
      </c>
      <c r="AE10" s="104">
        <f t="shared" si="1"/>
        <v>1378.5232191780822</v>
      </c>
      <c r="AF10" s="104" t="e">
        <f t="shared" si="1"/>
        <v>#REF!</v>
      </c>
      <c r="AG10" s="104" t="e">
        <f t="shared" si="1"/>
        <v>#REF!</v>
      </c>
      <c r="AH10" s="104" t="e">
        <f t="shared" si="1"/>
        <v>#REF!</v>
      </c>
      <c r="AI10" s="104" t="e">
        <f t="shared" si="1"/>
        <v>#REF!</v>
      </c>
      <c r="AJ10" s="104" t="e">
        <f t="shared" si="1"/>
        <v>#REF!</v>
      </c>
      <c r="AK10" s="104" t="e">
        <f t="shared" si="1"/>
        <v>#REF!</v>
      </c>
      <c r="AL10" s="104" t="e">
        <f t="shared" si="1"/>
        <v>#REF!</v>
      </c>
      <c r="AM10" s="104" t="e">
        <f t="shared" si="1"/>
        <v>#REF!</v>
      </c>
      <c r="AN10" s="104" t="e">
        <f t="shared" si="1"/>
        <v>#REF!</v>
      </c>
      <c r="AO10" s="104" t="e">
        <f t="shared" si="1"/>
        <v>#REF!</v>
      </c>
      <c r="AP10" s="104" t="e">
        <f t="shared" si="1"/>
        <v>#REF!</v>
      </c>
      <c r="AQ10" s="104" t="e">
        <f t="shared" si="1"/>
        <v>#REF!</v>
      </c>
      <c r="AR10" s="104" t="e">
        <f t="shared" si="1"/>
        <v>#REF!</v>
      </c>
      <c r="AS10" s="104" t="e">
        <f t="shared" si="1"/>
        <v>#REF!</v>
      </c>
      <c r="AT10" s="104" t="e">
        <f t="shared" si="1"/>
        <v>#REF!</v>
      </c>
      <c r="AU10" s="104" t="e">
        <f t="shared" si="1"/>
        <v>#REF!</v>
      </c>
      <c r="AV10" s="104" t="e">
        <f t="shared" si="1"/>
        <v>#REF!</v>
      </c>
      <c r="AW10" s="104" t="e">
        <f t="shared" si="1"/>
        <v>#REF!</v>
      </c>
      <c r="AX10" s="104" t="e">
        <f t="shared" si="1"/>
        <v>#REF!</v>
      </c>
      <c r="AY10" s="79"/>
      <c r="AZ10" s="80"/>
      <c r="BA10" s="80"/>
    </row>
    <row r="11" spans="2:54" x14ac:dyDescent="0.35">
      <c r="B11" s="172" t="s">
        <v>23</v>
      </c>
      <c r="C11" s="76">
        <f>+(C6*$F$3/1000)*1.01*50%</f>
        <v>11.340398925770549</v>
      </c>
      <c r="D11" s="76">
        <f>+(D6*$F$3/1000)*1.01*25%</f>
        <v>5.6701994628852743</v>
      </c>
      <c r="E11" s="76">
        <v>0</v>
      </c>
      <c r="F11" s="76">
        <f>+(F6*$F$3/1000)*1.01*50%</f>
        <v>13.920848980736302</v>
      </c>
      <c r="G11" s="76">
        <v>0</v>
      </c>
      <c r="H11" s="76">
        <f>+(H6*$F$3/1000)*1.01*25%</f>
        <v>10.389706800256848</v>
      </c>
      <c r="I11" s="76">
        <f>+(I6*$F$3/1000)*1.01*50%</f>
        <v>26.211940032020546</v>
      </c>
      <c r="J11" s="76"/>
      <c r="K11" s="121"/>
      <c r="L11" s="172" t="s">
        <v>23</v>
      </c>
      <c r="M11" s="76">
        <f>+(M6*F3/1000)*1.005*25%</f>
        <v>5.0677806902825333</v>
      </c>
      <c r="N11" s="76">
        <v>0</v>
      </c>
      <c r="O11" s="76">
        <f>+(O6*F3/1000)*1.005*25%</f>
        <v>6.9259669433861291</v>
      </c>
      <c r="Q11" s="106" t="s">
        <v>27</v>
      </c>
      <c r="R11" s="108">
        <f>+R10*4%</f>
        <v>41.128800000000005</v>
      </c>
      <c r="S11" s="104">
        <f>+S10*4%</f>
        <v>41.963600000000007</v>
      </c>
      <c r="T11" s="108">
        <f>+T10*4%</f>
        <v>43.8536</v>
      </c>
      <c r="U11" s="108">
        <f>+U10*4%</f>
        <v>43.35</v>
      </c>
      <c r="V11" s="108">
        <f t="shared" ref="V11:AX11" si="2">+V10*4%</f>
        <v>44.22</v>
      </c>
      <c r="W11" s="108">
        <f t="shared" si="2"/>
        <v>45.423999999999999</v>
      </c>
      <c r="X11" s="108">
        <f t="shared" si="2"/>
        <v>47.75</v>
      </c>
      <c r="Y11" s="108">
        <f t="shared" si="2"/>
        <v>49.550000000000004</v>
      </c>
      <c r="Z11" s="108">
        <f t="shared" si="2"/>
        <v>50.28</v>
      </c>
      <c r="AA11" s="108">
        <f t="shared" si="2"/>
        <v>52.45</v>
      </c>
      <c r="AB11" s="108">
        <f t="shared" si="2"/>
        <v>56.800000000000004</v>
      </c>
      <c r="AC11" s="108">
        <f t="shared" si="2"/>
        <v>55.325589041095895</v>
      </c>
      <c r="AD11" s="108">
        <f t="shared" si="2"/>
        <v>55.30014716408219</v>
      </c>
      <c r="AE11" s="108">
        <f t="shared" si="2"/>
        <v>55.140928767123285</v>
      </c>
      <c r="AF11" s="108" t="e">
        <f t="shared" si="2"/>
        <v>#REF!</v>
      </c>
      <c r="AG11" s="108" t="e">
        <f t="shared" si="2"/>
        <v>#REF!</v>
      </c>
      <c r="AH11" s="108" t="e">
        <f t="shared" si="2"/>
        <v>#REF!</v>
      </c>
      <c r="AI11" s="108" t="e">
        <f t="shared" si="2"/>
        <v>#REF!</v>
      </c>
      <c r="AJ11" s="108" t="e">
        <f t="shared" si="2"/>
        <v>#REF!</v>
      </c>
      <c r="AK11" s="108" t="e">
        <f t="shared" si="2"/>
        <v>#REF!</v>
      </c>
      <c r="AL11" s="108" t="e">
        <f t="shared" si="2"/>
        <v>#REF!</v>
      </c>
      <c r="AM11" s="108" t="e">
        <f t="shared" si="2"/>
        <v>#REF!</v>
      </c>
      <c r="AN11" s="108" t="e">
        <f t="shared" si="2"/>
        <v>#REF!</v>
      </c>
      <c r="AO11" s="108" t="e">
        <f t="shared" si="2"/>
        <v>#REF!</v>
      </c>
      <c r="AP11" s="108" t="e">
        <f t="shared" si="2"/>
        <v>#REF!</v>
      </c>
      <c r="AQ11" s="108" t="e">
        <f t="shared" si="2"/>
        <v>#REF!</v>
      </c>
      <c r="AR11" s="108" t="e">
        <f t="shared" si="2"/>
        <v>#REF!</v>
      </c>
      <c r="AS11" s="108" t="e">
        <f t="shared" si="2"/>
        <v>#REF!</v>
      </c>
      <c r="AT11" s="108" t="e">
        <f t="shared" si="2"/>
        <v>#REF!</v>
      </c>
      <c r="AU11" s="108" t="e">
        <f t="shared" si="2"/>
        <v>#REF!</v>
      </c>
      <c r="AV11" s="108" t="e">
        <f t="shared" si="2"/>
        <v>#REF!</v>
      </c>
      <c r="AW11" s="108" t="e">
        <f t="shared" si="2"/>
        <v>#REF!</v>
      </c>
      <c r="AX11" s="108" t="e">
        <f t="shared" si="2"/>
        <v>#REF!</v>
      </c>
      <c r="AY11" s="79"/>
      <c r="AZ11" s="80"/>
      <c r="BA11" s="80"/>
    </row>
    <row r="12" spans="2:54" x14ac:dyDescent="0.35">
      <c r="B12" s="169" t="s">
        <v>95</v>
      </c>
      <c r="C12" s="84" t="e">
        <f>SUM(C10:C11)</f>
        <v>#REF!</v>
      </c>
      <c r="D12" s="84" t="e">
        <f t="shared" ref="D12:J12" si="3">SUM(D10:D11)</f>
        <v>#REF!</v>
      </c>
      <c r="E12" s="84" t="e">
        <f t="shared" si="3"/>
        <v>#REF!</v>
      </c>
      <c r="F12" s="84" t="e">
        <f t="shared" si="3"/>
        <v>#REF!</v>
      </c>
      <c r="G12" s="84" t="e">
        <f t="shared" si="3"/>
        <v>#REF!</v>
      </c>
      <c r="H12" s="84" t="e">
        <f t="shared" si="3"/>
        <v>#REF!</v>
      </c>
      <c r="I12" s="84" t="e">
        <f t="shared" si="3"/>
        <v>#REF!</v>
      </c>
      <c r="J12" s="80">
        <f t="shared" si="3"/>
        <v>0</v>
      </c>
      <c r="K12" s="80"/>
      <c r="L12" s="169" t="s">
        <v>95</v>
      </c>
      <c r="M12" s="84" t="e">
        <f t="shared" ref="M12:O12" si="4">SUM(M10:M11)</f>
        <v>#REF!</v>
      </c>
      <c r="N12" s="84" t="e">
        <f t="shared" si="4"/>
        <v>#REF!</v>
      </c>
      <c r="O12" s="84" t="e">
        <f t="shared" si="4"/>
        <v>#REF!</v>
      </c>
      <c r="Q12" s="157" t="s">
        <v>30</v>
      </c>
      <c r="R12" s="158">
        <f>+R11+R10</f>
        <v>1069.3488</v>
      </c>
      <c r="S12" s="159">
        <f>+S11+S10</f>
        <v>1091.0536000000002</v>
      </c>
      <c r="T12" s="158">
        <f>+T11+T10</f>
        <v>1140.1935999999998</v>
      </c>
      <c r="U12" s="158">
        <f>+U11+U10</f>
        <v>1127.0999999999999</v>
      </c>
      <c r="V12" s="158">
        <f t="shared" ref="V12:AX12" si="5">+V11+V10</f>
        <v>1149.72</v>
      </c>
      <c r="W12" s="158">
        <f t="shared" si="5"/>
        <v>1181.0239999999999</v>
      </c>
      <c r="X12" s="158">
        <f t="shared" si="5"/>
        <v>1241.5</v>
      </c>
      <c r="Y12" s="158">
        <f t="shared" si="5"/>
        <v>1288.3</v>
      </c>
      <c r="Z12" s="158">
        <f t="shared" si="5"/>
        <v>1307.28</v>
      </c>
      <c r="AA12" s="158">
        <f t="shared" si="5"/>
        <v>1363.7</v>
      </c>
      <c r="AB12" s="158">
        <f t="shared" si="5"/>
        <v>1476.8</v>
      </c>
      <c r="AC12" s="158">
        <f t="shared" si="5"/>
        <v>1438.4653150684931</v>
      </c>
      <c r="AD12" s="158">
        <f t="shared" si="5"/>
        <v>1437.8038262661369</v>
      </c>
      <c r="AE12" s="158">
        <f t="shared" si="5"/>
        <v>1433.6641479452055</v>
      </c>
      <c r="AF12" s="158" t="e">
        <f t="shared" si="5"/>
        <v>#REF!</v>
      </c>
      <c r="AG12" s="158" t="e">
        <f t="shared" si="5"/>
        <v>#REF!</v>
      </c>
      <c r="AH12" s="158" t="e">
        <f t="shared" si="5"/>
        <v>#REF!</v>
      </c>
      <c r="AI12" s="158" t="e">
        <f t="shared" si="5"/>
        <v>#REF!</v>
      </c>
      <c r="AJ12" s="158" t="e">
        <f t="shared" si="5"/>
        <v>#REF!</v>
      </c>
      <c r="AK12" s="158" t="e">
        <f t="shared" si="5"/>
        <v>#REF!</v>
      </c>
      <c r="AL12" s="158" t="e">
        <f t="shared" si="5"/>
        <v>#REF!</v>
      </c>
      <c r="AM12" s="158" t="e">
        <f t="shared" si="5"/>
        <v>#REF!</v>
      </c>
      <c r="AN12" s="158" t="e">
        <f t="shared" si="5"/>
        <v>#REF!</v>
      </c>
      <c r="AO12" s="158" t="e">
        <f t="shared" si="5"/>
        <v>#REF!</v>
      </c>
      <c r="AP12" s="158" t="e">
        <f t="shared" si="5"/>
        <v>#REF!</v>
      </c>
      <c r="AQ12" s="158" t="e">
        <f t="shared" si="5"/>
        <v>#REF!</v>
      </c>
      <c r="AR12" s="158" t="e">
        <f t="shared" si="5"/>
        <v>#REF!</v>
      </c>
      <c r="AS12" s="158" t="e">
        <f t="shared" si="5"/>
        <v>#REF!</v>
      </c>
      <c r="AT12" s="158" t="e">
        <f t="shared" si="5"/>
        <v>#REF!</v>
      </c>
      <c r="AU12" s="158" t="e">
        <f t="shared" si="5"/>
        <v>#REF!</v>
      </c>
      <c r="AV12" s="158" t="e">
        <f t="shared" si="5"/>
        <v>#REF!</v>
      </c>
      <c r="AW12" s="158" t="e">
        <f t="shared" si="5"/>
        <v>#REF!</v>
      </c>
      <c r="AX12" s="158" t="e">
        <f t="shared" si="5"/>
        <v>#REF!</v>
      </c>
      <c r="AY12" s="79"/>
      <c r="AZ12" s="80"/>
      <c r="BA12" s="80"/>
    </row>
    <row r="13" spans="2:54" x14ac:dyDescent="0.35">
      <c r="B13" s="170" t="s">
        <v>129</v>
      </c>
      <c r="C13" s="80">
        <v>8.25</v>
      </c>
      <c r="D13" s="80">
        <v>8.2299999999999986</v>
      </c>
      <c r="E13" s="80">
        <f>8.2+0.03</f>
        <v>8.2299999999999986</v>
      </c>
      <c r="F13" s="80">
        <v>8.25</v>
      </c>
      <c r="G13" s="80">
        <v>11.200000000000001</v>
      </c>
      <c r="H13" s="80">
        <v>11.200000000000001</v>
      </c>
      <c r="I13" s="80">
        <v>11.23</v>
      </c>
      <c r="J13" s="80"/>
      <c r="L13" s="170" t="s">
        <v>129</v>
      </c>
      <c r="M13" s="80">
        <f>+C13</f>
        <v>8.25</v>
      </c>
      <c r="N13" s="80">
        <f>+F13</f>
        <v>8.25</v>
      </c>
      <c r="O13" s="80">
        <v>8.23</v>
      </c>
      <c r="Q13" s="160" t="s">
        <v>32</v>
      </c>
      <c r="R13" s="161">
        <f>+R12*(1-5%)</f>
        <v>1015.88136</v>
      </c>
      <c r="S13" s="161">
        <f t="shared" ref="S13:AM13" si="6">+S12*(1-5%)</f>
        <v>1036.5009200000002</v>
      </c>
      <c r="T13" s="161">
        <f t="shared" si="6"/>
        <v>1083.1839199999997</v>
      </c>
      <c r="U13" s="161">
        <f t="shared" si="6"/>
        <v>1070.7449999999999</v>
      </c>
      <c r="V13" s="161">
        <f t="shared" si="6"/>
        <v>1092.2339999999999</v>
      </c>
      <c r="W13" s="161">
        <f t="shared" si="6"/>
        <v>1121.9727999999998</v>
      </c>
      <c r="X13" s="161">
        <f t="shared" si="6"/>
        <v>1179.425</v>
      </c>
      <c r="Y13" s="161">
        <f t="shared" si="6"/>
        <v>1223.885</v>
      </c>
      <c r="Z13" s="161">
        <f t="shared" si="6"/>
        <v>1241.9159999999999</v>
      </c>
      <c r="AA13" s="161">
        <f t="shared" si="6"/>
        <v>1295.5149999999999</v>
      </c>
      <c r="AB13" s="161">
        <f t="shared" si="6"/>
        <v>1402.9599999999998</v>
      </c>
      <c r="AC13" s="161">
        <f t="shared" si="6"/>
        <v>1366.5420493150684</v>
      </c>
      <c r="AD13" s="161">
        <f t="shared" si="6"/>
        <v>1365.9136349528299</v>
      </c>
      <c r="AE13" s="161">
        <f t="shared" si="6"/>
        <v>1361.9809405479452</v>
      </c>
      <c r="AF13" s="161" t="e">
        <f t="shared" si="6"/>
        <v>#REF!</v>
      </c>
      <c r="AG13" s="161" t="e">
        <f t="shared" si="6"/>
        <v>#REF!</v>
      </c>
      <c r="AH13" s="161" t="e">
        <f t="shared" si="6"/>
        <v>#REF!</v>
      </c>
      <c r="AI13" s="161" t="e">
        <f t="shared" si="6"/>
        <v>#REF!</v>
      </c>
      <c r="AJ13" s="161" t="e">
        <f t="shared" si="6"/>
        <v>#REF!</v>
      </c>
      <c r="AK13" s="161" t="e">
        <f t="shared" si="6"/>
        <v>#REF!</v>
      </c>
      <c r="AL13" s="161" t="e">
        <f t="shared" si="6"/>
        <v>#REF!</v>
      </c>
      <c r="AM13" s="161" t="e">
        <f t="shared" si="6"/>
        <v>#REF!</v>
      </c>
      <c r="AN13" s="161">
        <v>1267</v>
      </c>
      <c r="AO13" s="161" t="e">
        <f t="shared" ref="AO13:AV13" si="7">+AO12*(1-5%)</f>
        <v>#REF!</v>
      </c>
      <c r="AP13" s="161" t="e">
        <f t="shared" si="7"/>
        <v>#REF!</v>
      </c>
      <c r="AQ13" s="161" t="e">
        <f t="shared" si="7"/>
        <v>#REF!</v>
      </c>
      <c r="AR13" s="161" t="e">
        <f t="shared" si="7"/>
        <v>#REF!</v>
      </c>
      <c r="AS13" s="161" t="e">
        <f t="shared" si="7"/>
        <v>#REF!</v>
      </c>
      <c r="AT13" s="161" t="e">
        <f t="shared" si="7"/>
        <v>#REF!</v>
      </c>
      <c r="AU13" s="161" t="e">
        <f t="shared" si="7"/>
        <v>#REF!</v>
      </c>
      <c r="AV13" s="161" t="e">
        <f t="shared" si="7"/>
        <v>#REF!</v>
      </c>
      <c r="AW13" s="161">
        <v>1327.5</v>
      </c>
      <c r="AX13" s="161">
        <v>1327.5</v>
      </c>
      <c r="AY13" s="211">
        <v>1327.5</v>
      </c>
      <c r="AZ13" s="204" t="s">
        <v>130</v>
      </c>
      <c r="BA13" s="205"/>
      <c r="BB13" s="206"/>
    </row>
    <row r="14" spans="2:54" x14ac:dyDescent="0.35">
      <c r="B14" s="170" t="s">
        <v>131</v>
      </c>
      <c r="C14" s="80">
        <v>0</v>
      </c>
      <c r="D14" s="80"/>
      <c r="E14" s="80"/>
      <c r="F14" s="80">
        <v>0</v>
      </c>
      <c r="G14" s="80"/>
      <c r="H14" s="80"/>
      <c r="I14" s="80">
        <v>0</v>
      </c>
      <c r="J14" s="80"/>
      <c r="L14" s="170" t="s">
        <v>131</v>
      </c>
      <c r="M14" s="80">
        <f>(M15-M13)</f>
        <v>19.12</v>
      </c>
      <c r="N14" s="80">
        <f>(N15-N13)</f>
        <v>19.14</v>
      </c>
      <c r="O14" s="80">
        <v>19.09</v>
      </c>
      <c r="Q14" s="160"/>
      <c r="R14" s="161"/>
      <c r="S14" s="161"/>
      <c r="T14" s="161"/>
      <c r="U14" s="161"/>
      <c r="V14" s="161"/>
      <c r="W14" s="161"/>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1"/>
      <c r="AU14" s="161"/>
      <c r="AV14" s="161"/>
      <c r="AW14" s="161"/>
      <c r="AX14" s="161"/>
    </row>
    <row r="15" spans="2:54" x14ac:dyDescent="0.35">
      <c r="B15" s="169" t="s">
        <v>132</v>
      </c>
      <c r="C15" s="80">
        <f>+C13+C14</f>
        <v>8.25</v>
      </c>
      <c r="D15" s="80">
        <f t="shared" ref="D15:I15" si="8">+D13+D14</f>
        <v>8.2299999999999986</v>
      </c>
      <c r="E15" s="80">
        <f t="shared" si="8"/>
        <v>8.2299999999999986</v>
      </c>
      <c r="F15" s="80">
        <f t="shared" si="8"/>
        <v>8.25</v>
      </c>
      <c r="G15" s="80">
        <f t="shared" si="8"/>
        <v>11.200000000000001</v>
      </c>
      <c r="H15" s="80">
        <f t="shared" si="8"/>
        <v>11.200000000000001</v>
      </c>
      <c r="I15" s="80">
        <f t="shared" si="8"/>
        <v>11.23</v>
      </c>
      <c r="J15" s="80"/>
      <c r="L15" s="169" t="s">
        <v>132</v>
      </c>
      <c r="M15" s="80">
        <v>27.37</v>
      </c>
      <c r="N15" s="80">
        <v>27.39</v>
      </c>
      <c r="O15" s="80">
        <v>2.1800000000000002</v>
      </c>
      <c r="Q15" s="128" t="s">
        <v>100</v>
      </c>
      <c r="R15" s="128" t="s">
        <v>18</v>
      </c>
      <c r="S15" s="128" t="s">
        <v>18</v>
      </c>
      <c r="T15" s="128" t="s">
        <v>18</v>
      </c>
      <c r="U15" s="128" t="s">
        <v>18</v>
      </c>
      <c r="V15" s="128" t="s">
        <v>18</v>
      </c>
      <c r="W15" s="128" t="s">
        <v>18</v>
      </c>
      <c r="X15" s="128" t="s">
        <v>18</v>
      </c>
      <c r="Y15" s="128" t="s">
        <v>18</v>
      </c>
      <c r="Z15" s="128" t="s">
        <v>18</v>
      </c>
      <c r="AA15" s="128" t="s">
        <v>18</v>
      </c>
      <c r="AB15" s="128" t="s">
        <v>18</v>
      </c>
      <c r="AC15" s="128" t="s">
        <v>18</v>
      </c>
      <c r="AD15" s="128" t="s">
        <v>18</v>
      </c>
      <c r="AE15" s="128" t="s">
        <v>18</v>
      </c>
      <c r="AF15" s="128" t="s">
        <v>18</v>
      </c>
      <c r="AG15" s="128" t="s">
        <v>18</v>
      </c>
      <c r="AH15" s="128" t="s">
        <v>18</v>
      </c>
      <c r="AI15" s="128" t="s">
        <v>18</v>
      </c>
      <c r="AJ15" s="129">
        <v>0</v>
      </c>
      <c r="AK15" s="129">
        <f>+BA15</f>
        <v>0</v>
      </c>
      <c r="AL15" s="129">
        <v>15.097681007201158</v>
      </c>
      <c r="AM15" s="129">
        <v>15.162458159293488</v>
      </c>
      <c r="AN15" s="129">
        <f t="shared" ref="AN15:AU15" si="9">((((AN13*4.5%)/365)*210))*50%</f>
        <v>16.401575342465755</v>
      </c>
      <c r="AO15" s="129" t="e">
        <f t="shared" si="9"/>
        <v>#REF!</v>
      </c>
      <c r="AP15" s="129" t="e">
        <f t="shared" si="9"/>
        <v>#REF!</v>
      </c>
      <c r="AQ15" s="129" t="e">
        <f t="shared" si="9"/>
        <v>#REF!</v>
      </c>
      <c r="AR15" s="129" t="e">
        <f t="shared" si="9"/>
        <v>#REF!</v>
      </c>
      <c r="AS15" s="129" t="e">
        <f t="shared" si="9"/>
        <v>#REF!</v>
      </c>
      <c r="AT15" s="129" t="e">
        <f t="shared" si="9"/>
        <v>#REF!</v>
      </c>
      <c r="AU15" s="129" t="e">
        <f t="shared" si="9"/>
        <v>#REF!</v>
      </c>
      <c r="AV15" s="129" t="e">
        <f>((((AV13*4.5%)/365)*210))*50%</f>
        <v>#REF!</v>
      </c>
      <c r="AW15" s="129">
        <f>((((AW13*4.5%)/365)*210))*50%</f>
        <v>17.184760273972604</v>
      </c>
      <c r="AX15" s="129">
        <f>((((AX13*4.5%)/365)*210))*50%</f>
        <v>17.184760273972604</v>
      </c>
      <c r="AY15" s="203"/>
      <c r="AZ15" s="204"/>
      <c r="BA15" s="207"/>
      <c r="BB15" s="206"/>
    </row>
    <row r="16" spans="2:54" x14ac:dyDescent="0.35">
      <c r="B16" s="170" t="s">
        <v>31</v>
      </c>
      <c r="C16" s="80">
        <v>1.92</v>
      </c>
      <c r="D16" s="80">
        <v>1.5</v>
      </c>
      <c r="E16" s="80">
        <v>1.83</v>
      </c>
      <c r="F16" s="80">
        <v>2.2200000000000002</v>
      </c>
      <c r="G16" s="80">
        <v>3.45</v>
      </c>
      <c r="H16" s="80">
        <v>3.45</v>
      </c>
      <c r="I16" s="80">
        <v>4.13</v>
      </c>
      <c r="J16" s="80"/>
      <c r="L16" s="170" t="s">
        <v>31</v>
      </c>
      <c r="M16" s="80">
        <v>0.9</v>
      </c>
      <c r="N16" s="80">
        <v>2.1800000000000002</v>
      </c>
      <c r="O16" s="80">
        <v>4.3</v>
      </c>
      <c r="Q16" s="179" t="s">
        <v>101</v>
      </c>
      <c r="R16" s="179"/>
      <c r="S16" s="179"/>
      <c r="T16" s="179"/>
      <c r="U16" s="179"/>
      <c r="V16" s="179"/>
      <c r="W16" s="179"/>
      <c r="X16" s="179"/>
      <c r="Y16" s="179"/>
      <c r="Z16" s="179"/>
      <c r="AA16" s="179"/>
      <c r="AB16" s="179"/>
      <c r="AC16" s="179"/>
      <c r="AD16" s="179"/>
      <c r="AE16" s="179"/>
      <c r="AF16" s="179"/>
      <c r="AG16" s="179"/>
      <c r="AH16" s="179"/>
      <c r="AI16" s="179"/>
      <c r="AJ16" s="180"/>
      <c r="AK16" s="180" t="e">
        <f t="shared" ref="AK16:AX16" si="10">+AK13+AK15</f>
        <v>#REF!</v>
      </c>
      <c r="AL16" s="180" t="e">
        <f t="shared" si="10"/>
        <v>#REF!</v>
      </c>
      <c r="AM16" s="180" t="e">
        <f t="shared" si="10"/>
        <v>#REF!</v>
      </c>
      <c r="AN16" s="180">
        <f t="shared" si="10"/>
        <v>1283.4015753424658</v>
      </c>
      <c r="AO16" s="180" t="e">
        <f t="shared" si="10"/>
        <v>#REF!</v>
      </c>
      <c r="AP16" s="180" t="e">
        <f t="shared" si="10"/>
        <v>#REF!</v>
      </c>
      <c r="AQ16" s="180" t="e">
        <f t="shared" si="10"/>
        <v>#REF!</v>
      </c>
      <c r="AR16" s="180" t="e">
        <f t="shared" si="10"/>
        <v>#REF!</v>
      </c>
      <c r="AS16" s="180" t="e">
        <f t="shared" si="10"/>
        <v>#REF!</v>
      </c>
      <c r="AT16" s="180" t="e">
        <f t="shared" si="10"/>
        <v>#REF!</v>
      </c>
      <c r="AU16" s="180" t="e">
        <f t="shared" si="10"/>
        <v>#REF!</v>
      </c>
      <c r="AV16" s="180" t="e">
        <f t="shared" si="10"/>
        <v>#REF!</v>
      </c>
      <c r="AW16" s="180">
        <f t="shared" si="10"/>
        <v>1344.6847602739726</v>
      </c>
      <c r="AX16" s="180">
        <f t="shared" si="10"/>
        <v>1344.6847602739726</v>
      </c>
      <c r="AY16" s="203"/>
      <c r="AZ16" s="204"/>
      <c r="BA16" s="205"/>
      <c r="BB16" s="206"/>
    </row>
    <row r="17" spans="1:55" x14ac:dyDescent="0.35">
      <c r="A17" s="81" t="s">
        <v>38</v>
      </c>
      <c r="B17" s="170" t="s">
        <v>34</v>
      </c>
      <c r="C17" s="80">
        <v>0.19</v>
      </c>
      <c r="D17" s="80">
        <v>0.19</v>
      </c>
      <c r="E17" s="80">
        <v>0.19</v>
      </c>
      <c r="F17" s="80">
        <v>0.19</v>
      </c>
      <c r="G17" s="80">
        <v>0.33</v>
      </c>
      <c r="H17" s="80">
        <v>0.33</v>
      </c>
      <c r="I17" s="80">
        <v>0.33</v>
      </c>
      <c r="J17" s="80"/>
      <c r="L17" s="170" t="s">
        <v>34</v>
      </c>
      <c r="M17" s="80">
        <v>4.3</v>
      </c>
      <c r="N17" s="80">
        <v>4.3</v>
      </c>
      <c r="O17" s="80">
        <v>8.36</v>
      </c>
      <c r="Q17" s="157" t="s">
        <v>96</v>
      </c>
      <c r="R17" s="158">
        <f t="shared" ref="R17:AH17" si="11">+R12*75%+R13*25%</f>
        <v>1055.9819400000001</v>
      </c>
      <c r="S17" s="158">
        <f t="shared" si="11"/>
        <v>1077.4154300000002</v>
      </c>
      <c r="T17" s="158">
        <f t="shared" si="11"/>
        <v>1125.9411799999998</v>
      </c>
      <c r="U17" s="158">
        <f t="shared" si="11"/>
        <v>1113.01125</v>
      </c>
      <c r="V17" s="158">
        <f t="shared" si="11"/>
        <v>1135.3485000000001</v>
      </c>
      <c r="W17" s="158">
        <f t="shared" si="11"/>
        <v>1166.2611999999999</v>
      </c>
      <c r="X17" s="158">
        <f t="shared" si="11"/>
        <v>1225.98125</v>
      </c>
      <c r="Y17" s="158">
        <f t="shared" si="11"/>
        <v>1272.19625</v>
      </c>
      <c r="Z17" s="158">
        <f t="shared" si="11"/>
        <v>1290.9390000000001</v>
      </c>
      <c r="AA17" s="158">
        <f t="shared" si="11"/>
        <v>1346.6537499999999</v>
      </c>
      <c r="AB17" s="158">
        <f t="shared" si="11"/>
        <v>1458.34</v>
      </c>
      <c r="AC17" s="158">
        <f t="shared" si="11"/>
        <v>1420.4844986301368</v>
      </c>
      <c r="AD17" s="158">
        <f t="shared" si="11"/>
        <v>1419.8312784378102</v>
      </c>
      <c r="AE17" s="158">
        <f t="shared" si="11"/>
        <v>1415.7433460958905</v>
      </c>
      <c r="AF17" s="158" t="e">
        <f t="shared" si="11"/>
        <v>#REF!</v>
      </c>
      <c r="AG17" s="158" t="e">
        <f t="shared" si="11"/>
        <v>#REF!</v>
      </c>
      <c r="AH17" s="158" t="e">
        <f t="shared" si="11"/>
        <v>#REF!</v>
      </c>
      <c r="AI17" s="158" t="e">
        <f>+AI12*50%+AI13*50%</f>
        <v>#REF!</v>
      </c>
      <c r="AJ17" s="158" t="e">
        <f>+AJ12*50%+AJ13*50%</f>
        <v>#REF!</v>
      </c>
      <c r="AK17" s="158" t="e">
        <f t="shared" ref="AK17:AX17" si="12">+AK12*50%+AK16*50%</f>
        <v>#REF!</v>
      </c>
      <c r="AL17" s="158" t="e">
        <f t="shared" si="12"/>
        <v>#REF!</v>
      </c>
      <c r="AM17" s="158" t="e">
        <f t="shared" si="12"/>
        <v>#REF!</v>
      </c>
      <c r="AN17" s="158" t="e">
        <f t="shared" si="12"/>
        <v>#REF!</v>
      </c>
      <c r="AO17" s="158" t="e">
        <f t="shared" si="12"/>
        <v>#REF!</v>
      </c>
      <c r="AP17" s="158" t="e">
        <f t="shared" si="12"/>
        <v>#REF!</v>
      </c>
      <c r="AQ17" s="158" t="e">
        <f t="shared" si="12"/>
        <v>#REF!</v>
      </c>
      <c r="AR17" s="158" t="e">
        <f t="shared" si="12"/>
        <v>#REF!</v>
      </c>
      <c r="AS17" s="158" t="e">
        <f t="shared" si="12"/>
        <v>#REF!</v>
      </c>
      <c r="AT17" s="158" t="e">
        <f t="shared" si="12"/>
        <v>#REF!</v>
      </c>
      <c r="AU17" s="158" t="e">
        <f t="shared" si="12"/>
        <v>#REF!</v>
      </c>
      <c r="AV17" s="158" t="e">
        <f t="shared" si="12"/>
        <v>#REF!</v>
      </c>
      <c r="AW17" s="158" t="e">
        <f t="shared" si="12"/>
        <v>#REF!</v>
      </c>
      <c r="AX17" s="158" t="e">
        <f t="shared" si="12"/>
        <v>#REF!</v>
      </c>
      <c r="AY17" s="80"/>
      <c r="AZ17" s="80"/>
      <c r="BA17" s="80"/>
    </row>
    <row r="18" spans="1:55" x14ac:dyDescent="0.35">
      <c r="B18" s="170" t="s">
        <v>36</v>
      </c>
      <c r="C18" s="80">
        <v>0.16</v>
      </c>
      <c r="D18" s="80">
        <v>0.16</v>
      </c>
      <c r="E18" s="80">
        <v>0.16</v>
      </c>
      <c r="F18" s="80">
        <v>0.16</v>
      </c>
      <c r="G18" s="80">
        <v>0.28000000000000003</v>
      </c>
      <c r="H18" s="80">
        <v>0.28000000000000003</v>
      </c>
      <c r="I18" s="80">
        <v>0.28000000000000003</v>
      </c>
      <c r="J18" s="80"/>
      <c r="L18" s="170" t="s">
        <v>36</v>
      </c>
      <c r="M18" s="80">
        <v>8.36</v>
      </c>
      <c r="N18" s="80">
        <v>8.36</v>
      </c>
      <c r="O18" s="84" t="e">
        <f t="shared" ref="O18" si="13">+O12+O13+O15+O16+O17+O14</f>
        <v>#REF!</v>
      </c>
      <c r="Q18" s="113" t="s">
        <v>37</v>
      </c>
      <c r="R18" s="118">
        <f>+R17*1%</f>
        <v>10.559819400000002</v>
      </c>
      <c r="S18" s="118">
        <f t="shared" ref="S18:AX18" si="14">+S17*1%</f>
        <v>10.774154300000003</v>
      </c>
      <c r="T18" s="118">
        <f t="shared" si="14"/>
        <v>11.259411799999999</v>
      </c>
      <c r="U18" s="118">
        <f t="shared" si="14"/>
        <v>11.130112500000001</v>
      </c>
      <c r="V18" s="118">
        <f t="shared" si="14"/>
        <v>11.353485000000001</v>
      </c>
      <c r="W18" s="118">
        <f t="shared" si="14"/>
        <v>11.662611999999999</v>
      </c>
      <c r="X18" s="118">
        <f t="shared" si="14"/>
        <v>12.259812500000001</v>
      </c>
      <c r="Y18" s="118">
        <f t="shared" si="14"/>
        <v>12.7219625</v>
      </c>
      <c r="Z18" s="118">
        <f t="shared" si="14"/>
        <v>12.909390000000002</v>
      </c>
      <c r="AA18" s="118">
        <f t="shared" si="14"/>
        <v>13.466537499999999</v>
      </c>
      <c r="AB18" s="118">
        <f t="shared" si="14"/>
        <v>14.583399999999999</v>
      </c>
      <c r="AC18" s="118">
        <f t="shared" si="14"/>
        <v>14.204844986301369</v>
      </c>
      <c r="AD18" s="118">
        <f t="shared" si="14"/>
        <v>14.198312784378102</v>
      </c>
      <c r="AE18" s="118">
        <f t="shared" si="14"/>
        <v>14.157433460958906</v>
      </c>
      <c r="AF18" s="118" t="e">
        <f t="shared" si="14"/>
        <v>#REF!</v>
      </c>
      <c r="AG18" s="118" t="e">
        <f t="shared" si="14"/>
        <v>#REF!</v>
      </c>
      <c r="AH18" s="118" t="e">
        <f t="shared" si="14"/>
        <v>#REF!</v>
      </c>
      <c r="AI18" s="118" t="e">
        <f t="shared" si="14"/>
        <v>#REF!</v>
      </c>
      <c r="AJ18" s="118" t="e">
        <f t="shared" si="14"/>
        <v>#REF!</v>
      </c>
      <c r="AK18" s="118" t="e">
        <f t="shared" si="14"/>
        <v>#REF!</v>
      </c>
      <c r="AL18" s="118" t="e">
        <f t="shared" si="14"/>
        <v>#REF!</v>
      </c>
      <c r="AM18" s="118" t="e">
        <f t="shared" si="14"/>
        <v>#REF!</v>
      </c>
      <c r="AN18" s="118" t="e">
        <f t="shared" si="14"/>
        <v>#REF!</v>
      </c>
      <c r="AO18" s="118" t="e">
        <f t="shared" si="14"/>
        <v>#REF!</v>
      </c>
      <c r="AP18" s="118" t="e">
        <f t="shared" si="14"/>
        <v>#REF!</v>
      </c>
      <c r="AQ18" s="118" t="e">
        <f t="shared" si="14"/>
        <v>#REF!</v>
      </c>
      <c r="AR18" s="118" t="e">
        <f t="shared" si="14"/>
        <v>#REF!</v>
      </c>
      <c r="AS18" s="118" t="e">
        <f t="shared" si="14"/>
        <v>#REF!</v>
      </c>
      <c r="AT18" s="118" t="e">
        <f t="shared" si="14"/>
        <v>#REF!</v>
      </c>
      <c r="AU18" s="118" t="e">
        <f t="shared" si="14"/>
        <v>#REF!</v>
      </c>
      <c r="AV18" s="118" t="e">
        <f t="shared" si="14"/>
        <v>#REF!</v>
      </c>
      <c r="AW18" s="118" t="e">
        <f t="shared" si="14"/>
        <v>#REF!</v>
      </c>
      <c r="AX18" s="118" t="e">
        <f t="shared" si="14"/>
        <v>#REF!</v>
      </c>
      <c r="AY18" s="79"/>
      <c r="AZ18" s="80"/>
      <c r="BA18" s="84"/>
    </row>
    <row r="19" spans="1:55" x14ac:dyDescent="0.35">
      <c r="B19" s="169" t="s">
        <v>39</v>
      </c>
      <c r="C19" s="84" t="e">
        <f>+C12+C15+C16+C17+C18</f>
        <v>#REF!</v>
      </c>
      <c r="D19" s="84" t="e">
        <f t="shared" ref="D19:I19" si="15">+D12+D15+D16+D17+D18</f>
        <v>#REF!</v>
      </c>
      <c r="E19" s="84" t="e">
        <f t="shared" si="15"/>
        <v>#REF!</v>
      </c>
      <c r="F19" s="84" t="e">
        <f t="shared" si="15"/>
        <v>#REF!</v>
      </c>
      <c r="G19" s="84" t="e">
        <f t="shared" si="15"/>
        <v>#REF!</v>
      </c>
      <c r="H19" s="84" t="e">
        <f t="shared" si="15"/>
        <v>#REF!</v>
      </c>
      <c r="I19" s="84" t="e">
        <f t="shared" si="15"/>
        <v>#REF!</v>
      </c>
      <c r="J19" s="84"/>
      <c r="L19" s="169" t="s">
        <v>39</v>
      </c>
      <c r="M19" s="84" t="e">
        <f>+M12+M15+M16+M17+M18</f>
        <v>#REF!</v>
      </c>
      <c r="N19" s="84" t="e">
        <f t="shared" ref="N19" si="16">+N12+N15+N16+N17+N18</f>
        <v>#REF!</v>
      </c>
      <c r="Q19" s="113" t="s">
        <v>74</v>
      </c>
      <c r="R19" s="115">
        <f>+R18+R17</f>
        <v>1066.5417594</v>
      </c>
      <c r="S19" s="115">
        <f t="shared" ref="S19:AV19" si="17">+S18+S17</f>
        <v>1088.1895843000002</v>
      </c>
      <c r="T19" s="115">
        <f t="shared" si="17"/>
        <v>1137.2005917999998</v>
      </c>
      <c r="U19" s="115">
        <f t="shared" si="17"/>
        <v>1124.1413625</v>
      </c>
      <c r="V19" s="115">
        <f t="shared" si="17"/>
        <v>1146.7019850000001</v>
      </c>
      <c r="W19" s="115">
        <f t="shared" si="17"/>
        <v>1177.923812</v>
      </c>
      <c r="X19" s="115">
        <f t="shared" si="17"/>
        <v>1238.2410625</v>
      </c>
      <c r="Y19" s="115">
        <f t="shared" si="17"/>
        <v>1284.9182125</v>
      </c>
      <c r="Z19" s="115">
        <f t="shared" si="17"/>
        <v>1303.8483900000001</v>
      </c>
      <c r="AA19" s="115">
        <f t="shared" si="17"/>
        <v>1360.1202874999999</v>
      </c>
      <c r="AB19" s="115">
        <f t="shared" si="17"/>
        <v>1472.9233999999999</v>
      </c>
      <c r="AC19" s="115">
        <f t="shared" si="17"/>
        <v>1434.6893436164382</v>
      </c>
      <c r="AD19" s="115">
        <f t="shared" si="17"/>
        <v>1434.0295912221882</v>
      </c>
      <c r="AE19" s="115">
        <f t="shared" si="17"/>
        <v>1429.9007795568493</v>
      </c>
      <c r="AF19" s="115" t="e">
        <f t="shared" si="17"/>
        <v>#REF!</v>
      </c>
      <c r="AG19" s="115" t="e">
        <f t="shared" si="17"/>
        <v>#REF!</v>
      </c>
      <c r="AH19" s="115" t="e">
        <f t="shared" si="17"/>
        <v>#REF!</v>
      </c>
      <c r="AI19" s="115" t="e">
        <f t="shared" si="17"/>
        <v>#REF!</v>
      </c>
      <c r="AJ19" s="115" t="e">
        <f t="shared" si="17"/>
        <v>#REF!</v>
      </c>
      <c r="AK19" s="115" t="e">
        <f t="shared" si="17"/>
        <v>#REF!</v>
      </c>
      <c r="AL19" s="115" t="e">
        <f t="shared" si="17"/>
        <v>#REF!</v>
      </c>
      <c r="AM19" s="115" t="e">
        <f t="shared" si="17"/>
        <v>#REF!</v>
      </c>
      <c r="AN19" s="115" t="e">
        <f t="shared" si="17"/>
        <v>#REF!</v>
      </c>
      <c r="AO19" s="115" t="e">
        <f t="shared" si="17"/>
        <v>#REF!</v>
      </c>
      <c r="AP19" s="115" t="e">
        <f t="shared" si="17"/>
        <v>#REF!</v>
      </c>
      <c r="AQ19" s="115" t="e">
        <f t="shared" si="17"/>
        <v>#REF!</v>
      </c>
      <c r="AR19" s="115" t="e">
        <f t="shared" si="17"/>
        <v>#REF!</v>
      </c>
      <c r="AS19" s="115" t="e">
        <f t="shared" si="17"/>
        <v>#REF!</v>
      </c>
      <c r="AT19" s="115" t="e">
        <f t="shared" si="17"/>
        <v>#REF!</v>
      </c>
      <c r="AU19" s="115" t="e">
        <f t="shared" si="17"/>
        <v>#REF!</v>
      </c>
      <c r="AV19" s="115" t="e">
        <f t="shared" si="17"/>
        <v>#REF!</v>
      </c>
      <c r="AW19" s="115" t="e">
        <f>+AW18+AW17</f>
        <v>#REF!</v>
      </c>
      <c r="AX19" s="115" t="e">
        <f>+AX18+AX17</f>
        <v>#REF!</v>
      </c>
      <c r="AY19" s="181"/>
      <c r="AZ19" s="84"/>
      <c r="BA19" s="84"/>
      <c r="BC19" s="182"/>
    </row>
    <row r="20" spans="1:55" x14ac:dyDescent="0.35">
      <c r="M20" s="84"/>
      <c r="N20" s="84"/>
      <c r="O20" s="84"/>
      <c r="Q20" s="85"/>
      <c r="R20" s="120" t="e">
        <f>+#REF!</f>
        <v>#REF!</v>
      </c>
      <c r="S20" s="120" t="e">
        <f>+R20</f>
        <v>#REF!</v>
      </c>
      <c r="T20" s="120" t="e">
        <f>+S20</f>
        <v>#REF!</v>
      </c>
      <c r="U20" s="120" t="e">
        <f>+T20</f>
        <v>#REF!</v>
      </c>
      <c r="V20" s="120" t="e">
        <f t="shared" ref="V20:AG20" si="18">+U20</f>
        <v>#REF!</v>
      </c>
      <c r="W20" s="120" t="e">
        <f t="shared" si="18"/>
        <v>#REF!</v>
      </c>
      <c r="X20" s="120" t="e">
        <f t="shared" si="18"/>
        <v>#REF!</v>
      </c>
      <c r="Y20" s="120" t="e">
        <f t="shared" si="18"/>
        <v>#REF!</v>
      </c>
      <c r="Z20" s="120" t="e">
        <f t="shared" si="18"/>
        <v>#REF!</v>
      </c>
      <c r="AA20" s="120" t="e">
        <f t="shared" si="18"/>
        <v>#REF!</v>
      </c>
      <c r="AB20" s="120" t="e">
        <f t="shared" si="18"/>
        <v>#REF!</v>
      </c>
      <c r="AC20" s="120" t="e">
        <f t="shared" si="18"/>
        <v>#REF!</v>
      </c>
      <c r="AD20" s="120" t="e">
        <f t="shared" si="18"/>
        <v>#REF!</v>
      </c>
      <c r="AE20" s="120" t="e">
        <f t="shared" si="18"/>
        <v>#REF!</v>
      </c>
      <c r="AF20" s="120" t="e">
        <f t="shared" si="18"/>
        <v>#REF!</v>
      </c>
      <c r="AG20" s="120" t="e">
        <f t="shared" si="18"/>
        <v>#REF!</v>
      </c>
      <c r="AH20" s="120"/>
      <c r="AI20" s="120"/>
      <c r="AJ20" s="120"/>
      <c r="AK20" s="120"/>
      <c r="AL20" s="120"/>
      <c r="AM20" s="120"/>
      <c r="AN20" s="120"/>
      <c r="AO20" s="120"/>
      <c r="AP20" s="120"/>
      <c r="AQ20" s="120"/>
      <c r="AR20" s="120"/>
      <c r="AS20" s="120"/>
      <c r="AT20" s="120"/>
      <c r="AU20" s="120"/>
      <c r="AV20" s="120"/>
      <c r="AW20" s="120"/>
      <c r="AX20" s="120"/>
      <c r="AZ20" s="84"/>
      <c r="BA20" s="82"/>
    </row>
    <row r="21" spans="1:55" x14ac:dyDescent="0.35">
      <c r="B21" s="169"/>
      <c r="C21" s="84"/>
      <c r="D21" s="84"/>
      <c r="E21" s="84"/>
      <c r="F21" s="84"/>
      <c r="G21" s="84"/>
      <c r="H21" s="84"/>
      <c r="I21" s="84"/>
      <c r="J21" s="84"/>
      <c r="K21" s="94"/>
      <c r="M21" s="84"/>
      <c r="N21" s="84"/>
      <c r="Q21" s="82"/>
      <c r="R21" s="82"/>
      <c r="S21" s="82"/>
      <c r="U21" s="94"/>
      <c r="V21" s="94"/>
      <c r="W21" s="94"/>
      <c r="X21" s="94"/>
      <c r="Y21" s="94"/>
      <c r="Z21" s="94"/>
      <c r="AA21" s="94"/>
      <c r="AB21" s="94"/>
      <c r="AC21" s="94"/>
      <c r="AD21" s="94"/>
      <c r="AE21" s="94"/>
      <c r="AF21" s="94"/>
      <c r="AG21" s="94"/>
      <c r="AH21" s="94"/>
      <c r="AI21" s="94"/>
      <c r="AJ21" s="94"/>
      <c r="AK21" s="94"/>
      <c r="AL21" s="94"/>
      <c r="AM21" s="94"/>
      <c r="AN21" s="94"/>
      <c r="AO21" s="94"/>
      <c r="AP21" s="94"/>
      <c r="AQ21" s="94"/>
      <c r="AR21" s="94"/>
      <c r="AS21" s="94"/>
      <c r="AT21" s="94"/>
      <c r="AU21" s="94"/>
      <c r="AV21" s="94"/>
      <c r="AW21" s="94"/>
      <c r="AX21" s="94"/>
      <c r="AZ21" s="82"/>
      <c r="BA21" s="82"/>
    </row>
    <row r="22" spans="1:55" x14ac:dyDescent="0.35">
      <c r="C22" s="132"/>
      <c r="D22" s="132"/>
      <c r="E22" s="132"/>
      <c r="F22" s="132"/>
      <c r="G22" s="132"/>
      <c r="H22" s="132"/>
      <c r="I22" s="132"/>
      <c r="K22" s="94"/>
      <c r="AZ22" s="82"/>
    </row>
    <row r="23" spans="1:55" x14ac:dyDescent="0.35">
      <c r="M23" s="86"/>
      <c r="O23" s="201"/>
    </row>
    <row r="24" spans="1:55" x14ac:dyDescent="0.35">
      <c r="C24" s="201"/>
      <c r="F24" s="201"/>
      <c r="I24" s="201"/>
      <c r="M24" s="201"/>
      <c r="N24" s="201"/>
    </row>
    <row r="25" spans="1:55" x14ac:dyDescent="0.35">
      <c r="F25" s="201">
        <f>+F24-F22</f>
        <v>0</v>
      </c>
    </row>
    <row r="27" spans="1:55" x14ac:dyDescent="0.35">
      <c r="AH27" s="164"/>
    </row>
    <row r="28" spans="1:55" x14ac:dyDescent="0.35">
      <c r="N28" s="123"/>
    </row>
    <row r="34" spans="1:55" s="82" customFormat="1" x14ac:dyDescent="0.35">
      <c r="A34" s="81"/>
      <c r="B34" s="173"/>
      <c r="J34" s="81"/>
      <c r="K34" s="81"/>
      <c r="L34" s="173"/>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c r="AY34" s="81"/>
      <c r="AZ34" s="81"/>
      <c r="BA34" s="81"/>
      <c r="BB34" s="81"/>
      <c r="BC34" s="81"/>
    </row>
    <row r="35" spans="1:55" x14ac:dyDescent="0.35">
      <c r="B35" s="173" t="s">
        <v>51</v>
      </c>
    </row>
  </sheetData>
  <mergeCells count="6">
    <mergeCell ref="Q1:BA1"/>
    <mergeCell ref="B2:D2"/>
    <mergeCell ref="Q2:R2"/>
    <mergeCell ref="AY2:AZ2"/>
    <mergeCell ref="B3:D3"/>
    <mergeCell ref="AY3:AZ3"/>
  </mergeCells>
  <pageMargins left="0.7" right="0.7" top="0.75" bottom="0.75" header="0.3" footer="0.3"/>
  <pageSetup orientation="portrait" r:id="rId1"/>
  <customProperties>
    <customPr name="EpmWorksheetKeyString_GUID" r:id="rId2"/>
  </customProperties>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Hoja34"/>
  <dimension ref="A1:AW34"/>
  <sheetViews>
    <sheetView zoomScale="85" zoomScaleNormal="85" workbookViewId="0">
      <selection activeCell="AR17" sqref="AR17"/>
    </sheetView>
  </sheetViews>
  <sheetFormatPr defaultColWidth="11.453125" defaultRowHeight="14.5" x14ac:dyDescent="0.35"/>
  <cols>
    <col min="1" max="1" width="3.453125" style="81" customWidth="1"/>
    <col min="2" max="2" width="14" style="173" customWidth="1"/>
    <col min="3" max="3" width="10.81640625" style="82" customWidth="1"/>
    <col min="4" max="5" width="10.54296875" style="82" hidden="1" customWidth="1"/>
    <col min="6" max="6" width="11" style="82" customWidth="1"/>
    <col min="7" max="7" width="11.1796875" style="82" hidden="1" customWidth="1"/>
    <col min="8" max="8" width="11" style="82" hidden="1" customWidth="1"/>
    <col min="9" max="9" width="11.54296875" style="82" customWidth="1"/>
    <col min="10" max="10" width="8.54296875" style="81" hidden="1" customWidth="1"/>
    <col min="11" max="11" width="2.81640625" style="81" customWidth="1"/>
    <col min="12" max="12" width="13.81640625" style="173" customWidth="1"/>
    <col min="13" max="15" width="10.81640625" style="82" customWidth="1"/>
    <col min="16" max="16" width="2.81640625" style="81" customWidth="1"/>
    <col min="17" max="17" width="28.81640625" style="81" customWidth="1"/>
    <col min="18" max="18" width="16.1796875" style="81" hidden="1" customWidth="1"/>
    <col min="19" max="19" width="17.54296875" style="81" hidden="1" customWidth="1"/>
    <col min="20" max="20" width="14.54296875" style="81" hidden="1" customWidth="1"/>
    <col min="21" max="21" width="16" style="81" hidden="1" customWidth="1"/>
    <col min="22" max="22" width="17.81640625" style="81" hidden="1" customWidth="1"/>
    <col min="23" max="23" width="17.1796875" style="81" hidden="1" customWidth="1"/>
    <col min="24" max="29" width="14.453125" style="81" hidden="1" customWidth="1"/>
    <col min="30" max="30" width="16.453125" style="81" hidden="1" customWidth="1"/>
    <col min="31" max="33" width="14.81640625" style="81" hidden="1" customWidth="1"/>
    <col min="34" max="34" width="16.54296875" style="81" hidden="1" customWidth="1"/>
    <col min="35" max="36" width="17.54296875" style="81" hidden="1" customWidth="1"/>
    <col min="37" max="40" width="15.1796875" style="81" hidden="1" customWidth="1"/>
    <col min="41" max="41" width="13.81640625" style="81" hidden="1" customWidth="1"/>
    <col min="42" max="42" width="14.453125" style="81" hidden="1" customWidth="1"/>
    <col min="43" max="43" width="16.54296875" style="81" hidden="1" customWidth="1"/>
    <col min="44" max="44" width="16.54296875" style="81" bestFit="1" customWidth="1"/>
    <col min="45" max="48" width="11.453125" style="81" customWidth="1"/>
    <col min="49" max="16384" width="11.453125" style="81"/>
  </cols>
  <sheetData>
    <row r="1" spans="2:47" x14ac:dyDescent="0.35">
      <c r="B1" s="122"/>
      <c r="C1" s="86"/>
      <c r="D1" s="86"/>
      <c r="E1" s="86"/>
      <c r="F1" s="87"/>
      <c r="G1" s="87"/>
      <c r="H1" s="87"/>
      <c r="I1" s="87"/>
      <c r="J1" s="87"/>
      <c r="K1" s="87"/>
      <c r="L1" s="122"/>
      <c r="M1" s="87"/>
      <c r="N1" s="87"/>
      <c r="O1" s="87"/>
      <c r="Q1" s="574"/>
      <c r="R1" s="574"/>
      <c r="S1" s="574"/>
      <c r="T1" s="574"/>
      <c r="U1" s="574"/>
      <c r="V1" s="574"/>
      <c r="W1" s="574"/>
      <c r="X1" s="574"/>
      <c r="Y1" s="574"/>
      <c r="Z1" s="574"/>
      <c r="AA1" s="574"/>
      <c r="AB1" s="574"/>
      <c r="AC1" s="574"/>
      <c r="AD1" s="574"/>
      <c r="AE1" s="574"/>
      <c r="AF1" s="574"/>
      <c r="AG1" s="574"/>
      <c r="AH1" s="574"/>
      <c r="AI1" s="574"/>
      <c r="AJ1" s="574"/>
      <c r="AK1" s="574"/>
      <c r="AL1" s="574"/>
      <c r="AM1" s="574"/>
      <c r="AN1" s="574"/>
      <c r="AO1" s="574"/>
      <c r="AP1" s="574"/>
      <c r="AQ1" s="574"/>
      <c r="AR1" s="574"/>
      <c r="AS1" s="574"/>
      <c r="AT1" s="574"/>
      <c r="AU1" s="574"/>
    </row>
    <row r="2" spans="2:47" s="142" customFormat="1" ht="15" customHeight="1" x14ac:dyDescent="0.35">
      <c r="B2" s="576" t="s">
        <v>66</v>
      </c>
      <c r="C2" s="576"/>
      <c r="D2" s="576"/>
      <c r="F2" s="141" t="e">
        <f>+AR12</f>
        <v>#REF!</v>
      </c>
      <c r="H2" s="141"/>
      <c r="I2" s="141"/>
      <c r="J2" s="143">
        <v>0.05</v>
      </c>
      <c r="K2" s="144"/>
      <c r="L2" s="171"/>
      <c r="M2" s="141"/>
      <c r="N2" s="141"/>
      <c r="O2" s="141"/>
      <c r="Q2" s="576"/>
      <c r="R2" s="576"/>
      <c r="S2" s="141"/>
      <c r="T2" s="143"/>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576"/>
      <c r="AT2" s="576"/>
      <c r="AU2" s="141"/>
    </row>
    <row r="3" spans="2:47" s="133" customFormat="1" ht="15" customHeight="1" x14ac:dyDescent="0.35">
      <c r="B3" s="576" t="s">
        <v>67</v>
      </c>
      <c r="C3" s="576"/>
      <c r="D3" s="576"/>
      <c r="F3" s="134" t="e">
        <f>+AR16</f>
        <v>#REF!</v>
      </c>
      <c r="G3" s="135"/>
      <c r="H3" s="134"/>
      <c r="I3" s="134"/>
      <c r="J3" s="137" t="e">
        <f>+F2*J2</f>
        <v>#REF!</v>
      </c>
      <c r="K3" s="136"/>
      <c r="L3" s="200"/>
      <c r="M3" s="200"/>
      <c r="N3" s="134"/>
      <c r="O3" s="134"/>
      <c r="Q3" s="138"/>
      <c r="R3" s="139"/>
      <c r="S3" s="140"/>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577"/>
      <c r="AT3" s="577"/>
      <c r="AU3" s="134"/>
    </row>
    <row r="4" spans="2:47" ht="23.5" hidden="1" x14ac:dyDescent="0.55000000000000004">
      <c r="B4" s="169"/>
      <c r="C4" s="92" t="e">
        <f>+(C10+C11)/C6*1000</f>
        <v>#REF!</v>
      </c>
      <c r="D4" s="92" t="e">
        <f>+(G10+G11)/G6*1000</f>
        <v>#REF!</v>
      </c>
      <c r="E4" s="92" t="e">
        <f>+(E10+E11)/E6*1000</f>
        <v>#REF!</v>
      </c>
      <c r="F4" s="92" t="e">
        <f>+(F10+F11)/F6*1000</f>
        <v>#REF!</v>
      </c>
      <c r="I4" s="92" t="e">
        <f>+(I10+I11)/I6*1000</f>
        <v>#REF!</v>
      </c>
      <c r="K4" s="88"/>
      <c r="L4" s="169"/>
      <c r="M4" s="92"/>
      <c r="N4" s="92"/>
      <c r="O4" s="92"/>
      <c r="Q4" s="93"/>
      <c r="R4" s="82"/>
      <c r="S4" s="90"/>
      <c r="T4" s="94"/>
      <c r="U4" s="88"/>
      <c r="V4" s="88"/>
      <c r="W4" s="88"/>
      <c r="X4" s="88"/>
      <c r="Y4" s="88"/>
      <c r="Z4" s="88"/>
      <c r="AA4" s="88"/>
      <c r="AB4" s="88"/>
      <c r="AC4" s="88"/>
      <c r="AD4" s="88"/>
      <c r="AE4" s="88"/>
      <c r="AF4" s="88"/>
      <c r="AG4" s="88"/>
      <c r="AH4" s="88"/>
      <c r="AI4" s="88"/>
      <c r="AJ4" s="88"/>
      <c r="AK4" s="88"/>
      <c r="AL4" s="88"/>
      <c r="AM4" s="88"/>
      <c r="AN4" s="88"/>
      <c r="AO4" s="88"/>
      <c r="AP4" s="88"/>
      <c r="AQ4" s="88"/>
      <c r="AR4" s="88"/>
      <c r="AS4" s="91"/>
      <c r="AT4" s="91"/>
      <c r="AU4" s="78"/>
    </row>
    <row r="5" spans="2:47" s="95" customFormat="1" ht="33.75" customHeight="1" x14ac:dyDescent="0.35">
      <c r="B5" s="169" t="s">
        <v>5</v>
      </c>
      <c r="C5" s="85" t="s">
        <v>68</v>
      </c>
      <c r="D5" s="85" t="s">
        <v>69</v>
      </c>
      <c r="E5" s="85" t="s">
        <v>69</v>
      </c>
      <c r="F5" s="85" t="s">
        <v>69</v>
      </c>
      <c r="G5" s="85" t="s">
        <v>70</v>
      </c>
      <c r="H5" s="85" t="s">
        <v>70</v>
      </c>
      <c r="I5" s="85" t="s">
        <v>70</v>
      </c>
      <c r="J5" s="85"/>
      <c r="K5" s="88"/>
      <c r="L5" s="169" t="s">
        <v>71</v>
      </c>
      <c r="M5" s="96" t="s">
        <v>7</v>
      </c>
      <c r="N5" s="96" t="s">
        <v>8</v>
      </c>
      <c r="O5" s="96" t="s">
        <v>8</v>
      </c>
      <c r="Q5" s="147" t="s">
        <v>72</v>
      </c>
      <c r="R5" s="99" t="s">
        <v>54</v>
      </c>
      <c r="S5" s="99" t="s">
        <v>55</v>
      </c>
      <c r="T5" s="99" t="s">
        <v>56</v>
      </c>
      <c r="U5" s="99" t="s">
        <v>12</v>
      </c>
      <c r="V5" s="99" t="s">
        <v>57</v>
      </c>
      <c r="W5" s="99" t="s">
        <v>58</v>
      </c>
      <c r="X5" s="99" t="s">
        <v>59</v>
      </c>
      <c r="Y5" s="99" t="s">
        <v>60</v>
      </c>
      <c r="Z5" s="99" t="s">
        <v>62</v>
      </c>
      <c r="AA5" s="99" t="s">
        <v>64</v>
      </c>
      <c r="AB5" s="99" t="s">
        <v>65</v>
      </c>
      <c r="AC5" s="99" t="s">
        <v>73</v>
      </c>
      <c r="AD5" s="99" t="s">
        <v>53</v>
      </c>
      <c r="AE5" s="99" t="s">
        <v>77</v>
      </c>
      <c r="AF5" s="99" t="s">
        <v>78</v>
      </c>
      <c r="AG5" s="99" t="s">
        <v>79</v>
      </c>
      <c r="AH5" s="99" t="s">
        <v>90</v>
      </c>
      <c r="AI5" s="99" t="s">
        <v>91</v>
      </c>
      <c r="AJ5" s="99" t="s">
        <v>97</v>
      </c>
      <c r="AK5" s="99" t="s">
        <v>98</v>
      </c>
      <c r="AL5" s="99" t="s">
        <v>102</v>
      </c>
      <c r="AM5" s="99" t="s">
        <v>103</v>
      </c>
      <c r="AN5" s="99" t="s">
        <v>104</v>
      </c>
      <c r="AO5" s="99" t="s">
        <v>107</v>
      </c>
      <c r="AP5" s="99" t="s">
        <v>108</v>
      </c>
      <c r="AQ5" s="99" t="s">
        <v>114</v>
      </c>
      <c r="AR5" s="99" t="s">
        <v>121</v>
      </c>
      <c r="AS5" s="100"/>
      <c r="AT5" s="97"/>
      <c r="AU5" s="97"/>
    </row>
    <row r="6" spans="2:47" x14ac:dyDescent="0.35">
      <c r="B6" s="169" t="s">
        <v>13</v>
      </c>
      <c r="C6" s="101">
        <v>16.7</v>
      </c>
      <c r="D6" s="101">
        <v>16.7</v>
      </c>
      <c r="E6" s="101">
        <v>20.5</v>
      </c>
      <c r="F6" s="101">
        <v>20.5</v>
      </c>
      <c r="G6" s="101">
        <v>30.6</v>
      </c>
      <c r="H6" s="101">
        <v>30.6</v>
      </c>
      <c r="I6" s="101">
        <v>38.6</v>
      </c>
      <c r="J6" s="101"/>
      <c r="L6" s="169" t="s">
        <v>13</v>
      </c>
      <c r="M6" s="101">
        <v>15</v>
      </c>
      <c r="N6" s="101">
        <v>20.5</v>
      </c>
      <c r="O6" s="101">
        <v>20.5</v>
      </c>
      <c r="Q6" s="102" t="s">
        <v>14</v>
      </c>
      <c r="R6" s="104">
        <v>938.13</v>
      </c>
      <c r="S6" s="105">
        <v>959</v>
      </c>
      <c r="T6" s="104">
        <v>1006.25</v>
      </c>
      <c r="U6" s="130">
        <v>993.75</v>
      </c>
      <c r="V6" s="131">
        <v>1015.5</v>
      </c>
      <c r="W6" s="131">
        <v>1045.5999999999999</v>
      </c>
      <c r="X6" s="43">
        <v>1103.75</v>
      </c>
      <c r="Y6" s="43">
        <v>1148.75</v>
      </c>
      <c r="Z6" s="43">
        <v>1167</v>
      </c>
      <c r="AA6" s="43">
        <v>1221.25</v>
      </c>
      <c r="AB6" s="43">
        <v>1330</v>
      </c>
      <c r="AC6" s="43">
        <f>+'IHS (Mod)'!I5</f>
        <v>1280</v>
      </c>
      <c r="AD6" s="43">
        <f>+'IHS (Mod)'!J5</f>
        <v>1279.380005</v>
      </c>
      <c r="AE6" s="43">
        <v>1275.5</v>
      </c>
      <c r="AF6" s="43" t="e">
        <f>+#REF!</f>
        <v>#REF!</v>
      </c>
      <c r="AG6" s="43" t="e">
        <f>+#REF!</f>
        <v>#REF!</v>
      </c>
      <c r="AH6" s="43" t="e">
        <f>+#REF!</f>
        <v>#REF!</v>
      </c>
      <c r="AI6" s="43" t="e">
        <f>+#REF!</f>
        <v>#REF!</v>
      </c>
      <c r="AJ6" s="43" t="e">
        <f>+#REF!</f>
        <v>#REF!</v>
      </c>
      <c r="AK6" s="43" t="e">
        <f>+#REF!</f>
        <v>#REF!</v>
      </c>
      <c r="AL6" s="43" t="e">
        <f>+#REF!</f>
        <v>#REF!</v>
      </c>
      <c r="AM6" s="43" t="e">
        <f>+#REF!</f>
        <v>#REF!</v>
      </c>
      <c r="AN6" s="43" t="e">
        <f>+#REF!</f>
        <v>#REF!</v>
      </c>
      <c r="AO6" s="43" t="e">
        <f>+#REF!</f>
        <v>#REF!</v>
      </c>
      <c r="AP6" s="43" t="e">
        <f>+#REF!</f>
        <v>#REF!</v>
      </c>
      <c r="AQ6" s="43" t="e">
        <f>+#REF!</f>
        <v>#REF!</v>
      </c>
      <c r="AR6" s="43" t="e">
        <f>+#REF!</f>
        <v>#REF!</v>
      </c>
      <c r="AS6" s="85"/>
      <c r="AT6" s="101"/>
      <c r="AU6" s="101"/>
    </row>
    <row r="7" spans="2:47" x14ac:dyDescent="0.35">
      <c r="B7" s="170" t="s">
        <v>16</v>
      </c>
      <c r="C7" s="91" t="s">
        <v>17</v>
      </c>
      <c r="D7" s="91" t="s">
        <v>17</v>
      </c>
      <c r="E7" s="91" t="s">
        <v>17</v>
      </c>
      <c r="F7" s="91" t="s">
        <v>17</v>
      </c>
      <c r="G7" s="91" t="s">
        <v>17</v>
      </c>
      <c r="H7" s="91" t="s">
        <v>17</v>
      </c>
      <c r="I7" s="91" t="s">
        <v>17</v>
      </c>
      <c r="J7" s="91"/>
      <c r="L7" s="170" t="s">
        <v>16</v>
      </c>
      <c r="M7" s="91" t="s">
        <v>17</v>
      </c>
      <c r="N7" s="91" t="s">
        <v>17</v>
      </c>
      <c r="O7" s="91" t="s">
        <v>17</v>
      </c>
      <c r="Q7" s="128" t="s">
        <v>99</v>
      </c>
      <c r="R7" s="129">
        <v>25.09</v>
      </c>
      <c r="S7" s="129">
        <v>25.09</v>
      </c>
      <c r="T7" s="129">
        <v>25.09</v>
      </c>
      <c r="U7" s="129">
        <v>25</v>
      </c>
      <c r="V7" s="129">
        <v>25</v>
      </c>
      <c r="W7" s="129">
        <v>25</v>
      </c>
      <c r="X7" s="129">
        <v>25</v>
      </c>
      <c r="Y7" s="129">
        <v>25</v>
      </c>
      <c r="Z7" s="129">
        <v>25</v>
      </c>
      <c r="AA7" s="129">
        <v>25</v>
      </c>
      <c r="AB7" s="129">
        <v>25</v>
      </c>
      <c r="AC7" s="129">
        <v>33.139726027397259</v>
      </c>
      <c r="AD7" s="129">
        <f>+Septiembre18!AD8</f>
        <v>33.1236741020548</v>
      </c>
      <c r="AE7" s="129">
        <v>33.023219178082194</v>
      </c>
      <c r="AF7" s="129">
        <v>33.023219178082194</v>
      </c>
      <c r="AG7" s="129">
        <v>32.783732876712328</v>
      </c>
      <c r="AH7" s="129">
        <v>29.126712328767123</v>
      </c>
      <c r="AI7" s="129">
        <v>27.395420677397254</v>
      </c>
      <c r="AJ7" s="129">
        <v>26.796575342465754</v>
      </c>
      <c r="AK7" s="129">
        <v>13.948458904109588</v>
      </c>
      <c r="AL7" s="129">
        <v>14.191181506849315</v>
      </c>
      <c r="AM7" s="129">
        <v>14.255907534246576</v>
      </c>
      <c r="AN7" s="129" t="e">
        <f>((((AN6*4.5%)/365)*210))*50%</f>
        <v>#REF!</v>
      </c>
      <c r="AO7" s="129" t="e">
        <f>((((AO6*4.5%)/365)*210))*50%</f>
        <v>#REF!</v>
      </c>
      <c r="AP7" s="129" t="e">
        <f>((((AP6*4.5%)/365)*210))*50%</f>
        <v>#REF!</v>
      </c>
      <c r="AQ7" s="129" t="e">
        <f>((((AQ6*4.5%)/365)*210))*50%</f>
        <v>#REF!</v>
      </c>
      <c r="AR7" s="129" t="e">
        <f>((((AR6*4.5%)/365)*210))*50%</f>
        <v>#REF!</v>
      </c>
      <c r="AS7" s="85"/>
      <c r="AT7" s="91"/>
      <c r="AU7" s="91"/>
    </row>
    <row r="8" spans="2:47" x14ac:dyDescent="0.35">
      <c r="B8" s="170" t="s">
        <v>115</v>
      </c>
      <c r="C8" s="91" t="s">
        <v>116</v>
      </c>
      <c r="D8" s="91"/>
      <c r="E8" s="91"/>
      <c r="F8" s="91" t="s">
        <v>117</v>
      </c>
      <c r="G8" s="91"/>
      <c r="H8" s="91"/>
      <c r="I8" s="91" t="s">
        <v>118</v>
      </c>
      <c r="J8" s="91"/>
      <c r="L8" s="170"/>
      <c r="M8" s="91" t="s">
        <v>119</v>
      </c>
      <c r="N8" s="91" t="s">
        <v>120</v>
      </c>
      <c r="O8" s="91"/>
      <c r="Q8" s="128"/>
      <c r="R8" s="129"/>
      <c r="S8" s="129"/>
      <c r="T8" s="129"/>
      <c r="U8" s="129"/>
      <c r="V8" s="129"/>
      <c r="W8" s="129"/>
      <c r="X8" s="129"/>
      <c r="Y8" s="129"/>
      <c r="Z8" s="129"/>
      <c r="AA8" s="129"/>
      <c r="AB8" s="129"/>
      <c r="AC8" s="129"/>
      <c r="AD8" s="129"/>
      <c r="AE8" s="129"/>
      <c r="AF8" s="129"/>
      <c r="AG8" s="129"/>
      <c r="AH8" s="129"/>
      <c r="AI8" s="129"/>
      <c r="AJ8" s="129"/>
      <c r="AK8" s="129"/>
      <c r="AL8" s="129"/>
      <c r="AM8" s="129"/>
      <c r="AN8" s="129"/>
      <c r="AO8" s="129"/>
      <c r="AP8" s="129"/>
      <c r="AQ8" s="129"/>
      <c r="AR8" s="129"/>
      <c r="AS8" s="85"/>
      <c r="AT8" s="91"/>
      <c r="AU8" s="91"/>
    </row>
    <row r="9" spans="2:47" s="95" customFormat="1" ht="29" x14ac:dyDescent="0.35">
      <c r="B9" s="175" t="s">
        <v>92</v>
      </c>
      <c r="C9" s="177" t="s">
        <v>93</v>
      </c>
      <c r="D9" s="177" t="s">
        <v>94</v>
      </c>
      <c r="E9" s="176">
        <v>1</v>
      </c>
      <c r="F9" s="177" t="s">
        <v>93</v>
      </c>
      <c r="G9" s="176">
        <v>1</v>
      </c>
      <c r="H9" s="177" t="s">
        <v>94</v>
      </c>
      <c r="I9" s="177" t="s">
        <v>93</v>
      </c>
      <c r="J9" s="162"/>
      <c r="L9" s="175" t="str">
        <f>+B9</f>
        <v>% Resina (Virgen/PCR)</v>
      </c>
      <c r="M9" s="177" t="s">
        <v>94</v>
      </c>
      <c r="N9" s="176">
        <v>1</v>
      </c>
      <c r="O9" s="177" t="s">
        <v>94</v>
      </c>
      <c r="Q9" s="166" t="s">
        <v>20</v>
      </c>
      <c r="R9" s="129">
        <v>65</v>
      </c>
      <c r="S9" s="167">
        <v>65</v>
      </c>
      <c r="T9" s="129">
        <v>65</v>
      </c>
      <c r="U9" s="129">
        <v>65</v>
      </c>
      <c r="V9" s="129">
        <v>65</v>
      </c>
      <c r="W9" s="129">
        <v>65</v>
      </c>
      <c r="X9" s="129">
        <v>65</v>
      </c>
      <c r="Y9" s="129">
        <v>65</v>
      </c>
      <c r="Z9" s="129">
        <v>65</v>
      </c>
      <c r="AA9" s="129">
        <v>65</v>
      </c>
      <c r="AB9" s="129">
        <v>65</v>
      </c>
      <c r="AC9" s="129">
        <v>70</v>
      </c>
      <c r="AD9" s="129">
        <v>70</v>
      </c>
      <c r="AE9" s="129">
        <v>70</v>
      </c>
      <c r="AF9" s="129">
        <v>70</v>
      </c>
      <c r="AG9" s="129">
        <v>70</v>
      </c>
      <c r="AH9" s="129">
        <v>70</v>
      </c>
      <c r="AI9" s="129">
        <v>70</v>
      </c>
      <c r="AJ9" s="129">
        <v>70</v>
      </c>
      <c r="AK9" s="129">
        <v>70</v>
      </c>
      <c r="AL9" s="129">
        <v>70</v>
      </c>
      <c r="AM9" s="129">
        <v>70</v>
      </c>
      <c r="AN9" s="129">
        <v>70</v>
      </c>
      <c r="AO9" s="129">
        <v>70</v>
      </c>
      <c r="AP9" s="129">
        <v>70</v>
      </c>
      <c r="AQ9" s="129">
        <v>70</v>
      </c>
      <c r="AR9" s="129">
        <v>70</v>
      </c>
      <c r="AS9" s="168"/>
      <c r="AT9" s="165"/>
      <c r="AU9" s="165"/>
    </row>
    <row r="10" spans="2:47" x14ac:dyDescent="0.35">
      <c r="B10" s="170" t="s">
        <v>19</v>
      </c>
      <c r="C10" s="80" t="e">
        <f>+(C6*F2/1000)*1.01*50%</f>
        <v>#REF!</v>
      </c>
      <c r="D10" s="80" t="e">
        <f>+(D6*$F$2/1000)*1.01*75%</f>
        <v>#REF!</v>
      </c>
      <c r="E10" s="80" t="e">
        <f>+(E6*$F$2/1000)*1.01</f>
        <v>#REF!</v>
      </c>
      <c r="F10" s="80" t="e">
        <f>+(F6*$F$2/1000)*1.01*50%</f>
        <v>#REF!</v>
      </c>
      <c r="G10" s="80" t="e">
        <f>+(G6*F2/1000)*1.01</f>
        <v>#REF!</v>
      </c>
      <c r="H10" s="80" t="e">
        <f>+(H6*$F$2/1000)*1.01*75%</f>
        <v>#REF!</v>
      </c>
      <c r="I10" s="80" t="e">
        <f>+(I6*$F$2/1000)*1.01*50%</f>
        <v>#REF!</v>
      </c>
      <c r="J10" s="80"/>
      <c r="L10" s="170" t="s">
        <v>19</v>
      </c>
      <c r="M10" s="80" t="e">
        <f>+(M6*F2/1000)*1.005*75%</f>
        <v>#REF!</v>
      </c>
      <c r="N10" s="80" t="e">
        <f>+(N6*F2/1000)*1.005</f>
        <v>#REF!</v>
      </c>
      <c r="O10" s="80" t="e">
        <f>+(O6*F2/1000)*1.005*75%</f>
        <v>#REF!</v>
      </c>
      <c r="Q10" s="102"/>
      <c r="R10" s="104">
        <f>SUM(R6:R9)</f>
        <v>1028.22</v>
      </c>
      <c r="S10" s="104">
        <f>SUM(S6:S9)</f>
        <v>1049.0900000000001</v>
      </c>
      <c r="T10" s="104">
        <f>SUM(T6:T9)</f>
        <v>1096.3399999999999</v>
      </c>
      <c r="U10" s="104">
        <f>SUM(U6:U9)</f>
        <v>1083.75</v>
      </c>
      <c r="V10" s="104">
        <f t="shared" ref="V10:AQ10" si="0">SUM(V6:V9)</f>
        <v>1105.5</v>
      </c>
      <c r="W10" s="104">
        <f t="shared" si="0"/>
        <v>1135.5999999999999</v>
      </c>
      <c r="X10" s="104">
        <f t="shared" si="0"/>
        <v>1193.75</v>
      </c>
      <c r="Y10" s="104">
        <f t="shared" si="0"/>
        <v>1238.75</v>
      </c>
      <c r="Z10" s="104">
        <f t="shared" si="0"/>
        <v>1257</v>
      </c>
      <c r="AA10" s="104">
        <f t="shared" si="0"/>
        <v>1311.25</v>
      </c>
      <c r="AB10" s="104">
        <f t="shared" si="0"/>
        <v>1420</v>
      </c>
      <c r="AC10" s="104">
        <f t="shared" si="0"/>
        <v>1383.1397260273973</v>
      </c>
      <c r="AD10" s="104">
        <f t="shared" si="0"/>
        <v>1382.5036791020548</v>
      </c>
      <c r="AE10" s="104">
        <f t="shared" si="0"/>
        <v>1378.5232191780822</v>
      </c>
      <c r="AF10" s="104" t="e">
        <f t="shared" si="0"/>
        <v>#REF!</v>
      </c>
      <c r="AG10" s="104" t="e">
        <f t="shared" si="0"/>
        <v>#REF!</v>
      </c>
      <c r="AH10" s="104" t="e">
        <f t="shared" si="0"/>
        <v>#REF!</v>
      </c>
      <c r="AI10" s="104" t="e">
        <f t="shared" si="0"/>
        <v>#REF!</v>
      </c>
      <c r="AJ10" s="104" t="e">
        <f t="shared" si="0"/>
        <v>#REF!</v>
      </c>
      <c r="AK10" s="104" t="e">
        <f t="shared" si="0"/>
        <v>#REF!</v>
      </c>
      <c r="AL10" s="104" t="e">
        <f t="shared" si="0"/>
        <v>#REF!</v>
      </c>
      <c r="AM10" s="104" t="e">
        <f t="shared" si="0"/>
        <v>#REF!</v>
      </c>
      <c r="AN10" s="104" t="e">
        <f t="shared" si="0"/>
        <v>#REF!</v>
      </c>
      <c r="AO10" s="104" t="e">
        <f t="shared" si="0"/>
        <v>#REF!</v>
      </c>
      <c r="AP10" s="104" t="e">
        <f t="shared" si="0"/>
        <v>#REF!</v>
      </c>
      <c r="AQ10" s="104" t="e">
        <f t="shared" si="0"/>
        <v>#REF!</v>
      </c>
      <c r="AR10" s="104" t="e">
        <f>SUM(AR6:AR9)</f>
        <v>#REF!</v>
      </c>
      <c r="AS10" s="79"/>
      <c r="AT10" s="80"/>
      <c r="AU10" s="80"/>
    </row>
    <row r="11" spans="2:47" x14ac:dyDescent="0.35">
      <c r="B11" s="172" t="s">
        <v>23</v>
      </c>
      <c r="C11" s="76" t="e">
        <f>+(C6*$F$3/1000)*1.01*50%</f>
        <v>#REF!</v>
      </c>
      <c r="D11" s="76" t="e">
        <f>+(D6*$F$3/1000)*1.01*25%</f>
        <v>#REF!</v>
      </c>
      <c r="E11" s="76">
        <v>0</v>
      </c>
      <c r="F11" s="76" t="e">
        <f>+(F6*$F$3/1000)*1.01*50%</f>
        <v>#REF!</v>
      </c>
      <c r="G11" s="76">
        <v>0</v>
      </c>
      <c r="H11" s="76" t="e">
        <f>+(H6*$F$3/1000)*1.01*25%</f>
        <v>#REF!</v>
      </c>
      <c r="I11" s="76" t="e">
        <f>+(I6*$F$3/1000)*1.01*50%</f>
        <v>#REF!</v>
      </c>
      <c r="J11" s="76"/>
      <c r="K11" s="121"/>
      <c r="L11" s="172" t="s">
        <v>23</v>
      </c>
      <c r="M11" s="76" t="e">
        <f>+(M6*F3/1000)*1.005*25%</f>
        <v>#REF!</v>
      </c>
      <c r="N11" s="76">
        <v>0</v>
      </c>
      <c r="O11" s="76" t="e">
        <f>+(O6*F3/1000)*1.005*25%</f>
        <v>#REF!</v>
      </c>
      <c r="Q11" s="106" t="s">
        <v>27</v>
      </c>
      <c r="R11" s="108">
        <f>+R10*4%</f>
        <v>41.128800000000005</v>
      </c>
      <c r="S11" s="104">
        <f>+S10*4%</f>
        <v>41.963600000000007</v>
      </c>
      <c r="T11" s="108">
        <f>+T10*4%</f>
        <v>43.8536</v>
      </c>
      <c r="U11" s="108">
        <f>+U10*4%</f>
        <v>43.35</v>
      </c>
      <c r="V11" s="108">
        <f t="shared" ref="V11:AQ11" si="1">+V10*4%</f>
        <v>44.22</v>
      </c>
      <c r="W11" s="108">
        <f t="shared" si="1"/>
        <v>45.423999999999999</v>
      </c>
      <c r="X11" s="108">
        <f t="shared" si="1"/>
        <v>47.75</v>
      </c>
      <c r="Y11" s="108">
        <f t="shared" si="1"/>
        <v>49.550000000000004</v>
      </c>
      <c r="Z11" s="108">
        <f t="shared" si="1"/>
        <v>50.28</v>
      </c>
      <c r="AA11" s="108">
        <f t="shared" si="1"/>
        <v>52.45</v>
      </c>
      <c r="AB11" s="108">
        <f t="shared" si="1"/>
        <v>56.800000000000004</v>
      </c>
      <c r="AC11" s="108">
        <f t="shared" si="1"/>
        <v>55.325589041095895</v>
      </c>
      <c r="AD11" s="108">
        <f t="shared" si="1"/>
        <v>55.30014716408219</v>
      </c>
      <c r="AE11" s="108">
        <f t="shared" si="1"/>
        <v>55.140928767123285</v>
      </c>
      <c r="AF11" s="108" t="e">
        <f t="shared" si="1"/>
        <v>#REF!</v>
      </c>
      <c r="AG11" s="108" t="e">
        <f t="shared" si="1"/>
        <v>#REF!</v>
      </c>
      <c r="AH11" s="108" t="e">
        <f t="shared" si="1"/>
        <v>#REF!</v>
      </c>
      <c r="AI11" s="108" t="e">
        <f t="shared" si="1"/>
        <v>#REF!</v>
      </c>
      <c r="AJ11" s="108" t="e">
        <f t="shared" si="1"/>
        <v>#REF!</v>
      </c>
      <c r="AK11" s="108" t="e">
        <f t="shared" si="1"/>
        <v>#REF!</v>
      </c>
      <c r="AL11" s="108" t="e">
        <f t="shared" si="1"/>
        <v>#REF!</v>
      </c>
      <c r="AM11" s="108" t="e">
        <f t="shared" si="1"/>
        <v>#REF!</v>
      </c>
      <c r="AN11" s="108" t="e">
        <f t="shared" si="1"/>
        <v>#REF!</v>
      </c>
      <c r="AO11" s="108" t="e">
        <f t="shared" si="1"/>
        <v>#REF!</v>
      </c>
      <c r="AP11" s="108" t="e">
        <f t="shared" si="1"/>
        <v>#REF!</v>
      </c>
      <c r="AQ11" s="108" t="e">
        <f t="shared" si="1"/>
        <v>#REF!</v>
      </c>
      <c r="AR11" s="108" t="e">
        <f>+AR10*4%</f>
        <v>#REF!</v>
      </c>
      <c r="AS11" s="79"/>
      <c r="AT11" s="80"/>
      <c r="AU11" s="80"/>
    </row>
    <row r="12" spans="2:47" x14ac:dyDescent="0.35">
      <c r="B12" s="169" t="s">
        <v>95</v>
      </c>
      <c r="C12" s="84" t="e">
        <f>SUM(C10:C11)</f>
        <v>#REF!</v>
      </c>
      <c r="D12" s="84" t="e">
        <f t="shared" ref="D12:J12" si="2">SUM(D10:D11)</f>
        <v>#REF!</v>
      </c>
      <c r="E12" s="84" t="e">
        <f t="shared" si="2"/>
        <v>#REF!</v>
      </c>
      <c r="F12" s="84" t="e">
        <f t="shared" si="2"/>
        <v>#REF!</v>
      </c>
      <c r="G12" s="84" t="e">
        <f t="shared" si="2"/>
        <v>#REF!</v>
      </c>
      <c r="H12" s="84" t="e">
        <f t="shared" si="2"/>
        <v>#REF!</v>
      </c>
      <c r="I12" s="84" t="e">
        <f t="shared" si="2"/>
        <v>#REF!</v>
      </c>
      <c r="J12" s="80">
        <f t="shared" si="2"/>
        <v>0</v>
      </c>
      <c r="K12" s="80"/>
      <c r="L12" s="169" t="s">
        <v>95</v>
      </c>
      <c r="M12" s="84" t="e">
        <f t="shared" ref="M12:O12" si="3">SUM(M10:M11)</f>
        <v>#REF!</v>
      </c>
      <c r="N12" s="84" t="e">
        <f t="shared" si="3"/>
        <v>#REF!</v>
      </c>
      <c r="O12" s="84" t="e">
        <f t="shared" si="3"/>
        <v>#REF!</v>
      </c>
      <c r="Q12" s="157" t="s">
        <v>30</v>
      </c>
      <c r="R12" s="158">
        <f>+R11+R10</f>
        <v>1069.3488</v>
      </c>
      <c r="S12" s="159">
        <f>+S11+S10</f>
        <v>1091.0536000000002</v>
      </c>
      <c r="T12" s="158">
        <f>+T11+T10</f>
        <v>1140.1935999999998</v>
      </c>
      <c r="U12" s="158">
        <f>+U11+U10</f>
        <v>1127.0999999999999</v>
      </c>
      <c r="V12" s="158">
        <f t="shared" ref="V12:AQ12" si="4">+V11+V10</f>
        <v>1149.72</v>
      </c>
      <c r="W12" s="158">
        <f t="shared" si="4"/>
        <v>1181.0239999999999</v>
      </c>
      <c r="X12" s="158">
        <f t="shared" si="4"/>
        <v>1241.5</v>
      </c>
      <c r="Y12" s="158">
        <f t="shared" si="4"/>
        <v>1288.3</v>
      </c>
      <c r="Z12" s="158">
        <f t="shared" si="4"/>
        <v>1307.28</v>
      </c>
      <c r="AA12" s="158">
        <f t="shared" si="4"/>
        <v>1363.7</v>
      </c>
      <c r="AB12" s="158">
        <f t="shared" si="4"/>
        <v>1476.8</v>
      </c>
      <c r="AC12" s="158">
        <f t="shared" si="4"/>
        <v>1438.4653150684931</v>
      </c>
      <c r="AD12" s="158">
        <f t="shared" si="4"/>
        <v>1437.8038262661369</v>
      </c>
      <c r="AE12" s="158">
        <f t="shared" si="4"/>
        <v>1433.6641479452055</v>
      </c>
      <c r="AF12" s="158" t="e">
        <f t="shared" si="4"/>
        <v>#REF!</v>
      </c>
      <c r="AG12" s="158" t="e">
        <f t="shared" si="4"/>
        <v>#REF!</v>
      </c>
      <c r="AH12" s="158" t="e">
        <f t="shared" si="4"/>
        <v>#REF!</v>
      </c>
      <c r="AI12" s="158" t="e">
        <f t="shared" si="4"/>
        <v>#REF!</v>
      </c>
      <c r="AJ12" s="158" t="e">
        <f t="shared" si="4"/>
        <v>#REF!</v>
      </c>
      <c r="AK12" s="158" t="e">
        <f t="shared" si="4"/>
        <v>#REF!</v>
      </c>
      <c r="AL12" s="158" t="e">
        <f t="shared" si="4"/>
        <v>#REF!</v>
      </c>
      <c r="AM12" s="158" t="e">
        <f t="shared" si="4"/>
        <v>#REF!</v>
      </c>
      <c r="AN12" s="158" t="e">
        <f t="shared" si="4"/>
        <v>#REF!</v>
      </c>
      <c r="AO12" s="158" t="e">
        <f t="shared" si="4"/>
        <v>#REF!</v>
      </c>
      <c r="AP12" s="158" t="e">
        <f t="shared" si="4"/>
        <v>#REF!</v>
      </c>
      <c r="AQ12" s="158" t="e">
        <f t="shared" si="4"/>
        <v>#REF!</v>
      </c>
      <c r="AR12" s="158" t="e">
        <f>+AR11+AR10</f>
        <v>#REF!</v>
      </c>
      <c r="AS12" s="79"/>
      <c r="AT12" s="80"/>
      <c r="AU12" s="80"/>
    </row>
    <row r="13" spans="2:47" x14ac:dyDescent="0.35">
      <c r="B13" s="170" t="s">
        <v>133</v>
      </c>
      <c r="C13" s="80">
        <f>8.2+0.03</f>
        <v>8.2299999999999986</v>
      </c>
      <c r="D13" s="80">
        <v>8.2299999999999986</v>
      </c>
      <c r="E13" s="80">
        <f>8.2+0.03</f>
        <v>8.2299999999999986</v>
      </c>
      <c r="F13" s="80">
        <f>8.2+0.03</f>
        <v>8.2299999999999986</v>
      </c>
      <c r="G13" s="80">
        <v>11.200000000000001</v>
      </c>
      <c r="H13" s="80">
        <v>11.200000000000001</v>
      </c>
      <c r="I13" s="80">
        <f>11.15+0.05</f>
        <v>11.200000000000001</v>
      </c>
      <c r="J13" s="80"/>
      <c r="L13" s="170" t="s">
        <v>133</v>
      </c>
      <c r="M13" s="80">
        <f>+C13</f>
        <v>8.2299999999999986</v>
      </c>
      <c r="N13" s="80">
        <v>8.23</v>
      </c>
      <c r="O13" s="80">
        <v>8.23</v>
      </c>
      <c r="Q13" s="160" t="s">
        <v>32</v>
      </c>
      <c r="R13" s="161">
        <f>+R12*(1-5%)</f>
        <v>1015.88136</v>
      </c>
      <c r="S13" s="161">
        <f t="shared" ref="S13:AM13" si="5">+S12*(1-5%)</f>
        <v>1036.5009200000002</v>
      </c>
      <c r="T13" s="161">
        <f t="shared" si="5"/>
        <v>1083.1839199999997</v>
      </c>
      <c r="U13" s="161">
        <f t="shared" si="5"/>
        <v>1070.7449999999999</v>
      </c>
      <c r="V13" s="161">
        <f t="shared" si="5"/>
        <v>1092.2339999999999</v>
      </c>
      <c r="W13" s="161">
        <f t="shared" si="5"/>
        <v>1121.9727999999998</v>
      </c>
      <c r="X13" s="161">
        <f t="shared" si="5"/>
        <v>1179.425</v>
      </c>
      <c r="Y13" s="161">
        <f t="shared" si="5"/>
        <v>1223.885</v>
      </c>
      <c r="Z13" s="161">
        <f t="shared" si="5"/>
        <v>1241.9159999999999</v>
      </c>
      <c r="AA13" s="161">
        <f t="shared" si="5"/>
        <v>1295.5149999999999</v>
      </c>
      <c r="AB13" s="161">
        <f t="shared" si="5"/>
        <v>1402.9599999999998</v>
      </c>
      <c r="AC13" s="161">
        <f t="shared" si="5"/>
        <v>1366.5420493150684</v>
      </c>
      <c r="AD13" s="161">
        <f t="shared" si="5"/>
        <v>1365.9136349528299</v>
      </c>
      <c r="AE13" s="161">
        <f t="shared" si="5"/>
        <v>1361.9809405479452</v>
      </c>
      <c r="AF13" s="161" t="e">
        <f t="shared" si="5"/>
        <v>#REF!</v>
      </c>
      <c r="AG13" s="161" t="e">
        <f t="shared" si="5"/>
        <v>#REF!</v>
      </c>
      <c r="AH13" s="161" t="e">
        <f t="shared" si="5"/>
        <v>#REF!</v>
      </c>
      <c r="AI13" s="161" t="e">
        <f t="shared" si="5"/>
        <v>#REF!</v>
      </c>
      <c r="AJ13" s="161" t="e">
        <f t="shared" si="5"/>
        <v>#REF!</v>
      </c>
      <c r="AK13" s="161" t="e">
        <f t="shared" si="5"/>
        <v>#REF!</v>
      </c>
      <c r="AL13" s="161" t="e">
        <f t="shared" si="5"/>
        <v>#REF!</v>
      </c>
      <c r="AM13" s="161" t="e">
        <f t="shared" si="5"/>
        <v>#REF!</v>
      </c>
      <c r="AN13" s="161">
        <v>1267</v>
      </c>
      <c r="AO13" s="161" t="e">
        <f t="shared" ref="AO13:AQ13" si="6">+AO12*(1-5%)</f>
        <v>#REF!</v>
      </c>
      <c r="AP13" s="161" t="e">
        <f t="shared" si="6"/>
        <v>#REF!</v>
      </c>
      <c r="AQ13" s="161" t="e">
        <f t="shared" si="6"/>
        <v>#REF!</v>
      </c>
      <c r="AR13" s="161" t="e">
        <f>+AR12*(1-5%)</f>
        <v>#REF!</v>
      </c>
      <c r="AS13" s="182">
        <v>1267</v>
      </c>
      <c r="AT13" s="81" t="s">
        <v>105</v>
      </c>
      <c r="AU13" s="80"/>
    </row>
    <row r="14" spans="2:47" x14ac:dyDescent="0.35">
      <c r="B14" s="170" t="s">
        <v>134</v>
      </c>
      <c r="C14" s="80">
        <v>0</v>
      </c>
      <c r="D14" s="80"/>
      <c r="E14" s="80"/>
      <c r="F14" s="80">
        <v>0</v>
      </c>
      <c r="G14" s="80"/>
      <c r="H14" s="80"/>
      <c r="I14" s="80">
        <v>0</v>
      </c>
      <c r="J14" s="80"/>
      <c r="L14" s="170" t="s">
        <v>134</v>
      </c>
      <c r="M14" s="80">
        <v>19.079999999999998</v>
      </c>
      <c r="N14" s="80">
        <v>19.09</v>
      </c>
      <c r="O14" s="80">
        <v>19.09</v>
      </c>
      <c r="Q14" s="160"/>
      <c r="R14" s="161"/>
      <c r="S14" s="161"/>
      <c r="T14" s="161"/>
      <c r="U14" s="161"/>
      <c r="V14" s="161"/>
      <c r="W14" s="161"/>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82"/>
      <c r="AU14" s="80"/>
    </row>
    <row r="15" spans="2:47" x14ac:dyDescent="0.35">
      <c r="B15" s="170" t="s">
        <v>31</v>
      </c>
      <c r="C15" s="80">
        <v>1.92</v>
      </c>
      <c r="D15" s="80">
        <v>1.5</v>
      </c>
      <c r="E15" s="80">
        <v>1.83</v>
      </c>
      <c r="F15" s="80">
        <v>2.2200000000000002</v>
      </c>
      <c r="G15" s="80">
        <v>3.45</v>
      </c>
      <c r="H15" s="80">
        <v>3.45</v>
      </c>
      <c r="I15" s="80">
        <v>4.13</v>
      </c>
      <c r="J15" s="80"/>
      <c r="L15" s="170" t="s">
        <v>31</v>
      </c>
      <c r="M15" s="80">
        <v>0.9</v>
      </c>
      <c r="N15" s="80">
        <v>2.1800000000000002</v>
      </c>
      <c r="O15" s="80">
        <v>2.1800000000000002</v>
      </c>
      <c r="Q15" s="128" t="s">
        <v>100</v>
      </c>
      <c r="R15" s="128" t="s">
        <v>18</v>
      </c>
      <c r="S15" s="128" t="s">
        <v>18</v>
      </c>
      <c r="T15" s="128" t="s">
        <v>18</v>
      </c>
      <c r="U15" s="128" t="s">
        <v>18</v>
      </c>
      <c r="V15" s="128" t="s">
        <v>18</v>
      </c>
      <c r="W15" s="128" t="s">
        <v>18</v>
      </c>
      <c r="X15" s="128" t="s">
        <v>18</v>
      </c>
      <c r="Y15" s="128" t="s">
        <v>18</v>
      </c>
      <c r="Z15" s="128" t="s">
        <v>18</v>
      </c>
      <c r="AA15" s="128" t="s">
        <v>18</v>
      </c>
      <c r="AB15" s="128" t="s">
        <v>18</v>
      </c>
      <c r="AC15" s="128" t="s">
        <v>18</v>
      </c>
      <c r="AD15" s="128" t="s">
        <v>18</v>
      </c>
      <c r="AE15" s="128" t="s">
        <v>18</v>
      </c>
      <c r="AF15" s="128" t="s">
        <v>18</v>
      </c>
      <c r="AG15" s="128" t="s">
        <v>18</v>
      </c>
      <c r="AH15" s="128" t="s">
        <v>18</v>
      </c>
      <c r="AI15" s="128" t="s">
        <v>18</v>
      </c>
      <c r="AJ15" s="129">
        <v>0</v>
      </c>
      <c r="AK15" s="129">
        <f>+AU15</f>
        <v>0</v>
      </c>
      <c r="AL15" s="129">
        <v>15.097681007201158</v>
      </c>
      <c r="AM15" s="129">
        <v>15.162458159293488</v>
      </c>
      <c r="AN15" s="129">
        <f>((((AN13*4.5%)/365)*210))*50%</f>
        <v>16.401575342465755</v>
      </c>
      <c r="AO15" s="129" t="e">
        <f>((((AO13*4.5%)/365)*210))*50%</f>
        <v>#REF!</v>
      </c>
      <c r="AP15" s="129" t="e">
        <f>((((AP13*4.5%)/365)*210))*50%</f>
        <v>#REF!</v>
      </c>
      <c r="AQ15" s="129" t="e">
        <f>((((AQ13*4.5%)/365)*210))*50%</f>
        <v>#REF!</v>
      </c>
      <c r="AR15" s="129" t="e">
        <f>((((AR13*4.5%)/365)*210))*50%</f>
        <v>#REF!</v>
      </c>
      <c r="AS15" s="182" t="e">
        <f>+AQ16-AS13</f>
        <v>#REF!</v>
      </c>
      <c r="AT15" s="81" t="s">
        <v>106</v>
      </c>
      <c r="AU15" s="91"/>
    </row>
    <row r="16" spans="2:47" x14ac:dyDescent="0.35">
      <c r="B16" s="170" t="s">
        <v>34</v>
      </c>
      <c r="C16" s="80">
        <v>0.19</v>
      </c>
      <c r="D16" s="80">
        <v>0.19</v>
      </c>
      <c r="E16" s="80">
        <v>0.19</v>
      </c>
      <c r="F16" s="80">
        <v>0.19</v>
      </c>
      <c r="G16" s="80">
        <v>0.33</v>
      </c>
      <c r="H16" s="80">
        <v>0.33</v>
      </c>
      <c r="I16" s="80">
        <v>0.33</v>
      </c>
      <c r="J16" s="80"/>
      <c r="L16" s="170" t="s">
        <v>34</v>
      </c>
      <c r="M16" s="80">
        <v>4.3</v>
      </c>
      <c r="N16" s="80">
        <v>4.3</v>
      </c>
      <c r="O16" s="80">
        <v>4.3</v>
      </c>
      <c r="Q16" s="179" t="s">
        <v>101</v>
      </c>
      <c r="R16" s="179"/>
      <c r="S16" s="179"/>
      <c r="T16" s="179"/>
      <c r="U16" s="179"/>
      <c r="V16" s="179"/>
      <c r="W16" s="179"/>
      <c r="X16" s="179"/>
      <c r="Y16" s="179"/>
      <c r="Z16" s="179"/>
      <c r="AA16" s="179"/>
      <c r="AB16" s="179"/>
      <c r="AC16" s="179"/>
      <c r="AD16" s="179"/>
      <c r="AE16" s="179"/>
      <c r="AF16" s="179"/>
      <c r="AG16" s="179"/>
      <c r="AH16" s="179"/>
      <c r="AI16" s="179"/>
      <c r="AJ16" s="180"/>
      <c r="AK16" s="180" t="e">
        <f t="shared" ref="AK16:AQ16" si="7">+AK13+AK15</f>
        <v>#REF!</v>
      </c>
      <c r="AL16" s="180" t="e">
        <f t="shared" si="7"/>
        <v>#REF!</v>
      </c>
      <c r="AM16" s="180" t="e">
        <f t="shared" si="7"/>
        <v>#REF!</v>
      </c>
      <c r="AN16" s="180">
        <f t="shared" si="7"/>
        <v>1283.4015753424658</v>
      </c>
      <c r="AO16" s="180" t="e">
        <f t="shared" si="7"/>
        <v>#REF!</v>
      </c>
      <c r="AP16" s="180" t="e">
        <f t="shared" si="7"/>
        <v>#REF!</v>
      </c>
      <c r="AQ16" s="180" t="e">
        <f t="shared" si="7"/>
        <v>#REF!</v>
      </c>
      <c r="AR16" s="180" t="e">
        <f>+AR13+AR15</f>
        <v>#REF!</v>
      </c>
      <c r="AS16" s="85"/>
      <c r="AT16" s="91"/>
      <c r="AU16" s="80"/>
    </row>
    <row r="17" spans="1:49" x14ac:dyDescent="0.35">
      <c r="A17" s="81" t="s">
        <v>38</v>
      </c>
      <c r="B17" s="170" t="s">
        <v>36</v>
      </c>
      <c r="C17" s="80">
        <v>0.16</v>
      </c>
      <c r="D17" s="80">
        <v>0.16</v>
      </c>
      <c r="E17" s="80">
        <v>0.16</v>
      </c>
      <c r="F17" s="80">
        <v>0.16</v>
      </c>
      <c r="G17" s="80">
        <v>0.28000000000000003</v>
      </c>
      <c r="H17" s="80">
        <v>0.28000000000000003</v>
      </c>
      <c r="I17" s="80">
        <v>0.28000000000000003</v>
      </c>
      <c r="J17" s="80"/>
      <c r="L17" s="170" t="s">
        <v>36</v>
      </c>
      <c r="M17" s="80">
        <v>8.36</v>
      </c>
      <c r="N17" s="80">
        <v>8.36</v>
      </c>
      <c r="O17" s="80">
        <v>8.36</v>
      </c>
      <c r="Q17" s="157" t="s">
        <v>96</v>
      </c>
      <c r="R17" s="158">
        <f t="shared" ref="R17:AH17" si="8">+R12*75%+R13*25%</f>
        <v>1055.9819400000001</v>
      </c>
      <c r="S17" s="158">
        <f t="shared" si="8"/>
        <v>1077.4154300000002</v>
      </c>
      <c r="T17" s="158">
        <f t="shared" si="8"/>
        <v>1125.9411799999998</v>
      </c>
      <c r="U17" s="158">
        <f t="shared" si="8"/>
        <v>1113.01125</v>
      </c>
      <c r="V17" s="158">
        <f t="shared" si="8"/>
        <v>1135.3485000000001</v>
      </c>
      <c r="W17" s="158">
        <f t="shared" si="8"/>
        <v>1166.2611999999999</v>
      </c>
      <c r="X17" s="158">
        <f t="shared" si="8"/>
        <v>1225.98125</v>
      </c>
      <c r="Y17" s="158">
        <f t="shared" si="8"/>
        <v>1272.19625</v>
      </c>
      <c r="Z17" s="158">
        <f t="shared" si="8"/>
        <v>1290.9390000000001</v>
      </c>
      <c r="AA17" s="158">
        <f t="shared" si="8"/>
        <v>1346.6537499999999</v>
      </c>
      <c r="AB17" s="158">
        <f t="shared" si="8"/>
        <v>1458.34</v>
      </c>
      <c r="AC17" s="158">
        <f t="shared" si="8"/>
        <v>1420.4844986301368</v>
      </c>
      <c r="AD17" s="158">
        <f t="shared" si="8"/>
        <v>1419.8312784378102</v>
      </c>
      <c r="AE17" s="158">
        <f t="shared" si="8"/>
        <v>1415.7433460958905</v>
      </c>
      <c r="AF17" s="158" t="e">
        <f t="shared" si="8"/>
        <v>#REF!</v>
      </c>
      <c r="AG17" s="158" t="e">
        <f t="shared" si="8"/>
        <v>#REF!</v>
      </c>
      <c r="AH17" s="158" t="e">
        <f t="shared" si="8"/>
        <v>#REF!</v>
      </c>
      <c r="AI17" s="158" t="e">
        <f>+AI12*50%+AI13*50%</f>
        <v>#REF!</v>
      </c>
      <c r="AJ17" s="158" t="e">
        <f>+AJ12*50%+AJ13*50%</f>
        <v>#REF!</v>
      </c>
      <c r="AK17" s="158" t="e">
        <f t="shared" ref="AK17:AQ17" si="9">+AK12*50%+AK16*50%</f>
        <v>#REF!</v>
      </c>
      <c r="AL17" s="158" t="e">
        <f t="shared" si="9"/>
        <v>#REF!</v>
      </c>
      <c r="AM17" s="158" t="e">
        <f t="shared" si="9"/>
        <v>#REF!</v>
      </c>
      <c r="AN17" s="158" t="e">
        <f t="shared" si="9"/>
        <v>#REF!</v>
      </c>
      <c r="AO17" s="158" t="e">
        <f t="shared" si="9"/>
        <v>#REF!</v>
      </c>
      <c r="AP17" s="158" t="e">
        <f t="shared" si="9"/>
        <v>#REF!</v>
      </c>
      <c r="AQ17" s="158" t="e">
        <f t="shared" si="9"/>
        <v>#REF!</v>
      </c>
      <c r="AR17" s="158" t="e">
        <f>+AR12*50%+AR16*50%</f>
        <v>#REF!</v>
      </c>
      <c r="AS17" s="80"/>
      <c r="AT17" s="80"/>
      <c r="AU17" s="80"/>
    </row>
    <row r="18" spans="1:49" x14ac:dyDescent="0.35">
      <c r="B18" s="169" t="s">
        <v>39</v>
      </c>
      <c r="C18" s="84" t="e">
        <f>+C12+C13+C15+C16+C17</f>
        <v>#REF!</v>
      </c>
      <c r="D18" s="84" t="e">
        <f t="shared" ref="D18:I18" si="10">+D12+D13+D15+D16+D17</f>
        <v>#REF!</v>
      </c>
      <c r="E18" s="84" t="e">
        <f t="shared" si="10"/>
        <v>#REF!</v>
      </c>
      <c r="F18" s="84" t="e">
        <f t="shared" si="10"/>
        <v>#REF!</v>
      </c>
      <c r="G18" s="84" t="e">
        <f t="shared" si="10"/>
        <v>#REF!</v>
      </c>
      <c r="H18" s="84" t="e">
        <f t="shared" si="10"/>
        <v>#REF!</v>
      </c>
      <c r="I18" s="84" t="e">
        <f t="shared" si="10"/>
        <v>#REF!</v>
      </c>
      <c r="J18" s="84"/>
      <c r="L18" s="169" t="s">
        <v>39</v>
      </c>
      <c r="M18" s="84" t="e">
        <f>+M12+M13+M15+M16+M17+M14</f>
        <v>#REF!</v>
      </c>
      <c r="N18" s="84" t="e">
        <f t="shared" ref="N18:O18" si="11">+N12+N13+N15+N16+N17+N14</f>
        <v>#REF!</v>
      </c>
      <c r="O18" s="84" t="e">
        <f t="shared" si="11"/>
        <v>#REF!</v>
      </c>
      <c r="Q18" s="113" t="s">
        <v>37</v>
      </c>
      <c r="R18" s="118">
        <f>+R17*1%</f>
        <v>10.559819400000002</v>
      </c>
      <c r="S18" s="118">
        <f t="shared" ref="S18:AR18" si="12">+S17*1%</f>
        <v>10.774154300000003</v>
      </c>
      <c r="T18" s="118">
        <f t="shared" si="12"/>
        <v>11.259411799999999</v>
      </c>
      <c r="U18" s="118">
        <f t="shared" si="12"/>
        <v>11.130112500000001</v>
      </c>
      <c r="V18" s="118">
        <f t="shared" si="12"/>
        <v>11.353485000000001</v>
      </c>
      <c r="W18" s="118">
        <f t="shared" si="12"/>
        <v>11.662611999999999</v>
      </c>
      <c r="X18" s="118">
        <f t="shared" si="12"/>
        <v>12.259812500000001</v>
      </c>
      <c r="Y18" s="118">
        <f t="shared" si="12"/>
        <v>12.7219625</v>
      </c>
      <c r="Z18" s="118">
        <f t="shared" si="12"/>
        <v>12.909390000000002</v>
      </c>
      <c r="AA18" s="118">
        <f t="shared" si="12"/>
        <v>13.466537499999999</v>
      </c>
      <c r="AB18" s="118">
        <f t="shared" si="12"/>
        <v>14.583399999999999</v>
      </c>
      <c r="AC18" s="118">
        <f t="shared" si="12"/>
        <v>14.204844986301369</v>
      </c>
      <c r="AD18" s="118">
        <f t="shared" si="12"/>
        <v>14.198312784378102</v>
      </c>
      <c r="AE18" s="118">
        <f t="shared" si="12"/>
        <v>14.157433460958906</v>
      </c>
      <c r="AF18" s="118" t="e">
        <f t="shared" si="12"/>
        <v>#REF!</v>
      </c>
      <c r="AG18" s="118" t="e">
        <f t="shared" si="12"/>
        <v>#REF!</v>
      </c>
      <c r="AH18" s="118" t="e">
        <f t="shared" si="12"/>
        <v>#REF!</v>
      </c>
      <c r="AI18" s="118" t="e">
        <f t="shared" si="12"/>
        <v>#REF!</v>
      </c>
      <c r="AJ18" s="118" t="e">
        <f t="shared" si="12"/>
        <v>#REF!</v>
      </c>
      <c r="AK18" s="118" t="e">
        <f t="shared" si="12"/>
        <v>#REF!</v>
      </c>
      <c r="AL18" s="118" t="e">
        <f t="shared" si="12"/>
        <v>#REF!</v>
      </c>
      <c r="AM18" s="118" t="e">
        <f t="shared" si="12"/>
        <v>#REF!</v>
      </c>
      <c r="AN18" s="118" t="e">
        <f t="shared" si="12"/>
        <v>#REF!</v>
      </c>
      <c r="AO18" s="118" t="e">
        <f t="shared" si="12"/>
        <v>#REF!</v>
      </c>
      <c r="AP18" s="118" t="e">
        <f t="shared" si="12"/>
        <v>#REF!</v>
      </c>
      <c r="AQ18" s="118" t="e">
        <f t="shared" si="12"/>
        <v>#REF!</v>
      </c>
      <c r="AR18" s="118" t="e">
        <f t="shared" si="12"/>
        <v>#REF!</v>
      </c>
      <c r="AS18" s="79"/>
      <c r="AT18" s="80"/>
      <c r="AU18" s="84"/>
    </row>
    <row r="19" spans="1:49" x14ac:dyDescent="0.35">
      <c r="Q19" s="113" t="s">
        <v>74</v>
      </c>
      <c r="R19" s="115">
        <f>+R18+R17</f>
        <v>1066.5417594</v>
      </c>
      <c r="S19" s="115">
        <f t="shared" ref="S19:AR19" si="13">+S18+S17</f>
        <v>1088.1895843000002</v>
      </c>
      <c r="T19" s="115">
        <f t="shared" si="13"/>
        <v>1137.2005917999998</v>
      </c>
      <c r="U19" s="115">
        <f t="shared" si="13"/>
        <v>1124.1413625</v>
      </c>
      <c r="V19" s="115">
        <f t="shared" si="13"/>
        <v>1146.7019850000001</v>
      </c>
      <c r="W19" s="115">
        <f t="shared" si="13"/>
        <v>1177.923812</v>
      </c>
      <c r="X19" s="115">
        <f t="shared" si="13"/>
        <v>1238.2410625</v>
      </c>
      <c r="Y19" s="115">
        <f t="shared" si="13"/>
        <v>1284.9182125</v>
      </c>
      <c r="Z19" s="115">
        <f t="shared" si="13"/>
        <v>1303.8483900000001</v>
      </c>
      <c r="AA19" s="115">
        <f t="shared" si="13"/>
        <v>1360.1202874999999</v>
      </c>
      <c r="AB19" s="115">
        <f t="shared" si="13"/>
        <v>1472.9233999999999</v>
      </c>
      <c r="AC19" s="115">
        <f t="shared" si="13"/>
        <v>1434.6893436164382</v>
      </c>
      <c r="AD19" s="115">
        <f t="shared" si="13"/>
        <v>1434.0295912221882</v>
      </c>
      <c r="AE19" s="115">
        <f t="shared" si="13"/>
        <v>1429.9007795568493</v>
      </c>
      <c r="AF19" s="115" t="e">
        <f t="shared" si="13"/>
        <v>#REF!</v>
      </c>
      <c r="AG19" s="115" t="e">
        <f t="shared" si="13"/>
        <v>#REF!</v>
      </c>
      <c r="AH19" s="115" t="e">
        <f t="shared" si="13"/>
        <v>#REF!</v>
      </c>
      <c r="AI19" s="115" t="e">
        <f t="shared" si="13"/>
        <v>#REF!</v>
      </c>
      <c r="AJ19" s="115" t="e">
        <f t="shared" si="13"/>
        <v>#REF!</v>
      </c>
      <c r="AK19" s="115" t="e">
        <f t="shared" si="13"/>
        <v>#REF!</v>
      </c>
      <c r="AL19" s="115" t="e">
        <f t="shared" si="13"/>
        <v>#REF!</v>
      </c>
      <c r="AM19" s="115" t="e">
        <f t="shared" si="13"/>
        <v>#REF!</v>
      </c>
      <c r="AN19" s="115" t="e">
        <f t="shared" si="13"/>
        <v>#REF!</v>
      </c>
      <c r="AO19" s="115" t="e">
        <f t="shared" si="13"/>
        <v>#REF!</v>
      </c>
      <c r="AP19" s="115" t="e">
        <f t="shared" si="13"/>
        <v>#REF!</v>
      </c>
      <c r="AQ19" s="115" t="e">
        <f t="shared" si="13"/>
        <v>#REF!</v>
      </c>
      <c r="AR19" s="115" t="e">
        <f t="shared" si="13"/>
        <v>#REF!</v>
      </c>
      <c r="AS19" s="181"/>
      <c r="AT19" s="84"/>
      <c r="AU19" s="84"/>
      <c r="AW19" s="182"/>
    </row>
    <row r="20" spans="1:49" x14ac:dyDescent="0.35">
      <c r="B20" s="169"/>
      <c r="C20" s="84"/>
      <c r="D20" s="84"/>
      <c r="E20" s="84"/>
      <c r="F20" s="84"/>
      <c r="G20" s="84"/>
      <c r="H20" s="84"/>
      <c r="I20" s="84"/>
      <c r="J20" s="84"/>
      <c r="K20" s="94"/>
      <c r="M20" s="84"/>
      <c r="N20" s="84"/>
      <c r="O20" s="84"/>
      <c r="Q20" s="85"/>
      <c r="R20" s="120" t="e">
        <f>+#REF!</f>
        <v>#REF!</v>
      </c>
      <c r="S20" s="120" t="e">
        <f>+R20</f>
        <v>#REF!</v>
      </c>
      <c r="T20" s="120" t="e">
        <f>+S20</f>
        <v>#REF!</v>
      </c>
      <c r="U20" s="120" t="e">
        <f>+T20</f>
        <v>#REF!</v>
      </c>
      <c r="V20" s="120" t="e">
        <f t="shared" ref="V20:AG20" si="14">+U20</f>
        <v>#REF!</v>
      </c>
      <c r="W20" s="120" t="e">
        <f t="shared" si="14"/>
        <v>#REF!</v>
      </c>
      <c r="X20" s="120" t="e">
        <f t="shared" si="14"/>
        <v>#REF!</v>
      </c>
      <c r="Y20" s="120" t="e">
        <f t="shared" si="14"/>
        <v>#REF!</v>
      </c>
      <c r="Z20" s="120" t="e">
        <f t="shared" si="14"/>
        <v>#REF!</v>
      </c>
      <c r="AA20" s="120" t="e">
        <f t="shared" si="14"/>
        <v>#REF!</v>
      </c>
      <c r="AB20" s="120" t="e">
        <f t="shared" si="14"/>
        <v>#REF!</v>
      </c>
      <c r="AC20" s="120" t="e">
        <f t="shared" si="14"/>
        <v>#REF!</v>
      </c>
      <c r="AD20" s="120" t="e">
        <f t="shared" si="14"/>
        <v>#REF!</v>
      </c>
      <c r="AE20" s="120" t="e">
        <f t="shared" si="14"/>
        <v>#REF!</v>
      </c>
      <c r="AF20" s="120" t="e">
        <f t="shared" si="14"/>
        <v>#REF!</v>
      </c>
      <c r="AG20" s="120" t="e">
        <f t="shared" si="14"/>
        <v>#REF!</v>
      </c>
      <c r="AH20" s="120"/>
      <c r="AI20" s="120"/>
      <c r="AJ20" s="120"/>
      <c r="AK20" s="120"/>
      <c r="AL20" s="120"/>
      <c r="AM20" s="120"/>
      <c r="AN20" s="120"/>
      <c r="AO20" s="120"/>
      <c r="AP20" s="120"/>
      <c r="AQ20" s="120"/>
      <c r="AR20" s="120"/>
      <c r="AT20" s="84"/>
      <c r="AU20" s="82"/>
    </row>
    <row r="21" spans="1:49" x14ac:dyDescent="0.35">
      <c r="C21" s="132"/>
      <c r="D21" s="132"/>
      <c r="E21" s="132"/>
      <c r="F21" s="132"/>
      <c r="G21" s="132"/>
      <c r="H21" s="132"/>
      <c r="I21" s="132"/>
      <c r="K21" s="94"/>
      <c r="Q21" s="82"/>
      <c r="R21" s="82"/>
      <c r="S21" s="82"/>
      <c r="U21" s="94"/>
      <c r="V21" s="94"/>
      <c r="W21" s="94"/>
      <c r="X21" s="94"/>
      <c r="Y21" s="94"/>
      <c r="Z21" s="94"/>
      <c r="AA21" s="94"/>
      <c r="AB21" s="94"/>
      <c r="AC21" s="94"/>
      <c r="AD21" s="94"/>
      <c r="AE21" s="94"/>
      <c r="AF21" s="94"/>
      <c r="AG21" s="94"/>
      <c r="AH21" s="94"/>
      <c r="AI21" s="94"/>
      <c r="AJ21" s="94"/>
      <c r="AK21" s="94"/>
      <c r="AL21" s="94"/>
      <c r="AM21" s="94"/>
      <c r="AN21" s="94"/>
      <c r="AO21" s="94"/>
      <c r="AP21" s="94"/>
      <c r="AQ21" s="94"/>
      <c r="AR21" s="94"/>
      <c r="AT21" s="82"/>
      <c r="AU21" s="82"/>
    </row>
    <row r="22" spans="1:49" x14ac:dyDescent="0.35">
      <c r="M22" s="86"/>
      <c r="AT22" s="82"/>
    </row>
    <row r="23" spans="1:49" x14ac:dyDescent="0.35">
      <c r="C23" s="201"/>
      <c r="F23" s="201"/>
      <c r="I23" s="201"/>
      <c r="M23" s="201"/>
      <c r="N23" s="201"/>
      <c r="O23" s="201"/>
    </row>
    <row r="24" spans="1:49" x14ac:dyDescent="0.35">
      <c r="F24" s="201">
        <f>+F23-F21</f>
        <v>0</v>
      </c>
    </row>
    <row r="27" spans="1:49" x14ac:dyDescent="0.35">
      <c r="N27" s="123"/>
      <c r="AH27" s="164"/>
    </row>
    <row r="34" spans="1:49" s="82" customFormat="1" x14ac:dyDescent="0.35">
      <c r="A34" s="81"/>
      <c r="B34" s="173" t="s">
        <v>51</v>
      </c>
      <c r="J34" s="81"/>
      <c r="K34" s="81"/>
      <c r="L34" s="173"/>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row>
  </sheetData>
  <mergeCells count="6">
    <mergeCell ref="Q1:AU1"/>
    <mergeCell ref="B2:D2"/>
    <mergeCell ref="Q2:R2"/>
    <mergeCell ref="AS2:AT2"/>
    <mergeCell ref="B3:D3"/>
    <mergeCell ref="AS3:AT3"/>
  </mergeCells>
  <pageMargins left="0.7" right="0.7" top="0.75" bottom="0.75" header="0.3" footer="0.3"/>
  <pageSetup orientation="portrait" r:id="rId1"/>
  <customProperties>
    <customPr name="EpmWorksheetKeyString_GUID" r:id="rId2"/>
  </customProperties>
  <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X34"/>
  <sheetViews>
    <sheetView zoomScale="85" zoomScaleNormal="85" workbookViewId="0">
      <selection activeCell="F2" sqref="F2"/>
    </sheetView>
  </sheetViews>
  <sheetFormatPr defaultColWidth="11.453125" defaultRowHeight="14.5" x14ac:dyDescent="0.35"/>
  <cols>
    <col min="1" max="1" width="3.453125" style="81" customWidth="1"/>
    <col min="2" max="2" width="14" style="173" customWidth="1"/>
    <col min="3" max="3" width="10.81640625" style="82" customWidth="1"/>
    <col min="4" max="5" width="10.54296875" style="82" hidden="1" customWidth="1"/>
    <col min="6" max="6" width="11" style="82" customWidth="1"/>
    <col min="7" max="7" width="11.1796875" style="82" hidden="1" customWidth="1"/>
    <col min="8" max="8" width="11" style="82" hidden="1" customWidth="1"/>
    <col min="9" max="9" width="11.54296875" style="82" customWidth="1"/>
    <col min="10" max="10" width="8.54296875" style="81" hidden="1" customWidth="1"/>
    <col min="11" max="11" width="2.81640625" style="81" customWidth="1"/>
    <col min="12" max="12" width="13.81640625" style="173" customWidth="1"/>
    <col min="13" max="14" width="10.81640625" style="82" customWidth="1"/>
    <col min="15" max="15" width="10.81640625" style="82" hidden="1" customWidth="1"/>
    <col min="16" max="16" width="2.81640625" style="81" customWidth="1"/>
    <col min="17" max="17" width="28.81640625" style="81" customWidth="1"/>
    <col min="18" max="18" width="16.1796875" style="81" hidden="1" customWidth="1"/>
    <col min="19" max="19" width="17.54296875" style="81" hidden="1" customWidth="1"/>
    <col min="20" max="20" width="14.54296875" style="81" hidden="1" customWidth="1"/>
    <col min="21" max="21" width="16" style="81" hidden="1" customWidth="1"/>
    <col min="22" max="22" width="17.81640625" style="81" hidden="1" customWidth="1"/>
    <col min="23" max="23" width="17.1796875" style="81" hidden="1" customWidth="1"/>
    <col min="24" max="29" width="14.453125" style="81" hidden="1" customWidth="1"/>
    <col min="30" max="30" width="16.453125" style="81" hidden="1" customWidth="1"/>
    <col min="31" max="33" width="14.81640625" style="81" hidden="1" customWidth="1"/>
    <col min="34" max="34" width="16.54296875" style="81" hidden="1" customWidth="1"/>
    <col min="35" max="36" width="17.54296875" style="81" hidden="1" customWidth="1"/>
    <col min="37" max="40" width="15.1796875" style="81" hidden="1" customWidth="1"/>
    <col min="41" max="41" width="13.81640625" style="81" hidden="1" customWidth="1"/>
    <col min="42" max="42" width="14.453125" style="81" hidden="1" customWidth="1"/>
    <col min="43" max="44" width="16.54296875" style="81" hidden="1" customWidth="1"/>
    <col min="45" max="45" width="16.54296875" style="81" bestFit="1" customWidth="1"/>
    <col min="46" max="49" width="11.453125" style="81" customWidth="1"/>
    <col min="50" max="16384" width="11.453125" style="81"/>
  </cols>
  <sheetData>
    <row r="1" spans="2:48" x14ac:dyDescent="0.35">
      <c r="B1" s="122"/>
      <c r="C1" s="86"/>
      <c r="D1" s="86"/>
      <c r="E1" s="86"/>
      <c r="F1" s="87"/>
      <c r="G1" s="87"/>
      <c r="H1" s="87"/>
      <c r="I1" s="87"/>
      <c r="J1" s="87"/>
      <c r="K1" s="87"/>
      <c r="L1" s="122"/>
      <c r="M1" s="87"/>
      <c r="N1" s="87"/>
      <c r="O1" s="87"/>
      <c r="Q1" s="574"/>
      <c r="R1" s="574"/>
      <c r="S1" s="574"/>
      <c r="T1" s="574"/>
      <c r="U1" s="574"/>
      <c r="V1" s="574"/>
      <c r="W1" s="574"/>
      <c r="X1" s="574"/>
      <c r="Y1" s="574"/>
      <c r="Z1" s="574"/>
      <c r="AA1" s="574"/>
      <c r="AB1" s="574"/>
      <c r="AC1" s="574"/>
      <c r="AD1" s="574"/>
      <c r="AE1" s="574"/>
      <c r="AF1" s="574"/>
      <c r="AG1" s="574"/>
      <c r="AH1" s="574"/>
      <c r="AI1" s="574"/>
      <c r="AJ1" s="574"/>
      <c r="AK1" s="574"/>
      <c r="AL1" s="574"/>
      <c r="AM1" s="574"/>
      <c r="AN1" s="574"/>
      <c r="AO1" s="574"/>
      <c r="AP1" s="574"/>
      <c r="AQ1" s="574"/>
      <c r="AR1" s="574"/>
      <c r="AS1" s="574"/>
      <c r="AT1" s="574"/>
      <c r="AU1" s="574"/>
      <c r="AV1" s="574"/>
    </row>
    <row r="2" spans="2:48" s="142" customFormat="1" ht="15" customHeight="1" x14ac:dyDescent="0.35">
      <c r="B2" s="576" t="s">
        <v>66</v>
      </c>
      <c r="C2" s="576"/>
      <c r="D2" s="576"/>
      <c r="F2" s="141" t="e">
        <f>+AS12</f>
        <v>#REF!</v>
      </c>
      <c r="H2" s="141"/>
      <c r="I2" s="141"/>
      <c r="J2" s="143">
        <v>0.05</v>
      </c>
      <c r="K2" s="144"/>
      <c r="L2" s="171"/>
      <c r="M2" s="141"/>
      <c r="N2" s="141"/>
      <c r="O2" s="141"/>
      <c r="Q2" s="576"/>
      <c r="R2" s="576"/>
      <c r="S2" s="141"/>
      <c r="T2" s="143"/>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576"/>
      <c r="AU2" s="576"/>
      <c r="AV2" s="141"/>
    </row>
    <row r="3" spans="2:48" s="133" customFormat="1" ht="15" customHeight="1" x14ac:dyDescent="0.35">
      <c r="B3" s="576" t="s">
        <v>67</v>
      </c>
      <c r="C3" s="576"/>
      <c r="D3" s="576"/>
      <c r="F3" s="134" t="e">
        <f>+AS16</f>
        <v>#REF!</v>
      </c>
      <c r="G3" s="135"/>
      <c r="H3" s="134"/>
      <c r="I3" s="134"/>
      <c r="J3" s="137" t="e">
        <f>+F2*J2</f>
        <v>#REF!</v>
      </c>
      <c r="K3" s="136"/>
      <c r="L3" s="200"/>
      <c r="M3" s="200"/>
      <c r="N3" s="134"/>
      <c r="O3" s="134"/>
      <c r="Q3" s="138"/>
      <c r="R3" s="139"/>
      <c r="S3" s="140"/>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577"/>
      <c r="AU3" s="577"/>
      <c r="AV3" s="134"/>
    </row>
    <row r="4" spans="2:48" ht="23.5" hidden="1" x14ac:dyDescent="0.55000000000000004">
      <c r="B4" s="169"/>
      <c r="C4" s="92" t="e">
        <f>+(C10+C11)/C6*1000</f>
        <v>#REF!</v>
      </c>
      <c r="D4" s="92" t="e">
        <f>+(G10+G11)/G6*1000</f>
        <v>#REF!</v>
      </c>
      <c r="E4" s="92" t="e">
        <f>+(E10+E11)/E6*1000</f>
        <v>#REF!</v>
      </c>
      <c r="F4" s="92" t="e">
        <f>+(F10+F11)/F6*1000</f>
        <v>#REF!</v>
      </c>
      <c r="I4" s="92" t="e">
        <f>+(I10+I11)/I6*1000</f>
        <v>#REF!</v>
      </c>
      <c r="K4" s="88"/>
      <c r="L4" s="169"/>
      <c r="M4" s="92"/>
      <c r="N4" s="92"/>
      <c r="O4" s="92"/>
      <c r="Q4" s="93"/>
      <c r="R4" s="82"/>
      <c r="S4" s="90"/>
      <c r="T4" s="94"/>
      <c r="U4" s="88"/>
      <c r="V4" s="88"/>
      <c r="W4" s="88"/>
      <c r="X4" s="88"/>
      <c r="Y4" s="88"/>
      <c r="Z4" s="88"/>
      <c r="AA4" s="88"/>
      <c r="AB4" s="88"/>
      <c r="AC4" s="88"/>
      <c r="AD4" s="88"/>
      <c r="AE4" s="88"/>
      <c r="AF4" s="88"/>
      <c r="AG4" s="88"/>
      <c r="AH4" s="88"/>
      <c r="AI4" s="88"/>
      <c r="AJ4" s="88"/>
      <c r="AK4" s="88"/>
      <c r="AL4" s="88"/>
      <c r="AM4" s="88"/>
      <c r="AN4" s="88"/>
      <c r="AO4" s="88"/>
      <c r="AP4" s="88"/>
      <c r="AQ4" s="88"/>
      <c r="AR4" s="88"/>
      <c r="AS4" s="88"/>
      <c r="AT4" s="91"/>
      <c r="AU4" s="91"/>
      <c r="AV4" s="78"/>
    </row>
    <row r="5" spans="2:48" s="95" customFormat="1" ht="33.75" customHeight="1" x14ac:dyDescent="0.35">
      <c r="B5" s="169" t="s">
        <v>5</v>
      </c>
      <c r="C5" s="85" t="s">
        <v>68</v>
      </c>
      <c r="D5" s="85" t="s">
        <v>69</v>
      </c>
      <c r="E5" s="85" t="s">
        <v>69</v>
      </c>
      <c r="F5" s="85" t="s">
        <v>69</v>
      </c>
      <c r="G5" s="85" t="s">
        <v>70</v>
      </c>
      <c r="H5" s="85" t="s">
        <v>70</v>
      </c>
      <c r="I5" s="85" t="s">
        <v>70</v>
      </c>
      <c r="J5" s="85"/>
      <c r="K5" s="88"/>
      <c r="L5" s="169" t="s">
        <v>71</v>
      </c>
      <c r="M5" s="96" t="s">
        <v>7</v>
      </c>
      <c r="N5" s="96" t="s">
        <v>8</v>
      </c>
      <c r="O5" s="96" t="s">
        <v>8</v>
      </c>
      <c r="Q5" s="147" t="s">
        <v>72</v>
      </c>
      <c r="R5" s="99" t="s">
        <v>54</v>
      </c>
      <c r="S5" s="99" t="s">
        <v>55</v>
      </c>
      <c r="T5" s="99" t="s">
        <v>56</v>
      </c>
      <c r="U5" s="99" t="s">
        <v>12</v>
      </c>
      <c r="V5" s="99" t="s">
        <v>57</v>
      </c>
      <c r="W5" s="99" t="s">
        <v>58</v>
      </c>
      <c r="X5" s="99" t="s">
        <v>59</v>
      </c>
      <c r="Y5" s="99" t="s">
        <v>60</v>
      </c>
      <c r="Z5" s="99" t="s">
        <v>62</v>
      </c>
      <c r="AA5" s="99" t="s">
        <v>64</v>
      </c>
      <c r="AB5" s="99" t="s">
        <v>65</v>
      </c>
      <c r="AC5" s="99" t="s">
        <v>73</v>
      </c>
      <c r="AD5" s="99" t="s">
        <v>53</v>
      </c>
      <c r="AE5" s="99" t="s">
        <v>77</v>
      </c>
      <c r="AF5" s="99" t="s">
        <v>78</v>
      </c>
      <c r="AG5" s="99" t="s">
        <v>79</v>
      </c>
      <c r="AH5" s="99" t="s">
        <v>90</v>
      </c>
      <c r="AI5" s="99" t="s">
        <v>91</v>
      </c>
      <c r="AJ5" s="99" t="s">
        <v>97</v>
      </c>
      <c r="AK5" s="99" t="s">
        <v>98</v>
      </c>
      <c r="AL5" s="99" t="s">
        <v>102</v>
      </c>
      <c r="AM5" s="99" t="s">
        <v>103</v>
      </c>
      <c r="AN5" s="99" t="s">
        <v>104</v>
      </c>
      <c r="AO5" s="99" t="s">
        <v>107</v>
      </c>
      <c r="AP5" s="99" t="s">
        <v>108</v>
      </c>
      <c r="AQ5" s="99" t="s">
        <v>114</v>
      </c>
      <c r="AR5" s="99" t="s">
        <v>121</v>
      </c>
      <c r="AS5" s="99" t="s">
        <v>122</v>
      </c>
      <c r="AT5" s="100"/>
      <c r="AU5" s="97"/>
      <c r="AV5" s="97"/>
    </row>
    <row r="6" spans="2:48" x14ac:dyDescent="0.35">
      <c r="B6" s="169" t="s">
        <v>13</v>
      </c>
      <c r="C6" s="101">
        <v>16.7</v>
      </c>
      <c r="D6" s="101">
        <v>16.7</v>
      </c>
      <c r="E6" s="101">
        <v>20.5</v>
      </c>
      <c r="F6" s="101">
        <v>20.5</v>
      </c>
      <c r="G6" s="101">
        <v>30.6</v>
      </c>
      <c r="H6" s="101">
        <v>30.6</v>
      </c>
      <c r="I6" s="101">
        <v>38.6</v>
      </c>
      <c r="J6" s="101"/>
      <c r="L6" s="169" t="s">
        <v>13</v>
      </c>
      <c r="M6" s="101">
        <v>15</v>
      </c>
      <c r="N6" s="101">
        <v>20.5</v>
      </c>
      <c r="O6" s="101">
        <v>20.5</v>
      </c>
      <c r="Q6" s="102" t="s">
        <v>14</v>
      </c>
      <c r="R6" s="104">
        <v>938.13</v>
      </c>
      <c r="S6" s="105">
        <v>959</v>
      </c>
      <c r="T6" s="104">
        <v>1006.25</v>
      </c>
      <c r="U6" s="130">
        <v>993.75</v>
      </c>
      <c r="V6" s="131">
        <v>1015.5</v>
      </c>
      <c r="W6" s="131">
        <v>1045.5999999999999</v>
      </c>
      <c r="X6" s="43">
        <v>1103.75</v>
      </c>
      <c r="Y6" s="43">
        <v>1148.75</v>
      </c>
      <c r="Z6" s="43">
        <v>1167</v>
      </c>
      <c r="AA6" s="43">
        <v>1221.25</v>
      </c>
      <c r="AB6" s="43">
        <v>1330</v>
      </c>
      <c r="AC6" s="43">
        <f>+'IHS (Mod)'!I5</f>
        <v>1280</v>
      </c>
      <c r="AD6" s="43">
        <f>+'IHS (Mod)'!J5</f>
        <v>1279.380005</v>
      </c>
      <c r="AE6" s="43">
        <v>1275.5</v>
      </c>
      <c r="AF6" s="43" t="e">
        <f>+#REF!</f>
        <v>#REF!</v>
      </c>
      <c r="AG6" s="43" t="e">
        <f>+#REF!</f>
        <v>#REF!</v>
      </c>
      <c r="AH6" s="43" t="e">
        <f>+#REF!</f>
        <v>#REF!</v>
      </c>
      <c r="AI6" s="43" t="e">
        <f>+#REF!</f>
        <v>#REF!</v>
      </c>
      <c r="AJ6" s="43" t="e">
        <f>+#REF!</f>
        <v>#REF!</v>
      </c>
      <c r="AK6" s="43" t="e">
        <f>+#REF!</f>
        <v>#REF!</v>
      </c>
      <c r="AL6" s="43" t="e">
        <f>+#REF!</f>
        <v>#REF!</v>
      </c>
      <c r="AM6" s="43" t="e">
        <f>+#REF!</f>
        <v>#REF!</v>
      </c>
      <c r="AN6" s="43" t="e">
        <f>+#REF!</f>
        <v>#REF!</v>
      </c>
      <c r="AO6" s="43" t="e">
        <f>+#REF!</f>
        <v>#REF!</v>
      </c>
      <c r="AP6" s="43" t="e">
        <f>+#REF!</f>
        <v>#REF!</v>
      </c>
      <c r="AQ6" s="43" t="e">
        <f>+#REF!</f>
        <v>#REF!</v>
      </c>
      <c r="AR6" s="43" t="e">
        <f>+#REF!</f>
        <v>#REF!</v>
      </c>
      <c r="AS6" s="43" t="e">
        <f>+#REF!</f>
        <v>#REF!</v>
      </c>
      <c r="AT6" s="85"/>
      <c r="AU6" s="101"/>
      <c r="AV6" s="101"/>
    </row>
    <row r="7" spans="2:48" x14ac:dyDescent="0.35">
      <c r="B7" s="170" t="s">
        <v>16</v>
      </c>
      <c r="C7" s="91" t="s">
        <v>17</v>
      </c>
      <c r="D7" s="91" t="s">
        <v>17</v>
      </c>
      <c r="E7" s="91" t="s">
        <v>17</v>
      </c>
      <c r="F7" s="91" t="s">
        <v>17</v>
      </c>
      <c r="G7" s="91" t="s">
        <v>17</v>
      </c>
      <c r="H7" s="91" t="s">
        <v>17</v>
      </c>
      <c r="I7" s="91" t="s">
        <v>17</v>
      </c>
      <c r="J7" s="91"/>
      <c r="L7" s="170" t="s">
        <v>16</v>
      </c>
      <c r="M7" s="91" t="s">
        <v>17</v>
      </c>
      <c r="N7" s="91" t="s">
        <v>17</v>
      </c>
      <c r="O7" s="91" t="s">
        <v>17</v>
      </c>
      <c r="Q7" s="128" t="s">
        <v>99</v>
      </c>
      <c r="R7" s="129">
        <v>25.09</v>
      </c>
      <c r="S7" s="129">
        <v>25.09</v>
      </c>
      <c r="T7" s="129">
        <v>25.09</v>
      </c>
      <c r="U7" s="129">
        <v>25</v>
      </c>
      <c r="V7" s="129">
        <v>25</v>
      </c>
      <c r="W7" s="129">
        <v>25</v>
      </c>
      <c r="X7" s="129">
        <v>25</v>
      </c>
      <c r="Y7" s="129">
        <v>25</v>
      </c>
      <c r="Z7" s="129">
        <v>25</v>
      </c>
      <c r="AA7" s="129">
        <v>25</v>
      </c>
      <c r="AB7" s="129">
        <v>25</v>
      </c>
      <c r="AC7" s="129">
        <v>33.139726027397259</v>
      </c>
      <c r="AD7" s="129">
        <f>+Septiembre18!AD8</f>
        <v>33.1236741020548</v>
      </c>
      <c r="AE7" s="129">
        <v>33.023219178082194</v>
      </c>
      <c r="AF7" s="129">
        <v>33.023219178082194</v>
      </c>
      <c r="AG7" s="129">
        <v>32.783732876712328</v>
      </c>
      <c r="AH7" s="129">
        <v>29.126712328767123</v>
      </c>
      <c r="AI7" s="129">
        <v>27.395420677397254</v>
      </c>
      <c r="AJ7" s="129">
        <v>26.796575342465754</v>
      </c>
      <c r="AK7" s="129">
        <v>13.948458904109588</v>
      </c>
      <c r="AL7" s="129">
        <v>14.191181506849315</v>
      </c>
      <c r="AM7" s="129">
        <v>14.255907534246576</v>
      </c>
      <c r="AN7" s="129" t="e">
        <f t="shared" ref="AN7:AS7" si="0">((((AN6*4.5%)/365)*210))*50%</f>
        <v>#REF!</v>
      </c>
      <c r="AO7" s="129" t="e">
        <f t="shared" si="0"/>
        <v>#REF!</v>
      </c>
      <c r="AP7" s="129" t="e">
        <f t="shared" si="0"/>
        <v>#REF!</v>
      </c>
      <c r="AQ7" s="129" t="e">
        <f t="shared" si="0"/>
        <v>#REF!</v>
      </c>
      <c r="AR7" s="129" t="e">
        <f t="shared" si="0"/>
        <v>#REF!</v>
      </c>
      <c r="AS7" s="129" t="e">
        <f t="shared" si="0"/>
        <v>#REF!</v>
      </c>
      <c r="AT7" s="85"/>
      <c r="AU7" s="91"/>
      <c r="AV7" s="91"/>
    </row>
    <row r="8" spans="2:48" x14ac:dyDescent="0.35">
      <c r="B8" s="170" t="s">
        <v>115</v>
      </c>
      <c r="C8" s="91" t="s">
        <v>116</v>
      </c>
      <c r="D8" s="91"/>
      <c r="E8" s="91"/>
      <c r="F8" s="91" t="s">
        <v>117</v>
      </c>
      <c r="G8" s="91"/>
      <c r="H8" s="91"/>
      <c r="I8" s="91" t="s">
        <v>118</v>
      </c>
      <c r="J8" s="91"/>
      <c r="L8" s="170"/>
      <c r="M8" s="91" t="s">
        <v>119</v>
      </c>
      <c r="N8" s="91" t="s">
        <v>120</v>
      </c>
      <c r="O8" s="91"/>
      <c r="Q8" s="128"/>
      <c r="R8" s="129"/>
      <c r="S8" s="129"/>
      <c r="T8" s="129"/>
      <c r="U8" s="129"/>
      <c r="V8" s="129"/>
      <c r="W8" s="129"/>
      <c r="X8" s="129"/>
      <c r="Y8" s="129"/>
      <c r="Z8" s="129"/>
      <c r="AA8" s="129"/>
      <c r="AB8" s="129"/>
      <c r="AC8" s="129"/>
      <c r="AD8" s="129"/>
      <c r="AE8" s="129"/>
      <c r="AF8" s="129"/>
      <c r="AG8" s="129"/>
      <c r="AH8" s="129"/>
      <c r="AI8" s="129"/>
      <c r="AJ8" s="129"/>
      <c r="AK8" s="129"/>
      <c r="AL8" s="129"/>
      <c r="AM8" s="129"/>
      <c r="AN8" s="129"/>
      <c r="AO8" s="129"/>
      <c r="AP8" s="129"/>
      <c r="AQ8" s="129"/>
      <c r="AR8" s="129"/>
      <c r="AS8" s="129"/>
      <c r="AT8" s="85"/>
      <c r="AU8" s="91"/>
      <c r="AV8" s="91"/>
    </row>
    <row r="9" spans="2:48" s="95" customFormat="1" ht="29" x14ac:dyDescent="0.35">
      <c r="B9" s="175" t="s">
        <v>92</v>
      </c>
      <c r="C9" s="177" t="s">
        <v>93</v>
      </c>
      <c r="D9" s="177" t="s">
        <v>94</v>
      </c>
      <c r="E9" s="176">
        <v>1</v>
      </c>
      <c r="F9" s="177" t="s">
        <v>93</v>
      </c>
      <c r="G9" s="176">
        <v>1</v>
      </c>
      <c r="H9" s="177" t="s">
        <v>94</v>
      </c>
      <c r="I9" s="177" t="s">
        <v>93</v>
      </c>
      <c r="J9" s="162"/>
      <c r="L9" s="175" t="str">
        <f>+B9</f>
        <v>% Resina (Virgen/PCR)</v>
      </c>
      <c r="M9" s="177" t="s">
        <v>94</v>
      </c>
      <c r="N9" s="176">
        <v>1</v>
      </c>
      <c r="O9" s="177" t="s">
        <v>94</v>
      </c>
      <c r="Q9" s="166" t="s">
        <v>20</v>
      </c>
      <c r="R9" s="129">
        <v>65</v>
      </c>
      <c r="S9" s="167">
        <v>65</v>
      </c>
      <c r="T9" s="129">
        <v>65</v>
      </c>
      <c r="U9" s="129">
        <v>65</v>
      </c>
      <c r="V9" s="129">
        <v>65</v>
      </c>
      <c r="W9" s="129">
        <v>65</v>
      </c>
      <c r="X9" s="129">
        <v>65</v>
      </c>
      <c r="Y9" s="129">
        <v>65</v>
      </c>
      <c r="Z9" s="129">
        <v>65</v>
      </c>
      <c r="AA9" s="129">
        <v>65</v>
      </c>
      <c r="AB9" s="129">
        <v>65</v>
      </c>
      <c r="AC9" s="129">
        <v>70</v>
      </c>
      <c r="AD9" s="129">
        <v>70</v>
      </c>
      <c r="AE9" s="129">
        <v>70</v>
      </c>
      <c r="AF9" s="129">
        <v>70</v>
      </c>
      <c r="AG9" s="129">
        <v>70</v>
      </c>
      <c r="AH9" s="129">
        <v>70</v>
      </c>
      <c r="AI9" s="129">
        <v>70</v>
      </c>
      <c r="AJ9" s="129">
        <v>70</v>
      </c>
      <c r="AK9" s="129">
        <v>70</v>
      </c>
      <c r="AL9" s="129">
        <v>70</v>
      </c>
      <c r="AM9" s="129">
        <v>70</v>
      </c>
      <c r="AN9" s="129">
        <v>70</v>
      </c>
      <c r="AO9" s="129">
        <v>70</v>
      </c>
      <c r="AP9" s="129">
        <v>70</v>
      </c>
      <c r="AQ9" s="129">
        <v>70</v>
      </c>
      <c r="AR9" s="129">
        <v>70</v>
      </c>
      <c r="AS9" s="129">
        <v>70</v>
      </c>
      <c r="AT9" s="168"/>
      <c r="AU9" s="165"/>
      <c r="AV9" s="165"/>
    </row>
    <row r="10" spans="2:48" x14ac:dyDescent="0.35">
      <c r="B10" s="170" t="s">
        <v>19</v>
      </c>
      <c r="C10" s="80" t="e">
        <f>+(C6*F2/1000)*1.01*50%</f>
        <v>#REF!</v>
      </c>
      <c r="D10" s="80" t="e">
        <f>+(D6*$F$2/1000)*1.01*75%</f>
        <v>#REF!</v>
      </c>
      <c r="E10" s="80" t="e">
        <f>+(E6*$F$2/1000)*1.01</f>
        <v>#REF!</v>
      </c>
      <c r="F10" s="80" t="e">
        <f>+(F6*$F$2/1000)*1.01*50%</f>
        <v>#REF!</v>
      </c>
      <c r="G10" s="80" t="e">
        <f>+(G6*F2/1000)*1.01</f>
        <v>#REF!</v>
      </c>
      <c r="H10" s="80" t="e">
        <f>+(H6*$F$2/1000)*1.01*75%</f>
        <v>#REF!</v>
      </c>
      <c r="I10" s="80" t="e">
        <f>+(I6*$F$2/1000)*1.01*50%</f>
        <v>#REF!</v>
      </c>
      <c r="J10" s="80"/>
      <c r="L10" s="170" t="s">
        <v>19</v>
      </c>
      <c r="M10" s="80" t="e">
        <f>+(M6*F2/1000)*1.005*75%</f>
        <v>#REF!</v>
      </c>
      <c r="N10" s="80" t="e">
        <f>+(N6*F2/1000)*1.005</f>
        <v>#REF!</v>
      </c>
      <c r="O10" s="80" t="e">
        <f>+(O6*F2/1000)*1.005*75%</f>
        <v>#REF!</v>
      </c>
      <c r="Q10" s="102"/>
      <c r="R10" s="104">
        <f>SUM(R6:R9)</f>
        <v>1028.22</v>
      </c>
      <c r="S10" s="104">
        <f>SUM(S6:S9)</f>
        <v>1049.0900000000001</v>
      </c>
      <c r="T10" s="104">
        <f>SUM(T6:T9)</f>
        <v>1096.3399999999999</v>
      </c>
      <c r="U10" s="104">
        <f>SUM(U6:U9)</f>
        <v>1083.75</v>
      </c>
      <c r="V10" s="104">
        <f t="shared" ref="V10:AQ10" si="1">SUM(V6:V9)</f>
        <v>1105.5</v>
      </c>
      <c r="W10" s="104">
        <f t="shared" si="1"/>
        <v>1135.5999999999999</v>
      </c>
      <c r="X10" s="104">
        <f t="shared" si="1"/>
        <v>1193.75</v>
      </c>
      <c r="Y10" s="104">
        <f t="shared" si="1"/>
        <v>1238.75</v>
      </c>
      <c r="Z10" s="104">
        <f t="shared" si="1"/>
        <v>1257</v>
      </c>
      <c r="AA10" s="104">
        <f t="shared" si="1"/>
        <v>1311.25</v>
      </c>
      <c r="AB10" s="104">
        <f t="shared" si="1"/>
        <v>1420</v>
      </c>
      <c r="AC10" s="104">
        <f t="shared" si="1"/>
        <v>1383.1397260273973</v>
      </c>
      <c r="AD10" s="104">
        <f t="shared" si="1"/>
        <v>1382.5036791020548</v>
      </c>
      <c r="AE10" s="104">
        <f t="shared" si="1"/>
        <v>1378.5232191780822</v>
      </c>
      <c r="AF10" s="104" t="e">
        <f t="shared" si="1"/>
        <v>#REF!</v>
      </c>
      <c r="AG10" s="104" t="e">
        <f t="shared" si="1"/>
        <v>#REF!</v>
      </c>
      <c r="AH10" s="104" t="e">
        <f t="shared" si="1"/>
        <v>#REF!</v>
      </c>
      <c r="AI10" s="104" t="e">
        <f t="shared" si="1"/>
        <v>#REF!</v>
      </c>
      <c r="AJ10" s="104" t="e">
        <f t="shared" si="1"/>
        <v>#REF!</v>
      </c>
      <c r="AK10" s="104" t="e">
        <f t="shared" si="1"/>
        <v>#REF!</v>
      </c>
      <c r="AL10" s="104" t="e">
        <f t="shared" si="1"/>
        <v>#REF!</v>
      </c>
      <c r="AM10" s="104" t="e">
        <f t="shared" si="1"/>
        <v>#REF!</v>
      </c>
      <c r="AN10" s="104" t="e">
        <f t="shared" si="1"/>
        <v>#REF!</v>
      </c>
      <c r="AO10" s="104" t="e">
        <f t="shared" si="1"/>
        <v>#REF!</v>
      </c>
      <c r="AP10" s="104" t="e">
        <f t="shared" si="1"/>
        <v>#REF!</v>
      </c>
      <c r="AQ10" s="104" t="e">
        <f t="shared" si="1"/>
        <v>#REF!</v>
      </c>
      <c r="AR10" s="104" t="e">
        <f>SUM(AR6:AR9)</f>
        <v>#REF!</v>
      </c>
      <c r="AS10" s="104" t="e">
        <f>SUM(AS6:AS9)</f>
        <v>#REF!</v>
      </c>
      <c r="AT10" s="79"/>
      <c r="AU10" s="80"/>
      <c r="AV10" s="80"/>
    </row>
    <row r="11" spans="2:48" x14ac:dyDescent="0.35">
      <c r="B11" s="172" t="s">
        <v>23</v>
      </c>
      <c r="C11" s="76" t="e">
        <f>+(C6*$F$3/1000)*1.01*50%</f>
        <v>#REF!</v>
      </c>
      <c r="D11" s="76" t="e">
        <f>+(D6*$F$3/1000)*1.01*25%</f>
        <v>#REF!</v>
      </c>
      <c r="E11" s="76">
        <v>0</v>
      </c>
      <c r="F11" s="76" t="e">
        <f>+(F6*$F$3/1000)*1.01*50%</f>
        <v>#REF!</v>
      </c>
      <c r="G11" s="76">
        <v>0</v>
      </c>
      <c r="H11" s="76" t="e">
        <f>+(H6*$F$3/1000)*1.01*25%</f>
        <v>#REF!</v>
      </c>
      <c r="I11" s="76" t="e">
        <f>+(I6*$F$3/1000)*1.01*50%</f>
        <v>#REF!</v>
      </c>
      <c r="J11" s="76"/>
      <c r="K11" s="121"/>
      <c r="L11" s="172" t="s">
        <v>23</v>
      </c>
      <c r="M11" s="76" t="e">
        <f>+(M6*F3/1000)*1.005*25%</f>
        <v>#REF!</v>
      </c>
      <c r="N11" s="76">
        <v>0</v>
      </c>
      <c r="O11" s="76" t="e">
        <f>+(O6*F3/1000)*1.005*25%</f>
        <v>#REF!</v>
      </c>
      <c r="Q11" s="106" t="s">
        <v>27</v>
      </c>
      <c r="R11" s="108">
        <f>+R10*4%</f>
        <v>41.128800000000005</v>
      </c>
      <c r="S11" s="104">
        <f>+S10*4%</f>
        <v>41.963600000000007</v>
      </c>
      <c r="T11" s="108">
        <f>+T10*4%</f>
        <v>43.8536</v>
      </c>
      <c r="U11" s="108">
        <f>+U10*4%</f>
        <v>43.35</v>
      </c>
      <c r="V11" s="108">
        <f t="shared" ref="V11:AQ11" si="2">+V10*4%</f>
        <v>44.22</v>
      </c>
      <c r="W11" s="108">
        <f t="shared" si="2"/>
        <v>45.423999999999999</v>
      </c>
      <c r="X11" s="108">
        <f t="shared" si="2"/>
        <v>47.75</v>
      </c>
      <c r="Y11" s="108">
        <f t="shared" si="2"/>
        <v>49.550000000000004</v>
      </c>
      <c r="Z11" s="108">
        <f t="shared" si="2"/>
        <v>50.28</v>
      </c>
      <c r="AA11" s="108">
        <f t="shared" si="2"/>
        <v>52.45</v>
      </c>
      <c r="AB11" s="108">
        <f t="shared" si="2"/>
        <v>56.800000000000004</v>
      </c>
      <c r="AC11" s="108">
        <f t="shared" si="2"/>
        <v>55.325589041095895</v>
      </c>
      <c r="AD11" s="108">
        <f t="shared" si="2"/>
        <v>55.30014716408219</v>
      </c>
      <c r="AE11" s="108">
        <f t="shared" si="2"/>
        <v>55.140928767123285</v>
      </c>
      <c r="AF11" s="108" t="e">
        <f t="shared" si="2"/>
        <v>#REF!</v>
      </c>
      <c r="AG11" s="108" t="e">
        <f t="shared" si="2"/>
        <v>#REF!</v>
      </c>
      <c r="AH11" s="108" t="e">
        <f t="shared" si="2"/>
        <v>#REF!</v>
      </c>
      <c r="AI11" s="108" t="e">
        <f t="shared" si="2"/>
        <v>#REF!</v>
      </c>
      <c r="AJ11" s="108" t="e">
        <f t="shared" si="2"/>
        <v>#REF!</v>
      </c>
      <c r="AK11" s="108" t="e">
        <f t="shared" si="2"/>
        <v>#REF!</v>
      </c>
      <c r="AL11" s="108" t="e">
        <f t="shared" si="2"/>
        <v>#REF!</v>
      </c>
      <c r="AM11" s="108" t="e">
        <f t="shared" si="2"/>
        <v>#REF!</v>
      </c>
      <c r="AN11" s="108" t="e">
        <f t="shared" si="2"/>
        <v>#REF!</v>
      </c>
      <c r="AO11" s="108" t="e">
        <f t="shared" si="2"/>
        <v>#REF!</v>
      </c>
      <c r="AP11" s="108" t="e">
        <f t="shared" si="2"/>
        <v>#REF!</v>
      </c>
      <c r="AQ11" s="108" t="e">
        <f t="shared" si="2"/>
        <v>#REF!</v>
      </c>
      <c r="AR11" s="108" t="e">
        <f>+AR10*4%</f>
        <v>#REF!</v>
      </c>
      <c r="AS11" s="108" t="e">
        <f>+AS10*4%</f>
        <v>#REF!</v>
      </c>
      <c r="AT11" s="79"/>
      <c r="AU11" s="80"/>
      <c r="AV11" s="80"/>
    </row>
    <row r="12" spans="2:48" x14ac:dyDescent="0.35">
      <c r="B12" s="169" t="s">
        <v>95</v>
      </c>
      <c r="C12" s="84" t="e">
        <f>SUM(C10:C11)</f>
        <v>#REF!</v>
      </c>
      <c r="D12" s="84" t="e">
        <f t="shared" ref="D12:J12" si="3">SUM(D10:D11)</f>
        <v>#REF!</v>
      </c>
      <c r="E12" s="84" t="e">
        <f t="shared" si="3"/>
        <v>#REF!</v>
      </c>
      <c r="F12" s="84" t="e">
        <f t="shared" si="3"/>
        <v>#REF!</v>
      </c>
      <c r="G12" s="84" t="e">
        <f t="shared" si="3"/>
        <v>#REF!</v>
      </c>
      <c r="H12" s="84" t="e">
        <f t="shared" si="3"/>
        <v>#REF!</v>
      </c>
      <c r="I12" s="84" t="e">
        <f t="shared" si="3"/>
        <v>#REF!</v>
      </c>
      <c r="J12" s="80">
        <f t="shared" si="3"/>
        <v>0</v>
      </c>
      <c r="K12" s="80"/>
      <c r="L12" s="169" t="s">
        <v>95</v>
      </c>
      <c r="M12" s="84" t="e">
        <f t="shared" ref="M12:O12" si="4">SUM(M10:M11)</f>
        <v>#REF!</v>
      </c>
      <c r="N12" s="84" t="e">
        <f t="shared" si="4"/>
        <v>#REF!</v>
      </c>
      <c r="O12" s="84" t="e">
        <f t="shared" si="4"/>
        <v>#REF!</v>
      </c>
      <c r="Q12" s="157" t="s">
        <v>30</v>
      </c>
      <c r="R12" s="158">
        <f>+R11+R10</f>
        <v>1069.3488</v>
      </c>
      <c r="S12" s="159">
        <f>+S11+S10</f>
        <v>1091.0536000000002</v>
      </c>
      <c r="T12" s="158">
        <f>+T11+T10</f>
        <v>1140.1935999999998</v>
      </c>
      <c r="U12" s="158">
        <f>+U11+U10</f>
        <v>1127.0999999999999</v>
      </c>
      <c r="V12" s="158">
        <f t="shared" ref="V12:AQ12" si="5">+V11+V10</f>
        <v>1149.72</v>
      </c>
      <c r="W12" s="158">
        <f t="shared" si="5"/>
        <v>1181.0239999999999</v>
      </c>
      <c r="X12" s="158">
        <f t="shared" si="5"/>
        <v>1241.5</v>
      </c>
      <c r="Y12" s="158">
        <f t="shared" si="5"/>
        <v>1288.3</v>
      </c>
      <c r="Z12" s="158">
        <f t="shared" si="5"/>
        <v>1307.28</v>
      </c>
      <c r="AA12" s="158">
        <f t="shared" si="5"/>
        <v>1363.7</v>
      </c>
      <c r="AB12" s="158">
        <f t="shared" si="5"/>
        <v>1476.8</v>
      </c>
      <c r="AC12" s="158">
        <f t="shared" si="5"/>
        <v>1438.4653150684931</v>
      </c>
      <c r="AD12" s="158">
        <f t="shared" si="5"/>
        <v>1437.8038262661369</v>
      </c>
      <c r="AE12" s="158">
        <f t="shared" si="5"/>
        <v>1433.6641479452055</v>
      </c>
      <c r="AF12" s="158" t="e">
        <f t="shared" si="5"/>
        <v>#REF!</v>
      </c>
      <c r="AG12" s="158" t="e">
        <f t="shared" si="5"/>
        <v>#REF!</v>
      </c>
      <c r="AH12" s="158" t="e">
        <f t="shared" si="5"/>
        <v>#REF!</v>
      </c>
      <c r="AI12" s="158" t="e">
        <f t="shared" si="5"/>
        <v>#REF!</v>
      </c>
      <c r="AJ12" s="158" t="e">
        <f t="shared" si="5"/>
        <v>#REF!</v>
      </c>
      <c r="AK12" s="158" t="e">
        <f t="shared" si="5"/>
        <v>#REF!</v>
      </c>
      <c r="AL12" s="158" t="e">
        <f t="shared" si="5"/>
        <v>#REF!</v>
      </c>
      <c r="AM12" s="158" t="e">
        <f t="shared" si="5"/>
        <v>#REF!</v>
      </c>
      <c r="AN12" s="158" t="e">
        <f t="shared" si="5"/>
        <v>#REF!</v>
      </c>
      <c r="AO12" s="158" t="e">
        <f t="shared" si="5"/>
        <v>#REF!</v>
      </c>
      <c r="AP12" s="158" t="e">
        <f t="shared" si="5"/>
        <v>#REF!</v>
      </c>
      <c r="AQ12" s="158" t="e">
        <f t="shared" si="5"/>
        <v>#REF!</v>
      </c>
      <c r="AR12" s="158" t="e">
        <f>+AR11+AR10</f>
        <v>#REF!</v>
      </c>
      <c r="AS12" s="158" t="e">
        <f>+AS11+AS10</f>
        <v>#REF!</v>
      </c>
      <c r="AT12" s="79"/>
      <c r="AU12" s="80"/>
      <c r="AV12" s="80"/>
    </row>
    <row r="13" spans="2:48" x14ac:dyDescent="0.35">
      <c r="B13" s="170" t="s">
        <v>133</v>
      </c>
      <c r="C13" s="80">
        <f>8.2+0.03</f>
        <v>8.2299999999999986</v>
      </c>
      <c r="D13" s="80">
        <v>8.2299999999999986</v>
      </c>
      <c r="E13" s="80">
        <f>8.2+0.03</f>
        <v>8.2299999999999986</v>
      </c>
      <c r="F13" s="80">
        <f>8.2+0.03</f>
        <v>8.2299999999999986</v>
      </c>
      <c r="G13" s="80">
        <v>11.200000000000001</v>
      </c>
      <c r="H13" s="80">
        <v>11.200000000000001</v>
      </c>
      <c r="I13" s="80">
        <f>11.15+0.05</f>
        <v>11.200000000000001</v>
      </c>
      <c r="J13" s="80"/>
      <c r="L13" s="170" t="s">
        <v>133</v>
      </c>
      <c r="M13" s="80">
        <f>+C13</f>
        <v>8.2299999999999986</v>
      </c>
      <c r="N13" s="80">
        <v>8.23</v>
      </c>
      <c r="O13" s="80">
        <v>8.23</v>
      </c>
      <c r="Q13" s="160" t="s">
        <v>32</v>
      </c>
      <c r="R13" s="161">
        <f>+R12*(1-5%)</f>
        <v>1015.88136</v>
      </c>
      <c r="S13" s="161">
        <f t="shared" ref="S13:AM13" si="6">+S12*(1-5%)</f>
        <v>1036.5009200000002</v>
      </c>
      <c r="T13" s="161">
        <f t="shared" si="6"/>
        <v>1083.1839199999997</v>
      </c>
      <c r="U13" s="161">
        <f t="shared" si="6"/>
        <v>1070.7449999999999</v>
      </c>
      <c r="V13" s="161">
        <f t="shared" si="6"/>
        <v>1092.2339999999999</v>
      </c>
      <c r="W13" s="161">
        <f t="shared" si="6"/>
        <v>1121.9727999999998</v>
      </c>
      <c r="X13" s="161">
        <f t="shared" si="6"/>
        <v>1179.425</v>
      </c>
      <c r="Y13" s="161">
        <f t="shared" si="6"/>
        <v>1223.885</v>
      </c>
      <c r="Z13" s="161">
        <f t="shared" si="6"/>
        <v>1241.9159999999999</v>
      </c>
      <c r="AA13" s="161">
        <f t="shared" si="6"/>
        <v>1295.5149999999999</v>
      </c>
      <c r="AB13" s="161">
        <f t="shared" si="6"/>
        <v>1402.9599999999998</v>
      </c>
      <c r="AC13" s="161">
        <f t="shared" si="6"/>
        <v>1366.5420493150684</v>
      </c>
      <c r="AD13" s="161">
        <f t="shared" si="6"/>
        <v>1365.9136349528299</v>
      </c>
      <c r="AE13" s="161">
        <f t="shared" si="6"/>
        <v>1361.9809405479452</v>
      </c>
      <c r="AF13" s="161" t="e">
        <f t="shared" si="6"/>
        <v>#REF!</v>
      </c>
      <c r="AG13" s="161" t="e">
        <f t="shared" si="6"/>
        <v>#REF!</v>
      </c>
      <c r="AH13" s="161" t="e">
        <f t="shared" si="6"/>
        <v>#REF!</v>
      </c>
      <c r="AI13" s="161" t="e">
        <f t="shared" si="6"/>
        <v>#REF!</v>
      </c>
      <c r="AJ13" s="161" t="e">
        <f t="shared" si="6"/>
        <v>#REF!</v>
      </c>
      <c r="AK13" s="161" t="e">
        <f t="shared" si="6"/>
        <v>#REF!</v>
      </c>
      <c r="AL13" s="161" t="e">
        <f t="shared" si="6"/>
        <v>#REF!</v>
      </c>
      <c r="AM13" s="161" t="e">
        <f t="shared" si="6"/>
        <v>#REF!</v>
      </c>
      <c r="AN13" s="161">
        <v>1267</v>
      </c>
      <c r="AO13" s="161" t="e">
        <f t="shared" ref="AO13:AQ13" si="7">+AO12*(1-5%)</f>
        <v>#REF!</v>
      </c>
      <c r="AP13" s="161" t="e">
        <f t="shared" si="7"/>
        <v>#REF!</v>
      </c>
      <c r="AQ13" s="161" t="e">
        <f t="shared" si="7"/>
        <v>#REF!</v>
      </c>
      <c r="AR13" s="161" t="e">
        <f>+AR12*(1-5%)</f>
        <v>#REF!</v>
      </c>
      <c r="AS13" s="161" t="e">
        <f>+AS12*(1-5%)</f>
        <v>#REF!</v>
      </c>
      <c r="AT13" s="202">
        <v>1275</v>
      </c>
      <c r="AU13" s="87" t="s">
        <v>135</v>
      </c>
      <c r="AV13" s="80"/>
    </row>
    <row r="14" spans="2:48" x14ac:dyDescent="0.35">
      <c r="B14" s="170" t="s">
        <v>134</v>
      </c>
      <c r="C14" s="80">
        <v>0</v>
      </c>
      <c r="D14" s="80"/>
      <c r="E14" s="80"/>
      <c r="F14" s="80">
        <v>0</v>
      </c>
      <c r="G14" s="80"/>
      <c r="H14" s="80"/>
      <c r="I14" s="80">
        <v>0</v>
      </c>
      <c r="J14" s="80"/>
      <c r="L14" s="170" t="s">
        <v>134</v>
      </c>
      <c r="M14" s="80">
        <v>19.079999999999998</v>
      </c>
      <c r="N14" s="80">
        <v>19.09</v>
      </c>
      <c r="O14" s="80">
        <v>19.09</v>
      </c>
      <c r="Q14" s="160"/>
      <c r="R14" s="161"/>
      <c r="S14" s="161"/>
      <c r="T14" s="161"/>
      <c r="U14" s="161"/>
      <c r="V14" s="161"/>
      <c r="W14" s="161"/>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82"/>
      <c r="AV14" s="80"/>
    </row>
    <row r="15" spans="2:48" x14ac:dyDescent="0.35">
      <c r="B15" s="170" t="s">
        <v>31</v>
      </c>
      <c r="C15" s="80">
        <v>1.92</v>
      </c>
      <c r="D15" s="80">
        <v>1.5</v>
      </c>
      <c r="E15" s="80">
        <v>1.83</v>
      </c>
      <c r="F15" s="80">
        <v>2.2200000000000002</v>
      </c>
      <c r="G15" s="80">
        <v>3.45</v>
      </c>
      <c r="H15" s="80">
        <v>3.45</v>
      </c>
      <c r="I15" s="80">
        <v>4.13</v>
      </c>
      <c r="J15" s="80"/>
      <c r="L15" s="170" t="s">
        <v>31</v>
      </c>
      <c r="M15" s="80">
        <v>0.9</v>
      </c>
      <c r="N15" s="80">
        <v>2.1800000000000002</v>
      </c>
      <c r="O15" s="80">
        <v>2.1800000000000002</v>
      </c>
      <c r="Q15" s="128" t="s">
        <v>100</v>
      </c>
      <c r="R15" s="128" t="s">
        <v>18</v>
      </c>
      <c r="S15" s="128" t="s">
        <v>18</v>
      </c>
      <c r="T15" s="128" t="s">
        <v>18</v>
      </c>
      <c r="U15" s="128" t="s">
        <v>18</v>
      </c>
      <c r="V15" s="128" t="s">
        <v>18</v>
      </c>
      <c r="W15" s="128" t="s">
        <v>18</v>
      </c>
      <c r="X15" s="128" t="s">
        <v>18</v>
      </c>
      <c r="Y15" s="128" t="s">
        <v>18</v>
      </c>
      <c r="Z15" s="128" t="s">
        <v>18</v>
      </c>
      <c r="AA15" s="128" t="s">
        <v>18</v>
      </c>
      <c r="AB15" s="128" t="s">
        <v>18</v>
      </c>
      <c r="AC15" s="128" t="s">
        <v>18</v>
      </c>
      <c r="AD15" s="128" t="s">
        <v>18</v>
      </c>
      <c r="AE15" s="128" t="s">
        <v>18</v>
      </c>
      <c r="AF15" s="128" t="s">
        <v>18</v>
      </c>
      <c r="AG15" s="128" t="s">
        <v>18</v>
      </c>
      <c r="AH15" s="128" t="s">
        <v>18</v>
      </c>
      <c r="AI15" s="128" t="s">
        <v>18</v>
      </c>
      <c r="AJ15" s="129">
        <v>0</v>
      </c>
      <c r="AK15" s="129">
        <f>+AV15</f>
        <v>0</v>
      </c>
      <c r="AL15" s="129">
        <v>15.097681007201158</v>
      </c>
      <c r="AM15" s="129">
        <v>15.162458159293488</v>
      </c>
      <c r="AN15" s="129">
        <f t="shared" ref="AN15:AS15" si="8">((((AN13*4.5%)/365)*210))*50%</f>
        <v>16.401575342465755</v>
      </c>
      <c r="AO15" s="129" t="e">
        <f t="shared" si="8"/>
        <v>#REF!</v>
      </c>
      <c r="AP15" s="129" t="e">
        <f t="shared" si="8"/>
        <v>#REF!</v>
      </c>
      <c r="AQ15" s="129" t="e">
        <f t="shared" si="8"/>
        <v>#REF!</v>
      </c>
      <c r="AR15" s="129" t="e">
        <f t="shared" si="8"/>
        <v>#REF!</v>
      </c>
      <c r="AS15" s="129" t="e">
        <f t="shared" si="8"/>
        <v>#REF!</v>
      </c>
      <c r="AT15" s="202" t="e">
        <f>+AS16-AT13</f>
        <v>#REF!</v>
      </c>
      <c r="AU15" s="87" t="s">
        <v>136</v>
      </c>
      <c r="AV15" s="91"/>
    </row>
    <row r="16" spans="2:48" x14ac:dyDescent="0.35">
      <c r="B16" s="170" t="s">
        <v>34</v>
      </c>
      <c r="C16" s="80">
        <v>0.19</v>
      </c>
      <c r="D16" s="80">
        <v>0.19</v>
      </c>
      <c r="E16" s="80">
        <v>0.19</v>
      </c>
      <c r="F16" s="80">
        <v>0.19</v>
      </c>
      <c r="G16" s="80">
        <v>0.33</v>
      </c>
      <c r="H16" s="80">
        <v>0.33</v>
      </c>
      <c r="I16" s="80">
        <v>0.33</v>
      </c>
      <c r="J16" s="80"/>
      <c r="L16" s="170" t="s">
        <v>34</v>
      </c>
      <c r="M16" s="80">
        <v>4.3</v>
      </c>
      <c r="N16" s="80">
        <v>4.3</v>
      </c>
      <c r="O16" s="80">
        <v>4.3</v>
      </c>
      <c r="Q16" s="179" t="s">
        <v>101</v>
      </c>
      <c r="R16" s="179"/>
      <c r="S16" s="179"/>
      <c r="T16" s="179"/>
      <c r="U16" s="179"/>
      <c r="V16" s="179"/>
      <c r="W16" s="179"/>
      <c r="X16" s="179"/>
      <c r="Y16" s="179"/>
      <c r="Z16" s="179"/>
      <c r="AA16" s="179"/>
      <c r="AB16" s="179"/>
      <c r="AC16" s="179"/>
      <c r="AD16" s="179"/>
      <c r="AE16" s="179"/>
      <c r="AF16" s="179"/>
      <c r="AG16" s="179"/>
      <c r="AH16" s="179"/>
      <c r="AI16" s="179"/>
      <c r="AJ16" s="180"/>
      <c r="AK16" s="180" t="e">
        <f t="shared" ref="AK16:AQ16" si="9">+AK13+AK15</f>
        <v>#REF!</v>
      </c>
      <c r="AL16" s="180" t="e">
        <f t="shared" si="9"/>
        <v>#REF!</v>
      </c>
      <c r="AM16" s="180" t="e">
        <f t="shared" si="9"/>
        <v>#REF!</v>
      </c>
      <c r="AN16" s="180">
        <f t="shared" si="9"/>
        <v>1283.4015753424658</v>
      </c>
      <c r="AO16" s="180" t="e">
        <f t="shared" si="9"/>
        <v>#REF!</v>
      </c>
      <c r="AP16" s="180" t="e">
        <f t="shared" si="9"/>
        <v>#REF!</v>
      </c>
      <c r="AQ16" s="180" t="e">
        <f t="shared" si="9"/>
        <v>#REF!</v>
      </c>
      <c r="AR16" s="180" t="e">
        <f>+AR13+AR15</f>
        <v>#REF!</v>
      </c>
      <c r="AS16" s="180" t="e">
        <f>+AS13+AS15</f>
        <v>#REF!</v>
      </c>
      <c r="AT16" s="85"/>
      <c r="AU16" s="91"/>
      <c r="AV16" s="80"/>
    </row>
    <row r="17" spans="1:50" x14ac:dyDescent="0.35">
      <c r="A17" s="81" t="s">
        <v>38</v>
      </c>
      <c r="B17" s="170" t="s">
        <v>36</v>
      </c>
      <c r="C17" s="80">
        <v>0.16</v>
      </c>
      <c r="D17" s="80">
        <v>0.16</v>
      </c>
      <c r="E17" s="80">
        <v>0.16</v>
      </c>
      <c r="F17" s="80">
        <v>0.16</v>
      </c>
      <c r="G17" s="80">
        <v>0.28000000000000003</v>
      </c>
      <c r="H17" s="80">
        <v>0.28000000000000003</v>
      </c>
      <c r="I17" s="80">
        <v>0.28000000000000003</v>
      </c>
      <c r="J17" s="80"/>
      <c r="L17" s="170" t="s">
        <v>36</v>
      </c>
      <c r="M17" s="80">
        <v>8.36</v>
      </c>
      <c r="N17" s="80">
        <v>8.36</v>
      </c>
      <c r="O17" s="80">
        <v>8.36</v>
      </c>
      <c r="Q17" s="157" t="s">
        <v>96</v>
      </c>
      <c r="R17" s="158">
        <f t="shared" ref="R17:AH17" si="10">+R12*75%+R13*25%</f>
        <v>1055.9819400000001</v>
      </c>
      <c r="S17" s="158">
        <f t="shared" si="10"/>
        <v>1077.4154300000002</v>
      </c>
      <c r="T17" s="158">
        <f t="shared" si="10"/>
        <v>1125.9411799999998</v>
      </c>
      <c r="U17" s="158">
        <f t="shared" si="10"/>
        <v>1113.01125</v>
      </c>
      <c r="V17" s="158">
        <f t="shared" si="10"/>
        <v>1135.3485000000001</v>
      </c>
      <c r="W17" s="158">
        <f t="shared" si="10"/>
        <v>1166.2611999999999</v>
      </c>
      <c r="X17" s="158">
        <f t="shared" si="10"/>
        <v>1225.98125</v>
      </c>
      <c r="Y17" s="158">
        <f t="shared" si="10"/>
        <v>1272.19625</v>
      </c>
      <c r="Z17" s="158">
        <f t="shared" si="10"/>
        <v>1290.9390000000001</v>
      </c>
      <c r="AA17" s="158">
        <f t="shared" si="10"/>
        <v>1346.6537499999999</v>
      </c>
      <c r="AB17" s="158">
        <f t="shared" si="10"/>
        <v>1458.34</v>
      </c>
      <c r="AC17" s="158">
        <f t="shared" si="10"/>
        <v>1420.4844986301368</v>
      </c>
      <c r="AD17" s="158">
        <f t="shared" si="10"/>
        <v>1419.8312784378102</v>
      </c>
      <c r="AE17" s="158">
        <f t="shared" si="10"/>
        <v>1415.7433460958905</v>
      </c>
      <c r="AF17" s="158" t="e">
        <f t="shared" si="10"/>
        <v>#REF!</v>
      </c>
      <c r="AG17" s="158" t="e">
        <f t="shared" si="10"/>
        <v>#REF!</v>
      </c>
      <c r="AH17" s="158" t="e">
        <f t="shared" si="10"/>
        <v>#REF!</v>
      </c>
      <c r="AI17" s="158" t="e">
        <f>+AI12*50%+AI13*50%</f>
        <v>#REF!</v>
      </c>
      <c r="AJ17" s="158" t="e">
        <f>+AJ12*50%+AJ13*50%</f>
        <v>#REF!</v>
      </c>
      <c r="AK17" s="158" t="e">
        <f t="shared" ref="AK17:AQ17" si="11">+AK12*50%+AK16*50%</f>
        <v>#REF!</v>
      </c>
      <c r="AL17" s="158" t="e">
        <f t="shared" si="11"/>
        <v>#REF!</v>
      </c>
      <c r="AM17" s="158" t="e">
        <f t="shared" si="11"/>
        <v>#REF!</v>
      </c>
      <c r="AN17" s="158" t="e">
        <f t="shared" si="11"/>
        <v>#REF!</v>
      </c>
      <c r="AO17" s="158" t="e">
        <f t="shared" si="11"/>
        <v>#REF!</v>
      </c>
      <c r="AP17" s="158" t="e">
        <f t="shared" si="11"/>
        <v>#REF!</v>
      </c>
      <c r="AQ17" s="158" t="e">
        <f t="shared" si="11"/>
        <v>#REF!</v>
      </c>
      <c r="AR17" s="158" t="e">
        <f>+AR12*50%+AR16*50%</f>
        <v>#REF!</v>
      </c>
      <c r="AS17" s="158" t="e">
        <f>+AS12*50%+AS16*50%</f>
        <v>#REF!</v>
      </c>
      <c r="AT17" s="80"/>
      <c r="AU17" s="80"/>
      <c r="AV17" s="80"/>
    </row>
    <row r="18" spans="1:50" x14ac:dyDescent="0.35">
      <c r="B18" s="169" t="s">
        <v>39</v>
      </c>
      <c r="C18" s="84" t="e">
        <f>+C12+C13+C15+C16+C17</f>
        <v>#REF!</v>
      </c>
      <c r="D18" s="84" t="e">
        <f t="shared" ref="D18:I18" si="12">+D12+D13+D15+D16+D17</f>
        <v>#REF!</v>
      </c>
      <c r="E18" s="84" t="e">
        <f t="shared" si="12"/>
        <v>#REF!</v>
      </c>
      <c r="F18" s="84" t="e">
        <f t="shared" si="12"/>
        <v>#REF!</v>
      </c>
      <c r="G18" s="84" t="e">
        <f t="shared" si="12"/>
        <v>#REF!</v>
      </c>
      <c r="H18" s="84" t="e">
        <f t="shared" si="12"/>
        <v>#REF!</v>
      </c>
      <c r="I18" s="84" t="e">
        <f t="shared" si="12"/>
        <v>#REF!</v>
      </c>
      <c r="J18" s="84"/>
      <c r="L18" s="169" t="s">
        <v>39</v>
      </c>
      <c r="M18" s="84" t="e">
        <f>+M12+M13+M15+M16+M17+M14</f>
        <v>#REF!</v>
      </c>
      <c r="N18" s="84" t="e">
        <f t="shared" ref="N18:O18" si="13">+N12+N13+N15+N16+N17+N14</f>
        <v>#REF!</v>
      </c>
      <c r="O18" s="84" t="e">
        <f t="shared" si="13"/>
        <v>#REF!</v>
      </c>
      <c r="Q18" s="113" t="s">
        <v>37</v>
      </c>
      <c r="R18" s="118">
        <f>+R17*1%</f>
        <v>10.559819400000002</v>
      </c>
      <c r="S18" s="118">
        <f t="shared" ref="S18:AR18" si="14">+S17*1%</f>
        <v>10.774154300000003</v>
      </c>
      <c r="T18" s="118">
        <f t="shared" si="14"/>
        <v>11.259411799999999</v>
      </c>
      <c r="U18" s="118">
        <f t="shared" si="14"/>
        <v>11.130112500000001</v>
      </c>
      <c r="V18" s="118">
        <f t="shared" si="14"/>
        <v>11.353485000000001</v>
      </c>
      <c r="W18" s="118">
        <f t="shared" si="14"/>
        <v>11.662611999999999</v>
      </c>
      <c r="X18" s="118">
        <f t="shared" si="14"/>
        <v>12.259812500000001</v>
      </c>
      <c r="Y18" s="118">
        <f t="shared" si="14"/>
        <v>12.7219625</v>
      </c>
      <c r="Z18" s="118">
        <f t="shared" si="14"/>
        <v>12.909390000000002</v>
      </c>
      <c r="AA18" s="118">
        <f t="shared" si="14"/>
        <v>13.466537499999999</v>
      </c>
      <c r="AB18" s="118">
        <f t="shared" si="14"/>
        <v>14.583399999999999</v>
      </c>
      <c r="AC18" s="118">
        <f t="shared" si="14"/>
        <v>14.204844986301369</v>
      </c>
      <c r="AD18" s="118">
        <f t="shared" si="14"/>
        <v>14.198312784378102</v>
      </c>
      <c r="AE18" s="118">
        <f t="shared" si="14"/>
        <v>14.157433460958906</v>
      </c>
      <c r="AF18" s="118" t="e">
        <f t="shared" si="14"/>
        <v>#REF!</v>
      </c>
      <c r="AG18" s="118" t="e">
        <f t="shared" si="14"/>
        <v>#REF!</v>
      </c>
      <c r="AH18" s="118" t="e">
        <f t="shared" si="14"/>
        <v>#REF!</v>
      </c>
      <c r="AI18" s="118" t="e">
        <f t="shared" si="14"/>
        <v>#REF!</v>
      </c>
      <c r="AJ18" s="118" t="e">
        <f t="shared" si="14"/>
        <v>#REF!</v>
      </c>
      <c r="AK18" s="118" t="e">
        <f t="shared" si="14"/>
        <v>#REF!</v>
      </c>
      <c r="AL18" s="118" t="e">
        <f t="shared" si="14"/>
        <v>#REF!</v>
      </c>
      <c r="AM18" s="118" t="e">
        <f t="shared" si="14"/>
        <v>#REF!</v>
      </c>
      <c r="AN18" s="118" t="e">
        <f t="shared" si="14"/>
        <v>#REF!</v>
      </c>
      <c r="AO18" s="118" t="e">
        <f t="shared" si="14"/>
        <v>#REF!</v>
      </c>
      <c r="AP18" s="118" t="e">
        <f t="shared" si="14"/>
        <v>#REF!</v>
      </c>
      <c r="AQ18" s="118" t="e">
        <f t="shared" si="14"/>
        <v>#REF!</v>
      </c>
      <c r="AR18" s="118" t="e">
        <f t="shared" si="14"/>
        <v>#REF!</v>
      </c>
      <c r="AS18" s="118" t="e">
        <f t="shared" ref="AS18" si="15">+AS17*1%</f>
        <v>#REF!</v>
      </c>
      <c r="AT18" s="79"/>
      <c r="AU18" s="80"/>
      <c r="AV18" s="84"/>
    </row>
    <row r="19" spans="1:50" x14ac:dyDescent="0.35">
      <c r="Q19" s="113" t="s">
        <v>74</v>
      </c>
      <c r="R19" s="115">
        <f>+R18+R17</f>
        <v>1066.5417594</v>
      </c>
      <c r="S19" s="115">
        <f t="shared" ref="S19:AR19" si="16">+S18+S17</f>
        <v>1088.1895843000002</v>
      </c>
      <c r="T19" s="115">
        <f t="shared" si="16"/>
        <v>1137.2005917999998</v>
      </c>
      <c r="U19" s="115">
        <f t="shared" si="16"/>
        <v>1124.1413625</v>
      </c>
      <c r="V19" s="115">
        <f t="shared" si="16"/>
        <v>1146.7019850000001</v>
      </c>
      <c r="W19" s="115">
        <f t="shared" si="16"/>
        <v>1177.923812</v>
      </c>
      <c r="X19" s="115">
        <f t="shared" si="16"/>
        <v>1238.2410625</v>
      </c>
      <c r="Y19" s="115">
        <f t="shared" si="16"/>
        <v>1284.9182125</v>
      </c>
      <c r="Z19" s="115">
        <f t="shared" si="16"/>
        <v>1303.8483900000001</v>
      </c>
      <c r="AA19" s="115">
        <f t="shared" si="16"/>
        <v>1360.1202874999999</v>
      </c>
      <c r="AB19" s="115">
        <f t="shared" si="16"/>
        <v>1472.9233999999999</v>
      </c>
      <c r="AC19" s="115">
        <f t="shared" si="16"/>
        <v>1434.6893436164382</v>
      </c>
      <c r="AD19" s="115">
        <f t="shared" si="16"/>
        <v>1434.0295912221882</v>
      </c>
      <c r="AE19" s="115">
        <f t="shared" si="16"/>
        <v>1429.9007795568493</v>
      </c>
      <c r="AF19" s="115" t="e">
        <f t="shared" si="16"/>
        <v>#REF!</v>
      </c>
      <c r="AG19" s="115" t="e">
        <f t="shared" si="16"/>
        <v>#REF!</v>
      </c>
      <c r="AH19" s="115" t="e">
        <f t="shared" si="16"/>
        <v>#REF!</v>
      </c>
      <c r="AI19" s="115" t="e">
        <f t="shared" si="16"/>
        <v>#REF!</v>
      </c>
      <c r="AJ19" s="115" t="e">
        <f t="shared" si="16"/>
        <v>#REF!</v>
      </c>
      <c r="AK19" s="115" t="e">
        <f t="shared" si="16"/>
        <v>#REF!</v>
      </c>
      <c r="AL19" s="115" t="e">
        <f t="shared" si="16"/>
        <v>#REF!</v>
      </c>
      <c r="AM19" s="115" t="e">
        <f t="shared" si="16"/>
        <v>#REF!</v>
      </c>
      <c r="AN19" s="115" t="e">
        <f t="shared" si="16"/>
        <v>#REF!</v>
      </c>
      <c r="AO19" s="115" t="e">
        <f t="shared" si="16"/>
        <v>#REF!</v>
      </c>
      <c r="AP19" s="115" t="e">
        <f t="shared" si="16"/>
        <v>#REF!</v>
      </c>
      <c r="AQ19" s="115" t="e">
        <f t="shared" si="16"/>
        <v>#REF!</v>
      </c>
      <c r="AR19" s="115" t="e">
        <f t="shared" si="16"/>
        <v>#REF!</v>
      </c>
      <c r="AS19" s="115" t="e">
        <f t="shared" ref="AS19" si="17">+AS18+AS17</f>
        <v>#REF!</v>
      </c>
      <c r="AT19" s="181"/>
      <c r="AU19" s="84"/>
      <c r="AV19" s="84"/>
      <c r="AX19" s="182"/>
    </row>
    <row r="20" spans="1:50" x14ac:dyDescent="0.35">
      <c r="B20" s="169"/>
      <c r="C20" s="84"/>
      <c r="D20" s="84"/>
      <c r="E20" s="84"/>
      <c r="F20" s="84"/>
      <c r="G20" s="84"/>
      <c r="H20" s="84"/>
      <c r="I20" s="84"/>
      <c r="J20" s="84"/>
      <c r="K20" s="94"/>
      <c r="M20" s="84"/>
      <c r="N20" s="84"/>
      <c r="O20" s="84"/>
      <c r="Q20" s="85"/>
      <c r="R20" s="120" t="e">
        <f>+#REF!</f>
        <v>#REF!</v>
      </c>
      <c r="S20" s="120" t="e">
        <f>+R20</f>
        <v>#REF!</v>
      </c>
      <c r="T20" s="120" t="e">
        <f>+S20</f>
        <v>#REF!</v>
      </c>
      <c r="U20" s="120" t="e">
        <f>+T20</f>
        <v>#REF!</v>
      </c>
      <c r="V20" s="120" t="e">
        <f t="shared" ref="V20:AG20" si="18">+U20</f>
        <v>#REF!</v>
      </c>
      <c r="W20" s="120" t="e">
        <f t="shared" si="18"/>
        <v>#REF!</v>
      </c>
      <c r="X20" s="120" t="e">
        <f t="shared" si="18"/>
        <v>#REF!</v>
      </c>
      <c r="Y20" s="120" t="e">
        <f t="shared" si="18"/>
        <v>#REF!</v>
      </c>
      <c r="Z20" s="120" t="e">
        <f t="shared" si="18"/>
        <v>#REF!</v>
      </c>
      <c r="AA20" s="120" t="e">
        <f t="shared" si="18"/>
        <v>#REF!</v>
      </c>
      <c r="AB20" s="120" t="e">
        <f t="shared" si="18"/>
        <v>#REF!</v>
      </c>
      <c r="AC20" s="120" t="e">
        <f t="shared" si="18"/>
        <v>#REF!</v>
      </c>
      <c r="AD20" s="120" t="e">
        <f t="shared" si="18"/>
        <v>#REF!</v>
      </c>
      <c r="AE20" s="120" t="e">
        <f t="shared" si="18"/>
        <v>#REF!</v>
      </c>
      <c r="AF20" s="120" t="e">
        <f t="shared" si="18"/>
        <v>#REF!</v>
      </c>
      <c r="AG20" s="120" t="e">
        <f t="shared" si="18"/>
        <v>#REF!</v>
      </c>
      <c r="AH20" s="120"/>
      <c r="AI20" s="120"/>
      <c r="AJ20" s="120"/>
      <c r="AK20" s="120"/>
      <c r="AL20" s="120"/>
      <c r="AM20" s="120"/>
      <c r="AN20" s="120"/>
      <c r="AO20" s="120"/>
      <c r="AP20" s="120"/>
      <c r="AQ20" s="120"/>
      <c r="AR20" s="120"/>
      <c r="AS20" s="120"/>
      <c r="AU20" s="84"/>
      <c r="AV20" s="82"/>
    </row>
    <row r="21" spans="1:50" x14ac:dyDescent="0.35">
      <c r="C21" s="132"/>
      <c r="D21" s="132"/>
      <c r="E21" s="132"/>
      <c r="F21" s="132"/>
      <c r="G21" s="132"/>
      <c r="H21" s="132"/>
      <c r="I21" s="132"/>
      <c r="K21" s="94"/>
      <c r="Q21" s="82"/>
      <c r="R21" s="82"/>
      <c r="S21" s="82"/>
      <c r="U21" s="94"/>
      <c r="V21" s="94"/>
      <c r="W21" s="94"/>
      <c r="X21" s="94"/>
      <c r="Y21" s="94"/>
      <c r="Z21" s="94"/>
      <c r="AA21" s="94"/>
      <c r="AB21" s="94"/>
      <c r="AC21" s="94"/>
      <c r="AD21" s="94"/>
      <c r="AE21" s="94"/>
      <c r="AF21" s="94"/>
      <c r="AG21" s="94"/>
      <c r="AH21" s="94"/>
      <c r="AI21" s="94"/>
      <c r="AJ21" s="94"/>
      <c r="AK21" s="94"/>
      <c r="AL21" s="94"/>
      <c r="AM21" s="94"/>
      <c r="AN21" s="94"/>
      <c r="AO21" s="94"/>
      <c r="AP21" s="94"/>
      <c r="AQ21" s="94"/>
      <c r="AR21" s="94"/>
      <c r="AS21" s="94"/>
      <c r="AU21" s="82"/>
      <c r="AV21" s="82"/>
    </row>
    <row r="22" spans="1:50" x14ac:dyDescent="0.35">
      <c r="M22" s="86"/>
      <c r="AU22" s="82"/>
    </row>
    <row r="23" spans="1:50" x14ac:dyDescent="0.35">
      <c r="C23" s="201"/>
      <c r="F23" s="201"/>
      <c r="I23" s="201"/>
      <c r="M23" s="201"/>
      <c r="N23" s="201"/>
      <c r="O23" s="201"/>
    </row>
    <row r="24" spans="1:50" x14ac:dyDescent="0.35">
      <c r="F24" s="201">
        <f>+F23-F21</f>
        <v>0</v>
      </c>
    </row>
    <row r="27" spans="1:50" x14ac:dyDescent="0.35">
      <c r="N27" s="123"/>
      <c r="AH27" s="164"/>
    </row>
    <row r="34" spans="1:50" s="82" customFormat="1" x14ac:dyDescent="0.35">
      <c r="A34" s="81"/>
      <c r="B34" s="173" t="s">
        <v>51</v>
      </c>
      <c r="J34" s="81"/>
      <c r="K34" s="81"/>
      <c r="L34" s="173"/>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row>
  </sheetData>
  <mergeCells count="6">
    <mergeCell ref="Q1:AV1"/>
    <mergeCell ref="B2:D2"/>
    <mergeCell ref="Q2:R2"/>
    <mergeCell ref="AT2:AU2"/>
    <mergeCell ref="B3:D3"/>
    <mergeCell ref="AT3:AU3"/>
  </mergeCells>
  <pageMargins left="0.7" right="0.7" top="0.75" bottom="0.75" header="0.3" footer="0.3"/>
  <pageSetup orientation="portrait" r:id="rId1"/>
  <customProperties>
    <customPr name="EpmWorksheetKeyString_GUID" r:id="rId2"/>
  </customProperties>
  <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Y35"/>
  <sheetViews>
    <sheetView zoomScale="90" zoomScaleNormal="90" workbookViewId="0">
      <selection activeCell="AU14" sqref="AU14"/>
    </sheetView>
  </sheetViews>
  <sheetFormatPr defaultColWidth="11.453125" defaultRowHeight="14.5" x14ac:dyDescent="0.35"/>
  <cols>
    <col min="1" max="1" width="3.453125" style="81" customWidth="1"/>
    <col min="2" max="2" width="18.81640625" style="173" bestFit="1" customWidth="1"/>
    <col min="3" max="3" width="10.81640625" style="82" customWidth="1"/>
    <col min="4" max="5" width="10.54296875" style="82" hidden="1" customWidth="1"/>
    <col min="6" max="6" width="11" style="82" customWidth="1"/>
    <col min="7" max="7" width="11.1796875" style="82" hidden="1" customWidth="1"/>
    <col min="8" max="8" width="11" style="82" hidden="1" customWidth="1"/>
    <col min="9" max="9" width="11.54296875" style="82" customWidth="1"/>
    <col min="10" max="10" width="8.54296875" style="81" hidden="1" customWidth="1"/>
    <col min="11" max="11" width="2.81640625" style="81" customWidth="1"/>
    <col min="12" max="12" width="20" style="173" customWidth="1"/>
    <col min="13" max="14" width="10.81640625" style="82" customWidth="1"/>
    <col min="15" max="15" width="10.81640625" style="82" hidden="1" customWidth="1"/>
    <col min="16" max="16" width="2.81640625" style="81" customWidth="1"/>
    <col min="17" max="17" width="28.81640625" style="81" customWidth="1"/>
    <col min="18" max="18" width="16.1796875" style="81" hidden="1" customWidth="1"/>
    <col min="19" max="19" width="17.54296875" style="81" hidden="1" customWidth="1"/>
    <col min="20" max="20" width="14.54296875" style="81" hidden="1" customWidth="1"/>
    <col min="21" max="21" width="16" style="81" hidden="1" customWidth="1"/>
    <col min="22" max="22" width="17.81640625" style="81" hidden="1" customWidth="1"/>
    <col min="23" max="23" width="17.1796875" style="81" hidden="1" customWidth="1"/>
    <col min="24" max="29" width="14.453125" style="81" hidden="1" customWidth="1"/>
    <col min="30" max="30" width="16.453125" style="81" hidden="1" customWidth="1"/>
    <col min="31" max="33" width="14.81640625" style="81" hidden="1" customWidth="1"/>
    <col min="34" max="34" width="16.54296875" style="81" hidden="1" customWidth="1"/>
    <col min="35" max="36" width="17.54296875" style="81" hidden="1" customWidth="1"/>
    <col min="37" max="40" width="15.1796875" style="81" hidden="1" customWidth="1"/>
    <col min="41" max="41" width="13.81640625" style="81" hidden="1" customWidth="1"/>
    <col min="42" max="42" width="14.453125" style="81" hidden="1" customWidth="1"/>
    <col min="43" max="45" width="16.54296875" style="81" hidden="1" customWidth="1"/>
    <col min="46" max="46" width="16.54296875" style="81" bestFit="1" customWidth="1"/>
    <col min="47" max="50" width="11.453125" style="81" customWidth="1"/>
    <col min="51" max="16384" width="11.453125" style="81"/>
  </cols>
  <sheetData>
    <row r="1" spans="2:49" x14ac:dyDescent="0.35">
      <c r="B1" s="122"/>
      <c r="C1" s="86"/>
      <c r="D1" s="86"/>
      <c r="E1" s="86"/>
      <c r="F1" s="87"/>
      <c r="G1" s="87"/>
      <c r="H1" s="87"/>
      <c r="I1" s="87"/>
      <c r="J1" s="87"/>
      <c r="K1" s="87"/>
      <c r="L1" s="122"/>
      <c r="M1" s="87"/>
      <c r="N1" s="87"/>
      <c r="O1" s="87"/>
      <c r="Q1" s="574"/>
      <c r="R1" s="574"/>
      <c r="S1" s="574"/>
      <c r="T1" s="574"/>
      <c r="U1" s="574"/>
      <c r="V1" s="574"/>
      <c r="W1" s="574"/>
      <c r="X1" s="574"/>
      <c r="Y1" s="574"/>
      <c r="Z1" s="574"/>
      <c r="AA1" s="574"/>
      <c r="AB1" s="574"/>
      <c r="AC1" s="574"/>
      <c r="AD1" s="574"/>
      <c r="AE1" s="574"/>
      <c r="AF1" s="574"/>
      <c r="AG1" s="574"/>
      <c r="AH1" s="574"/>
      <c r="AI1" s="574"/>
      <c r="AJ1" s="574"/>
      <c r="AK1" s="574"/>
      <c r="AL1" s="574"/>
      <c r="AM1" s="574"/>
      <c r="AN1" s="574"/>
      <c r="AO1" s="574"/>
      <c r="AP1" s="574"/>
      <c r="AQ1" s="574"/>
      <c r="AR1" s="574"/>
      <c r="AS1" s="574"/>
      <c r="AT1" s="574"/>
      <c r="AU1" s="574"/>
      <c r="AV1" s="574"/>
      <c r="AW1" s="574"/>
    </row>
    <row r="2" spans="2:49" s="142" customFormat="1" ht="15" customHeight="1" x14ac:dyDescent="0.35">
      <c r="B2" s="576" t="s">
        <v>66</v>
      </c>
      <c r="C2" s="576"/>
      <c r="D2" s="576"/>
      <c r="F2" s="141" t="e">
        <f>+AT12</f>
        <v>#REF!</v>
      </c>
      <c r="H2" s="141"/>
      <c r="I2" s="141"/>
      <c r="J2" s="143">
        <v>0.05</v>
      </c>
      <c r="K2" s="144"/>
      <c r="L2" s="171"/>
      <c r="M2" s="141"/>
      <c r="N2" s="141"/>
      <c r="O2" s="141"/>
      <c r="Q2" s="576"/>
      <c r="R2" s="576"/>
      <c r="S2" s="141"/>
      <c r="T2" s="143"/>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576"/>
      <c r="AV2" s="576"/>
      <c r="AW2" s="141"/>
    </row>
    <row r="3" spans="2:49" s="133" customFormat="1" ht="15" customHeight="1" x14ac:dyDescent="0.35">
      <c r="B3" s="576" t="s">
        <v>67</v>
      </c>
      <c r="C3" s="576"/>
      <c r="D3" s="576"/>
      <c r="F3" s="134" t="e">
        <f>+AT16</f>
        <v>#REF!</v>
      </c>
      <c r="G3" s="135"/>
      <c r="H3" s="134"/>
      <c r="I3" s="134"/>
      <c r="J3" s="137" t="e">
        <f>+F2*J2</f>
        <v>#REF!</v>
      </c>
      <c r="K3" s="136"/>
      <c r="L3" s="200"/>
      <c r="M3" s="200"/>
      <c r="N3" s="134"/>
      <c r="O3" s="134"/>
      <c r="Q3" s="138"/>
      <c r="R3" s="139"/>
      <c r="S3" s="140"/>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577"/>
      <c r="AV3" s="577"/>
      <c r="AW3" s="134"/>
    </row>
    <row r="4" spans="2:49" ht="23.5" hidden="1" x14ac:dyDescent="0.55000000000000004">
      <c r="B4" s="169"/>
      <c r="C4" s="92" t="e">
        <f>+(C10+C11)/C6*1000</f>
        <v>#REF!</v>
      </c>
      <c r="D4" s="92" t="e">
        <f>+(G10+G11)/G6*1000</f>
        <v>#REF!</v>
      </c>
      <c r="E4" s="92" t="e">
        <f>+(E10+E11)/E6*1000</f>
        <v>#REF!</v>
      </c>
      <c r="F4" s="92" t="e">
        <f>+(F10+F11)/F6*1000</f>
        <v>#REF!</v>
      </c>
      <c r="I4" s="92" t="e">
        <f>+(I10+I11)/I6*1000</f>
        <v>#REF!</v>
      </c>
      <c r="K4" s="88"/>
      <c r="L4" s="169"/>
      <c r="M4" s="92"/>
      <c r="N4" s="92"/>
      <c r="O4" s="92"/>
      <c r="Q4" s="93"/>
      <c r="R4" s="82"/>
      <c r="S4" s="90"/>
      <c r="T4" s="94"/>
      <c r="U4" s="88"/>
      <c r="V4" s="88"/>
      <c r="W4" s="88"/>
      <c r="X4" s="88"/>
      <c r="Y4" s="88"/>
      <c r="Z4" s="88"/>
      <c r="AA4" s="88"/>
      <c r="AB4" s="88"/>
      <c r="AC4" s="88"/>
      <c r="AD4" s="88"/>
      <c r="AE4" s="88"/>
      <c r="AF4" s="88"/>
      <c r="AG4" s="88"/>
      <c r="AH4" s="88"/>
      <c r="AI4" s="88"/>
      <c r="AJ4" s="88"/>
      <c r="AK4" s="88"/>
      <c r="AL4" s="88"/>
      <c r="AM4" s="88"/>
      <c r="AN4" s="88"/>
      <c r="AO4" s="88"/>
      <c r="AP4" s="88"/>
      <c r="AQ4" s="88"/>
      <c r="AR4" s="88"/>
      <c r="AS4" s="88"/>
      <c r="AT4" s="88"/>
      <c r="AU4" s="91"/>
      <c r="AV4" s="91"/>
      <c r="AW4" s="78"/>
    </row>
    <row r="5" spans="2:49" s="95" customFormat="1" ht="33.75" customHeight="1" x14ac:dyDescent="0.35">
      <c r="B5" s="169" t="s">
        <v>5</v>
      </c>
      <c r="C5" s="85" t="s">
        <v>68</v>
      </c>
      <c r="D5" s="85" t="s">
        <v>69</v>
      </c>
      <c r="E5" s="85" t="s">
        <v>69</v>
      </c>
      <c r="F5" s="85" t="s">
        <v>69</v>
      </c>
      <c r="G5" s="85" t="s">
        <v>70</v>
      </c>
      <c r="H5" s="85" t="s">
        <v>70</v>
      </c>
      <c r="I5" s="85" t="s">
        <v>70</v>
      </c>
      <c r="J5" s="85"/>
      <c r="K5" s="88"/>
      <c r="L5" s="169" t="s">
        <v>71</v>
      </c>
      <c r="M5" s="96" t="s">
        <v>7</v>
      </c>
      <c r="N5" s="96" t="s">
        <v>8</v>
      </c>
      <c r="O5" s="96" t="s">
        <v>8</v>
      </c>
      <c r="Q5" s="147" t="s">
        <v>72</v>
      </c>
      <c r="R5" s="99" t="s">
        <v>54</v>
      </c>
      <c r="S5" s="99" t="s">
        <v>55</v>
      </c>
      <c r="T5" s="99" t="s">
        <v>56</v>
      </c>
      <c r="U5" s="99" t="s">
        <v>12</v>
      </c>
      <c r="V5" s="99" t="s">
        <v>57</v>
      </c>
      <c r="W5" s="99" t="s">
        <v>58</v>
      </c>
      <c r="X5" s="99" t="s">
        <v>59</v>
      </c>
      <c r="Y5" s="99" t="s">
        <v>60</v>
      </c>
      <c r="Z5" s="99" t="s">
        <v>62</v>
      </c>
      <c r="AA5" s="99" t="s">
        <v>64</v>
      </c>
      <c r="AB5" s="99" t="s">
        <v>65</v>
      </c>
      <c r="AC5" s="99" t="s">
        <v>73</v>
      </c>
      <c r="AD5" s="99" t="s">
        <v>53</v>
      </c>
      <c r="AE5" s="99" t="s">
        <v>77</v>
      </c>
      <c r="AF5" s="99" t="s">
        <v>78</v>
      </c>
      <c r="AG5" s="99" t="s">
        <v>79</v>
      </c>
      <c r="AH5" s="99" t="s">
        <v>90</v>
      </c>
      <c r="AI5" s="99" t="s">
        <v>91</v>
      </c>
      <c r="AJ5" s="99" t="s">
        <v>97</v>
      </c>
      <c r="AK5" s="99" t="s">
        <v>98</v>
      </c>
      <c r="AL5" s="99" t="s">
        <v>102</v>
      </c>
      <c r="AM5" s="99" t="s">
        <v>103</v>
      </c>
      <c r="AN5" s="99" t="s">
        <v>104</v>
      </c>
      <c r="AO5" s="99" t="s">
        <v>107</v>
      </c>
      <c r="AP5" s="99" t="s">
        <v>108</v>
      </c>
      <c r="AQ5" s="99" t="s">
        <v>114</v>
      </c>
      <c r="AR5" s="99" t="s">
        <v>121</v>
      </c>
      <c r="AS5" s="99" t="s">
        <v>122</v>
      </c>
      <c r="AT5" s="99" t="s">
        <v>137</v>
      </c>
      <c r="AU5" s="100"/>
      <c r="AV5" s="97"/>
      <c r="AW5" s="97"/>
    </row>
    <row r="6" spans="2:49" x14ac:dyDescent="0.35">
      <c r="B6" s="169" t="s">
        <v>13</v>
      </c>
      <c r="C6" s="101">
        <v>16.7</v>
      </c>
      <c r="D6" s="101">
        <v>16.7</v>
      </c>
      <c r="E6" s="101">
        <v>20.5</v>
      </c>
      <c r="F6" s="101">
        <v>20.5</v>
      </c>
      <c r="G6" s="101">
        <v>30.6</v>
      </c>
      <c r="H6" s="101">
        <v>30.6</v>
      </c>
      <c r="I6" s="101">
        <v>38.6</v>
      </c>
      <c r="J6" s="101"/>
      <c r="L6" s="169" t="s">
        <v>13</v>
      </c>
      <c r="M6" s="101">
        <v>15</v>
      </c>
      <c r="N6" s="101">
        <v>20.5</v>
      </c>
      <c r="O6" s="101">
        <v>20.5</v>
      </c>
      <c r="Q6" s="102" t="s">
        <v>14</v>
      </c>
      <c r="R6" s="104">
        <v>938.13</v>
      </c>
      <c r="S6" s="105">
        <v>959</v>
      </c>
      <c r="T6" s="104">
        <v>1006.25</v>
      </c>
      <c r="U6" s="130">
        <v>993.75</v>
      </c>
      <c r="V6" s="131">
        <v>1015.5</v>
      </c>
      <c r="W6" s="131">
        <v>1045.5999999999999</v>
      </c>
      <c r="X6" s="43">
        <v>1103.75</v>
      </c>
      <c r="Y6" s="43">
        <v>1148.75</v>
      </c>
      <c r="Z6" s="43">
        <v>1167</v>
      </c>
      <c r="AA6" s="43">
        <v>1221.25</v>
      </c>
      <c r="AB6" s="43">
        <v>1330</v>
      </c>
      <c r="AC6" s="43">
        <f>+'IHS (Mod)'!I5</f>
        <v>1280</v>
      </c>
      <c r="AD6" s="43">
        <f>+'IHS (Mod)'!J5</f>
        <v>1279.380005</v>
      </c>
      <c r="AE6" s="43">
        <v>1275.5</v>
      </c>
      <c r="AF6" s="43" t="e">
        <f>+#REF!</f>
        <v>#REF!</v>
      </c>
      <c r="AG6" s="43" t="e">
        <f>+#REF!</f>
        <v>#REF!</v>
      </c>
      <c r="AH6" s="43" t="e">
        <f>+#REF!</f>
        <v>#REF!</v>
      </c>
      <c r="AI6" s="43" t="e">
        <f>+#REF!</f>
        <v>#REF!</v>
      </c>
      <c r="AJ6" s="43" t="e">
        <f>+#REF!</f>
        <v>#REF!</v>
      </c>
      <c r="AK6" s="43" t="e">
        <f>+#REF!</f>
        <v>#REF!</v>
      </c>
      <c r="AL6" s="43" t="e">
        <f>+#REF!</f>
        <v>#REF!</v>
      </c>
      <c r="AM6" s="43" t="e">
        <f>+#REF!</f>
        <v>#REF!</v>
      </c>
      <c r="AN6" s="43" t="e">
        <f>+#REF!</f>
        <v>#REF!</v>
      </c>
      <c r="AO6" s="43" t="e">
        <f>+#REF!</f>
        <v>#REF!</v>
      </c>
      <c r="AP6" s="43" t="e">
        <f>+#REF!</f>
        <v>#REF!</v>
      </c>
      <c r="AQ6" s="43" t="e">
        <f>+#REF!</f>
        <v>#REF!</v>
      </c>
      <c r="AR6" s="43" t="e">
        <f>+#REF!</f>
        <v>#REF!</v>
      </c>
      <c r="AS6" s="43" t="e">
        <f>+#REF!</f>
        <v>#REF!</v>
      </c>
      <c r="AT6" s="43" t="e">
        <f>+#REF!</f>
        <v>#REF!</v>
      </c>
      <c r="AU6" s="85"/>
      <c r="AV6" s="101"/>
      <c r="AW6" s="101"/>
    </row>
    <row r="7" spans="2:49" x14ac:dyDescent="0.35">
      <c r="B7" s="170" t="s">
        <v>16</v>
      </c>
      <c r="C7" s="91" t="s">
        <v>17</v>
      </c>
      <c r="D7" s="91" t="s">
        <v>17</v>
      </c>
      <c r="E7" s="91" t="s">
        <v>17</v>
      </c>
      <c r="F7" s="91" t="s">
        <v>17</v>
      </c>
      <c r="G7" s="91" t="s">
        <v>17</v>
      </c>
      <c r="H7" s="91" t="s">
        <v>17</v>
      </c>
      <c r="I7" s="91" t="s">
        <v>17</v>
      </c>
      <c r="J7" s="91"/>
      <c r="L7" s="170" t="s">
        <v>16</v>
      </c>
      <c r="M7" s="91" t="s">
        <v>17</v>
      </c>
      <c r="N7" s="91" t="s">
        <v>17</v>
      </c>
      <c r="O7" s="91" t="s">
        <v>17</v>
      </c>
      <c r="Q7" s="128" t="s">
        <v>99</v>
      </c>
      <c r="R7" s="129">
        <v>25.09</v>
      </c>
      <c r="S7" s="129">
        <v>25.09</v>
      </c>
      <c r="T7" s="129">
        <v>25.09</v>
      </c>
      <c r="U7" s="129">
        <v>25</v>
      </c>
      <c r="V7" s="129">
        <v>25</v>
      </c>
      <c r="W7" s="129">
        <v>25</v>
      </c>
      <c r="X7" s="129">
        <v>25</v>
      </c>
      <c r="Y7" s="129">
        <v>25</v>
      </c>
      <c r="Z7" s="129">
        <v>25</v>
      </c>
      <c r="AA7" s="129">
        <v>25</v>
      </c>
      <c r="AB7" s="129">
        <v>25</v>
      </c>
      <c r="AC7" s="129">
        <v>33.139726027397259</v>
      </c>
      <c r="AD7" s="129">
        <f>+Septiembre18!AD8</f>
        <v>33.1236741020548</v>
      </c>
      <c r="AE7" s="129">
        <v>33.023219178082194</v>
      </c>
      <c r="AF7" s="129">
        <v>33.023219178082194</v>
      </c>
      <c r="AG7" s="129">
        <v>32.783732876712328</v>
      </c>
      <c r="AH7" s="129">
        <v>29.126712328767123</v>
      </c>
      <c r="AI7" s="129">
        <v>27.395420677397254</v>
      </c>
      <c r="AJ7" s="129">
        <v>26.796575342465754</v>
      </c>
      <c r="AK7" s="129">
        <v>13.948458904109588</v>
      </c>
      <c r="AL7" s="129">
        <v>14.191181506849315</v>
      </c>
      <c r="AM7" s="129">
        <v>14.255907534246576</v>
      </c>
      <c r="AN7" s="129" t="e">
        <f t="shared" ref="AN7:AS7" si="0">((((AN6*4.5%)/365)*210))*50%</f>
        <v>#REF!</v>
      </c>
      <c r="AO7" s="129" t="e">
        <f t="shared" si="0"/>
        <v>#REF!</v>
      </c>
      <c r="AP7" s="129" t="e">
        <f t="shared" si="0"/>
        <v>#REF!</v>
      </c>
      <c r="AQ7" s="129" t="e">
        <f t="shared" si="0"/>
        <v>#REF!</v>
      </c>
      <c r="AR7" s="129" t="e">
        <f t="shared" si="0"/>
        <v>#REF!</v>
      </c>
      <c r="AS7" s="129" t="e">
        <f t="shared" si="0"/>
        <v>#REF!</v>
      </c>
      <c r="AT7" s="129" t="e">
        <f t="shared" ref="AT7" si="1">((((AT6*4.5%)/365)*210))*50%</f>
        <v>#REF!</v>
      </c>
      <c r="AU7" s="85"/>
      <c r="AV7" s="91"/>
      <c r="AW7" s="91"/>
    </row>
    <row r="8" spans="2:49" x14ac:dyDescent="0.35">
      <c r="B8" s="170" t="s">
        <v>115</v>
      </c>
      <c r="C8" s="91" t="s">
        <v>116</v>
      </c>
      <c r="D8" s="91"/>
      <c r="E8" s="91"/>
      <c r="F8" s="91" t="s">
        <v>117</v>
      </c>
      <c r="G8" s="91"/>
      <c r="H8" s="91"/>
      <c r="I8" s="91" t="s">
        <v>118</v>
      </c>
      <c r="J8" s="91"/>
      <c r="L8" s="170"/>
      <c r="M8" s="91" t="s">
        <v>119</v>
      </c>
      <c r="N8" s="91" t="s">
        <v>120</v>
      </c>
      <c r="O8" s="91"/>
      <c r="Q8" s="128"/>
      <c r="R8" s="129"/>
      <c r="S8" s="129"/>
      <c r="T8" s="129"/>
      <c r="U8" s="129"/>
      <c r="V8" s="129"/>
      <c r="W8" s="129"/>
      <c r="X8" s="129"/>
      <c r="Y8" s="129"/>
      <c r="Z8" s="129"/>
      <c r="AA8" s="129"/>
      <c r="AB8" s="129"/>
      <c r="AC8" s="129"/>
      <c r="AD8" s="129"/>
      <c r="AE8" s="129"/>
      <c r="AF8" s="129"/>
      <c r="AG8" s="129"/>
      <c r="AH8" s="129"/>
      <c r="AI8" s="129"/>
      <c r="AJ8" s="129"/>
      <c r="AK8" s="129"/>
      <c r="AL8" s="129"/>
      <c r="AM8" s="129"/>
      <c r="AN8" s="129"/>
      <c r="AO8" s="129"/>
      <c r="AP8" s="129"/>
      <c r="AQ8" s="129"/>
      <c r="AR8" s="129"/>
      <c r="AS8" s="129"/>
      <c r="AT8" s="129"/>
      <c r="AU8" s="85"/>
      <c r="AV8" s="91"/>
      <c r="AW8" s="91"/>
    </row>
    <row r="9" spans="2:49" s="95" customFormat="1" ht="29" x14ac:dyDescent="0.35">
      <c r="B9" s="175" t="s">
        <v>92</v>
      </c>
      <c r="C9" s="177" t="s">
        <v>93</v>
      </c>
      <c r="D9" s="177" t="s">
        <v>94</v>
      </c>
      <c r="E9" s="176">
        <v>1</v>
      </c>
      <c r="F9" s="177" t="s">
        <v>93</v>
      </c>
      <c r="G9" s="176">
        <v>1</v>
      </c>
      <c r="H9" s="177" t="s">
        <v>94</v>
      </c>
      <c r="I9" s="177" t="s">
        <v>93</v>
      </c>
      <c r="J9" s="162"/>
      <c r="L9" s="175" t="str">
        <f>+B9</f>
        <v>% Resina (Virgen/PCR)</v>
      </c>
      <c r="M9" s="177" t="s">
        <v>94</v>
      </c>
      <c r="N9" s="176">
        <v>1</v>
      </c>
      <c r="O9" s="177" t="s">
        <v>94</v>
      </c>
      <c r="Q9" s="166" t="s">
        <v>20</v>
      </c>
      <c r="R9" s="129">
        <v>65</v>
      </c>
      <c r="S9" s="167">
        <v>65</v>
      </c>
      <c r="T9" s="129">
        <v>65</v>
      </c>
      <c r="U9" s="129">
        <v>65</v>
      </c>
      <c r="V9" s="129">
        <v>65</v>
      </c>
      <c r="W9" s="129">
        <v>65</v>
      </c>
      <c r="X9" s="129">
        <v>65</v>
      </c>
      <c r="Y9" s="129">
        <v>65</v>
      </c>
      <c r="Z9" s="129">
        <v>65</v>
      </c>
      <c r="AA9" s="129">
        <v>65</v>
      </c>
      <c r="AB9" s="129">
        <v>65</v>
      </c>
      <c r="AC9" s="129">
        <v>70</v>
      </c>
      <c r="AD9" s="129">
        <v>70</v>
      </c>
      <c r="AE9" s="129">
        <v>70</v>
      </c>
      <c r="AF9" s="129">
        <v>70</v>
      </c>
      <c r="AG9" s="129">
        <v>70</v>
      </c>
      <c r="AH9" s="129">
        <v>70</v>
      </c>
      <c r="AI9" s="129">
        <v>70</v>
      </c>
      <c r="AJ9" s="129">
        <v>70</v>
      </c>
      <c r="AK9" s="129">
        <v>70</v>
      </c>
      <c r="AL9" s="129">
        <v>70</v>
      </c>
      <c r="AM9" s="129">
        <v>70</v>
      </c>
      <c r="AN9" s="129">
        <v>70</v>
      </c>
      <c r="AO9" s="129">
        <v>70</v>
      </c>
      <c r="AP9" s="129">
        <v>70</v>
      </c>
      <c r="AQ9" s="129">
        <v>70</v>
      </c>
      <c r="AR9" s="129">
        <v>70</v>
      </c>
      <c r="AS9" s="129">
        <v>70</v>
      </c>
      <c r="AT9" s="129">
        <v>70</v>
      </c>
      <c r="AU9" s="168"/>
      <c r="AV9" s="165"/>
      <c r="AW9" s="165"/>
    </row>
    <row r="10" spans="2:49" x14ac:dyDescent="0.35">
      <c r="B10" s="170" t="s">
        <v>19</v>
      </c>
      <c r="C10" s="80" t="e">
        <f>+(C6*F2/1000)*1.01*50%</f>
        <v>#REF!</v>
      </c>
      <c r="D10" s="80" t="e">
        <f>+(D6*$F$2/1000)*1.01*75%</f>
        <v>#REF!</v>
      </c>
      <c r="E10" s="80" t="e">
        <f>+(E6*$F$2/1000)*1.01</f>
        <v>#REF!</v>
      </c>
      <c r="F10" s="80" t="e">
        <f>+(F6*$F$2/1000)*1.01*50%</f>
        <v>#REF!</v>
      </c>
      <c r="G10" s="80" t="e">
        <f>+(G6*F2/1000)*1.01</f>
        <v>#REF!</v>
      </c>
      <c r="H10" s="80" t="e">
        <f>+(H6*$F$2/1000)*1.01*75%</f>
        <v>#REF!</v>
      </c>
      <c r="I10" s="80" t="e">
        <f>+(I6*$F$2/1000)*1.01*50%</f>
        <v>#REF!</v>
      </c>
      <c r="J10" s="80"/>
      <c r="L10" s="170" t="s">
        <v>19</v>
      </c>
      <c r="M10" s="80" t="e">
        <f>+(M6*F2/1000)*1.005*75%</f>
        <v>#REF!</v>
      </c>
      <c r="N10" s="80" t="e">
        <f>+(N6*F2/1000)*1.005</f>
        <v>#REF!</v>
      </c>
      <c r="O10" s="80" t="e">
        <f>+(O6*F2/1000)*1.005*75%</f>
        <v>#REF!</v>
      </c>
      <c r="Q10" s="102"/>
      <c r="R10" s="104">
        <f>SUM(R6:R9)</f>
        <v>1028.22</v>
      </c>
      <c r="S10" s="104">
        <f>SUM(S6:S9)</f>
        <v>1049.0900000000001</v>
      </c>
      <c r="T10" s="104">
        <f>SUM(T6:T9)</f>
        <v>1096.3399999999999</v>
      </c>
      <c r="U10" s="104">
        <f>SUM(U6:U9)</f>
        <v>1083.75</v>
      </c>
      <c r="V10" s="104">
        <f t="shared" ref="V10:AQ10" si="2">SUM(V6:V9)</f>
        <v>1105.5</v>
      </c>
      <c r="W10" s="104">
        <f t="shared" si="2"/>
        <v>1135.5999999999999</v>
      </c>
      <c r="X10" s="104">
        <f t="shared" si="2"/>
        <v>1193.75</v>
      </c>
      <c r="Y10" s="104">
        <f t="shared" si="2"/>
        <v>1238.75</v>
      </c>
      <c r="Z10" s="104">
        <f t="shared" si="2"/>
        <v>1257</v>
      </c>
      <c r="AA10" s="104">
        <f t="shared" si="2"/>
        <v>1311.25</v>
      </c>
      <c r="AB10" s="104">
        <f t="shared" si="2"/>
        <v>1420</v>
      </c>
      <c r="AC10" s="104">
        <f t="shared" si="2"/>
        <v>1383.1397260273973</v>
      </c>
      <c r="AD10" s="104">
        <f t="shared" si="2"/>
        <v>1382.5036791020548</v>
      </c>
      <c r="AE10" s="104">
        <f t="shared" si="2"/>
        <v>1378.5232191780822</v>
      </c>
      <c r="AF10" s="104" t="e">
        <f t="shared" si="2"/>
        <v>#REF!</v>
      </c>
      <c r="AG10" s="104" t="e">
        <f t="shared" si="2"/>
        <v>#REF!</v>
      </c>
      <c r="AH10" s="104" t="e">
        <f t="shared" si="2"/>
        <v>#REF!</v>
      </c>
      <c r="AI10" s="104" t="e">
        <f t="shared" si="2"/>
        <v>#REF!</v>
      </c>
      <c r="AJ10" s="104" t="e">
        <f t="shared" si="2"/>
        <v>#REF!</v>
      </c>
      <c r="AK10" s="104" t="e">
        <f t="shared" si="2"/>
        <v>#REF!</v>
      </c>
      <c r="AL10" s="104" t="e">
        <f t="shared" si="2"/>
        <v>#REF!</v>
      </c>
      <c r="AM10" s="104" t="e">
        <f t="shared" si="2"/>
        <v>#REF!</v>
      </c>
      <c r="AN10" s="104" t="e">
        <f t="shared" si="2"/>
        <v>#REF!</v>
      </c>
      <c r="AO10" s="104" t="e">
        <f t="shared" si="2"/>
        <v>#REF!</v>
      </c>
      <c r="AP10" s="104" t="e">
        <f t="shared" si="2"/>
        <v>#REF!</v>
      </c>
      <c r="AQ10" s="104" t="e">
        <f t="shared" si="2"/>
        <v>#REF!</v>
      </c>
      <c r="AR10" s="104" t="e">
        <f>SUM(AR6:AR9)</f>
        <v>#REF!</v>
      </c>
      <c r="AS10" s="104" t="e">
        <f>SUM(AS6:AS9)</f>
        <v>#REF!</v>
      </c>
      <c r="AT10" s="104" t="e">
        <f>SUM(AT6:AT9)</f>
        <v>#REF!</v>
      </c>
      <c r="AU10" s="79"/>
      <c r="AV10" s="80"/>
      <c r="AW10" s="80"/>
    </row>
    <row r="11" spans="2:49" x14ac:dyDescent="0.35">
      <c r="B11" s="172" t="s">
        <v>23</v>
      </c>
      <c r="C11" s="76" t="e">
        <f>+(C6*$F$3/1000)*1.01*50%</f>
        <v>#REF!</v>
      </c>
      <c r="D11" s="76" t="e">
        <f>+(D6*$F$3/1000)*1.01*25%</f>
        <v>#REF!</v>
      </c>
      <c r="E11" s="76">
        <v>0</v>
      </c>
      <c r="F11" s="76" t="e">
        <f>+(F6*$F$3/1000)*1.01*50%</f>
        <v>#REF!</v>
      </c>
      <c r="G11" s="76">
        <v>0</v>
      </c>
      <c r="H11" s="76" t="e">
        <f>+(H6*$F$3/1000)*1.01*25%</f>
        <v>#REF!</v>
      </c>
      <c r="I11" s="76" t="e">
        <f>+(I6*$F$3/1000)*1.01*50%</f>
        <v>#REF!</v>
      </c>
      <c r="J11" s="76"/>
      <c r="K11" s="121"/>
      <c r="L11" s="172" t="s">
        <v>23</v>
      </c>
      <c r="M11" s="76" t="e">
        <f>+(M6*F3/1000)*1.005*25%</f>
        <v>#REF!</v>
      </c>
      <c r="N11" s="76">
        <v>0</v>
      </c>
      <c r="O11" s="76" t="e">
        <f>+(O6*F3/1000)*1.005*25%</f>
        <v>#REF!</v>
      </c>
      <c r="Q11" s="106" t="s">
        <v>27</v>
      </c>
      <c r="R11" s="108">
        <f>+R10*4%</f>
        <v>41.128800000000005</v>
      </c>
      <c r="S11" s="104">
        <f>+S10*4%</f>
        <v>41.963600000000007</v>
      </c>
      <c r="T11" s="108">
        <f>+T10*4%</f>
        <v>43.8536</v>
      </c>
      <c r="U11" s="108">
        <f>+U10*4%</f>
        <v>43.35</v>
      </c>
      <c r="V11" s="108">
        <f t="shared" ref="V11:AQ11" si="3">+V10*4%</f>
        <v>44.22</v>
      </c>
      <c r="W11" s="108">
        <f t="shared" si="3"/>
        <v>45.423999999999999</v>
      </c>
      <c r="X11" s="108">
        <f t="shared" si="3"/>
        <v>47.75</v>
      </c>
      <c r="Y11" s="108">
        <f t="shared" si="3"/>
        <v>49.550000000000004</v>
      </c>
      <c r="Z11" s="108">
        <f t="shared" si="3"/>
        <v>50.28</v>
      </c>
      <c r="AA11" s="108">
        <f t="shared" si="3"/>
        <v>52.45</v>
      </c>
      <c r="AB11" s="108">
        <f t="shared" si="3"/>
        <v>56.800000000000004</v>
      </c>
      <c r="AC11" s="108">
        <f t="shared" si="3"/>
        <v>55.325589041095895</v>
      </c>
      <c r="AD11" s="108">
        <f t="shared" si="3"/>
        <v>55.30014716408219</v>
      </c>
      <c r="AE11" s="108">
        <f t="shared" si="3"/>
        <v>55.140928767123285</v>
      </c>
      <c r="AF11" s="108" t="e">
        <f t="shared" si="3"/>
        <v>#REF!</v>
      </c>
      <c r="AG11" s="108" t="e">
        <f t="shared" si="3"/>
        <v>#REF!</v>
      </c>
      <c r="AH11" s="108" t="e">
        <f t="shared" si="3"/>
        <v>#REF!</v>
      </c>
      <c r="AI11" s="108" t="e">
        <f t="shared" si="3"/>
        <v>#REF!</v>
      </c>
      <c r="AJ11" s="108" t="e">
        <f t="shared" si="3"/>
        <v>#REF!</v>
      </c>
      <c r="AK11" s="108" t="e">
        <f t="shared" si="3"/>
        <v>#REF!</v>
      </c>
      <c r="AL11" s="108" t="e">
        <f t="shared" si="3"/>
        <v>#REF!</v>
      </c>
      <c r="AM11" s="108" t="e">
        <f t="shared" si="3"/>
        <v>#REF!</v>
      </c>
      <c r="AN11" s="108" t="e">
        <f t="shared" si="3"/>
        <v>#REF!</v>
      </c>
      <c r="AO11" s="108" t="e">
        <f t="shared" si="3"/>
        <v>#REF!</v>
      </c>
      <c r="AP11" s="108" t="e">
        <f t="shared" si="3"/>
        <v>#REF!</v>
      </c>
      <c r="AQ11" s="108" t="e">
        <f t="shared" si="3"/>
        <v>#REF!</v>
      </c>
      <c r="AR11" s="108" t="e">
        <f>+AR10*4%</f>
        <v>#REF!</v>
      </c>
      <c r="AS11" s="108" t="e">
        <f>+AS10*4%</f>
        <v>#REF!</v>
      </c>
      <c r="AT11" s="108" t="e">
        <f>+AT10*4%</f>
        <v>#REF!</v>
      </c>
      <c r="AU11" s="79"/>
      <c r="AV11" s="80"/>
      <c r="AW11" s="80"/>
    </row>
    <row r="12" spans="2:49" x14ac:dyDescent="0.35">
      <c r="B12" s="169" t="s">
        <v>95</v>
      </c>
      <c r="C12" s="84" t="e">
        <f>SUM(C10:C11)</f>
        <v>#REF!</v>
      </c>
      <c r="D12" s="84" t="e">
        <f t="shared" ref="D12:J12" si="4">SUM(D10:D11)</f>
        <v>#REF!</v>
      </c>
      <c r="E12" s="84" t="e">
        <f t="shared" si="4"/>
        <v>#REF!</v>
      </c>
      <c r="F12" s="84" t="e">
        <f t="shared" si="4"/>
        <v>#REF!</v>
      </c>
      <c r="G12" s="84" t="e">
        <f t="shared" si="4"/>
        <v>#REF!</v>
      </c>
      <c r="H12" s="84" t="e">
        <f t="shared" si="4"/>
        <v>#REF!</v>
      </c>
      <c r="I12" s="84" t="e">
        <f t="shared" si="4"/>
        <v>#REF!</v>
      </c>
      <c r="J12" s="80">
        <f t="shared" si="4"/>
        <v>0</v>
      </c>
      <c r="K12" s="80"/>
      <c r="L12" s="169" t="s">
        <v>95</v>
      </c>
      <c r="M12" s="84" t="e">
        <f t="shared" ref="M12:O12" si="5">SUM(M10:M11)</f>
        <v>#REF!</v>
      </c>
      <c r="N12" s="84" t="e">
        <f t="shared" si="5"/>
        <v>#REF!</v>
      </c>
      <c r="O12" s="84" t="e">
        <f t="shared" si="5"/>
        <v>#REF!</v>
      </c>
      <c r="Q12" s="157" t="s">
        <v>30</v>
      </c>
      <c r="R12" s="158">
        <f>+R11+R10</f>
        <v>1069.3488</v>
      </c>
      <c r="S12" s="159">
        <f>+S11+S10</f>
        <v>1091.0536000000002</v>
      </c>
      <c r="T12" s="158">
        <f>+T11+T10</f>
        <v>1140.1935999999998</v>
      </c>
      <c r="U12" s="158">
        <f>+U11+U10</f>
        <v>1127.0999999999999</v>
      </c>
      <c r="V12" s="158">
        <f t="shared" ref="V12:AQ12" si="6">+V11+V10</f>
        <v>1149.72</v>
      </c>
      <c r="W12" s="158">
        <f t="shared" si="6"/>
        <v>1181.0239999999999</v>
      </c>
      <c r="X12" s="158">
        <f t="shared" si="6"/>
        <v>1241.5</v>
      </c>
      <c r="Y12" s="158">
        <f t="shared" si="6"/>
        <v>1288.3</v>
      </c>
      <c r="Z12" s="158">
        <f t="shared" si="6"/>
        <v>1307.28</v>
      </c>
      <c r="AA12" s="158">
        <f t="shared" si="6"/>
        <v>1363.7</v>
      </c>
      <c r="AB12" s="158">
        <f t="shared" si="6"/>
        <v>1476.8</v>
      </c>
      <c r="AC12" s="158">
        <f t="shared" si="6"/>
        <v>1438.4653150684931</v>
      </c>
      <c r="AD12" s="158">
        <f t="shared" si="6"/>
        <v>1437.8038262661369</v>
      </c>
      <c r="AE12" s="158">
        <f t="shared" si="6"/>
        <v>1433.6641479452055</v>
      </c>
      <c r="AF12" s="158" t="e">
        <f t="shared" si="6"/>
        <v>#REF!</v>
      </c>
      <c r="AG12" s="158" t="e">
        <f t="shared" si="6"/>
        <v>#REF!</v>
      </c>
      <c r="AH12" s="158" t="e">
        <f t="shared" si="6"/>
        <v>#REF!</v>
      </c>
      <c r="AI12" s="158" t="e">
        <f t="shared" si="6"/>
        <v>#REF!</v>
      </c>
      <c r="AJ12" s="158" t="e">
        <f t="shared" si="6"/>
        <v>#REF!</v>
      </c>
      <c r="AK12" s="158" t="e">
        <f t="shared" si="6"/>
        <v>#REF!</v>
      </c>
      <c r="AL12" s="158" t="e">
        <f t="shared" si="6"/>
        <v>#REF!</v>
      </c>
      <c r="AM12" s="158" t="e">
        <f t="shared" si="6"/>
        <v>#REF!</v>
      </c>
      <c r="AN12" s="158" t="e">
        <f t="shared" si="6"/>
        <v>#REF!</v>
      </c>
      <c r="AO12" s="158" t="e">
        <f t="shared" si="6"/>
        <v>#REF!</v>
      </c>
      <c r="AP12" s="158" t="e">
        <f t="shared" si="6"/>
        <v>#REF!</v>
      </c>
      <c r="AQ12" s="158" t="e">
        <f t="shared" si="6"/>
        <v>#REF!</v>
      </c>
      <c r="AR12" s="158" t="e">
        <f>+AR11+AR10</f>
        <v>#REF!</v>
      </c>
      <c r="AS12" s="158" t="e">
        <f>+AS11+AS10</f>
        <v>#REF!</v>
      </c>
      <c r="AT12" s="158" t="e">
        <f>+AT11+AT10</f>
        <v>#REF!</v>
      </c>
      <c r="AU12" s="79"/>
      <c r="AV12" s="80"/>
      <c r="AW12" s="80"/>
    </row>
    <row r="13" spans="2:49" x14ac:dyDescent="0.35">
      <c r="B13" s="170" t="s">
        <v>129</v>
      </c>
      <c r="C13" s="80">
        <f>8.2+0.03</f>
        <v>8.2299999999999986</v>
      </c>
      <c r="D13" s="80">
        <v>8.2299999999999986</v>
      </c>
      <c r="E13" s="80">
        <f>8.2+0.03</f>
        <v>8.2299999999999986</v>
      </c>
      <c r="F13" s="80">
        <f>8.2+0.03</f>
        <v>8.2299999999999986</v>
      </c>
      <c r="G13" s="80">
        <v>11.200000000000001</v>
      </c>
      <c r="H13" s="80">
        <v>11.200000000000001</v>
      </c>
      <c r="I13" s="80">
        <f>11.15+0.05</f>
        <v>11.200000000000001</v>
      </c>
      <c r="J13" s="80"/>
      <c r="L13" s="170" t="s">
        <v>129</v>
      </c>
      <c r="M13" s="80">
        <f>+C13</f>
        <v>8.2299999999999986</v>
      </c>
      <c r="N13" s="80">
        <v>8.23</v>
      </c>
      <c r="O13" s="80">
        <v>8.23</v>
      </c>
      <c r="Q13" s="160" t="s">
        <v>32</v>
      </c>
      <c r="R13" s="161">
        <f>+R12*(1-5%)</f>
        <v>1015.88136</v>
      </c>
      <c r="S13" s="161">
        <f t="shared" ref="S13:AM13" si="7">+S12*(1-5%)</f>
        <v>1036.5009200000002</v>
      </c>
      <c r="T13" s="161">
        <f t="shared" si="7"/>
        <v>1083.1839199999997</v>
      </c>
      <c r="U13" s="161">
        <f t="shared" si="7"/>
        <v>1070.7449999999999</v>
      </c>
      <c r="V13" s="161">
        <f t="shared" si="7"/>
        <v>1092.2339999999999</v>
      </c>
      <c r="W13" s="161">
        <f t="shared" si="7"/>
        <v>1121.9727999999998</v>
      </c>
      <c r="X13" s="161">
        <f t="shared" si="7"/>
        <v>1179.425</v>
      </c>
      <c r="Y13" s="161">
        <f t="shared" si="7"/>
        <v>1223.885</v>
      </c>
      <c r="Z13" s="161">
        <f t="shared" si="7"/>
        <v>1241.9159999999999</v>
      </c>
      <c r="AA13" s="161">
        <f t="shared" si="7"/>
        <v>1295.5149999999999</v>
      </c>
      <c r="AB13" s="161">
        <f t="shared" si="7"/>
        <v>1402.9599999999998</v>
      </c>
      <c r="AC13" s="161">
        <f t="shared" si="7"/>
        <v>1366.5420493150684</v>
      </c>
      <c r="AD13" s="161">
        <f t="shared" si="7"/>
        <v>1365.9136349528299</v>
      </c>
      <c r="AE13" s="161">
        <f t="shared" si="7"/>
        <v>1361.9809405479452</v>
      </c>
      <c r="AF13" s="161" t="e">
        <f t="shared" si="7"/>
        <v>#REF!</v>
      </c>
      <c r="AG13" s="161" t="e">
        <f t="shared" si="7"/>
        <v>#REF!</v>
      </c>
      <c r="AH13" s="161" t="e">
        <f t="shared" si="7"/>
        <v>#REF!</v>
      </c>
      <c r="AI13" s="161" t="e">
        <f t="shared" si="7"/>
        <v>#REF!</v>
      </c>
      <c r="AJ13" s="161" t="e">
        <f t="shared" si="7"/>
        <v>#REF!</v>
      </c>
      <c r="AK13" s="161" t="e">
        <f t="shared" si="7"/>
        <v>#REF!</v>
      </c>
      <c r="AL13" s="161" t="e">
        <f t="shared" si="7"/>
        <v>#REF!</v>
      </c>
      <c r="AM13" s="161" t="e">
        <f t="shared" si="7"/>
        <v>#REF!</v>
      </c>
      <c r="AN13" s="161">
        <v>1267</v>
      </c>
      <c r="AO13" s="161" t="e">
        <f t="shared" ref="AO13:AQ13" si="8">+AO12*(1-5%)</f>
        <v>#REF!</v>
      </c>
      <c r="AP13" s="161" t="e">
        <f t="shared" si="8"/>
        <v>#REF!</v>
      </c>
      <c r="AQ13" s="161" t="e">
        <f t="shared" si="8"/>
        <v>#REF!</v>
      </c>
      <c r="AR13" s="161" t="e">
        <f>+AR12*(1-5%)</f>
        <v>#REF!</v>
      </c>
      <c r="AS13" s="161" t="e">
        <f>+AS12*(1-5%)</f>
        <v>#REF!</v>
      </c>
      <c r="AT13" s="161" t="e">
        <f>+AT12*(1-5%)</f>
        <v>#REF!</v>
      </c>
      <c r="AU13" s="202">
        <v>1275</v>
      </c>
      <c r="AV13" s="87" t="s">
        <v>135</v>
      </c>
      <c r="AW13" s="80"/>
    </row>
    <row r="14" spans="2:49" x14ac:dyDescent="0.35">
      <c r="B14" s="170" t="s">
        <v>131</v>
      </c>
      <c r="C14" s="80">
        <v>0</v>
      </c>
      <c r="D14" s="80"/>
      <c r="E14" s="80"/>
      <c r="F14" s="80">
        <v>0</v>
      </c>
      <c r="G14" s="80"/>
      <c r="H14" s="80"/>
      <c r="I14" s="80">
        <v>0</v>
      </c>
      <c r="J14" s="80"/>
      <c r="L14" s="170" t="s">
        <v>131</v>
      </c>
      <c r="M14" s="80">
        <v>19.079999999999998</v>
      </c>
      <c r="N14" s="80">
        <v>19.09</v>
      </c>
      <c r="O14" s="80">
        <v>19.09</v>
      </c>
      <c r="Q14" s="160"/>
      <c r="R14" s="161"/>
      <c r="S14" s="161"/>
      <c r="T14" s="161"/>
      <c r="U14" s="161"/>
      <c r="V14" s="161"/>
      <c r="W14" s="161"/>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1"/>
      <c r="AU14" s="202">
        <v>1350</v>
      </c>
      <c r="AV14" s="87" t="s">
        <v>138</v>
      </c>
      <c r="AW14" s="80"/>
    </row>
    <row r="15" spans="2:49" x14ac:dyDescent="0.35">
      <c r="B15" s="169" t="s">
        <v>132</v>
      </c>
      <c r="C15" s="80">
        <f>+C13+C14</f>
        <v>8.2299999999999986</v>
      </c>
      <c r="D15" s="80">
        <f t="shared" ref="D15:I15" si="9">+D13+D14</f>
        <v>8.2299999999999986</v>
      </c>
      <c r="E15" s="80">
        <f t="shared" si="9"/>
        <v>8.2299999999999986</v>
      </c>
      <c r="F15" s="80">
        <f t="shared" si="9"/>
        <v>8.2299999999999986</v>
      </c>
      <c r="G15" s="80">
        <f t="shared" si="9"/>
        <v>11.200000000000001</v>
      </c>
      <c r="H15" s="80">
        <f t="shared" si="9"/>
        <v>11.200000000000001</v>
      </c>
      <c r="I15" s="80">
        <f t="shared" si="9"/>
        <v>11.200000000000001</v>
      </c>
      <c r="J15" s="80"/>
      <c r="L15" s="169" t="s">
        <v>132</v>
      </c>
      <c r="M15" s="80">
        <f>+M13+M14</f>
        <v>27.309999999999995</v>
      </c>
      <c r="N15" s="80">
        <f t="shared" ref="N15" si="10">+N13+N14</f>
        <v>27.32</v>
      </c>
      <c r="O15" s="80">
        <v>2.1800000000000002</v>
      </c>
      <c r="Q15" s="128" t="s">
        <v>100</v>
      </c>
      <c r="R15" s="128" t="s">
        <v>18</v>
      </c>
      <c r="S15" s="128" t="s">
        <v>18</v>
      </c>
      <c r="T15" s="128" t="s">
        <v>18</v>
      </c>
      <c r="U15" s="128" t="s">
        <v>18</v>
      </c>
      <c r="V15" s="128" t="s">
        <v>18</v>
      </c>
      <c r="W15" s="128" t="s">
        <v>18</v>
      </c>
      <c r="X15" s="128" t="s">
        <v>18</v>
      </c>
      <c r="Y15" s="128" t="s">
        <v>18</v>
      </c>
      <c r="Z15" s="128" t="s">
        <v>18</v>
      </c>
      <c r="AA15" s="128" t="s">
        <v>18</v>
      </c>
      <c r="AB15" s="128" t="s">
        <v>18</v>
      </c>
      <c r="AC15" s="128" t="s">
        <v>18</v>
      </c>
      <c r="AD15" s="128" t="s">
        <v>18</v>
      </c>
      <c r="AE15" s="128" t="s">
        <v>18</v>
      </c>
      <c r="AF15" s="128" t="s">
        <v>18</v>
      </c>
      <c r="AG15" s="128" t="s">
        <v>18</v>
      </c>
      <c r="AH15" s="128" t="s">
        <v>18</v>
      </c>
      <c r="AI15" s="128" t="s">
        <v>18</v>
      </c>
      <c r="AJ15" s="129">
        <v>0</v>
      </c>
      <c r="AK15" s="129">
        <f>+AW15</f>
        <v>0</v>
      </c>
      <c r="AL15" s="129">
        <v>15.097681007201158</v>
      </c>
      <c r="AM15" s="129">
        <v>15.162458159293488</v>
      </c>
      <c r="AN15" s="129">
        <f t="shared" ref="AN15:AS15" si="11">((((AN13*4.5%)/365)*210))*50%</f>
        <v>16.401575342465755</v>
      </c>
      <c r="AO15" s="129" t="e">
        <f t="shared" si="11"/>
        <v>#REF!</v>
      </c>
      <c r="AP15" s="129" t="e">
        <f t="shared" si="11"/>
        <v>#REF!</v>
      </c>
      <c r="AQ15" s="129" t="e">
        <f t="shared" si="11"/>
        <v>#REF!</v>
      </c>
      <c r="AR15" s="129" t="e">
        <f t="shared" si="11"/>
        <v>#REF!</v>
      </c>
      <c r="AS15" s="129" t="e">
        <f t="shared" si="11"/>
        <v>#REF!</v>
      </c>
      <c r="AT15" s="129" t="e">
        <f t="shared" ref="AT15" si="12">((((AT13*4.5%)/365)*210))*50%</f>
        <v>#REF!</v>
      </c>
      <c r="AU15" s="202" t="e">
        <f>+AS16-AU13</f>
        <v>#REF!</v>
      </c>
      <c r="AV15" s="87" t="s">
        <v>139</v>
      </c>
      <c r="AW15" s="91"/>
    </row>
    <row r="16" spans="2:49" x14ac:dyDescent="0.35">
      <c r="B16" s="170" t="s">
        <v>31</v>
      </c>
      <c r="C16" s="80">
        <v>1.92</v>
      </c>
      <c r="D16" s="80">
        <v>1.5</v>
      </c>
      <c r="E16" s="80">
        <v>1.83</v>
      </c>
      <c r="F16" s="80">
        <v>2.2200000000000002</v>
      </c>
      <c r="G16" s="80">
        <v>3.45</v>
      </c>
      <c r="H16" s="80">
        <v>3.45</v>
      </c>
      <c r="I16" s="80">
        <v>4.13</v>
      </c>
      <c r="J16" s="80"/>
      <c r="L16" s="170" t="s">
        <v>31</v>
      </c>
      <c r="M16" s="80">
        <v>0.9</v>
      </c>
      <c r="N16" s="80">
        <v>2.1800000000000002</v>
      </c>
      <c r="O16" s="80">
        <v>4.3</v>
      </c>
      <c r="Q16" s="179" t="s">
        <v>101</v>
      </c>
      <c r="R16" s="179"/>
      <c r="S16" s="179"/>
      <c r="T16" s="179"/>
      <c r="U16" s="179"/>
      <c r="V16" s="179"/>
      <c r="W16" s="179"/>
      <c r="X16" s="179"/>
      <c r="Y16" s="179"/>
      <c r="Z16" s="179"/>
      <c r="AA16" s="179"/>
      <c r="AB16" s="179"/>
      <c r="AC16" s="179"/>
      <c r="AD16" s="179"/>
      <c r="AE16" s="179"/>
      <c r="AF16" s="179"/>
      <c r="AG16" s="179"/>
      <c r="AH16" s="179"/>
      <c r="AI16" s="179"/>
      <c r="AJ16" s="180"/>
      <c r="AK16" s="180" t="e">
        <f t="shared" ref="AK16:AQ16" si="13">+AK13+AK15</f>
        <v>#REF!</v>
      </c>
      <c r="AL16" s="180" t="e">
        <f t="shared" si="13"/>
        <v>#REF!</v>
      </c>
      <c r="AM16" s="180" t="e">
        <f t="shared" si="13"/>
        <v>#REF!</v>
      </c>
      <c r="AN16" s="180">
        <f t="shared" si="13"/>
        <v>1283.4015753424658</v>
      </c>
      <c r="AO16" s="180" t="e">
        <f t="shared" si="13"/>
        <v>#REF!</v>
      </c>
      <c r="AP16" s="180" t="e">
        <f t="shared" si="13"/>
        <v>#REF!</v>
      </c>
      <c r="AQ16" s="180" t="e">
        <f t="shared" si="13"/>
        <v>#REF!</v>
      </c>
      <c r="AR16" s="180" t="e">
        <f>+AR13+AR15</f>
        <v>#REF!</v>
      </c>
      <c r="AS16" s="180" t="e">
        <f>+AS13+AS15</f>
        <v>#REF!</v>
      </c>
      <c r="AT16" s="180" t="e">
        <f>+AT13+AT15</f>
        <v>#REF!</v>
      </c>
      <c r="AU16" s="202" t="e">
        <f>+AT16-AU14</f>
        <v>#REF!</v>
      </c>
      <c r="AV16" s="87" t="s">
        <v>140</v>
      </c>
      <c r="AW16" s="80"/>
    </row>
    <row r="17" spans="1:51" x14ac:dyDescent="0.35">
      <c r="A17" s="81" t="s">
        <v>38</v>
      </c>
      <c r="B17" s="170" t="s">
        <v>34</v>
      </c>
      <c r="C17" s="80">
        <v>0.19</v>
      </c>
      <c r="D17" s="80">
        <v>0.19</v>
      </c>
      <c r="E17" s="80">
        <v>0.19</v>
      </c>
      <c r="F17" s="80">
        <v>0.19</v>
      </c>
      <c r="G17" s="80">
        <v>0.33</v>
      </c>
      <c r="H17" s="80">
        <v>0.33</v>
      </c>
      <c r="I17" s="80">
        <v>0.33</v>
      </c>
      <c r="J17" s="80"/>
      <c r="L17" s="170" t="s">
        <v>34</v>
      </c>
      <c r="M17" s="80">
        <v>4.3</v>
      </c>
      <c r="N17" s="80">
        <v>4.3</v>
      </c>
      <c r="O17" s="80">
        <v>8.36</v>
      </c>
      <c r="Q17" s="157" t="s">
        <v>96</v>
      </c>
      <c r="R17" s="158">
        <f t="shared" ref="R17:AH17" si="14">+R12*75%+R13*25%</f>
        <v>1055.9819400000001</v>
      </c>
      <c r="S17" s="158">
        <f t="shared" si="14"/>
        <v>1077.4154300000002</v>
      </c>
      <c r="T17" s="158">
        <f t="shared" si="14"/>
        <v>1125.9411799999998</v>
      </c>
      <c r="U17" s="158">
        <f t="shared" si="14"/>
        <v>1113.01125</v>
      </c>
      <c r="V17" s="158">
        <f t="shared" si="14"/>
        <v>1135.3485000000001</v>
      </c>
      <c r="W17" s="158">
        <f t="shared" si="14"/>
        <v>1166.2611999999999</v>
      </c>
      <c r="X17" s="158">
        <f t="shared" si="14"/>
        <v>1225.98125</v>
      </c>
      <c r="Y17" s="158">
        <f t="shared" si="14"/>
        <v>1272.19625</v>
      </c>
      <c r="Z17" s="158">
        <f t="shared" si="14"/>
        <v>1290.9390000000001</v>
      </c>
      <c r="AA17" s="158">
        <f t="shared" si="14"/>
        <v>1346.6537499999999</v>
      </c>
      <c r="AB17" s="158">
        <f t="shared" si="14"/>
        <v>1458.34</v>
      </c>
      <c r="AC17" s="158">
        <f t="shared" si="14"/>
        <v>1420.4844986301368</v>
      </c>
      <c r="AD17" s="158">
        <f t="shared" si="14"/>
        <v>1419.8312784378102</v>
      </c>
      <c r="AE17" s="158">
        <f t="shared" si="14"/>
        <v>1415.7433460958905</v>
      </c>
      <c r="AF17" s="158" t="e">
        <f t="shared" si="14"/>
        <v>#REF!</v>
      </c>
      <c r="AG17" s="158" t="e">
        <f t="shared" si="14"/>
        <v>#REF!</v>
      </c>
      <c r="AH17" s="158" t="e">
        <f t="shared" si="14"/>
        <v>#REF!</v>
      </c>
      <c r="AI17" s="158" t="e">
        <f>+AI12*50%+AI13*50%</f>
        <v>#REF!</v>
      </c>
      <c r="AJ17" s="158" t="e">
        <f>+AJ12*50%+AJ13*50%</f>
        <v>#REF!</v>
      </c>
      <c r="AK17" s="158" t="e">
        <f t="shared" ref="AK17:AQ17" si="15">+AK12*50%+AK16*50%</f>
        <v>#REF!</v>
      </c>
      <c r="AL17" s="158" t="e">
        <f t="shared" si="15"/>
        <v>#REF!</v>
      </c>
      <c r="AM17" s="158" t="e">
        <f t="shared" si="15"/>
        <v>#REF!</v>
      </c>
      <c r="AN17" s="158" t="e">
        <f t="shared" si="15"/>
        <v>#REF!</v>
      </c>
      <c r="AO17" s="158" t="e">
        <f t="shared" si="15"/>
        <v>#REF!</v>
      </c>
      <c r="AP17" s="158" t="e">
        <f t="shared" si="15"/>
        <v>#REF!</v>
      </c>
      <c r="AQ17" s="158" t="e">
        <f t="shared" si="15"/>
        <v>#REF!</v>
      </c>
      <c r="AR17" s="158" t="e">
        <f>+AR12*50%+AR16*50%</f>
        <v>#REF!</v>
      </c>
      <c r="AS17" s="158" t="e">
        <f>+AS12*50%+AS16*50%</f>
        <v>#REF!</v>
      </c>
      <c r="AT17" s="158" t="e">
        <f>+AT12*50%+AT16*50%</f>
        <v>#REF!</v>
      </c>
      <c r="AU17" s="80"/>
      <c r="AV17" s="80"/>
      <c r="AW17" s="80"/>
    </row>
    <row r="18" spans="1:51" x14ac:dyDescent="0.35">
      <c r="B18" s="170" t="s">
        <v>36</v>
      </c>
      <c r="C18" s="80">
        <v>0.16</v>
      </c>
      <c r="D18" s="80">
        <v>0.16</v>
      </c>
      <c r="E18" s="80">
        <v>0.16</v>
      </c>
      <c r="F18" s="80">
        <v>0.16</v>
      </c>
      <c r="G18" s="80">
        <v>0.28000000000000003</v>
      </c>
      <c r="H18" s="80">
        <v>0.28000000000000003</v>
      </c>
      <c r="I18" s="80">
        <v>0.28000000000000003</v>
      </c>
      <c r="J18" s="80"/>
      <c r="L18" s="170" t="s">
        <v>36</v>
      </c>
      <c r="M18" s="80">
        <v>8.36</v>
      </c>
      <c r="N18" s="80">
        <v>8.36</v>
      </c>
      <c r="O18" s="84" t="e">
        <f t="shared" ref="O18" si="16">+O12+O13+O15+O16+O17+O14</f>
        <v>#REF!</v>
      </c>
      <c r="Q18" s="113" t="s">
        <v>37</v>
      </c>
      <c r="R18" s="118">
        <f>+R17*1%</f>
        <v>10.559819400000002</v>
      </c>
      <c r="S18" s="118">
        <f t="shared" ref="S18:AS18" si="17">+S17*1%</f>
        <v>10.774154300000003</v>
      </c>
      <c r="T18" s="118">
        <f t="shared" si="17"/>
        <v>11.259411799999999</v>
      </c>
      <c r="U18" s="118">
        <f t="shared" si="17"/>
        <v>11.130112500000001</v>
      </c>
      <c r="V18" s="118">
        <f t="shared" si="17"/>
        <v>11.353485000000001</v>
      </c>
      <c r="W18" s="118">
        <f t="shared" si="17"/>
        <v>11.662611999999999</v>
      </c>
      <c r="X18" s="118">
        <f t="shared" si="17"/>
        <v>12.259812500000001</v>
      </c>
      <c r="Y18" s="118">
        <f t="shared" si="17"/>
        <v>12.7219625</v>
      </c>
      <c r="Z18" s="118">
        <f t="shared" si="17"/>
        <v>12.909390000000002</v>
      </c>
      <c r="AA18" s="118">
        <f t="shared" si="17"/>
        <v>13.466537499999999</v>
      </c>
      <c r="AB18" s="118">
        <f t="shared" si="17"/>
        <v>14.583399999999999</v>
      </c>
      <c r="AC18" s="118">
        <f t="shared" si="17"/>
        <v>14.204844986301369</v>
      </c>
      <c r="AD18" s="118">
        <f t="shared" si="17"/>
        <v>14.198312784378102</v>
      </c>
      <c r="AE18" s="118">
        <f t="shared" si="17"/>
        <v>14.157433460958906</v>
      </c>
      <c r="AF18" s="118" t="e">
        <f t="shared" si="17"/>
        <v>#REF!</v>
      </c>
      <c r="AG18" s="118" t="e">
        <f t="shared" si="17"/>
        <v>#REF!</v>
      </c>
      <c r="AH18" s="118" t="e">
        <f t="shared" si="17"/>
        <v>#REF!</v>
      </c>
      <c r="AI18" s="118" t="e">
        <f t="shared" si="17"/>
        <v>#REF!</v>
      </c>
      <c r="AJ18" s="118" t="e">
        <f t="shared" si="17"/>
        <v>#REF!</v>
      </c>
      <c r="AK18" s="118" t="e">
        <f t="shared" si="17"/>
        <v>#REF!</v>
      </c>
      <c r="AL18" s="118" t="e">
        <f t="shared" si="17"/>
        <v>#REF!</v>
      </c>
      <c r="AM18" s="118" t="e">
        <f t="shared" si="17"/>
        <v>#REF!</v>
      </c>
      <c r="AN18" s="118" t="e">
        <f t="shared" si="17"/>
        <v>#REF!</v>
      </c>
      <c r="AO18" s="118" t="e">
        <f t="shared" si="17"/>
        <v>#REF!</v>
      </c>
      <c r="AP18" s="118" t="e">
        <f t="shared" si="17"/>
        <v>#REF!</v>
      </c>
      <c r="AQ18" s="118" t="e">
        <f t="shared" si="17"/>
        <v>#REF!</v>
      </c>
      <c r="AR18" s="118" t="e">
        <f t="shared" si="17"/>
        <v>#REF!</v>
      </c>
      <c r="AS18" s="118" t="e">
        <f t="shared" si="17"/>
        <v>#REF!</v>
      </c>
      <c r="AT18" s="118" t="e">
        <f t="shared" ref="AT18" si="18">+AT17*1%</f>
        <v>#REF!</v>
      </c>
      <c r="AU18" s="79"/>
      <c r="AV18" s="80"/>
      <c r="AW18" s="84"/>
    </row>
    <row r="19" spans="1:51" x14ac:dyDescent="0.35">
      <c r="B19" s="169" t="s">
        <v>39</v>
      </c>
      <c r="C19" s="84" t="e">
        <f>+C12+C15+C16+C17+C18</f>
        <v>#REF!</v>
      </c>
      <c r="D19" s="84" t="e">
        <f t="shared" ref="D19:I19" si="19">+D12+D15+D16+D17+D18</f>
        <v>#REF!</v>
      </c>
      <c r="E19" s="84" t="e">
        <f t="shared" si="19"/>
        <v>#REF!</v>
      </c>
      <c r="F19" s="84" t="e">
        <f t="shared" si="19"/>
        <v>#REF!</v>
      </c>
      <c r="G19" s="84" t="e">
        <f t="shared" si="19"/>
        <v>#REF!</v>
      </c>
      <c r="H19" s="84" t="e">
        <f t="shared" si="19"/>
        <v>#REF!</v>
      </c>
      <c r="I19" s="84" t="e">
        <f t="shared" si="19"/>
        <v>#REF!</v>
      </c>
      <c r="J19" s="84"/>
      <c r="L19" s="169" t="s">
        <v>39</v>
      </c>
      <c r="M19" s="84" t="e">
        <f>+M12+M15+M16+M17+M18</f>
        <v>#REF!</v>
      </c>
      <c r="N19" s="84" t="e">
        <f t="shared" ref="N19" si="20">+N12+N15+N16+N17+N18</f>
        <v>#REF!</v>
      </c>
      <c r="Q19" s="113" t="s">
        <v>74</v>
      </c>
      <c r="R19" s="115">
        <f>+R18+R17</f>
        <v>1066.5417594</v>
      </c>
      <c r="S19" s="115">
        <f t="shared" ref="S19:AS19" si="21">+S18+S17</f>
        <v>1088.1895843000002</v>
      </c>
      <c r="T19" s="115">
        <f t="shared" si="21"/>
        <v>1137.2005917999998</v>
      </c>
      <c r="U19" s="115">
        <f t="shared" si="21"/>
        <v>1124.1413625</v>
      </c>
      <c r="V19" s="115">
        <f t="shared" si="21"/>
        <v>1146.7019850000001</v>
      </c>
      <c r="W19" s="115">
        <f t="shared" si="21"/>
        <v>1177.923812</v>
      </c>
      <c r="X19" s="115">
        <f t="shared" si="21"/>
        <v>1238.2410625</v>
      </c>
      <c r="Y19" s="115">
        <f t="shared" si="21"/>
        <v>1284.9182125</v>
      </c>
      <c r="Z19" s="115">
        <f t="shared" si="21"/>
        <v>1303.8483900000001</v>
      </c>
      <c r="AA19" s="115">
        <f t="shared" si="21"/>
        <v>1360.1202874999999</v>
      </c>
      <c r="AB19" s="115">
        <f t="shared" si="21"/>
        <v>1472.9233999999999</v>
      </c>
      <c r="AC19" s="115">
        <f t="shared" si="21"/>
        <v>1434.6893436164382</v>
      </c>
      <c r="AD19" s="115">
        <f t="shared" si="21"/>
        <v>1434.0295912221882</v>
      </c>
      <c r="AE19" s="115">
        <f t="shared" si="21"/>
        <v>1429.9007795568493</v>
      </c>
      <c r="AF19" s="115" t="e">
        <f t="shared" si="21"/>
        <v>#REF!</v>
      </c>
      <c r="AG19" s="115" t="e">
        <f t="shared" si="21"/>
        <v>#REF!</v>
      </c>
      <c r="AH19" s="115" t="e">
        <f t="shared" si="21"/>
        <v>#REF!</v>
      </c>
      <c r="AI19" s="115" t="e">
        <f t="shared" si="21"/>
        <v>#REF!</v>
      </c>
      <c r="AJ19" s="115" t="e">
        <f t="shared" si="21"/>
        <v>#REF!</v>
      </c>
      <c r="AK19" s="115" t="e">
        <f t="shared" si="21"/>
        <v>#REF!</v>
      </c>
      <c r="AL19" s="115" t="e">
        <f t="shared" si="21"/>
        <v>#REF!</v>
      </c>
      <c r="AM19" s="115" t="e">
        <f t="shared" si="21"/>
        <v>#REF!</v>
      </c>
      <c r="AN19" s="115" t="e">
        <f t="shared" si="21"/>
        <v>#REF!</v>
      </c>
      <c r="AO19" s="115" t="e">
        <f t="shared" si="21"/>
        <v>#REF!</v>
      </c>
      <c r="AP19" s="115" t="e">
        <f t="shared" si="21"/>
        <v>#REF!</v>
      </c>
      <c r="AQ19" s="115" t="e">
        <f t="shared" si="21"/>
        <v>#REF!</v>
      </c>
      <c r="AR19" s="115" t="e">
        <f t="shared" si="21"/>
        <v>#REF!</v>
      </c>
      <c r="AS19" s="115" t="e">
        <f t="shared" si="21"/>
        <v>#REF!</v>
      </c>
      <c r="AT19" s="115" t="e">
        <f t="shared" ref="AT19" si="22">+AT18+AT17</f>
        <v>#REF!</v>
      </c>
      <c r="AU19" s="181"/>
      <c r="AV19" s="84"/>
      <c r="AW19" s="84"/>
      <c r="AY19" s="182"/>
    </row>
    <row r="20" spans="1:51" x14ac:dyDescent="0.35">
      <c r="O20" s="84"/>
      <c r="Q20" s="85"/>
      <c r="R20" s="120" t="e">
        <f>+#REF!</f>
        <v>#REF!</v>
      </c>
      <c r="S20" s="120" t="e">
        <f>+R20</f>
        <v>#REF!</v>
      </c>
      <c r="T20" s="120" t="e">
        <f>+S20</f>
        <v>#REF!</v>
      </c>
      <c r="U20" s="120" t="e">
        <f>+T20</f>
        <v>#REF!</v>
      </c>
      <c r="V20" s="120" t="e">
        <f t="shared" ref="V20:AG20" si="23">+U20</f>
        <v>#REF!</v>
      </c>
      <c r="W20" s="120" t="e">
        <f t="shared" si="23"/>
        <v>#REF!</v>
      </c>
      <c r="X20" s="120" t="e">
        <f t="shared" si="23"/>
        <v>#REF!</v>
      </c>
      <c r="Y20" s="120" t="e">
        <f t="shared" si="23"/>
        <v>#REF!</v>
      </c>
      <c r="Z20" s="120" t="e">
        <f t="shared" si="23"/>
        <v>#REF!</v>
      </c>
      <c r="AA20" s="120" t="e">
        <f t="shared" si="23"/>
        <v>#REF!</v>
      </c>
      <c r="AB20" s="120" t="e">
        <f t="shared" si="23"/>
        <v>#REF!</v>
      </c>
      <c r="AC20" s="120" t="e">
        <f t="shared" si="23"/>
        <v>#REF!</v>
      </c>
      <c r="AD20" s="120" t="e">
        <f t="shared" si="23"/>
        <v>#REF!</v>
      </c>
      <c r="AE20" s="120" t="e">
        <f t="shared" si="23"/>
        <v>#REF!</v>
      </c>
      <c r="AF20" s="120" t="e">
        <f t="shared" si="23"/>
        <v>#REF!</v>
      </c>
      <c r="AG20" s="120" t="e">
        <f t="shared" si="23"/>
        <v>#REF!</v>
      </c>
      <c r="AH20" s="120"/>
      <c r="AI20" s="120"/>
      <c r="AJ20" s="120"/>
      <c r="AK20" s="120"/>
      <c r="AL20" s="120"/>
      <c r="AM20" s="120"/>
      <c r="AN20" s="120"/>
      <c r="AO20" s="120"/>
      <c r="AP20" s="120"/>
      <c r="AQ20" s="120"/>
      <c r="AR20" s="120"/>
      <c r="AS20" s="120"/>
      <c r="AT20" s="120"/>
      <c r="AV20" s="84"/>
      <c r="AW20" s="82"/>
    </row>
    <row r="21" spans="1:51" x14ac:dyDescent="0.35">
      <c r="B21" s="169"/>
      <c r="C21" s="84"/>
      <c r="D21" s="84"/>
      <c r="E21" s="84"/>
      <c r="F21" s="84"/>
      <c r="G21" s="84"/>
      <c r="H21" s="84"/>
      <c r="I21" s="84"/>
      <c r="J21" s="84"/>
      <c r="K21" s="94"/>
      <c r="M21" s="84"/>
      <c r="N21" s="84"/>
      <c r="Q21" s="82"/>
      <c r="R21" s="82"/>
      <c r="S21" s="82"/>
      <c r="U21" s="94"/>
      <c r="V21" s="94"/>
      <c r="W21" s="94"/>
      <c r="X21" s="94"/>
      <c r="Y21" s="94"/>
      <c r="Z21" s="94"/>
      <c r="AA21" s="94"/>
      <c r="AB21" s="94"/>
      <c r="AC21" s="94"/>
      <c r="AD21" s="94"/>
      <c r="AE21" s="94"/>
      <c r="AF21" s="94"/>
      <c r="AG21" s="94"/>
      <c r="AH21" s="94"/>
      <c r="AI21" s="94"/>
      <c r="AJ21" s="94"/>
      <c r="AK21" s="94"/>
      <c r="AL21" s="94"/>
      <c r="AM21" s="94"/>
      <c r="AN21" s="94"/>
      <c r="AO21" s="94"/>
      <c r="AP21" s="94"/>
      <c r="AQ21" s="94"/>
      <c r="AR21" s="94"/>
      <c r="AS21" s="94"/>
      <c r="AT21" s="94"/>
      <c r="AV21" s="82"/>
      <c r="AW21" s="82"/>
    </row>
    <row r="22" spans="1:51" x14ac:dyDescent="0.35">
      <c r="C22" s="132"/>
      <c r="D22" s="132"/>
      <c r="E22" s="132"/>
      <c r="F22" s="132"/>
      <c r="G22" s="132"/>
      <c r="H22" s="132"/>
      <c r="I22" s="132"/>
      <c r="K22" s="94"/>
      <c r="AV22" s="82"/>
    </row>
    <row r="23" spans="1:51" x14ac:dyDescent="0.35">
      <c r="M23" s="86"/>
      <c r="O23" s="201"/>
    </row>
    <row r="24" spans="1:51" x14ac:dyDescent="0.35">
      <c r="C24" s="201"/>
      <c r="F24" s="201"/>
      <c r="I24" s="201"/>
      <c r="M24" s="201"/>
      <c r="N24" s="201"/>
    </row>
    <row r="25" spans="1:51" x14ac:dyDescent="0.35">
      <c r="F25" s="201">
        <f>+F24-F22</f>
        <v>0</v>
      </c>
    </row>
    <row r="27" spans="1:51" x14ac:dyDescent="0.35">
      <c r="AH27" s="164"/>
    </row>
    <row r="28" spans="1:51" x14ac:dyDescent="0.35">
      <c r="N28" s="123"/>
    </row>
    <row r="34" spans="1:51" s="82" customFormat="1" x14ac:dyDescent="0.35">
      <c r="A34" s="81"/>
      <c r="B34" s="173"/>
      <c r="J34" s="81"/>
      <c r="K34" s="81"/>
      <c r="L34" s="173"/>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c r="AY34" s="81"/>
    </row>
    <row r="35" spans="1:51" x14ac:dyDescent="0.35">
      <c r="B35" s="173" t="s">
        <v>51</v>
      </c>
    </row>
  </sheetData>
  <mergeCells count="6">
    <mergeCell ref="Q1:AW1"/>
    <mergeCell ref="B2:D2"/>
    <mergeCell ref="Q2:R2"/>
    <mergeCell ref="AU2:AV2"/>
    <mergeCell ref="B3:D3"/>
    <mergeCell ref="AU3:AV3"/>
  </mergeCells>
  <pageMargins left="0.7" right="0.7" top="0.75" bottom="0.75" header="0.3" footer="0.3"/>
  <pageSetup orientation="portrait" r:id="rId1"/>
  <customProperties>
    <customPr name="EpmWorksheetKeyString_GUID" r:id="rId2"/>
  </customProperties>
  <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Z35"/>
  <sheetViews>
    <sheetView zoomScale="90" zoomScaleNormal="90" workbookViewId="0">
      <selection activeCell="AV9" sqref="AV9"/>
    </sheetView>
  </sheetViews>
  <sheetFormatPr defaultColWidth="11.453125" defaultRowHeight="14.5" x14ac:dyDescent="0.35"/>
  <cols>
    <col min="1" max="1" width="3.453125" style="81" customWidth="1"/>
    <col min="2" max="2" width="18.81640625" style="173" bestFit="1" customWidth="1"/>
    <col min="3" max="3" width="10.81640625" style="82" customWidth="1"/>
    <col min="4" max="5" width="10.54296875" style="82" hidden="1" customWidth="1"/>
    <col min="6" max="6" width="11" style="82" customWidth="1"/>
    <col min="7" max="7" width="11.1796875" style="82" hidden="1" customWidth="1"/>
    <col min="8" max="8" width="11" style="82" hidden="1" customWidth="1"/>
    <col min="9" max="9" width="11.54296875" style="82" customWidth="1"/>
    <col min="10" max="10" width="8.54296875" style="81" hidden="1" customWidth="1"/>
    <col min="11" max="11" width="2.81640625" style="81" customWidth="1"/>
    <col min="12" max="12" width="20" style="173" customWidth="1"/>
    <col min="13" max="14" width="10.81640625" style="82" customWidth="1"/>
    <col min="15" max="15" width="10.81640625" style="82" hidden="1" customWidth="1"/>
    <col min="16" max="16" width="2.81640625" style="81" customWidth="1"/>
    <col min="17" max="17" width="29.1796875" style="81" customWidth="1"/>
    <col min="18" max="18" width="16.1796875" style="81" hidden="1" customWidth="1"/>
    <col min="19" max="19" width="17.54296875" style="81" hidden="1" customWidth="1"/>
    <col min="20" max="20" width="14.54296875" style="81" hidden="1" customWidth="1"/>
    <col min="21" max="21" width="16" style="81" hidden="1" customWidth="1"/>
    <col min="22" max="22" width="17.81640625" style="81" hidden="1" customWidth="1"/>
    <col min="23" max="23" width="17.1796875" style="81" hidden="1" customWidth="1"/>
    <col min="24" max="29" width="14.453125" style="81" hidden="1" customWidth="1"/>
    <col min="30" max="30" width="16.453125" style="81" hidden="1" customWidth="1"/>
    <col min="31" max="33" width="14.81640625" style="81" hidden="1" customWidth="1"/>
    <col min="34" max="34" width="16.54296875" style="81" hidden="1" customWidth="1"/>
    <col min="35" max="36" width="17.54296875" style="81" hidden="1" customWidth="1"/>
    <col min="37" max="40" width="15.1796875" style="81" hidden="1" customWidth="1"/>
    <col min="41" max="41" width="13.81640625" style="81" hidden="1" customWidth="1"/>
    <col min="42" max="42" width="14.453125" style="81" hidden="1" customWidth="1"/>
    <col min="43" max="45" width="16.54296875" style="81" hidden="1" customWidth="1"/>
    <col min="46" max="46" width="15.81640625" style="81" bestFit="1" customWidth="1"/>
    <col min="47" max="47" width="16.54296875" style="81" bestFit="1" customWidth="1"/>
    <col min="48" max="51" width="11.453125" style="81" customWidth="1"/>
    <col min="52" max="16384" width="11.453125" style="81"/>
  </cols>
  <sheetData>
    <row r="1" spans="2:51" x14ac:dyDescent="0.35">
      <c r="B1" s="122"/>
      <c r="C1" s="86"/>
      <c r="D1" s="86"/>
      <c r="E1" s="86"/>
      <c r="F1" s="87"/>
      <c r="G1" s="87"/>
      <c r="H1" s="87"/>
      <c r="I1" s="87"/>
      <c r="J1" s="87"/>
      <c r="K1" s="87"/>
      <c r="L1" s="122"/>
      <c r="M1" s="87"/>
      <c r="N1" s="87"/>
      <c r="O1" s="87"/>
      <c r="Q1" s="574"/>
      <c r="R1" s="574"/>
      <c r="S1" s="574"/>
      <c r="T1" s="574"/>
      <c r="U1" s="574"/>
      <c r="V1" s="574"/>
      <c r="W1" s="574"/>
      <c r="X1" s="574"/>
      <c r="Y1" s="574"/>
      <c r="Z1" s="574"/>
      <c r="AA1" s="574"/>
      <c r="AB1" s="574"/>
      <c r="AC1" s="574"/>
      <c r="AD1" s="574"/>
      <c r="AE1" s="574"/>
      <c r="AF1" s="574"/>
      <c r="AG1" s="574"/>
      <c r="AH1" s="574"/>
      <c r="AI1" s="574"/>
      <c r="AJ1" s="574"/>
      <c r="AK1" s="574"/>
      <c r="AL1" s="574"/>
      <c r="AM1" s="574"/>
      <c r="AN1" s="574"/>
      <c r="AO1" s="574"/>
      <c r="AP1" s="574"/>
      <c r="AQ1" s="574"/>
      <c r="AR1" s="574"/>
      <c r="AS1" s="574"/>
      <c r="AT1" s="574"/>
      <c r="AU1" s="574"/>
      <c r="AV1" s="574"/>
      <c r="AW1" s="574"/>
      <c r="AX1" s="574"/>
    </row>
    <row r="2" spans="2:51" s="142" customFormat="1" ht="15" customHeight="1" x14ac:dyDescent="0.35">
      <c r="B2" s="576" t="s">
        <v>66</v>
      </c>
      <c r="C2" s="576"/>
      <c r="D2" s="576"/>
      <c r="F2" s="141" t="e">
        <f>+AU12</f>
        <v>#REF!</v>
      </c>
      <c r="H2" s="141"/>
      <c r="I2" s="141"/>
      <c r="J2" s="143">
        <v>0.05</v>
      </c>
      <c r="K2" s="144"/>
      <c r="L2" s="171"/>
      <c r="M2" s="141"/>
      <c r="N2" s="141"/>
      <c r="O2" s="141"/>
      <c r="Q2" s="576"/>
      <c r="R2" s="576"/>
      <c r="S2" s="141"/>
      <c r="T2" s="143"/>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4"/>
      <c r="AV2" s="576"/>
      <c r="AW2" s="576"/>
      <c r="AX2" s="141"/>
    </row>
    <row r="3" spans="2:51" s="133" customFormat="1" ht="15" customHeight="1" x14ac:dyDescent="0.35">
      <c r="B3" s="576" t="s">
        <v>67</v>
      </c>
      <c r="C3" s="576"/>
      <c r="D3" s="576"/>
      <c r="F3" s="134" t="e">
        <f>+AU16</f>
        <v>#REF!</v>
      </c>
      <c r="G3" s="135"/>
      <c r="H3" s="134"/>
      <c r="I3" s="134"/>
      <c r="J3" s="137" t="e">
        <f>+F2*J2</f>
        <v>#REF!</v>
      </c>
      <c r="K3" s="136"/>
      <c r="L3" s="200"/>
      <c r="M3" s="200"/>
      <c r="N3" s="134"/>
      <c r="O3" s="134"/>
      <c r="Q3" s="138"/>
      <c r="R3" s="139"/>
      <c r="S3" s="140"/>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577"/>
      <c r="AW3" s="577"/>
      <c r="AX3" s="134"/>
    </row>
    <row r="4" spans="2:51" ht="23.5" hidden="1" x14ac:dyDescent="0.55000000000000004">
      <c r="B4" s="169"/>
      <c r="C4" s="92" t="e">
        <f>+(C10+C11)/C6*1000</f>
        <v>#REF!</v>
      </c>
      <c r="D4" s="92" t="e">
        <f>+(G10+G11)/G6*1000</f>
        <v>#REF!</v>
      </c>
      <c r="E4" s="92" t="e">
        <f>+(E10+E11)/E6*1000</f>
        <v>#REF!</v>
      </c>
      <c r="F4" s="92" t="e">
        <f>+(F10+F11)/F6*1000</f>
        <v>#REF!</v>
      </c>
      <c r="I4" s="92" t="e">
        <f>+(I10+I11)/I6*1000</f>
        <v>#REF!</v>
      </c>
      <c r="K4" s="88"/>
      <c r="L4" s="169"/>
      <c r="M4" s="92"/>
      <c r="N4" s="92"/>
      <c r="O4" s="92"/>
      <c r="Q4" s="93"/>
      <c r="R4" s="82"/>
      <c r="S4" s="90"/>
      <c r="T4" s="94"/>
      <c r="U4" s="88"/>
      <c r="V4" s="8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91"/>
      <c r="AW4" s="91"/>
      <c r="AX4" s="78"/>
    </row>
    <row r="5" spans="2:51" s="95" customFormat="1" ht="33.75" customHeight="1" x14ac:dyDescent="0.35">
      <c r="B5" s="169" t="s">
        <v>5</v>
      </c>
      <c r="C5" s="85" t="s">
        <v>68</v>
      </c>
      <c r="D5" s="85" t="s">
        <v>69</v>
      </c>
      <c r="E5" s="85" t="s">
        <v>69</v>
      </c>
      <c r="F5" s="85" t="s">
        <v>69</v>
      </c>
      <c r="G5" s="85" t="s">
        <v>70</v>
      </c>
      <c r="H5" s="85" t="s">
        <v>70</v>
      </c>
      <c r="I5" s="85" t="s">
        <v>70</v>
      </c>
      <c r="J5" s="85"/>
      <c r="K5" s="88"/>
      <c r="L5" s="169" t="s">
        <v>71</v>
      </c>
      <c r="M5" s="96" t="s">
        <v>7</v>
      </c>
      <c r="N5" s="96" t="s">
        <v>8</v>
      </c>
      <c r="O5" s="96" t="s">
        <v>8</v>
      </c>
      <c r="Q5" s="147" t="s">
        <v>72</v>
      </c>
      <c r="R5" s="99" t="s">
        <v>54</v>
      </c>
      <c r="S5" s="99" t="s">
        <v>55</v>
      </c>
      <c r="T5" s="99" t="s">
        <v>56</v>
      </c>
      <c r="U5" s="99" t="s">
        <v>12</v>
      </c>
      <c r="V5" s="99" t="s">
        <v>57</v>
      </c>
      <c r="W5" s="99" t="s">
        <v>58</v>
      </c>
      <c r="X5" s="99" t="s">
        <v>59</v>
      </c>
      <c r="Y5" s="99" t="s">
        <v>60</v>
      </c>
      <c r="Z5" s="99" t="s">
        <v>62</v>
      </c>
      <c r="AA5" s="99" t="s">
        <v>64</v>
      </c>
      <c r="AB5" s="99" t="s">
        <v>65</v>
      </c>
      <c r="AC5" s="99" t="s">
        <v>73</v>
      </c>
      <c r="AD5" s="99" t="s">
        <v>53</v>
      </c>
      <c r="AE5" s="99" t="s">
        <v>77</v>
      </c>
      <c r="AF5" s="99" t="s">
        <v>78</v>
      </c>
      <c r="AG5" s="99" t="s">
        <v>79</v>
      </c>
      <c r="AH5" s="99" t="s">
        <v>90</v>
      </c>
      <c r="AI5" s="99" t="s">
        <v>91</v>
      </c>
      <c r="AJ5" s="99" t="s">
        <v>97</v>
      </c>
      <c r="AK5" s="99" t="s">
        <v>98</v>
      </c>
      <c r="AL5" s="99" t="s">
        <v>102</v>
      </c>
      <c r="AM5" s="99" t="s">
        <v>103</v>
      </c>
      <c r="AN5" s="99" t="s">
        <v>104</v>
      </c>
      <c r="AO5" s="99" t="s">
        <v>107</v>
      </c>
      <c r="AP5" s="99" t="s">
        <v>108</v>
      </c>
      <c r="AQ5" s="99" t="s">
        <v>114</v>
      </c>
      <c r="AR5" s="99" t="s">
        <v>121</v>
      </c>
      <c r="AS5" s="99" t="s">
        <v>122</v>
      </c>
      <c r="AT5" s="99" t="s">
        <v>123</v>
      </c>
      <c r="AU5" s="99" t="s">
        <v>124</v>
      </c>
      <c r="AV5" s="100"/>
      <c r="AW5" s="97"/>
      <c r="AX5" s="97"/>
    </row>
    <row r="6" spans="2:51" x14ac:dyDescent="0.35">
      <c r="B6" s="169" t="s">
        <v>13</v>
      </c>
      <c r="C6" s="101">
        <v>16.7</v>
      </c>
      <c r="D6" s="101">
        <v>16.7</v>
      </c>
      <c r="E6" s="101">
        <v>20.5</v>
      </c>
      <c r="F6" s="101">
        <v>20.5</v>
      </c>
      <c r="G6" s="101">
        <v>30.6</v>
      </c>
      <c r="H6" s="101">
        <v>30.6</v>
      </c>
      <c r="I6" s="101">
        <v>38.6</v>
      </c>
      <c r="J6" s="101"/>
      <c r="L6" s="169" t="s">
        <v>13</v>
      </c>
      <c r="M6" s="101">
        <v>15</v>
      </c>
      <c r="N6" s="101">
        <v>20.5</v>
      </c>
      <c r="O6" s="101">
        <v>20.5</v>
      </c>
      <c r="Q6" s="102" t="s">
        <v>14</v>
      </c>
      <c r="R6" s="104">
        <v>938.13</v>
      </c>
      <c r="S6" s="105">
        <v>959</v>
      </c>
      <c r="T6" s="104">
        <v>1006.25</v>
      </c>
      <c r="U6" s="130">
        <v>993.75</v>
      </c>
      <c r="V6" s="131">
        <v>1015.5</v>
      </c>
      <c r="W6" s="131">
        <v>1045.5999999999999</v>
      </c>
      <c r="X6" s="43">
        <v>1103.75</v>
      </c>
      <c r="Y6" s="43">
        <v>1148.75</v>
      </c>
      <c r="Z6" s="43">
        <v>1167</v>
      </c>
      <c r="AA6" s="43">
        <v>1221.25</v>
      </c>
      <c r="AB6" s="43">
        <v>1330</v>
      </c>
      <c r="AC6" s="43">
        <f>+'IHS (Mod)'!I5</f>
        <v>1280</v>
      </c>
      <c r="AD6" s="43">
        <f>+'IHS (Mod)'!J5</f>
        <v>1279.380005</v>
      </c>
      <c r="AE6" s="43">
        <v>1275.5</v>
      </c>
      <c r="AF6" s="43" t="e">
        <f>+#REF!</f>
        <v>#REF!</v>
      </c>
      <c r="AG6" s="43" t="e">
        <f>+#REF!</f>
        <v>#REF!</v>
      </c>
      <c r="AH6" s="43" t="e">
        <f>+#REF!</f>
        <v>#REF!</v>
      </c>
      <c r="AI6" s="43" t="e">
        <f>+#REF!</f>
        <v>#REF!</v>
      </c>
      <c r="AJ6" s="43" t="e">
        <f>+#REF!</f>
        <v>#REF!</v>
      </c>
      <c r="AK6" s="43" t="e">
        <f>+#REF!</f>
        <v>#REF!</v>
      </c>
      <c r="AL6" s="43" t="e">
        <f>+#REF!</f>
        <v>#REF!</v>
      </c>
      <c r="AM6" s="43" t="e">
        <f>+#REF!</f>
        <v>#REF!</v>
      </c>
      <c r="AN6" s="43" t="e">
        <f>+#REF!</f>
        <v>#REF!</v>
      </c>
      <c r="AO6" s="43" t="e">
        <f>+#REF!</f>
        <v>#REF!</v>
      </c>
      <c r="AP6" s="43" t="e">
        <f>+#REF!</f>
        <v>#REF!</v>
      </c>
      <c r="AQ6" s="43" t="e">
        <f>+#REF!</f>
        <v>#REF!</v>
      </c>
      <c r="AR6" s="43" t="e">
        <f>+#REF!</f>
        <v>#REF!</v>
      </c>
      <c r="AS6" s="43" t="e">
        <f>+#REF!</f>
        <v>#REF!</v>
      </c>
      <c r="AT6" s="43" t="e">
        <f>+#REF!</f>
        <v>#REF!</v>
      </c>
      <c r="AU6" s="43" t="e">
        <f>+#REF!</f>
        <v>#REF!</v>
      </c>
      <c r="AV6" s="85"/>
      <c r="AW6" s="101"/>
      <c r="AX6" s="101"/>
    </row>
    <row r="7" spans="2:51" x14ac:dyDescent="0.35">
      <c r="B7" s="170" t="s">
        <v>16</v>
      </c>
      <c r="C7" s="91" t="s">
        <v>17</v>
      </c>
      <c r="D7" s="91" t="s">
        <v>17</v>
      </c>
      <c r="E7" s="91" t="s">
        <v>17</v>
      </c>
      <c r="F7" s="91" t="s">
        <v>17</v>
      </c>
      <c r="G7" s="91" t="s">
        <v>17</v>
      </c>
      <c r="H7" s="91" t="s">
        <v>17</v>
      </c>
      <c r="I7" s="91" t="s">
        <v>17</v>
      </c>
      <c r="J7" s="91"/>
      <c r="L7" s="170" t="s">
        <v>16</v>
      </c>
      <c r="M7" s="91" t="s">
        <v>17</v>
      </c>
      <c r="N7" s="91" t="s">
        <v>17</v>
      </c>
      <c r="O7" s="91" t="s">
        <v>17</v>
      </c>
      <c r="Q7" s="128" t="s">
        <v>99</v>
      </c>
      <c r="R7" s="129">
        <v>25.09</v>
      </c>
      <c r="S7" s="129">
        <v>25.09</v>
      </c>
      <c r="T7" s="129">
        <v>25.09</v>
      </c>
      <c r="U7" s="129">
        <v>25</v>
      </c>
      <c r="V7" s="129">
        <v>25</v>
      </c>
      <c r="W7" s="129">
        <v>25</v>
      </c>
      <c r="X7" s="129">
        <v>25</v>
      </c>
      <c r="Y7" s="129">
        <v>25</v>
      </c>
      <c r="Z7" s="129">
        <v>25</v>
      </c>
      <c r="AA7" s="129">
        <v>25</v>
      </c>
      <c r="AB7" s="129">
        <v>25</v>
      </c>
      <c r="AC7" s="129">
        <v>33.139726027397259</v>
      </c>
      <c r="AD7" s="129">
        <f>+Septiembre18!AD8</f>
        <v>33.1236741020548</v>
      </c>
      <c r="AE7" s="129">
        <v>33.023219178082194</v>
      </c>
      <c r="AF7" s="129">
        <v>33.023219178082194</v>
      </c>
      <c r="AG7" s="129">
        <v>32.783732876712328</v>
      </c>
      <c r="AH7" s="129">
        <v>29.126712328767123</v>
      </c>
      <c r="AI7" s="129">
        <v>27.395420677397254</v>
      </c>
      <c r="AJ7" s="129">
        <v>26.796575342465754</v>
      </c>
      <c r="AK7" s="129">
        <v>13.948458904109588</v>
      </c>
      <c r="AL7" s="129">
        <v>14.191181506849315</v>
      </c>
      <c r="AM7" s="129">
        <v>14.255907534246576</v>
      </c>
      <c r="AN7" s="129" t="e">
        <f t="shared" ref="AN7:AT7" si="0">((((AN6*4.5%)/365)*210))*50%</f>
        <v>#REF!</v>
      </c>
      <c r="AO7" s="129" t="e">
        <f t="shared" si="0"/>
        <v>#REF!</v>
      </c>
      <c r="AP7" s="129" t="e">
        <f t="shared" si="0"/>
        <v>#REF!</v>
      </c>
      <c r="AQ7" s="129" t="e">
        <f t="shared" si="0"/>
        <v>#REF!</v>
      </c>
      <c r="AR7" s="129" t="e">
        <f t="shared" si="0"/>
        <v>#REF!</v>
      </c>
      <c r="AS7" s="129" t="e">
        <f t="shared" si="0"/>
        <v>#REF!</v>
      </c>
      <c r="AT7" s="129" t="e">
        <f t="shared" si="0"/>
        <v>#REF!</v>
      </c>
      <c r="AU7" s="129" t="e">
        <f t="shared" ref="AU7" si="1">((((AU6*4.5%)/365)*210))*50%</f>
        <v>#REF!</v>
      </c>
      <c r="AV7" s="85"/>
      <c r="AW7" s="91"/>
      <c r="AX7" s="91"/>
    </row>
    <row r="8" spans="2:51" x14ac:dyDescent="0.35">
      <c r="B8" s="170" t="s">
        <v>115</v>
      </c>
      <c r="C8" s="91" t="s">
        <v>116</v>
      </c>
      <c r="D8" s="91"/>
      <c r="E8" s="91"/>
      <c r="F8" s="91" t="s">
        <v>117</v>
      </c>
      <c r="G8" s="91"/>
      <c r="H8" s="91"/>
      <c r="I8" s="91" t="s">
        <v>118</v>
      </c>
      <c r="J8" s="91"/>
      <c r="L8" s="170"/>
      <c r="M8" s="91" t="s">
        <v>119</v>
      </c>
      <c r="N8" s="91" t="s">
        <v>120</v>
      </c>
      <c r="O8" s="91"/>
      <c r="Q8" s="128"/>
      <c r="R8" s="129"/>
      <c r="S8" s="129"/>
      <c r="T8" s="129"/>
      <c r="U8" s="129"/>
      <c r="V8" s="129"/>
      <c r="W8" s="129"/>
      <c r="X8" s="129"/>
      <c r="Y8" s="129"/>
      <c r="Z8" s="129"/>
      <c r="AA8" s="129"/>
      <c r="AB8" s="129"/>
      <c r="AC8" s="129"/>
      <c r="AD8" s="129"/>
      <c r="AE8" s="129"/>
      <c r="AF8" s="129"/>
      <c r="AG8" s="129"/>
      <c r="AH8" s="129"/>
      <c r="AI8" s="129"/>
      <c r="AJ8" s="129"/>
      <c r="AK8" s="129"/>
      <c r="AL8" s="129"/>
      <c r="AM8" s="129"/>
      <c r="AN8" s="129"/>
      <c r="AO8" s="129"/>
      <c r="AP8" s="129"/>
      <c r="AQ8" s="129"/>
      <c r="AR8" s="129"/>
      <c r="AS8" s="129"/>
      <c r="AT8" s="129"/>
      <c r="AU8" s="129"/>
      <c r="AV8" s="85"/>
      <c r="AW8" s="91"/>
      <c r="AX8" s="91"/>
    </row>
    <row r="9" spans="2:51" s="95" customFormat="1" ht="29" x14ac:dyDescent="0.35">
      <c r="B9" s="175" t="s">
        <v>92</v>
      </c>
      <c r="C9" s="177" t="s">
        <v>93</v>
      </c>
      <c r="D9" s="177" t="s">
        <v>94</v>
      </c>
      <c r="E9" s="176">
        <v>1</v>
      </c>
      <c r="F9" s="177" t="s">
        <v>93</v>
      </c>
      <c r="G9" s="176">
        <v>1</v>
      </c>
      <c r="H9" s="177" t="s">
        <v>94</v>
      </c>
      <c r="I9" s="177" t="s">
        <v>93</v>
      </c>
      <c r="J9" s="162"/>
      <c r="L9" s="175" t="str">
        <f>+B9</f>
        <v>% Resina (Virgen/PCR)</v>
      </c>
      <c r="M9" s="177" t="s">
        <v>94</v>
      </c>
      <c r="N9" s="176">
        <v>1</v>
      </c>
      <c r="O9" s="177" t="s">
        <v>94</v>
      </c>
      <c r="Q9" s="166" t="s">
        <v>128</v>
      </c>
      <c r="R9" s="129">
        <v>65</v>
      </c>
      <c r="S9" s="167">
        <v>65</v>
      </c>
      <c r="T9" s="129">
        <v>65</v>
      </c>
      <c r="U9" s="129">
        <v>65</v>
      </c>
      <c r="V9" s="129">
        <v>65</v>
      </c>
      <c r="W9" s="129">
        <v>65</v>
      </c>
      <c r="X9" s="129">
        <v>65</v>
      </c>
      <c r="Y9" s="129">
        <v>65</v>
      </c>
      <c r="Z9" s="129">
        <v>65</v>
      </c>
      <c r="AA9" s="129">
        <v>65</v>
      </c>
      <c r="AB9" s="129">
        <v>65</v>
      </c>
      <c r="AC9" s="129">
        <v>70</v>
      </c>
      <c r="AD9" s="129">
        <v>70</v>
      </c>
      <c r="AE9" s="129">
        <v>70</v>
      </c>
      <c r="AF9" s="129">
        <v>70</v>
      </c>
      <c r="AG9" s="129">
        <v>70</v>
      </c>
      <c r="AH9" s="129">
        <v>70</v>
      </c>
      <c r="AI9" s="129">
        <v>70</v>
      </c>
      <c r="AJ9" s="129">
        <v>70</v>
      </c>
      <c r="AK9" s="129">
        <v>70</v>
      </c>
      <c r="AL9" s="129">
        <v>70</v>
      </c>
      <c r="AM9" s="129">
        <v>70</v>
      </c>
      <c r="AN9" s="129">
        <v>70</v>
      </c>
      <c r="AO9" s="129">
        <v>70</v>
      </c>
      <c r="AP9" s="129">
        <v>70</v>
      </c>
      <c r="AQ9" s="129">
        <v>70</v>
      </c>
      <c r="AR9" s="129">
        <v>70</v>
      </c>
      <c r="AS9" s="129">
        <v>70</v>
      </c>
      <c r="AT9" s="209">
        <v>70</v>
      </c>
      <c r="AU9" s="209">
        <v>90.46</v>
      </c>
      <c r="AV9" s="208"/>
      <c r="AW9" s="165"/>
      <c r="AX9" s="165"/>
    </row>
    <row r="10" spans="2:51" x14ac:dyDescent="0.35">
      <c r="B10" s="170" t="s">
        <v>19</v>
      </c>
      <c r="C10" s="80" t="e">
        <f>+(C6*F2/1000)*1.01*50%</f>
        <v>#REF!</v>
      </c>
      <c r="D10" s="80" t="e">
        <f>+(D6*$F$2/1000)*1.01*75%</f>
        <v>#REF!</v>
      </c>
      <c r="E10" s="80" t="e">
        <f>+(E6*$F$2/1000)*1.01</f>
        <v>#REF!</v>
      </c>
      <c r="F10" s="80" t="e">
        <f>+(F6*$F$2/1000)*1.01*50%</f>
        <v>#REF!</v>
      </c>
      <c r="G10" s="80" t="e">
        <f>+(G6*F2/1000)*1.01</f>
        <v>#REF!</v>
      </c>
      <c r="H10" s="80" t="e">
        <f>+(H6*$F$2/1000)*1.01*75%</f>
        <v>#REF!</v>
      </c>
      <c r="I10" s="80" t="e">
        <f>+(I6*$F$2/1000)*1.01*50%</f>
        <v>#REF!</v>
      </c>
      <c r="J10" s="80"/>
      <c r="L10" s="170" t="s">
        <v>19</v>
      </c>
      <c r="M10" s="80" t="e">
        <f>+(M6*F2/1000)*1.005*75%</f>
        <v>#REF!</v>
      </c>
      <c r="N10" s="80" t="e">
        <f>+(N6*F2/1000)*1.005</f>
        <v>#REF!</v>
      </c>
      <c r="O10" s="80" t="e">
        <f>+(O6*F2/1000)*1.005*75%</f>
        <v>#REF!</v>
      </c>
      <c r="Q10" s="102"/>
      <c r="R10" s="104">
        <f>SUM(R6:R9)</f>
        <v>1028.22</v>
      </c>
      <c r="S10" s="104">
        <f>SUM(S6:S9)</f>
        <v>1049.0900000000001</v>
      </c>
      <c r="T10" s="104">
        <f>SUM(T6:T9)</f>
        <v>1096.3399999999999</v>
      </c>
      <c r="U10" s="104">
        <f>SUM(U6:U9)</f>
        <v>1083.75</v>
      </c>
      <c r="V10" s="104">
        <f t="shared" ref="V10:AQ10" si="2">SUM(V6:V9)</f>
        <v>1105.5</v>
      </c>
      <c r="W10" s="104">
        <f t="shared" si="2"/>
        <v>1135.5999999999999</v>
      </c>
      <c r="X10" s="104">
        <f t="shared" si="2"/>
        <v>1193.75</v>
      </c>
      <c r="Y10" s="104">
        <f t="shared" si="2"/>
        <v>1238.75</v>
      </c>
      <c r="Z10" s="104">
        <f t="shared" si="2"/>
        <v>1257</v>
      </c>
      <c r="AA10" s="104">
        <f t="shared" si="2"/>
        <v>1311.25</v>
      </c>
      <c r="AB10" s="104">
        <f t="shared" si="2"/>
        <v>1420</v>
      </c>
      <c r="AC10" s="104">
        <f t="shared" si="2"/>
        <v>1383.1397260273973</v>
      </c>
      <c r="AD10" s="104">
        <f t="shared" si="2"/>
        <v>1382.5036791020548</v>
      </c>
      <c r="AE10" s="104">
        <f t="shared" si="2"/>
        <v>1378.5232191780822</v>
      </c>
      <c r="AF10" s="104" t="e">
        <f t="shared" si="2"/>
        <v>#REF!</v>
      </c>
      <c r="AG10" s="104" t="e">
        <f t="shared" si="2"/>
        <v>#REF!</v>
      </c>
      <c r="AH10" s="104" t="e">
        <f t="shared" si="2"/>
        <v>#REF!</v>
      </c>
      <c r="AI10" s="104" t="e">
        <f t="shared" si="2"/>
        <v>#REF!</v>
      </c>
      <c r="AJ10" s="104" t="e">
        <f t="shared" si="2"/>
        <v>#REF!</v>
      </c>
      <c r="AK10" s="104" t="e">
        <f t="shared" si="2"/>
        <v>#REF!</v>
      </c>
      <c r="AL10" s="104" t="e">
        <f t="shared" si="2"/>
        <v>#REF!</v>
      </c>
      <c r="AM10" s="104" t="e">
        <f t="shared" si="2"/>
        <v>#REF!</v>
      </c>
      <c r="AN10" s="104" t="e">
        <f t="shared" si="2"/>
        <v>#REF!</v>
      </c>
      <c r="AO10" s="104" t="e">
        <f t="shared" si="2"/>
        <v>#REF!</v>
      </c>
      <c r="AP10" s="104" t="e">
        <f t="shared" si="2"/>
        <v>#REF!</v>
      </c>
      <c r="AQ10" s="104" t="e">
        <f t="shared" si="2"/>
        <v>#REF!</v>
      </c>
      <c r="AR10" s="104" t="e">
        <f>SUM(AR6:AR9)</f>
        <v>#REF!</v>
      </c>
      <c r="AS10" s="104" t="e">
        <f>SUM(AS6:AS9)</f>
        <v>#REF!</v>
      </c>
      <c r="AT10" s="104" t="e">
        <f>SUM(AT6:AT9)</f>
        <v>#REF!</v>
      </c>
      <c r="AU10" s="104" t="e">
        <f>SUM(AU6:AU9)</f>
        <v>#REF!</v>
      </c>
      <c r="AV10" s="79"/>
      <c r="AW10" s="80"/>
      <c r="AX10" s="80"/>
    </row>
    <row r="11" spans="2:51" x14ac:dyDescent="0.35">
      <c r="B11" s="172" t="s">
        <v>23</v>
      </c>
      <c r="C11" s="76" t="e">
        <f>+(C6*$F$3/1000)*1.01*50%</f>
        <v>#REF!</v>
      </c>
      <c r="D11" s="76" t="e">
        <f>+(D6*$F$3/1000)*1.01*25%</f>
        <v>#REF!</v>
      </c>
      <c r="E11" s="76">
        <v>0</v>
      </c>
      <c r="F11" s="76" t="e">
        <f>+(F6*$F$3/1000)*1.01*50%</f>
        <v>#REF!</v>
      </c>
      <c r="G11" s="76">
        <v>0</v>
      </c>
      <c r="H11" s="76" t="e">
        <f>+(H6*$F$3/1000)*1.01*25%</f>
        <v>#REF!</v>
      </c>
      <c r="I11" s="76" t="e">
        <f>+(I6*$F$3/1000)*1.01*50%</f>
        <v>#REF!</v>
      </c>
      <c r="J11" s="76"/>
      <c r="K11" s="121"/>
      <c r="L11" s="172" t="s">
        <v>23</v>
      </c>
      <c r="M11" s="76" t="e">
        <f>+(M6*F3/1000)*1.005*25%</f>
        <v>#REF!</v>
      </c>
      <c r="N11" s="76">
        <v>0</v>
      </c>
      <c r="O11" s="76" t="e">
        <f>+(O6*F3/1000)*1.005*25%</f>
        <v>#REF!</v>
      </c>
      <c r="Q11" s="106" t="s">
        <v>27</v>
      </c>
      <c r="R11" s="108">
        <f>+R10*4%</f>
        <v>41.128800000000005</v>
      </c>
      <c r="S11" s="104">
        <f>+S10*4%</f>
        <v>41.963600000000007</v>
      </c>
      <c r="T11" s="108">
        <f>+T10*4%</f>
        <v>43.8536</v>
      </c>
      <c r="U11" s="108">
        <f>+U10*4%</f>
        <v>43.35</v>
      </c>
      <c r="V11" s="108">
        <f t="shared" ref="V11:AQ11" si="3">+V10*4%</f>
        <v>44.22</v>
      </c>
      <c r="W11" s="108">
        <f t="shared" si="3"/>
        <v>45.423999999999999</v>
      </c>
      <c r="X11" s="108">
        <f t="shared" si="3"/>
        <v>47.75</v>
      </c>
      <c r="Y11" s="108">
        <f t="shared" si="3"/>
        <v>49.550000000000004</v>
      </c>
      <c r="Z11" s="108">
        <f t="shared" si="3"/>
        <v>50.28</v>
      </c>
      <c r="AA11" s="108">
        <f t="shared" si="3"/>
        <v>52.45</v>
      </c>
      <c r="AB11" s="108">
        <f t="shared" si="3"/>
        <v>56.800000000000004</v>
      </c>
      <c r="AC11" s="108">
        <f t="shared" si="3"/>
        <v>55.325589041095895</v>
      </c>
      <c r="AD11" s="108">
        <f t="shared" si="3"/>
        <v>55.30014716408219</v>
      </c>
      <c r="AE11" s="108">
        <f t="shared" si="3"/>
        <v>55.140928767123285</v>
      </c>
      <c r="AF11" s="108" t="e">
        <f t="shared" si="3"/>
        <v>#REF!</v>
      </c>
      <c r="AG11" s="108" t="e">
        <f t="shared" si="3"/>
        <v>#REF!</v>
      </c>
      <c r="AH11" s="108" t="e">
        <f t="shared" si="3"/>
        <v>#REF!</v>
      </c>
      <c r="AI11" s="108" t="e">
        <f t="shared" si="3"/>
        <v>#REF!</v>
      </c>
      <c r="AJ11" s="108" t="e">
        <f t="shared" si="3"/>
        <v>#REF!</v>
      </c>
      <c r="AK11" s="108" t="e">
        <f t="shared" si="3"/>
        <v>#REF!</v>
      </c>
      <c r="AL11" s="108" t="e">
        <f t="shared" si="3"/>
        <v>#REF!</v>
      </c>
      <c r="AM11" s="108" t="e">
        <f t="shared" si="3"/>
        <v>#REF!</v>
      </c>
      <c r="AN11" s="108" t="e">
        <f t="shared" si="3"/>
        <v>#REF!</v>
      </c>
      <c r="AO11" s="108" t="e">
        <f t="shared" si="3"/>
        <v>#REF!</v>
      </c>
      <c r="AP11" s="108" t="e">
        <f t="shared" si="3"/>
        <v>#REF!</v>
      </c>
      <c r="AQ11" s="108" t="e">
        <f t="shared" si="3"/>
        <v>#REF!</v>
      </c>
      <c r="AR11" s="108" t="e">
        <f>+AR10*4%</f>
        <v>#REF!</v>
      </c>
      <c r="AS11" s="108" t="e">
        <f>+AS10*4%</f>
        <v>#REF!</v>
      </c>
      <c r="AT11" s="108" t="e">
        <f>+AT10*4%</f>
        <v>#REF!</v>
      </c>
      <c r="AU11" s="108" t="e">
        <f>+AU10*4%</f>
        <v>#REF!</v>
      </c>
      <c r="AV11" s="79"/>
      <c r="AW11" s="80"/>
      <c r="AX11" s="80"/>
    </row>
    <row r="12" spans="2:51" x14ac:dyDescent="0.35">
      <c r="B12" s="169" t="s">
        <v>95</v>
      </c>
      <c r="C12" s="84" t="e">
        <f>SUM(C10:C11)</f>
        <v>#REF!</v>
      </c>
      <c r="D12" s="84" t="e">
        <f t="shared" ref="D12:J12" si="4">SUM(D10:D11)</f>
        <v>#REF!</v>
      </c>
      <c r="E12" s="84" t="e">
        <f t="shared" si="4"/>
        <v>#REF!</v>
      </c>
      <c r="F12" s="84" t="e">
        <f t="shared" si="4"/>
        <v>#REF!</v>
      </c>
      <c r="G12" s="84" t="e">
        <f t="shared" si="4"/>
        <v>#REF!</v>
      </c>
      <c r="H12" s="84" t="e">
        <f t="shared" si="4"/>
        <v>#REF!</v>
      </c>
      <c r="I12" s="84" t="e">
        <f t="shared" si="4"/>
        <v>#REF!</v>
      </c>
      <c r="J12" s="80">
        <f t="shared" si="4"/>
        <v>0</v>
      </c>
      <c r="K12" s="80"/>
      <c r="L12" s="169" t="s">
        <v>95</v>
      </c>
      <c r="M12" s="84" t="e">
        <f t="shared" ref="M12:O12" si="5">SUM(M10:M11)</f>
        <v>#REF!</v>
      </c>
      <c r="N12" s="84" t="e">
        <f t="shared" si="5"/>
        <v>#REF!</v>
      </c>
      <c r="O12" s="84" t="e">
        <f t="shared" si="5"/>
        <v>#REF!</v>
      </c>
      <c r="Q12" s="157" t="s">
        <v>30</v>
      </c>
      <c r="R12" s="158">
        <f>+R11+R10</f>
        <v>1069.3488</v>
      </c>
      <c r="S12" s="159">
        <f>+S11+S10</f>
        <v>1091.0536000000002</v>
      </c>
      <c r="T12" s="158">
        <f>+T11+T10</f>
        <v>1140.1935999999998</v>
      </c>
      <c r="U12" s="158">
        <f>+U11+U10</f>
        <v>1127.0999999999999</v>
      </c>
      <c r="V12" s="158">
        <f t="shared" ref="V12:AQ12" si="6">+V11+V10</f>
        <v>1149.72</v>
      </c>
      <c r="W12" s="158">
        <f t="shared" si="6"/>
        <v>1181.0239999999999</v>
      </c>
      <c r="X12" s="158">
        <f t="shared" si="6"/>
        <v>1241.5</v>
      </c>
      <c r="Y12" s="158">
        <f t="shared" si="6"/>
        <v>1288.3</v>
      </c>
      <c r="Z12" s="158">
        <f t="shared" si="6"/>
        <v>1307.28</v>
      </c>
      <c r="AA12" s="158">
        <f t="shared" si="6"/>
        <v>1363.7</v>
      </c>
      <c r="AB12" s="158">
        <f t="shared" si="6"/>
        <v>1476.8</v>
      </c>
      <c r="AC12" s="158">
        <f t="shared" si="6"/>
        <v>1438.4653150684931</v>
      </c>
      <c r="AD12" s="158">
        <f t="shared" si="6"/>
        <v>1437.8038262661369</v>
      </c>
      <c r="AE12" s="158">
        <f t="shared" si="6"/>
        <v>1433.6641479452055</v>
      </c>
      <c r="AF12" s="158" t="e">
        <f t="shared" si="6"/>
        <v>#REF!</v>
      </c>
      <c r="AG12" s="158" t="e">
        <f t="shared" si="6"/>
        <v>#REF!</v>
      </c>
      <c r="AH12" s="158" t="e">
        <f t="shared" si="6"/>
        <v>#REF!</v>
      </c>
      <c r="AI12" s="158" t="e">
        <f t="shared" si="6"/>
        <v>#REF!</v>
      </c>
      <c r="AJ12" s="158" t="e">
        <f t="shared" si="6"/>
        <v>#REF!</v>
      </c>
      <c r="AK12" s="158" t="e">
        <f t="shared" si="6"/>
        <v>#REF!</v>
      </c>
      <c r="AL12" s="158" t="e">
        <f t="shared" si="6"/>
        <v>#REF!</v>
      </c>
      <c r="AM12" s="158" t="e">
        <f t="shared" si="6"/>
        <v>#REF!</v>
      </c>
      <c r="AN12" s="158" t="e">
        <f t="shared" si="6"/>
        <v>#REF!</v>
      </c>
      <c r="AO12" s="158" t="e">
        <f t="shared" si="6"/>
        <v>#REF!</v>
      </c>
      <c r="AP12" s="158" t="e">
        <f t="shared" si="6"/>
        <v>#REF!</v>
      </c>
      <c r="AQ12" s="158" t="e">
        <f t="shared" si="6"/>
        <v>#REF!</v>
      </c>
      <c r="AR12" s="158" t="e">
        <f>+AR11+AR10</f>
        <v>#REF!</v>
      </c>
      <c r="AS12" s="158" t="e">
        <f>+AS11+AS10</f>
        <v>#REF!</v>
      </c>
      <c r="AT12" s="158" t="e">
        <f>+AT11+AT10</f>
        <v>#REF!</v>
      </c>
      <c r="AU12" s="158" t="e">
        <f>+AU11+AU10</f>
        <v>#REF!</v>
      </c>
      <c r="AV12" s="79"/>
      <c r="AW12" s="80"/>
      <c r="AX12" s="80"/>
    </row>
    <row r="13" spans="2:51" x14ac:dyDescent="0.35">
      <c r="B13" s="170" t="s">
        <v>129</v>
      </c>
      <c r="C13" s="80">
        <v>8.25</v>
      </c>
      <c r="D13" s="80">
        <v>8.2299999999999986</v>
      </c>
      <c r="E13" s="80">
        <f>8.2+0.03</f>
        <v>8.2299999999999986</v>
      </c>
      <c r="F13" s="80">
        <v>8.25</v>
      </c>
      <c r="G13" s="80">
        <v>11.200000000000001</v>
      </c>
      <c r="H13" s="80">
        <v>11.200000000000001</v>
      </c>
      <c r="I13" s="80">
        <v>11.23</v>
      </c>
      <c r="J13" s="80"/>
      <c r="L13" s="170" t="s">
        <v>129</v>
      </c>
      <c r="M13" s="80">
        <f>+C13</f>
        <v>8.25</v>
      </c>
      <c r="N13" s="80">
        <f>+F13</f>
        <v>8.25</v>
      </c>
      <c r="O13" s="80">
        <v>8.23</v>
      </c>
      <c r="Q13" s="160" t="s">
        <v>32</v>
      </c>
      <c r="R13" s="161">
        <f>+R12*(1-5%)</f>
        <v>1015.88136</v>
      </c>
      <c r="S13" s="161">
        <f t="shared" ref="S13:AM13" si="7">+S12*(1-5%)</f>
        <v>1036.5009200000002</v>
      </c>
      <c r="T13" s="161">
        <f t="shared" si="7"/>
        <v>1083.1839199999997</v>
      </c>
      <c r="U13" s="161">
        <f t="shared" si="7"/>
        <v>1070.7449999999999</v>
      </c>
      <c r="V13" s="161">
        <f t="shared" si="7"/>
        <v>1092.2339999999999</v>
      </c>
      <c r="W13" s="161">
        <f t="shared" si="7"/>
        <v>1121.9727999999998</v>
      </c>
      <c r="X13" s="161">
        <f t="shared" si="7"/>
        <v>1179.425</v>
      </c>
      <c r="Y13" s="161">
        <f t="shared" si="7"/>
        <v>1223.885</v>
      </c>
      <c r="Z13" s="161">
        <f t="shared" si="7"/>
        <v>1241.9159999999999</v>
      </c>
      <c r="AA13" s="161">
        <f t="shared" si="7"/>
        <v>1295.5149999999999</v>
      </c>
      <c r="AB13" s="161">
        <f t="shared" si="7"/>
        <v>1402.9599999999998</v>
      </c>
      <c r="AC13" s="161">
        <f t="shared" si="7"/>
        <v>1366.5420493150684</v>
      </c>
      <c r="AD13" s="161">
        <f t="shared" si="7"/>
        <v>1365.9136349528299</v>
      </c>
      <c r="AE13" s="161">
        <f t="shared" si="7"/>
        <v>1361.9809405479452</v>
      </c>
      <c r="AF13" s="161" t="e">
        <f t="shared" si="7"/>
        <v>#REF!</v>
      </c>
      <c r="AG13" s="161" t="e">
        <f t="shared" si="7"/>
        <v>#REF!</v>
      </c>
      <c r="AH13" s="161" t="e">
        <f t="shared" si="7"/>
        <v>#REF!</v>
      </c>
      <c r="AI13" s="161" t="e">
        <f t="shared" si="7"/>
        <v>#REF!</v>
      </c>
      <c r="AJ13" s="161" t="e">
        <f t="shared" si="7"/>
        <v>#REF!</v>
      </c>
      <c r="AK13" s="161" t="e">
        <f t="shared" si="7"/>
        <v>#REF!</v>
      </c>
      <c r="AL13" s="161" t="e">
        <f t="shared" si="7"/>
        <v>#REF!</v>
      </c>
      <c r="AM13" s="161" t="e">
        <f t="shared" si="7"/>
        <v>#REF!</v>
      </c>
      <c r="AN13" s="161">
        <v>1267</v>
      </c>
      <c r="AO13" s="161" t="e">
        <f t="shared" ref="AO13:AQ13" si="8">+AO12*(1-5%)</f>
        <v>#REF!</v>
      </c>
      <c r="AP13" s="161" t="e">
        <f t="shared" si="8"/>
        <v>#REF!</v>
      </c>
      <c r="AQ13" s="161" t="e">
        <f t="shared" si="8"/>
        <v>#REF!</v>
      </c>
      <c r="AR13" s="161" t="e">
        <f>+AR12*(1-5%)</f>
        <v>#REF!</v>
      </c>
      <c r="AS13" s="161" t="e">
        <f>+AS12*(1-5%)</f>
        <v>#REF!</v>
      </c>
      <c r="AT13" s="161" t="e">
        <f>+AT12*(1-5%)</f>
        <v>#REF!</v>
      </c>
      <c r="AU13" s="161" t="e">
        <f>+AU12*(1-5%)</f>
        <v>#REF!</v>
      </c>
      <c r="AV13" s="203"/>
      <c r="AW13" s="204"/>
      <c r="AX13" s="205"/>
      <c r="AY13" s="206"/>
    </row>
    <row r="14" spans="2:51" x14ac:dyDescent="0.35">
      <c r="B14" s="170" t="s">
        <v>131</v>
      </c>
      <c r="C14" s="80">
        <v>0</v>
      </c>
      <c r="D14" s="80"/>
      <c r="E14" s="80"/>
      <c r="F14" s="80">
        <v>0</v>
      </c>
      <c r="G14" s="80"/>
      <c r="H14" s="80"/>
      <c r="I14" s="80">
        <v>0</v>
      </c>
      <c r="J14" s="80"/>
      <c r="L14" s="170" t="s">
        <v>131</v>
      </c>
      <c r="M14" s="80">
        <f>(M15-M13)</f>
        <v>19.12</v>
      </c>
      <c r="N14" s="80">
        <f>(N15-N13)</f>
        <v>19.14</v>
      </c>
      <c r="O14" s="80">
        <v>19.09</v>
      </c>
      <c r="Q14" s="160"/>
      <c r="R14" s="161"/>
      <c r="S14" s="161"/>
      <c r="T14" s="161"/>
      <c r="U14" s="161"/>
      <c r="V14" s="161"/>
      <c r="W14" s="161"/>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1"/>
      <c r="AU14" s="161"/>
      <c r="AV14" s="203"/>
      <c r="AW14" s="204"/>
      <c r="AX14" s="205"/>
      <c r="AY14" s="206"/>
    </row>
    <row r="15" spans="2:51" x14ac:dyDescent="0.35">
      <c r="B15" s="169" t="s">
        <v>132</v>
      </c>
      <c r="C15" s="80">
        <f>+C13+C14</f>
        <v>8.25</v>
      </c>
      <c r="D15" s="80">
        <f t="shared" ref="D15:I15" si="9">+D13+D14</f>
        <v>8.2299999999999986</v>
      </c>
      <c r="E15" s="80">
        <f t="shared" si="9"/>
        <v>8.2299999999999986</v>
      </c>
      <c r="F15" s="80">
        <f t="shared" si="9"/>
        <v>8.25</v>
      </c>
      <c r="G15" s="80">
        <f t="shared" si="9"/>
        <v>11.200000000000001</v>
      </c>
      <c r="H15" s="80">
        <f t="shared" si="9"/>
        <v>11.200000000000001</v>
      </c>
      <c r="I15" s="80">
        <f t="shared" si="9"/>
        <v>11.23</v>
      </c>
      <c r="J15" s="80"/>
      <c r="L15" s="169" t="s">
        <v>132</v>
      </c>
      <c r="M15" s="80">
        <v>27.37</v>
      </c>
      <c r="N15" s="80">
        <v>27.39</v>
      </c>
      <c r="O15" s="80">
        <v>2.1800000000000002</v>
      </c>
      <c r="Q15" s="128" t="s">
        <v>100</v>
      </c>
      <c r="R15" s="128" t="s">
        <v>18</v>
      </c>
      <c r="S15" s="128" t="s">
        <v>18</v>
      </c>
      <c r="T15" s="128" t="s">
        <v>18</v>
      </c>
      <c r="U15" s="128" t="s">
        <v>18</v>
      </c>
      <c r="V15" s="128" t="s">
        <v>18</v>
      </c>
      <c r="W15" s="128" t="s">
        <v>18</v>
      </c>
      <c r="X15" s="128" t="s">
        <v>18</v>
      </c>
      <c r="Y15" s="128" t="s">
        <v>18</v>
      </c>
      <c r="Z15" s="128" t="s">
        <v>18</v>
      </c>
      <c r="AA15" s="128" t="s">
        <v>18</v>
      </c>
      <c r="AB15" s="128" t="s">
        <v>18</v>
      </c>
      <c r="AC15" s="128" t="s">
        <v>18</v>
      </c>
      <c r="AD15" s="128" t="s">
        <v>18</v>
      </c>
      <c r="AE15" s="128" t="s">
        <v>18</v>
      </c>
      <c r="AF15" s="128" t="s">
        <v>18</v>
      </c>
      <c r="AG15" s="128" t="s">
        <v>18</v>
      </c>
      <c r="AH15" s="128" t="s">
        <v>18</v>
      </c>
      <c r="AI15" s="128" t="s">
        <v>18</v>
      </c>
      <c r="AJ15" s="129">
        <v>0</v>
      </c>
      <c r="AK15" s="129">
        <f>+AX15</f>
        <v>0</v>
      </c>
      <c r="AL15" s="129">
        <v>15.097681007201158</v>
      </c>
      <c r="AM15" s="129">
        <v>15.162458159293488</v>
      </c>
      <c r="AN15" s="129">
        <f t="shared" ref="AN15:AT15" si="10">((((AN13*4.5%)/365)*210))*50%</f>
        <v>16.401575342465755</v>
      </c>
      <c r="AO15" s="129" t="e">
        <f t="shared" si="10"/>
        <v>#REF!</v>
      </c>
      <c r="AP15" s="129" t="e">
        <f t="shared" si="10"/>
        <v>#REF!</v>
      </c>
      <c r="AQ15" s="129" t="e">
        <f t="shared" si="10"/>
        <v>#REF!</v>
      </c>
      <c r="AR15" s="129" t="e">
        <f t="shared" si="10"/>
        <v>#REF!</v>
      </c>
      <c r="AS15" s="129" t="e">
        <f t="shared" si="10"/>
        <v>#REF!</v>
      </c>
      <c r="AT15" s="129" t="e">
        <f t="shared" si="10"/>
        <v>#REF!</v>
      </c>
      <c r="AU15" s="129" t="e">
        <f t="shared" ref="AU15" si="11">((((AU13*4.5%)/365)*210))*50%</f>
        <v>#REF!</v>
      </c>
      <c r="AV15" s="203"/>
      <c r="AW15" s="204"/>
      <c r="AX15" s="207"/>
      <c r="AY15" s="206"/>
    </row>
    <row r="16" spans="2:51" x14ac:dyDescent="0.35">
      <c r="B16" s="170" t="s">
        <v>31</v>
      </c>
      <c r="C16" s="80">
        <v>1.92</v>
      </c>
      <c r="D16" s="80">
        <v>1.5</v>
      </c>
      <c r="E16" s="80">
        <v>1.83</v>
      </c>
      <c r="F16" s="80">
        <v>2.2200000000000002</v>
      </c>
      <c r="G16" s="80">
        <v>3.45</v>
      </c>
      <c r="H16" s="80">
        <v>3.45</v>
      </c>
      <c r="I16" s="80">
        <v>4.13</v>
      </c>
      <c r="J16" s="80"/>
      <c r="L16" s="170" t="s">
        <v>31</v>
      </c>
      <c r="M16" s="80">
        <v>0.9</v>
      </c>
      <c r="N16" s="80">
        <v>2.1800000000000002</v>
      </c>
      <c r="O16" s="80">
        <v>4.3</v>
      </c>
      <c r="Q16" s="179" t="s">
        <v>101</v>
      </c>
      <c r="R16" s="179"/>
      <c r="S16" s="179"/>
      <c r="T16" s="179"/>
      <c r="U16" s="179"/>
      <c r="V16" s="179"/>
      <c r="W16" s="179"/>
      <c r="X16" s="179"/>
      <c r="Y16" s="179"/>
      <c r="Z16" s="179"/>
      <c r="AA16" s="179"/>
      <c r="AB16" s="179"/>
      <c r="AC16" s="179"/>
      <c r="AD16" s="179"/>
      <c r="AE16" s="179"/>
      <c r="AF16" s="179"/>
      <c r="AG16" s="179"/>
      <c r="AH16" s="179"/>
      <c r="AI16" s="179"/>
      <c r="AJ16" s="180"/>
      <c r="AK16" s="180" t="e">
        <f t="shared" ref="AK16:AQ16" si="12">+AK13+AK15</f>
        <v>#REF!</v>
      </c>
      <c r="AL16" s="180" t="e">
        <f t="shared" si="12"/>
        <v>#REF!</v>
      </c>
      <c r="AM16" s="180" t="e">
        <f t="shared" si="12"/>
        <v>#REF!</v>
      </c>
      <c r="AN16" s="180">
        <f t="shared" si="12"/>
        <v>1283.4015753424658</v>
      </c>
      <c r="AO16" s="180" t="e">
        <f t="shared" si="12"/>
        <v>#REF!</v>
      </c>
      <c r="AP16" s="180" t="e">
        <f t="shared" si="12"/>
        <v>#REF!</v>
      </c>
      <c r="AQ16" s="180" t="e">
        <f t="shared" si="12"/>
        <v>#REF!</v>
      </c>
      <c r="AR16" s="180" t="e">
        <f>+AR13+AR15</f>
        <v>#REF!</v>
      </c>
      <c r="AS16" s="180" t="e">
        <f>+AS13+AS15</f>
        <v>#REF!</v>
      </c>
      <c r="AT16" s="180" t="e">
        <f>+AT13+AT15</f>
        <v>#REF!</v>
      </c>
      <c r="AU16" s="180" t="e">
        <f>+AU13+AU15</f>
        <v>#REF!</v>
      </c>
      <c r="AV16" s="203"/>
      <c r="AW16" s="204"/>
      <c r="AX16" s="205"/>
      <c r="AY16" s="206"/>
    </row>
    <row r="17" spans="1:52" x14ac:dyDescent="0.35">
      <c r="A17" s="81" t="s">
        <v>38</v>
      </c>
      <c r="B17" s="170" t="s">
        <v>34</v>
      </c>
      <c r="C17" s="80">
        <v>0.19</v>
      </c>
      <c r="D17" s="80">
        <v>0.19</v>
      </c>
      <c r="E17" s="80">
        <v>0.19</v>
      </c>
      <c r="F17" s="80">
        <v>0.19</v>
      </c>
      <c r="G17" s="80">
        <v>0.33</v>
      </c>
      <c r="H17" s="80">
        <v>0.33</v>
      </c>
      <c r="I17" s="80">
        <v>0.33</v>
      </c>
      <c r="J17" s="80"/>
      <c r="L17" s="170" t="s">
        <v>34</v>
      </c>
      <c r="M17" s="80">
        <v>4.3</v>
      </c>
      <c r="N17" s="80">
        <v>4.3</v>
      </c>
      <c r="O17" s="80">
        <v>8.36</v>
      </c>
      <c r="Q17" s="157" t="s">
        <v>96</v>
      </c>
      <c r="R17" s="158">
        <f t="shared" ref="R17:AH17" si="13">+R12*75%+R13*25%</f>
        <v>1055.9819400000001</v>
      </c>
      <c r="S17" s="158">
        <f t="shared" si="13"/>
        <v>1077.4154300000002</v>
      </c>
      <c r="T17" s="158">
        <f t="shared" si="13"/>
        <v>1125.9411799999998</v>
      </c>
      <c r="U17" s="158">
        <f t="shared" si="13"/>
        <v>1113.01125</v>
      </c>
      <c r="V17" s="158">
        <f t="shared" si="13"/>
        <v>1135.3485000000001</v>
      </c>
      <c r="W17" s="158">
        <f t="shared" si="13"/>
        <v>1166.2611999999999</v>
      </c>
      <c r="X17" s="158">
        <f t="shared" si="13"/>
        <v>1225.98125</v>
      </c>
      <c r="Y17" s="158">
        <f t="shared" si="13"/>
        <v>1272.19625</v>
      </c>
      <c r="Z17" s="158">
        <f t="shared" si="13"/>
        <v>1290.9390000000001</v>
      </c>
      <c r="AA17" s="158">
        <f t="shared" si="13"/>
        <v>1346.6537499999999</v>
      </c>
      <c r="AB17" s="158">
        <f t="shared" si="13"/>
        <v>1458.34</v>
      </c>
      <c r="AC17" s="158">
        <f t="shared" si="13"/>
        <v>1420.4844986301368</v>
      </c>
      <c r="AD17" s="158">
        <f t="shared" si="13"/>
        <v>1419.8312784378102</v>
      </c>
      <c r="AE17" s="158">
        <f t="shared" si="13"/>
        <v>1415.7433460958905</v>
      </c>
      <c r="AF17" s="158" t="e">
        <f t="shared" si="13"/>
        <v>#REF!</v>
      </c>
      <c r="AG17" s="158" t="e">
        <f t="shared" si="13"/>
        <v>#REF!</v>
      </c>
      <c r="AH17" s="158" t="e">
        <f t="shared" si="13"/>
        <v>#REF!</v>
      </c>
      <c r="AI17" s="158" t="e">
        <f>+AI12*50%+AI13*50%</f>
        <v>#REF!</v>
      </c>
      <c r="AJ17" s="158" t="e">
        <f>+AJ12*50%+AJ13*50%</f>
        <v>#REF!</v>
      </c>
      <c r="AK17" s="158" t="e">
        <f t="shared" ref="AK17:AQ17" si="14">+AK12*50%+AK16*50%</f>
        <v>#REF!</v>
      </c>
      <c r="AL17" s="158" t="e">
        <f t="shared" si="14"/>
        <v>#REF!</v>
      </c>
      <c r="AM17" s="158" t="e">
        <f t="shared" si="14"/>
        <v>#REF!</v>
      </c>
      <c r="AN17" s="158" t="e">
        <f t="shared" si="14"/>
        <v>#REF!</v>
      </c>
      <c r="AO17" s="158" t="e">
        <f t="shared" si="14"/>
        <v>#REF!</v>
      </c>
      <c r="AP17" s="158" t="e">
        <f t="shared" si="14"/>
        <v>#REF!</v>
      </c>
      <c r="AQ17" s="158" t="e">
        <f t="shared" si="14"/>
        <v>#REF!</v>
      </c>
      <c r="AR17" s="158" t="e">
        <f>+AR12*50%+AR16*50%</f>
        <v>#REF!</v>
      </c>
      <c r="AS17" s="158" t="e">
        <f>+AS12*50%+AS16*50%</f>
        <v>#REF!</v>
      </c>
      <c r="AT17" s="158" t="e">
        <f>+AT12*50%+AT16*50%</f>
        <v>#REF!</v>
      </c>
      <c r="AU17" s="158" t="e">
        <f>+AU12*50%+AU16*50%</f>
        <v>#REF!</v>
      </c>
      <c r="AV17" s="80"/>
      <c r="AW17" s="80"/>
      <c r="AX17" s="80"/>
    </row>
    <row r="18" spans="1:52" x14ac:dyDescent="0.35">
      <c r="B18" s="170" t="s">
        <v>36</v>
      </c>
      <c r="C18" s="80">
        <v>0.16</v>
      </c>
      <c r="D18" s="80">
        <v>0.16</v>
      </c>
      <c r="E18" s="80">
        <v>0.16</v>
      </c>
      <c r="F18" s="80">
        <v>0.16</v>
      </c>
      <c r="G18" s="80">
        <v>0.28000000000000003</v>
      </c>
      <c r="H18" s="80">
        <v>0.28000000000000003</v>
      </c>
      <c r="I18" s="80">
        <v>0.28000000000000003</v>
      </c>
      <c r="J18" s="80"/>
      <c r="L18" s="170" t="s">
        <v>36</v>
      </c>
      <c r="M18" s="80">
        <v>8.36</v>
      </c>
      <c r="N18" s="80">
        <v>8.36</v>
      </c>
      <c r="O18" s="84" t="e">
        <f t="shared" ref="O18" si="15">+O12+O13+O15+O16+O17+O14</f>
        <v>#REF!</v>
      </c>
      <c r="Q18" s="113" t="s">
        <v>37</v>
      </c>
      <c r="R18" s="118">
        <f>+R17*1%</f>
        <v>10.559819400000002</v>
      </c>
      <c r="S18" s="118">
        <f t="shared" ref="S18:AT18" si="16">+S17*1%</f>
        <v>10.774154300000003</v>
      </c>
      <c r="T18" s="118">
        <f t="shared" si="16"/>
        <v>11.259411799999999</v>
      </c>
      <c r="U18" s="118">
        <f t="shared" si="16"/>
        <v>11.130112500000001</v>
      </c>
      <c r="V18" s="118">
        <f t="shared" si="16"/>
        <v>11.353485000000001</v>
      </c>
      <c r="W18" s="118">
        <f t="shared" si="16"/>
        <v>11.662611999999999</v>
      </c>
      <c r="X18" s="118">
        <f t="shared" si="16"/>
        <v>12.259812500000001</v>
      </c>
      <c r="Y18" s="118">
        <f t="shared" si="16"/>
        <v>12.7219625</v>
      </c>
      <c r="Z18" s="118">
        <f t="shared" si="16"/>
        <v>12.909390000000002</v>
      </c>
      <c r="AA18" s="118">
        <f t="shared" si="16"/>
        <v>13.466537499999999</v>
      </c>
      <c r="AB18" s="118">
        <f t="shared" si="16"/>
        <v>14.583399999999999</v>
      </c>
      <c r="AC18" s="118">
        <f t="shared" si="16"/>
        <v>14.204844986301369</v>
      </c>
      <c r="AD18" s="118">
        <f t="shared" si="16"/>
        <v>14.198312784378102</v>
      </c>
      <c r="AE18" s="118">
        <f t="shared" si="16"/>
        <v>14.157433460958906</v>
      </c>
      <c r="AF18" s="118" t="e">
        <f t="shared" si="16"/>
        <v>#REF!</v>
      </c>
      <c r="AG18" s="118" t="e">
        <f t="shared" si="16"/>
        <v>#REF!</v>
      </c>
      <c r="AH18" s="118" t="e">
        <f t="shared" si="16"/>
        <v>#REF!</v>
      </c>
      <c r="AI18" s="118" t="e">
        <f t="shared" si="16"/>
        <v>#REF!</v>
      </c>
      <c r="AJ18" s="118" t="e">
        <f t="shared" si="16"/>
        <v>#REF!</v>
      </c>
      <c r="AK18" s="118" t="e">
        <f t="shared" si="16"/>
        <v>#REF!</v>
      </c>
      <c r="AL18" s="118" t="e">
        <f t="shared" si="16"/>
        <v>#REF!</v>
      </c>
      <c r="AM18" s="118" t="e">
        <f t="shared" si="16"/>
        <v>#REF!</v>
      </c>
      <c r="AN18" s="118" t="e">
        <f t="shared" si="16"/>
        <v>#REF!</v>
      </c>
      <c r="AO18" s="118" t="e">
        <f t="shared" si="16"/>
        <v>#REF!</v>
      </c>
      <c r="AP18" s="118" t="e">
        <f t="shared" si="16"/>
        <v>#REF!</v>
      </c>
      <c r="AQ18" s="118" t="e">
        <f t="shared" si="16"/>
        <v>#REF!</v>
      </c>
      <c r="AR18" s="118" t="e">
        <f t="shared" si="16"/>
        <v>#REF!</v>
      </c>
      <c r="AS18" s="118" t="e">
        <f t="shared" si="16"/>
        <v>#REF!</v>
      </c>
      <c r="AT18" s="118" t="e">
        <f t="shared" si="16"/>
        <v>#REF!</v>
      </c>
      <c r="AU18" s="118" t="e">
        <f t="shared" ref="AU18" si="17">+AU17*1%</f>
        <v>#REF!</v>
      </c>
      <c r="AV18" s="79"/>
      <c r="AW18" s="80"/>
      <c r="AX18" s="84"/>
    </row>
    <row r="19" spans="1:52" x14ac:dyDescent="0.35">
      <c r="B19" s="169" t="s">
        <v>39</v>
      </c>
      <c r="C19" s="84" t="e">
        <f>+C12+C15+C16+C17+C18</f>
        <v>#REF!</v>
      </c>
      <c r="D19" s="84" t="e">
        <f t="shared" ref="D19:I19" si="18">+D12+D15+D16+D17+D18</f>
        <v>#REF!</v>
      </c>
      <c r="E19" s="84" t="e">
        <f t="shared" si="18"/>
        <v>#REF!</v>
      </c>
      <c r="F19" s="84" t="e">
        <f t="shared" si="18"/>
        <v>#REF!</v>
      </c>
      <c r="G19" s="84" t="e">
        <f t="shared" si="18"/>
        <v>#REF!</v>
      </c>
      <c r="H19" s="84" t="e">
        <f t="shared" si="18"/>
        <v>#REF!</v>
      </c>
      <c r="I19" s="84" t="e">
        <f t="shared" si="18"/>
        <v>#REF!</v>
      </c>
      <c r="J19" s="84"/>
      <c r="L19" s="169" t="s">
        <v>39</v>
      </c>
      <c r="M19" s="84" t="e">
        <f>+M12+M15+M16+M17+M18</f>
        <v>#REF!</v>
      </c>
      <c r="N19" s="84" t="e">
        <f t="shared" ref="N19" si="19">+N12+N15+N16+N17+N18</f>
        <v>#REF!</v>
      </c>
      <c r="Q19" s="113" t="s">
        <v>74</v>
      </c>
      <c r="R19" s="115">
        <f>+R18+R17</f>
        <v>1066.5417594</v>
      </c>
      <c r="S19" s="115">
        <f t="shared" ref="S19:AT19" si="20">+S18+S17</f>
        <v>1088.1895843000002</v>
      </c>
      <c r="T19" s="115">
        <f t="shared" si="20"/>
        <v>1137.2005917999998</v>
      </c>
      <c r="U19" s="115">
        <f t="shared" si="20"/>
        <v>1124.1413625</v>
      </c>
      <c r="V19" s="115">
        <f t="shared" si="20"/>
        <v>1146.7019850000001</v>
      </c>
      <c r="W19" s="115">
        <f t="shared" si="20"/>
        <v>1177.923812</v>
      </c>
      <c r="X19" s="115">
        <f t="shared" si="20"/>
        <v>1238.2410625</v>
      </c>
      <c r="Y19" s="115">
        <f t="shared" si="20"/>
        <v>1284.9182125</v>
      </c>
      <c r="Z19" s="115">
        <f t="shared" si="20"/>
        <v>1303.8483900000001</v>
      </c>
      <c r="AA19" s="115">
        <f t="shared" si="20"/>
        <v>1360.1202874999999</v>
      </c>
      <c r="AB19" s="115">
        <f t="shared" si="20"/>
        <v>1472.9233999999999</v>
      </c>
      <c r="AC19" s="115">
        <f t="shared" si="20"/>
        <v>1434.6893436164382</v>
      </c>
      <c r="AD19" s="115">
        <f t="shared" si="20"/>
        <v>1434.0295912221882</v>
      </c>
      <c r="AE19" s="115">
        <f t="shared" si="20"/>
        <v>1429.9007795568493</v>
      </c>
      <c r="AF19" s="115" t="e">
        <f t="shared" si="20"/>
        <v>#REF!</v>
      </c>
      <c r="AG19" s="115" t="e">
        <f t="shared" si="20"/>
        <v>#REF!</v>
      </c>
      <c r="AH19" s="115" t="e">
        <f t="shared" si="20"/>
        <v>#REF!</v>
      </c>
      <c r="AI19" s="115" t="e">
        <f t="shared" si="20"/>
        <v>#REF!</v>
      </c>
      <c r="AJ19" s="115" t="e">
        <f t="shared" si="20"/>
        <v>#REF!</v>
      </c>
      <c r="AK19" s="115" t="e">
        <f t="shared" si="20"/>
        <v>#REF!</v>
      </c>
      <c r="AL19" s="115" t="e">
        <f t="shared" si="20"/>
        <v>#REF!</v>
      </c>
      <c r="AM19" s="115" t="e">
        <f t="shared" si="20"/>
        <v>#REF!</v>
      </c>
      <c r="AN19" s="115" t="e">
        <f t="shared" si="20"/>
        <v>#REF!</v>
      </c>
      <c r="AO19" s="115" t="e">
        <f t="shared" si="20"/>
        <v>#REF!</v>
      </c>
      <c r="AP19" s="115" t="e">
        <f t="shared" si="20"/>
        <v>#REF!</v>
      </c>
      <c r="AQ19" s="115" t="e">
        <f t="shared" si="20"/>
        <v>#REF!</v>
      </c>
      <c r="AR19" s="115" t="e">
        <f t="shared" si="20"/>
        <v>#REF!</v>
      </c>
      <c r="AS19" s="115" t="e">
        <f t="shared" si="20"/>
        <v>#REF!</v>
      </c>
      <c r="AT19" s="115" t="e">
        <f t="shared" si="20"/>
        <v>#REF!</v>
      </c>
      <c r="AU19" s="115" t="e">
        <f t="shared" ref="AU19" si="21">+AU18+AU17</f>
        <v>#REF!</v>
      </c>
      <c r="AV19" s="181"/>
      <c r="AW19" s="84"/>
      <c r="AX19" s="84"/>
      <c r="AZ19" s="182"/>
    </row>
    <row r="20" spans="1:52" x14ac:dyDescent="0.35">
      <c r="O20" s="84"/>
      <c r="Q20" s="85"/>
      <c r="R20" s="120" t="e">
        <f>+#REF!</f>
        <v>#REF!</v>
      </c>
      <c r="S20" s="120" t="e">
        <f>+R20</f>
        <v>#REF!</v>
      </c>
      <c r="T20" s="120" t="e">
        <f>+S20</f>
        <v>#REF!</v>
      </c>
      <c r="U20" s="120" t="e">
        <f>+T20</f>
        <v>#REF!</v>
      </c>
      <c r="V20" s="120" t="e">
        <f t="shared" ref="V20:AG20" si="22">+U20</f>
        <v>#REF!</v>
      </c>
      <c r="W20" s="120" t="e">
        <f t="shared" si="22"/>
        <v>#REF!</v>
      </c>
      <c r="X20" s="120" t="e">
        <f t="shared" si="22"/>
        <v>#REF!</v>
      </c>
      <c r="Y20" s="120" t="e">
        <f t="shared" si="22"/>
        <v>#REF!</v>
      </c>
      <c r="Z20" s="120" t="e">
        <f t="shared" si="22"/>
        <v>#REF!</v>
      </c>
      <c r="AA20" s="120" t="e">
        <f t="shared" si="22"/>
        <v>#REF!</v>
      </c>
      <c r="AB20" s="120" t="e">
        <f t="shared" si="22"/>
        <v>#REF!</v>
      </c>
      <c r="AC20" s="120" t="e">
        <f t="shared" si="22"/>
        <v>#REF!</v>
      </c>
      <c r="AD20" s="120" t="e">
        <f t="shared" si="22"/>
        <v>#REF!</v>
      </c>
      <c r="AE20" s="120" t="e">
        <f t="shared" si="22"/>
        <v>#REF!</v>
      </c>
      <c r="AF20" s="120" t="e">
        <f t="shared" si="22"/>
        <v>#REF!</v>
      </c>
      <c r="AG20" s="120" t="e">
        <f t="shared" si="22"/>
        <v>#REF!</v>
      </c>
      <c r="AH20" s="120"/>
      <c r="AI20" s="120"/>
      <c r="AJ20" s="120"/>
      <c r="AK20" s="120"/>
      <c r="AL20" s="120"/>
      <c r="AM20" s="120"/>
      <c r="AN20" s="120"/>
      <c r="AO20" s="120"/>
      <c r="AP20" s="120"/>
      <c r="AQ20" s="120"/>
      <c r="AR20" s="120"/>
      <c r="AS20" s="120"/>
      <c r="AT20" s="120"/>
      <c r="AU20" s="120"/>
      <c r="AW20" s="84"/>
      <c r="AX20" s="82"/>
    </row>
    <row r="21" spans="1:52" x14ac:dyDescent="0.35">
      <c r="B21" s="169"/>
      <c r="C21" s="84"/>
      <c r="D21" s="84"/>
      <c r="E21" s="84"/>
      <c r="F21" s="84"/>
      <c r="G21" s="84"/>
      <c r="H21" s="84"/>
      <c r="I21" s="84"/>
      <c r="J21" s="84"/>
      <c r="K21" s="94"/>
      <c r="M21" s="84"/>
      <c r="N21" s="84"/>
      <c r="Q21" s="82"/>
      <c r="R21" s="82"/>
      <c r="S21" s="82"/>
      <c r="U21" s="94"/>
      <c r="V21" s="94"/>
      <c r="W21" s="94"/>
      <c r="X21" s="94"/>
      <c r="Y21" s="94"/>
      <c r="Z21" s="94"/>
      <c r="AA21" s="94"/>
      <c r="AB21" s="94"/>
      <c r="AC21" s="94"/>
      <c r="AD21" s="94"/>
      <c r="AE21" s="94"/>
      <c r="AF21" s="94"/>
      <c r="AG21" s="94"/>
      <c r="AH21" s="94"/>
      <c r="AI21" s="94"/>
      <c r="AJ21" s="94"/>
      <c r="AK21" s="94"/>
      <c r="AL21" s="94"/>
      <c r="AM21" s="94"/>
      <c r="AN21" s="94"/>
      <c r="AO21" s="94"/>
      <c r="AP21" s="94"/>
      <c r="AQ21" s="94"/>
      <c r="AR21" s="94"/>
      <c r="AS21" s="94"/>
      <c r="AT21" s="94"/>
      <c r="AU21" s="94"/>
      <c r="AW21" s="82"/>
      <c r="AX21" s="82"/>
    </row>
    <row r="22" spans="1:52" x14ac:dyDescent="0.35">
      <c r="C22" s="132"/>
      <c r="D22" s="132"/>
      <c r="E22" s="132"/>
      <c r="F22" s="132"/>
      <c r="G22" s="132"/>
      <c r="H22" s="132"/>
      <c r="I22" s="132"/>
      <c r="K22" s="94"/>
      <c r="AW22" s="82"/>
    </row>
    <row r="23" spans="1:52" x14ac:dyDescent="0.35">
      <c r="M23" s="86"/>
      <c r="O23" s="201"/>
    </row>
    <row r="24" spans="1:52" x14ac:dyDescent="0.35">
      <c r="C24" s="201"/>
      <c r="F24" s="201"/>
      <c r="I24" s="201"/>
      <c r="M24" s="201"/>
      <c r="N24" s="201"/>
    </row>
    <row r="25" spans="1:52" x14ac:dyDescent="0.35">
      <c r="F25" s="201">
        <f>+F24-F22</f>
        <v>0</v>
      </c>
    </row>
    <row r="27" spans="1:52" x14ac:dyDescent="0.35">
      <c r="AH27" s="164"/>
    </row>
    <row r="28" spans="1:52" x14ac:dyDescent="0.35">
      <c r="N28" s="123"/>
    </row>
    <row r="34" spans="1:52" s="82" customFormat="1" x14ac:dyDescent="0.35">
      <c r="A34" s="81"/>
      <c r="B34" s="173"/>
      <c r="J34" s="81"/>
      <c r="K34" s="81"/>
      <c r="L34" s="173"/>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c r="AY34" s="81"/>
      <c r="AZ34" s="81"/>
    </row>
    <row r="35" spans="1:52" x14ac:dyDescent="0.35">
      <c r="B35" s="173" t="s">
        <v>51</v>
      </c>
    </row>
  </sheetData>
  <mergeCells count="6">
    <mergeCell ref="Q1:AX1"/>
    <mergeCell ref="B2:D2"/>
    <mergeCell ref="Q2:R2"/>
    <mergeCell ref="AV2:AW2"/>
    <mergeCell ref="B3:D3"/>
    <mergeCell ref="AV3:AW3"/>
  </mergeCells>
  <pageMargins left="0.7" right="0.7" top="0.75" bottom="0.75" header="0.3" footer="0.3"/>
  <pageSetup orientation="portrait" r:id="rId1"/>
  <customProperties>
    <customPr name="EpmWorksheetKeyString_GUID" r:id="rId2"/>
  </customProperties>
  <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BA35"/>
  <sheetViews>
    <sheetView topLeftCell="B1" zoomScale="90" zoomScaleNormal="90" workbookViewId="0">
      <selection activeCell="F3" sqref="F3"/>
    </sheetView>
  </sheetViews>
  <sheetFormatPr defaultColWidth="11.453125" defaultRowHeight="14.5" x14ac:dyDescent="0.35"/>
  <cols>
    <col min="1" max="1" width="3.453125" style="81" customWidth="1"/>
    <col min="2" max="2" width="18.81640625" style="173" bestFit="1" customWidth="1"/>
    <col min="3" max="3" width="10.81640625" style="82" customWidth="1"/>
    <col min="4" max="5" width="10.54296875" style="82" hidden="1" customWidth="1"/>
    <col min="6" max="6" width="11" style="82" customWidth="1"/>
    <col min="7" max="7" width="11.1796875" style="82" hidden="1" customWidth="1"/>
    <col min="8" max="8" width="11" style="82" hidden="1" customWidth="1"/>
    <col min="9" max="9" width="11.54296875" style="82" customWidth="1"/>
    <col min="10" max="10" width="8.54296875" style="81" hidden="1" customWidth="1"/>
    <col min="11" max="11" width="2.81640625" style="81" customWidth="1"/>
    <col min="12" max="12" width="20" style="173" customWidth="1"/>
    <col min="13" max="14" width="10.81640625" style="82" customWidth="1"/>
    <col min="15" max="15" width="10.81640625" style="82" hidden="1" customWidth="1"/>
    <col min="16" max="16" width="2.81640625" style="81" customWidth="1"/>
    <col min="17" max="17" width="29.1796875" style="81" customWidth="1"/>
    <col min="18" max="18" width="16.1796875" style="81" hidden="1" customWidth="1"/>
    <col min="19" max="19" width="17.54296875" style="81" hidden="1" customWidth="1"/>
    <col min="20" max="20" width="14.54296875" style="81" hidden="1" customWidth="1"/>
    <col min="21" max="21" width="16" style="81" hidden="1" customWidth="1"/>
    <col min="22" max="22" width="17.81640625" style="81" hidden="1" customWidth="1"/>
    <col min="23" max="23" width="17.1796875" style="81" hidden="1" customWidth="1"/>
    <col min="24" max="29" width="14.453125" style="81" hidden="1" customWidth="1"/>
    <col min="30" max="30" width="16.453125" style="81" hidden="1" customWidth="1"/>
    <col min="31" max="33" width="14.81640625" style="81" hidden="1" customWidth="1"/>
    <col min="34" max="34" width="16.54296875" style="81" hidden="1" customWidth="1"/>
    <col min="35" max="36" width="17.54296875" style="81" hidden="1" customWidth="1"/>
    <col min="37" max="40" width="15.1796875" style="81" hidden="1" customWidth="1"/>
    <col min="41" max="41" width="13.81640625" style="81" hidden="1" customWidth="1"/>
    <col min="42" max="42" width="14.453125" style="81" hidden="1" customWidth="1"/>
    <col min="43" max="45" width="16.54296875" style="81" hidden="1" customWidth="1"/>
    <col min="46" max="46" width="15.81640625" style="81" hidden="1" customWidth="1"/>
    <col min="47" max="48" width="16.54296875" style="81" bestFit="1" customWidth="1"/>
    <col min="49" max="52" width="11.453125" style="81" customWidth="1"/>
    <col min="53" max="16384" width="11.453125" style="81"/>
  </cols>
  <sheetData>
    <row r="1" spans="2:52" x14ac:dyDescent="0.35">
      <c r="B1" s="122"/>
      <c r="C1" s="86"/>
      <c r="D1" s="86"/>
      <c r="E1" s="86"/>
      <c r="F1" s="87"/>
      <c r="G1" s="87"/>
      <c r="H1" s="87"/>
      <c r="I1" s="87"/>
      <c r="J1" s="87"/>
      <c r="K1" s="87"/>
      <c r="L1" s="122"/>
      <c r="M1" s="87"/>
      <c r="N1" s="87"/>
      <c r="O1" s="87"/>
      <c r="Q1" s="574"/>
      <c r="R1" s="574"/>
      <c r="S1" s="574"/>
      <c r="T1" s="574"/>
      <c r="U1" s="574"/>
      <c r="V1" s="574"/>
      <c r="W1" s="574"/>
      <c r="X1" s="574"/>
      <c r="Y1" s="574"/>
      <c r="Z1" s="574"/>
      <c r="AA1" s="574"/>
      <c r="AB1" s="574"/>
      <c r="AC1" s="574"/>
      <c r="AD1" s="574"/>
      <c r="AE1" s="574"/>
      <c r="AF1" s="574"/>
      <c r="AG1" s="574"/>
      <c r="AH1" s="574"/>
      <c r="AI1" s="574"/>
      <c r="AJ1" s="574"/>
      <c r="AK1" s="574"/>
      <c r="AL1" s="574"/>
      <c r="AM1" s="574"/>
      <c r="AN1" s="574"/>
      <c r="AO1" s="574"/>
      <c r="AP1" s="574"/>
      <c r="AQ1" s="574"/>
      <c r="AR1" s="574"/>
      <c r="AS1" s="574"/>
      <c r="AT1" s="574"/>
      <c r="AU1" s="574"/>
      <c r="AV1" s="574"/>
      <c r="AW1" s="574"/>
      <c r="AX1" s="574"/>
      <c r="AY1" s="574"/>
    </row>
    <row r="2" spans="2:52" s="142" customFormat="1" ht="15" customHeight="1" x14ac:dyDescent="0.35">
      <c r="B2" s="576" t="s">
        <v>66</v>
      </c>
      <c r="C2" s="576"/>
      <c r="D2" s="576"/>
      <c r="F2" s="141" t="e">
        <f>+AV12</f>
        <v>#REF!</v>
      </c>
      <c r="H2" s="141"/>
      <c r="I2" s="141"/>
      <c r="J2" s="143">
        <v>0.05</v>
      </c>
      <c r="K2" s="144"/>
      <c r="L2" s="171"/>
      <c r="M2" s="141"/>
      <c r="N2" s="141"/>
      <c r="O2" s="141"/>
      <c r="Q2" s="576"/>
      <c r="R2" s="576"/>
      <c r="S2" s="141"/>
      <c r="T2" s="143"/>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4"/>
      <c r="AV2" s="144"/>
      <c r="AW2" s="576"/>
      <c r="AX2" s="576"/>
      <c r="AY2" s="141"/>
    </row>
    <row r="3" spans="2:52" s="133" customFormat="1" ht="15" customHeight="1" x14ac:dyDescent="0.35">
      <c r="B3" s="576" t="s">
        <v>67</v>
      </c>
      <c r="C3" s="576"/>
      <c r="D3" s="576"/>
      <c r="F3" s="134" t="e">
        <f>+AV16</f>
        <v>#REF!</v>
      </c>
      <c r="G3" s="135"/>
      <c r="H3" s="134"/>
      <c r="I3" s="134"/>
      <c r="J3" s="137" t="e">
        <f>+F2*J2</f>
        <v>#REF!</v>
      </c>
      <c r="K3" s="136"/>
      <c r="L3" s="200"/>
      <c r="M3" s="200"/>
      <c r="N3" s="134"/>
      <c r="O3" s="134"/>
      <c r="Q3" s="138"/>
      <c r="R3" s="139"/>
      <c r="S3" s="140"/>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577"/>
      <c r="AX3" s="577"/>
      <c r="AY3" s="134"/>
    </row>
    <row r="4" spans="2:52" ht="23.5" hidden="1" x14ac:dyDescent="0.55000000000000004">
      <c r="B4" s="169"/>
      <c r="C4" s="92" t="e">
        <f>+(C10+C11)/C6*1000</f>
        <v>#REF!</v>
      </c>
      <c r="D4" s="92" t="e">
        <f>+(G10+G11)/G6*1000</f>
        <v>#REF!</v>
      </c>
      <c r="E4" s="92" t="e">
        <f>+(E10+E11)/E6*1000</f>
        <v>#REF!</v>
      </c>
      <c r="F4" s="92" t="e">
        <f>+(F10+F11)/F6*1000</f>
        <v>#REF!</v>
      </c>
      <c r="I4" s="92" t="e">
        <f>+(I10+I11)/I6*1000</f>
        <v>#REF!</v>
      </c>
      <c r="K4" s="88"/>
      <c r="L4" s="169"/>
      <c r="M4" s="92"/>
      <c r="N4" s="92"/>
      <c r="O4" s="92"/>
      <c r="Q4" s="93"/>
      <c r="R4" s="82"/>
      <c r="S4" s="90"/>
      <c r="T4" s="94"/>
      <c r="U4" s="88"/>
      <c r="V4" s="8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88"/>
      <c r="AW4" s="91"/>
      <c r="AX4" s="91"/>
      <c r="AY4" s="78"/>
    </row>
    <row r="5" spans="2:52" s="95" customFormat="1" ht="33.75" customHeight="1" x14ac:dyDescent="0.35">
      <c r="B5" s="169" t="s">
        <v>5</v>
      </c>
      <c r="C5" s="85" t="s">
        <v>68</v>
      </c>
      <c r="D5" s="85" t="s">
        <v>69</v>
      </c>
      <c r="E5" s="85" t="s">
        <v>69</v>
      </c>
      <c r="F5" s="85" t="s">
        <v>69</v>
      </c>
      <c r="G5" s="85" t="s">
        <v>70</v>
      </c>
      <c r="H5" s="85" t="s">
        <v>70</v>
      </c>
      <c r="I5" s="85" t="s">
        <v>70</v>
      </c>
      <c r="J5" s="85"/>
      <c r="K5" s="88"/>
      <c r="L5" s="169" t="s">
        <v>71</v>
      </c>
      <c r="M5" s="96" t="s">
        <v>7</v>
      </c>
      <c r="N5" s="96" t="s">
        <v>8</v>
      </c>
      <c r="O5" s="96" t="s">
        <v>8</v>
      </c>
      <c r="Q5" s="147" t="s">
        <v>72</v>
      </c>
      <c r="R5" s="99" t="s">
        <v>54</v>
      </c>
      <c r="S5" s="99" t="s">
        <v>55</v>
      </c>
      <c r="T5" s="99" t="s">
        <v>56</v>
      </c>
      <c r="U5" s="99" t="s">
        <v>12</v>
      </c>
      <c r="V5" s="99" t="s">
        <v>57</v>
      </c>
      <c r="W5" s="99" t="s">
        <v>58</v>
      </c>
      <c r="X5" s="99" t="s">
        <v>59</v>
      </c>
      <c r="Y5" s="99" t="s">
        <v>60</v>
      </c>
      <c r="Z5" s="99" t="s">
        <v>62</v>
      </c>
      <c r="AA5" s="99" t="s">
        <v>64</v>
      </c>
      <c r="AB5" s="99" t="s">
        <v>65</v>
      </c>
      <c r="AC5" s="99" t="s">
        <v>73</v>
      </c>
      <c r="AD5" s="99" t="s">
        <v>53</v>
      </c>
      <c r="AE5" s="99" t="s">
        <v>77</v>
      </c>
      <c r="AF5" s="99" t="s">
        <v>78</v>
      </c>
      <c r="AG5" s="99" t="s">
        <v>79</v>
      </c>
      <c r="AH5" s="99" t="s">
        <v>90</v>
      </c>
      <c r="AI5" s="99" t="s">
        <v>91</v>
      </c>
      <c r="AJ5" s="99" t="s">
        <v>97</v>
      </c>
      <c r="AK5" s="99" t="s">
        <v>98</v>
      </c>
      <c r="AL5" s="99" t="s">
        <v>102</v>
      </c>
      <c r="AM5" s="99" t="s">
        <v>103</v>
      </c>
      <c r="AN5" s="99" t="s">
        <v>104</v>
      </c>
      <c r="AO5" s="99" t="s">
        <v>107</v>
      </c>
      <c r="AP5" s="99" t="s">
        <v>108</v>
      </c>
      <c r="AQ5" s="99" t="s">
        <v>114</v>
      </c>
      <c r="AR5" s="99" t="s">
        <v>121</v>
      </c>
      <c r="AS5" s="99" t="s">
        <v>122</v>
      </c>
      <c r="AT5" s="99" t="s">
        <v>123</v>
      </c>
      <c r="AU5" s="99" t="s">
        <v>124</v>
      </c>
      <c r="AV5" s="99" t="s">
        <v>125</v>
      </c>
      <c r="AW5" s="100"/>
      <c r="AX5" s="97"/>
      <c r="AY5" s="97"/>
    </row>
    <row r="6" spans="2:52" x14ac:dyDescent="0.35">
      <c r="B6" s="169" t="s">
        <v>13</v>
      </c>
      <c r="C6" s="101">
        <v>16.7</v>
      </c>
      <c r="D6" s="101">
        <v>16.7</v>
      </c>
      <c r="E6" s="101">
        <v>20.5</v>
      </c>
      <c r="F6" s="101">
        <v>20.5</v>
      </c>
      <c r="G6" s="101">
        <v>30.6</v>
      </c>
      <c r="H6" s="101">
        <v>30.6</v>
      </c>
      <c r="I6" s="101">
        <v>38.6</v>
      </c>
      <c r="J6" s="101"/>
      <c r="L6" s="169" t="s">
        <v>13</v>
      </c>
      <c r="M6" s="101">
        <v>15</v>
      </c>
      <c r="N6" s="101">
        <v>20.5</v>
      </c>
      <c r="O6" s="101">
        <v>20.5</v>
      </c>
      <c r="Q6" s="102" t="s">
        <v>14</v>
      </c>
      <c r="R6" s="104">
        <v>938.13</v>
      </c>
      <c r="S6" s="105">
        <v>959</v>
      </c>
      <c r="T6" s="104">
        <v>1006.25</v>
      </c>
      <c r="U6" s="130">
        <v>993.75</v>
      </c>
      <c r="V6" s="131">
        <v>1015.5</v>
      </c>
      <c r="W6" s="131">
        <v>1045.5999999999999</v>
      </c>
      <c r="X6" s="43">
        <v>1103.75</v>
      </c>
      <c r="Y6" s="43">
        <v>1148.75</v>
      </c>
      <c r="Z6" s="43">
        <v>1167</v>
      </c>
      <c r="AA6" s="43">
        <v>1221.25</v>
      </c>
      <c r="AB6" s="43">
        <v>1330</v>
      </c>
      <c r="AC6" s="43">
        <f>+'IHS (Mod)'!I5</f>
        <v>1280</v>
      </c>
      <c r="AD6" s="43">
        <f>+'IHS (Mod)'!J5</f>
        <v>1279.380005</v>
      </c>
      <c r="AE6" s="43">
        <v>1275.5</v>
      </c>
      <c r="AF6" s="43" t="e">
        <f>+#REF!</f>
        <v>#REF!</v>
      </c>
      <c r="AG6" s="43" t="e">
        <f>+#REF!</f>
        <v>#REF!</v>
      </c>
      <c r="AH6" s="43" t="e">
        <f>+#REF!</f>
        <v>#REF!</v>
      </c>
      <c r="AI6" s="43" t="e">
        <f>+#REF!</f>
        <v>#REF!</v>
      </c>
      <c r="AJ6" s="43" t="e">
        <f>+#REF!</f>
        <v>#REF!</v>
      </c>
      <c r="AK6" s="43" t="e">
        <f>+#REF!</f>
        <v>#REF!</v>
      </c>
      <c r="AL6" s="43" t="e">
        <f>+#REF!</f>
        <v>#REF!</v>
      </c>
      <c r="AM6" s="43" t="e">
        <f>+#REF!</f>
        <v>#REF!</v>
      </c>
      <c r="AN6" s="43" t="e">
        <f>+#REF!</f>
        <v>#REF!</v>
      </c>
      <c r="AO6" s="43" t="e">
        <f>+#REF!</f>
        <v>#REF!</v>
      </c>
      <c r="AP6" s="43" t="e">
        <f>+#REF!</f>
        <v>#REF!</v>
      </c>
      <c r="AQ6" s="43" t="e">
        <f>+#REF!</f>
        <v>#REF!</v>
      </c>
      <c r="AR6" s="43" t="e">
        <f>+#REF!</f>
        <v>#REF!</v>
      </c>
      <c r="AS6" s="43" t="e">
        <f>+#REF!</f>
        <v>#REF!</v>
      </c>
      <c r="AT6" s="43" t="e">
        <f>+#REF!</f>
        <v>#REF!</v>
      </c>
      <c r="AU6" s="43" t="e">
        <f>+#REF!</f>
        <v>#REF!</v>
      </c>
      <c r="AV6" s="43" t="e">
        <f>+#REF!</f>
        <v>#REF!</v>
      </c>
      <c r="AW6" s="85"/>
      <c r="AX6" s="101"/>
      <c r="AY6" s="101"/>
    </row>
    <row r="7" spans="2:52" x14ac:dyDescent="0.35">
      <c r="B7" s="170" t="s">
        <v>16</v>
      </c>
      <c r="C7" s="91" t="s">
        <v>17</v>
      </c>
      <c r="D7" s="91" t="s">
        <v>17</v>
      </c>
      <c r="E7" s="91" t="s">
        <v>17</v>
      </c>
      <c r="F7" s="91" t="s">
        <v>17</v>
      </c>
      <c r="G7" s="91" t="s">
        <v>17</v>
      </c>
      <c r="H7" s="91" t="s">
        <v>17</v>
      </c>
      <c r="I7" s="91" t="s">
        <v>17</v>
      </c>
      <c r="J7" s="91"/>
      <c r="L7" s="170" t="s">
        <v>16</v>
      </c>
      <c r="M7" s="91" t="s">
        <v>17</v>
      </c>
      <c r="N7" s="91" t="s">
        <v>17</v>
      </c>
      <c r="O7" s="91" t="s">
        <v>17</v>
      </c>
      <c r="Q7" s="128" t="s">
        <v>99</v>
      </c>
      <c r="R7" s="129">
        <v>25.09</v>
      </c>
      <c r="S7" s="129">
        <v>25.09</v>
      </c>
      <c r="T7" s="129">
        <v>25.09</v>
      </c>
      <c r="U7" s="129">
        <v>25</v>
      </c>
      <c r="V7" s="129">
        <v>25</v>
      </c>
      <c r="W7" s="129">
        <v>25</v>
      </c>
      <c r="X7" s="129">
        <v>25</v>
      </c>
      <c r="Y7" s="129">
        <v>25</v>
      </c>
      <c r="Z7" s="129">
        <v>25</v>
      </c>
      <c r="AA7" s="129">
        <v>25</v>
      </c>
      <c r="AB7" s="129">
        <v>25</v>
      </c>
      <c r="AC7" s="129">
        <v>33.139726027397259</v>
      </c>
      <c r="AD7" s="129">
        <f>+Septiembre18!AD8</f>
        <v>33.1236741020548</v>
      </c>
      <c r="AE7" s="129">
        <v>33.023219178082194</v>
      </c>
      <c r="AF7" s="129">
        <v>33.023219178082194</v>
      </c>
      <c r="AG7" s="129">
        <v>32.783732876712328</v>
      </c>
      <c r="AH7" s="129">
        <v>29.126712328767123</v>
      </c>
      <c r="AI7" s="129">
        <v>27.395420677397254</v>
      </c>
      <c r="AJ7" s="129">
        <v>26.796575342465754</v>
      </c>
      <c r="AK7" s="129">
        <v>13.948458904109588</v>
      </c>
      <c r="AL7" s="129">
        <v>14.191181506849315</v>
      </c>
      <c r="AM7" s="129">
        <v>14.255907534246576</v>
      </c>
      <c r="AN7" s="129" t="e">
        <f t="shared" ref="AN7:AU7" si="0">((((AN6*4.5%)/365)*210))*50%</f>
        <v>#REF!</v>
      </c>
      <c r="AO7" s="129" t="e">
        <f t="shared" si="0"/>
        <v>#REF!</v>
      </c>
      <c r="AP7" s="129" t="e">
        <f t="shared" si="0"/>
        <v>#REF!</v>
      </c>
      <c r="AQ7" s="129" t="e">
        <f t="shared" si="0"/>
        <v>#REF!</v>
      </c>
      <c r="AR7" s="129" t="e">
        <f t="shared" si="0"/>
        <v>#REF!</v>
      </c>
      <c r="AS7" s="129" t="e">
        <f t="shared" si="0"/>
        <v>#REF!</v>
      </c>
      <c r="AT7" s="129" t="e">
        <f t="shared" si="0"/>
        <v>#REF!</v>
      </c>
      <c r="AU7" s="129" t="e">
        <f t="shared" si="0"/>
        <v>#REF!</v>
      </c>
      <c r="AV7" s="129" t="e">
        <f>((((AV6*4.5%)/365)*210))*50%</f>
        <v>#REF!</v>
      </c>
      <c r="AW7" s="85"/>
      <c r="AX7" s="91"/>
      <c r="AY7" s="91"/>
    </row>
    <row r="8" spans="2:52" x14ac:dyDescent="0.35">
      <c r="B8" s="170" t="s">
        <v>115</v>
      </c>
      <c r="C8" s="91" t="s">
        <v>116</v>
      </c>
      <c r="D8" s="91"/>
      <c r="E8" s="91"/>
      <c r="F8" s="91" t="s">
        <v>117</v>
      </c>
      <c r="G8" s="91"/>
      <c r="H8" s="91"/>
      <c r="I8" s="91" t="s">
        <v>118</v>
      </c>
      <c r="J8" s="91"/>
      <c r="L8" s="170"/>
      <c r="M8" s="91" t="s">
        <v>119</v>
      </c>
      <c r="N8" s="91" t="s">
        <v>120</v>
      </c>
      <c r="O8" s="91"/>
      <c r="Q8" s="128"/>
      <c r="R8" s="129"/>
      <c r="S8" s="129"/>
      <c r="T8" s="129"/>
      <c r="U8" s="129"/>
      <c r="V8" s="129"/>
      <c r="W8" s="129"/>
      <c r="X8" s="129"/>
      <c r="Y8" s="129"/>
      <c r="Z8" s="129"/>
      <c r="AA8" s="129"/>
      <c r="AB8" s="129"/>
      <c r="AC8" s="129"/>
      <c r="AD8" s="129"/>
      <c r="AE8" s="129"/>
      <c r="AF8" s="129"/>
      <c r="AG8" s="129"/>
      <c r="AH8" s="129"/>
      <c r="AI8" s="129"/>
      <c r="AJ8" s="129"/>
      <c r="AK8" s="129"/>
      <c r="AL8" s="129"/>
      <c r="AM8" s="129"/>
      <c r="AN8" s="129"/>
      <c r="AO8" s="129"/>
      <c r="AP8" s="129"/>
      <c r="AQ8" s="129"/>
      <c r="AR8" s="129"/>
      <c r="AS8" s="129"/>
      <c r="AT8" s="129"/>
      <c r="AU8" s="129"/>
      <c r="AV8" s="129"/>
      <c r="AW8" s="85"/>
      <c r="AX8" s="91"/>
      <c r="AY8" s="91"/>
    </row>
    <row r="9" spans="2:52" s="95" customFormat="1" ht="29" x14ac:dyDescent="0.35">
      <c r="B9" s="175" t="s">
        <v>92</v>
      </c>
      <c r="C9" s="177" t="s">
        <v>93</v>
      </c>
      <c r="D9" s="177" t="s">
        <v>94</v>
      </c>
      <c r="E9" s="176">
        <v>1</v>
      </c>
      <c r="F9" s="177" t="s">
        <v>93</v>
      </c>
      <c r="G9" s="176">
        <v>1</v>
      </c>
      <c r="H9" s="177" t="s">
        <v>94</v>
      </c>
      <c r="I9" s="177" t="s">
        <v>93</v>
      </c>
      <c r="J9" s="162"/>
      <c r="L9" s="175" t="str">
        <f>+B9</f>
        <v>% Resina (Virgen/PCR)</v>
      </c>
      <c r="M9" s="177" t="s">
        <v>94</v>
      </c>
      <c r="N9" s="176">
        <v>1</v>
      </c>
      <c r="O9" s="177" t="s">
        <v>94</v>
      </c>
      <c r="Q9" s="166" t="s">
        <v>128</v>
      </c>
      <c r="R9" s="129">
        <v>65</v>
      </c>
      <c r="S9" s="167">
        <v>65</v>
      </c>
      <c r="T9" s="129">
        <v>65</v>
      </c>
      <c r="U9" s="129">
        <v>65</v>
      </c>
      <c r="V9" s="129">
        <v>65</v>
      </c>
      <c r="W9" s="129">
        <v>65</v>
      </c>
      <c r="X9" s="129">
        <v>65</v>
      </c>
      <c r="Y9" s="129">
        <v>65</v>
      </c>
      <c r="Z9" s="129">
        <v>65</v>
      </c>
      <c r="AA9" s="129">
        <v>65</v>
      </c>
      <c r="AB9" s="129">
        <v>65</v>
      </c>
      <c r="AC9" s="129">
        <v>70</v>
      </c>
      <c r="AD9" s="129">
        <v>70</v>
      </c>
      <c r="AE9" s="129">
        <v>70</v>
      </c>
      <c r="AF9" s="129">
        <v>70</v>
      </c>
      <c r="AG9" s="129">
        <v>70</v>
      </c>
      <c r="AH9" s="129">
        <v>70</v>
      </c>
      <c r="AI9" s="129">
        <v>70</v>
      </c>
      <c r="AJ9" s="129">
        <v>70</v>
      </c>
      <c r="AK9" s="129">
        <v>70</v>
      </c>
      <c r="AL9" s="129">
        <v>70</v>
      </c>
      <c r="AM9" s="129">
        <v>70</v>
      </c>
      <c r="AN9" s="129">
        <v>70</v>
      </c>
      <c r="AO9" s="129">
        <v>70</v>
      </c>
      <c r="AP9" s="129">
        <v>70</v>
      </c>
      <c r="AQ9" s="129">
        <v>70</v>
      </c>
      <c r="AR9" s="129">
        <v>70</v>
      </c>
      <c r="AS9" s="129">
        <v>70</v>
      </c>
      <c r="AT9" s="209">
        <v>70</v>
      </c>
      <c r="AU9" s="209">
        <v>90.46</v>
      </c>
      <c r="AV9" s="210">
        <v>78.56</v>
      </c>
      <c r="AW9" s="208"/>
      <c r="AX9" s="165"/>
      <c r="AY9" s="165"/>
    </row>
    <row r="10" spans="2:52" x14ac:dyDescent="0.35">
      <c r="B10" s="170" t="s">
        <v>19</v>
      </c>
      <c r="C10" s="80" t="e">
        <f>+(C6*F2/1000)*1.01*50%</f>
        <v>#REF!</v>
      </c>
      <c r="D10" s="80" t="e">
        <f>+(D6*$F$2/1000)*1.01*75%</f>
        <v>#REF!</v>
      </c>
      <c r="E10" s="80" t="e">
        <f>+(E6*$F$2/1000)*1.01</f>
        <v>#REF!</v>
      </c>
      <c r="F10" s="80" t="e">
        <f>+(F6*$F$2/1000)*1.01*50%</f>
        <v>#REF!</v>
      </c>
      <c r="G10" s="80" t="e">
        <f>+(G6*F2/1000)*1.01</f>
        <v>#REF!</v>
      </c>
      <c r="H10" s="80" t="e">
        <f>+(H6*$F$2/1000)*1.01*75%</f>
        <v>#REF!</v>
      </c>
      <c r="I10" s="80" t="e">
        <f>+(I6*$F$2/1000)*1.01*50%</f>
        <v>#REF!</v>
      </c>
      <c r="J10" s="80"/>
      <c r="L10" s="170" t="s">
        <v>19</v>
      </c>
      <c r="M10" s="80" t="e">
        <f>+(M6*F2/1000)*1.005*75%</f>
        <v>#REF!</v>
      </c>
      <c r="N10" s="80" t="e">
        <f>+(N6*F2/1000)*1.005</f>
        <v>#REF!</v>
      </c>
      <c r="O10" s="80" t="e">
        <f>+(O6*F2/1000)*1.005*75%</f>
        <v>#REF!</v>
      </c>
      <c r="Q10" s="102"/>
      <c r="R10" s="104">
        <f>SUM(R6:R9)</f>
        <v>1028.22</v>
      </c>
      <c r="S10" s="104">
        <f>SUM(S6:S9)</f>
        <v>1049.0900000000001</v>
      </c>
      <c r="T10" s="104">
        <f>SUM(T6:T9)</f>
        <v>1096.3399999999999</v>
      </c>
      <c r="U10" s="104">
        <f>SUM(U6:U9)</f>
        <v>1083.75</v>
      </c>
      <c r="V10" s="104">
        <f t="shared" ref="V10:AQ10" si="1">SUM(V6:V9)</f>
        <v>1105.5</v>
      </c>
      <c r="W10" s="104">
        <f t="shared" si="1"/>
        <v>1135.5999999999999</v>
      </c>
      <c r="X10" s="104">
        <f t="shared" si="1"/>
        <v>1193.75</v>
      </c>
      <c r="Y10" s="104">
        <f t="shared" si="1"/>
        <v>1238.75</v>
      </c>
      <c r="Z10" s="104">
        <f t="shared" si="1"/>
        <v>1257</v>
      </c>
      <c r="AA10" s="104">
        <f t="shared" si="1"/>
        <v>1311.25</v>
      </c>
      <c r="AB10" s="104">
        <f t="shared" si="1"/>
        <v>1420</v>
      </c>
      <c r="AC10" s="104">
        <f t="shared" si="1"/>
        <v>1383.1397260273973</v>
      </c>
      <c r="AD10" s="104">
        <f t="shared" si="1"/>
        <v>1382.5036791020548</v>
      </c>
      <c r="AE10" s="104">
        <f t="shared" si="1"/>
        <v>1378.5232191780822</v>
      </c>
      <c r="AF10" s="104" t="e">
        <f t="shared" si="1"/>
        <v>#REF!</v>
      </c>
      <c r="AG10" s="104" t="e">
        <f t="shared" si="1"/>
        <v>#REF!</v>
      </c>
      <c r="AH10" s="104" t="e">
        <f t="shared" si="1"/>
        <v>#REF!</v>
      </c>
      <c r="AI10" s="104" t="e">
        <f t="shared" si="1"/>
        <v>#REF!</v>
      </c>
      <c r="AJ10" s="104" t="e">
        <f t="shared" si="1"/>
        <v>#REF!</v>
      </c>
      <c r="AK10" s="104" t="e">
        <f t="shared" si="1"/>
        <v>#REF!</v>
      </c>
      <c r="AL10" s="104" t="e">
        <f t="shared" si="1"/>
        <v>#REF!</v>
      </c>
      <c r="AM10" s="104" t="e">
        <f t="shared" si="1"/>
        <v>#REF!</v>
      </c>
      <c r="AN10" s="104" t="e">
        <f t="shared" si="1"/>
        <v>#REF!</v>
      </c>
      <c r="AO10" s="104" t="e">
        <f t="shared" si="1"/>
        <v>#REF!</v>
      </c>
      <c r="AP10" s="104" t="e">
        <f t="shared" si="1"/>
        <v>#REF!</v>
      </c>
      <c r="AQ10" s="104" t="e">
        <f t="shared" si="1"/>
        <v>#REF!</v>
      </c>
      <c r="AR10" s="104" t="e">
        <f>SUM(AR6:AR9)</f>
        <v>#REF!</v>
      </c>
      <c r="AS10" s="104" t="e">
        <f>SUM(AS6:AS9)</f>
        <v>#REF!</v>
      </c>
      <c r="AT10" s="104" t="e">
        <f>SUM(AT6:AT9)</f>
        <v>#REF!</v>
      </c>
      <c r="AU10" s="104" t="e">
        <f>SUM(AU6:AU9)</f>
        <v>#REF!</v>
      </c>
      <c r="AV10" s="104" t="e">
        <f>SUM(AV6:AV9)</f>
        <v>#REF!</v>
      </c>
      <c r="AW10" s="79"/>
      <c r="AX10" s="80"/>
      <c r="AY10" s="80"/>
    </row>
    <row r="11" spans="2:52" x14ac:dyDescent="0.35">
      <c r="B11" s="172" t="s">
        <v>23</v>
      </c>
      <c r="C11" s="76" t="e">
        <f>+(C6*$F$3/1000)*1.01*50%</f>
        <v>#REF!</v>
      </c>
      <c r="D11" s="76" t="e">
        <f>+(D6*$F$3/1000)*1.01*25%</f>
        <v>#REF!</v>
      </c>
      <c r="E11" s="76">
        <v>0</v>
      </c>
      <c r="F11" s="76" t="e">
        <f>+(F6*$F$3/1000)*1.01*50%</f>
        <v>#REF!</v>
      </c>
      <c r="G11" s="76">
        <v>0</v>
      </c>
      <c r="H11" s="76" t="e">
        <f>+(H6*$F$3/1000)*1.01*25%</f>
        <v>#REF!</v>
      </c>
      <c r="I11" s="76" t="e">
        <f>+(I6*$F$3/1000)*1.01*50%</f>
        <v>#REF!</v>
      </c>
      <c r="J11" s="76"/>
      <c r="K11" s="121"/>
      <c r="L11" s="172" t="s">
        <v>23</v>
      </c>
      <c r="M11" s="76" t="e">
        <f>+(M6*F3/1000)*1.005*25%</f>
        <v>#REF!</v>
      </c>
      <c r="N11" s="76">
        <v>0</v>
      </c>
      <c r="O11" s="76" t="e">
        <f>+(O6*F3/1000)*1.005*25%</f>
        <v>#REF!</v>
      </c>
      <c r="Q11" s="106" t="s">
        <v>27</v>
      </c>
      <c r="R11" s="108">
        <f>+R10*4%</f>
        <v>41.128800000000005</v>
      </c>
      <c r="S11" s="104">
        <f>+S10*4%</f>
        <v>41.963600000000007</v>
      </c>
      <c r="T11" s="108">
        <f>+T10*4%</f>
        <v>43.8536</v>
      </c>
      <c r="U11" s="108">
        <f>+U10*4%</f>
        <v>43.35</v>
      </c>
      <c r="V11" s="108">
        <f t="shared" ref="V11:AQ11" si="2">+V10*4%</f>
        <v>44.22</v>
      </c>
      <c r="W11" s="108">
        <f t="shared" si="2"/>
        <v>45.423999999999999</v>
      </c>
      <c r="X11" s="108">
        <f t="shared" si="2"/>
        <v>47.75</v>
      </c>
      <c r="Y11" s="108">
        <f t="shared" si="2"/>
        <v>49.550000000000004</v>
      </c>
      <c r="Z11" s="108">
        <f t="shared" si="2"/>
        <v>50.28</v>
      </c>
      <c r="AA11" s="108">
        <f t="shared" si="2"/>
        <v>52.45</v>
      </c>
      <c r="AB11" s="108">
        <f t="shared" si="2"/>
        <v>56.800000000000004</v>
      </c>
      <c r="AC11" s="108">
        <f t="shared" si="2"/>
        <v>55.325589041095895</v>
      </c>
      <c r="AD11" s="108">
        <f t="shared" si="2"/>
        <v>55.30014716408219</v>
      </c>
      <c r="AE11" s="108">
        <f t="shared" si="2"/>
        <v>55.140928767123285</v>
      </c>
      <c r="AF11" s="108" t="e">
        <f t="shared" si="2"/>
        <v>#REF!</v>
      </c>
      <c r="AG11" s="108" t="e">
        <f t="shared" si="2"/>
        <v>#REF!</v>
      </c>
      <c r="AH11" s="108" t="e">
        <f t="shared" si="2"/>
        <v>#REF!</v>
      </c>
      <c r="AI11" s="108" t="e">
        <f t="shared" si="2"/>
        <v>#REF!</v>
      </c>
      <c r="AJ11" s="108" t="e">
        <f t="shared" si="2"/>
        <v>#REF!</v>
      </c>
      <c r="AK11" s="108" t="e">
        <f t="shared" si="2"/>
        <v>#REF!</v>
      </c>
      <c r="AL11" s="108" t="e">
        <f t="shared" si="2"/>
        <v>#REF!</v>
      </c>
      <c r="AM11" s="108" t="e">
        <f t="shared" si="2"/>
        <v>#REF!</v>
      </c>
      <c r="AN11" s="108" t="e">
        <f t="shared" si="2"/>
        <v>#REF!</v>
      </c>
      <c r="AO11" s="108" t="e">
        <f t="shared" si="2"/>
        <v>#REF!</v>
      </c>
      <c r="AP11" s="108" t="e">
        <f t="shared" si="2"/>
        <v>#REF!</v>
      </c>
      <c r="AQ11" s="108" t="e">
        <f t="shared" si="2"/>
        <v>#REF!</v>
      </c>
      <c r="AR11" s="108" t="e">
        <f>+AR10*4%</f>
        <v>#REF!</v>
      </c>
      <c r="AS11" s="108" t="e">
        <f>+AS10*4%</f>
        <v>#REF!</v>
      </c>
      <c r="AT11" s="108" t="e">
        <f>+AT10*4%</f>
        <v>#REF!</v>
      </c>
      <c r="AU11" s="108" t="e">
        <f>+AU10*4%</f>
        <v>#REF!</v>
      </c>
      <c r="AV11" s="108" t="e">
        <f>+AV10*4%</f>
        <v>#REF!</v>
      </c>
      <c r="AW11" s="79"/>
      <c r="AX11" s="80"/>
      <c r="AY11" s="80"/>
    </row>
    <row r="12" spans="2:52" x14ac:dyDescent="0.35">
      <c r="B12" s="169" t="s">
        <v>95</v>
      </c>
      <c r="C12" s="84" t="e">
        <f>SUM(C10:C11)</f>
        <v>#REF!</v>
      </c>
      <c r="D12" s="84" t="e">
        <f t="shared" ref="D12:J12" si="3">SUM(D10:D11)</f>
        <v>#REF!</v>
      </c>
      <c r="E12" s="84" t="e">
        <f t="shared" si="3"/>
        <v>#REF!</v>
      </c>
      <c r="F12" s="84" t="e">
        <f t="shared" si="3"/>
        <v>#REF!</v>
      </c>
      <c r="G12" s="84" t="e">
        <f t="shared" si="3"/>
        <v>#REF!</v>
      </c>
      <c r="H12" s="84" t="e">
        <f t="shared" si="3"/>
        <v>#REF!</v>
      </c>
      <c r="I12" s="84" t="e">
        <f t="shared" si="3"/>
        <v>#REF!</v>
      </c>
      <c r="J12" s="80">
        <f t="shared" si="3"/>
        <v>0</v>
      </c>
      <c r="K12" s="80"/>
      <c r="L12" s="169" t="s">
        <v>95</v>
      </c>
      <c r="M12" s="84" t="e">
        <f t="shared" ref="M12:O12" si="4">SUM(M10:M11)</f>
        <v>#REF!</v>
      </c>
      <c r="N12" s="84" t="e">
        <f t="shared" si="4"/>
        <v>#REF!</v>
      </c>
      <c r="O12" s="84" t="e">
        <f t="shared" si="4"/>
        <v>#REF!</v>
      </c>
      <c r="Q12" s="157" t="s">
        <v>30</v>
      </c>
      <c r="R12" s="158">
        <f>+R11+R10</f>
        <v>1069.3488</v>
      </c>
      <c r="S12" s="159">
        <f>+S11+S10</f>
        <v>1091.0536000000002</v>
      </c>
      <c r="T12" s="158">
        <f>+T11+T10</f>
        <v>1140.1935999999998</v>
      </c>
      <c r="U12" s="158">
        <f>+U11+U10</f>
        <v>1127.0999999999999</v>
      </c>
      <c r="V12" s="158">
        <f t="shared" ref="V12:AQ12" si="5">+V11+V10</f>
        <v>1149.72</v>
      </c>
      <c r="W12" s="158">
        <f t="shared" si="5"/>
        <v>1181.0239999999999</v>
      </c>
      <c r="X12" s="158">
        <f t="shared" si="5"/>
        <v>1241.5</v>
      </c>
      <c r="Y12" s="158">
        <f t="shared" si="5"/>
        <v>1288.3</v>
      </c>
      <c r="Z12" s="158">
        <f t="shared" si="5"/>
        <v>1307.28</v>
      </c>
      <c r="AA12" s="158">
        <f t="shared" si="5"/>
        <v>1363.7</v>
      </c>
      <c r="AB12" s="158">
        <f t="shared" si="5"/>
        <v>1476.8</v>
      </c>
      <c r="AC12" s="158">
        <f t="shared" si="5"/>
        <v>1438.4653150684931</v>
      </c>
      <c r="AD12" s="158">
        <f t="shared" si="5"/>
        <v>1437.8038262661369</v>
      </c>
      <c r="AE12" s="158">
        <f t="shared" si="5"/>
        <v>1433.6641479452055</v>
      </c>
      <c r="AF12" s="158" t="e">
        <f t="shared" si="5"/>
        <v>#REF!</v>
      </c>
      <c r="AG12" s="158" t="e">
        <f t="shared" si="5"/>
        <v>#REF!</v>
      </c>
      <c r="AH12" s="158" t="e">
        <f t="shared" si="5"/>
        <v>#REF!</v>
      </c>
      <c r="AI12" s="158" t="e">
        <f t="shared" si="5"/>
        <v>#REF!</v>
      </c>
      <c r="AJ12" s="158" t="e">
        <f t="shared" si="5"/>
        <v>#REF!</v>
      </c>
      <c r="AK12" s="158" t="e">
        <f t="shared" si="5"/>
        <v>#REF!</v>
      </c>
      <c r="AL12" s="158" t="e">
        <f t="shared" si="5"/>
        <v>#REF!</v>
      </c>
      <c r="AM12" s="158" t="e">
        <f t="shared" si="5"/>
        <v>#REF!</v>
      </c>
      <c r="AN12" s="158" t="e">
        <f t="shared" si="5"/>
        <v>#REF!</v>
      </c>
      <c r="AO12" s="158" t="e">
        <f t="shared" si="5"/>
        <v>#REF!</v>
      </c>
      <c r="AP12" s="158" t="e">
        <f t="shared" si="5"/>
        <v>#REF!</v>
      </c>
      <c r="AQ12" s="158" t="e">
        <f t="shared" si="5"/>
        <v>#REF!</v>
      </c>
      <c r="AR12" s="158" t="e">
        <f>+AR11+AR10</f>
        <v>#REF!</v>
      </c>
      <c r="AS12" s="158" t="e">
        <f>+AS11+AS10</f>
        <v>#REF!</v>
      </c>
      <c r="AT12" s="158" t="e">
        <f>+AT11+AT10</f>
        <v>#REF!</v>
      </c>
      <c r="AU12" s="158" t="e">
        <f>+AU11+AU10</f>
        <v>#REF!</v>
      </c>
      <c r="AV12" s="158" t="e">
        <f>+AV11+AV10</f>
        <v>#REF!</v>
      </c>
      <c r="AW12" s="79" t="s">
        <v>141</v>
      </c>
      <c r="AX12" s="80"/>
      <c r="AY12" s="80"/>
    </row>
    <row r="13" spans="2:52" x14ac:dyDescent="0.35">
      <c r="B13" s="170" t="s">
        <v>129</v>
      </c>
      <c r="C13" s="80">
        <v>8.25</v>
      </c>
      <c r="D13" s="80">
        <v>8.2299999999999986</v>
      </c>
      <c r="E13" s="80">
        <f>8.2+0.03</f>
        <v>8.2299999999999986</v>
      </c>
      <c r="F13" s="80">
        <v>8.25</v>
      </c>
      <c r="G13" s="80">
        <v>11.200000000000001</v>
      </c>
      <c r="H13" s="80">
        <v>11.200000000000001</v>
      </c>
      <c r="I13" s="80">
        <v>11.23</v>
      </c>
      <c r="J13" s="80"/>
      <c r="L13" s="170" t="s">
        <v>129</v>
      </c>
      <c r="M13" s="80">
        <f>+C13</f>
        <v>8.25</v>
      </c>
      <c r="N13" s="80">
        <f>+F13</f>
        <v>8.25</v>
      </c>
      <c r="O13" s="80">
        <v>8.23</v>
      </c>
      <c r="Q13" s="160" t="s">
        <v>32</v>
      </c>
      <c r="R13" s="161">
        <f>+R12*(1-5%)</f>
        <v>1015.88136</v>
      </c>
      <c r="S13" s="161">
        <f t="shared" ref="S13:AM13" si="6">+S12*(1-5%)</f>
        <v>1036.5009200000002</v>
      </c>
      <c r="T13" s="161">
        <f t="shared" si="6"/>
        <v>1083.1839199999997</v>
      </c>
      <c r="U13" s="161">
        <f t="shared" si="6"/>
        <v>1070.7449999999999</v>
      </c>
      <c r="V13" s="161">
        <f t="shared" si="6"/>
        <v>1092.2339999999999</v>
      </c>
      <c r="W13" s="161">
        <f t="shared" si="6"/>
        <v>1121.9727999999998</v>
      </c>
      <c r="X13" s="161">
        <f t="shared" si="6"/>
        <v>1179.425</v>
      </c>
      <c r="Y13" s="161">
        <f t="shared" si="6"/>
        <v>1223.885</v>
      </c>
      <c r="Z13" s="161">
        <f t="shared" si="6"/>
        <v>1241.9159999999999</v>
      </c>
      <c r="AA13" s="161">
        <f t="shared" si="6"/>
        <v>1295.5149999999999</v>
      </c>
      <c r="AB13" s="161">
        <f t="shared" si="6"/>
        <v>1402.9599999999998</v>
      </c>
      <c r="AC13" s="161">
        <f t="shared" si="6"/>
        <v>1366.5420493150684</v>
      </c>
      <c r="AD13" s="161">
        <f t="shared" si="6"/>
        <v>1365.9136349528299</v>
      </c>
      <c r="AE13" s="161">
        <f t="shared" si="6"/>
        <v>1361.9809405479452</v>
      </c>
      <c r="AF13" s="161" t="e">
        <f t="shared" si="6"/>
        <v>#REF!</v>
      </c>
      <c r="AG13" s="161" t="e">
        <f t="shared" si="6"/>
        <v>#REF!</v>
      </c>
      <c r="AH13" s="161" t="e">
        <f t="shared" si="6"/>
        <v>#REF!</v>
      </c>
      <c r="AI13" s="161" t="e">
        <f t="shared" si="6"/>
        <v>#REF!</v>
      </c>
      <c r="AJ13" s="161" t="e">
        <f t="shared" si="6"/>
        <v>#REF!</v>
      </c>
      <c r="AK13" s="161" t="e">
        <f t="shared" si="6"/>
        <v>#REF!</v>
      </c>
      <c r="AL13" s="161" t="e">
        <f t="shared" si="6"/>
        <v>#REF!</v>
      </c>
      <c r="AM13" s="161" t="e">
        <f t="shared" si="6"/>
        <v>#REF!</v>
      </c>
      <c r="AN13" s="161">
        <v>1267</v>
      </c>
      <c r="AO13" s="161" t="e">
        <f t="shared" ref="AO13:AQ13" si="7">+AO12*(1-5%)</f>
        <v>#REF!</v>
      </c>
      <c r="AP13" s="161" t="e">
        <f t="shared" si="7"/>
        <v>#REF!</v>
      </c>
      <c r="AQ13" s="161" t="e">
        <f t="shared" si="7"/>
        <v>#REF!</v>
      </c>
      <c r="AR13" s="161" t="e">
        <f>+AR12*(1-5%)</f>
        <v>#REF!</v>
      </c>
      <c r="AS13" s="161" t="e">
        <f>+AS12*(1-5%)</f>
        <v>#REF!</v>
      </c>
      <c r="AT13" s="161" t="e">
        <f>+AT12*(1-5%)</f>
        <v>#REF!</v>
      </c>
      <c r="AU13" s="161" t="e">
        <f>+AU12*(1-5%)</f>
        <v>#REF!</v>
      </c>
      <c r="AV13" s="161" t="e">
        <f>+AV12*(1-5%)</f>
        <v>#REF!</v>
      </c>
      <c r="AW13" s="203"/>
      <c r="AX13" s="204"/>
      <c r="AY13" s="205"/>
      <c r="AZ13" s="206"/>
    </row>
    <row r="14" spans="2:52" x14ac:dyDescent="0.35">
      <c r="B14" s="170" t="s">
        <v>131</v>
      </c>
      <c r="C14" s="80">
        <v>0</v>
      </c>
      <c r="D14" s="80"/>
      <c r="E14" s="80"/>
      <c r="F14" s="80">
        <v>0</v>
      </c>
      <c r="G14" s="80"/>
      <c r="H14" s="80"/>
      <c r="I14" s="80">
        <v>0</v>
      </c>
      <c r="J14" s="80"/>
      <c r="L14" s="170" t="s">
        <v>131</v>
      </c>
      <c r="M14" s="80">
        <f>(M15-M13)</f>
        <v>19.12</v>
      </c>
      <c r="N14" s="80">
        <f>(N15-N13)</f>
        <v>19.14</v>
      </c>
      <c r="O14" s="80">
        <v>19.09</v>
      </c>
      <c r="Q14" s="160"/>
      <c r="R14" s="161"/>
      <c r="S14" s="161"/>
      <c r="T14" s="161"/>
      <c r="U14" s="161"/>
      <c r="V14" s="161"/>
      <c r="W14" s="161"/>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1"/>
      <c r="AU14" s="161"/>
      <c r="AV14" s="161"/>
      <c r="AW14" s="203"/>
      <c r="AX14" s="204"/>
      <c r="AY14" s="205"/>
      <c r="AZ14" s="206"/>
    </row>
    <row r="15" spans="2:52" x14ac:dyDescent="0.35">
      <c r="B15" s="169" t="s">
        <v>132</v>
      </c>
      <c r="C15" s="80">
        <f>+C13+C14</f>
        <v>8.25</v>
      </c>
      <c r="D15" s="80">
        <f t="shared" ref="D15:I15" si="8">+D13+D14</f>
        <v>8.2299999999999986</v>
      </c>
      <c r="E15" s="80">
        <f t="shared" si="8"/>
        <v>8.2299999999999986</v>
      </c>
      <c r="F15" s="80">
        <f t="shared" si="8"/>
        <v>8.25</v>
      </c>
      <c r="G15" s="80">
        <f t="shared" si="8"/>
        <v>11.200000000000001</v>
      </c>
      <c r="H15" s="80">
        <f t="shared" si="8"/>
        <v>11.200000000000001</v>
      </c>
      <c r="I15" s="80">
        <f t="shared" si="8"/>
        <v>11.23</v>
      </c>
      <c r="J15" s="80"/>
      <c r="L15" s="169" t="s">
        <v>132</v>
      </c>
      <c r="M15" s="80">
        <v>27.37</v>
      </c>
      <c r="N15" s="80">
        <v>27.39</v>
      </c>
      <c r="O15" s="80">
        <v>2.1800000000000002</v>
      </c>
      <c r="Q15" s="128" t="s">
        <v>100</v>
      </c>
      <c r="R15" s="128" t="s">
        <v>18</v>
      </c>
      <c r="S15" s="128" t="s">
        <v>18</v>
      </c>
      <c r="T15" s="128" t="s">
        <v>18</v>
      </c>
      <c r="U15" s="128" t="s">
        <v>18</v>
      </c>
      <c r="V15" s="128" t="s">
        <v>18</v>
      </c>
      <c r="W15" s="128" t="s">
        <v>18</v>
      </c>
      <c r="X15" s="128" t="s">
        <v>18</v>
      </c>
      <c r="Y15" s="128" t="s">
        <v>18</v>
      </c>
      <c r="Z15" s="128" t="s">
        <v>18</v>
      </c>
      <c r="AA15" s="128" t="s">
        <v>18</v>
      </c>
      <c r="AB15" s="128" t="s">
        <v>18</v>
      </c>
      <c r="AC15" s="128" t="s">
        <v>18</v>
      </c>
      <c r="AD15" s="128" t="s">
        <v>18</v>
      </c>
      <c r="AE15" s="128" t="s">
        <v>18</v>
      </c>
      <c r="AF15" s="128" t="s">
        <v>18</v>
      </c>
      <c r="AG15" s="128" t="s">
        <v>18</v>
      </c>
      <c r="AH15" s="128" t="s">
        <v>18</v>
      </c>
      <c r="AI15" s="128" t="s">
        <v>18</v>
      </c>
      <c r="AJ15" s="129">
        <v>0</v>
      </c>
      <c r="AK15" s="129">
        <f>+AY15</f>
        <v>0</v>
      </c>
      <c r="AL15" s="129">
        <v>15.097681007201158</v>
      </c>
      <c r="AM15" s="129">
        <v>15.162458159293488</v>
      </c>
      <c r="AN15" s="129">
        <f t="shared" ref="AN15:AU15" si="9">((((AN13*4.5%)/365)*210))*50%</f>
        <v>16.401575342465755</v>
      </c>
      <c r="AO15" s="129" t="e">
        <f t="shared" si="9"/>
        <v>#REF!</v>
      </c>
      <c r="AP15" s="129" t="e">
        <f t="shared" si="9"/>
        <v>#REF!</v>
      </c>
      <c r="AQ15" s="129" t="e">
        <f t="shared" si="9"/>
        <v>#REF!</v>
      </c>
      <c r="AR15" s="129" t="e">
        <f t="shared" si="9"/>
        <v>#REF!</v>
      </c>
      <c r="AS15" s="129" t="e">
        <f t="shared" si="9"/>
        <v>#REF!</v>
      </c>
      <c r="AT15" s="129" t="e">
        <f t="shared" si="9"/>
        <v>#REF!</v>
      </c>
      <c r="AU15" s="129" t="e">
        <f t="shared" si="9"/>
        <v>#REF!</v>
      </c>
      <c r="AV15" s="129" t="e">
        <f>((((AV13*4.5%)/365)*210))*50%</f>
        <v>#REF!</v>
      </c>
      <c r="AW15" s="203"/>
      <c r="AX15" s="204"/>
      <c r="AY15" s="207"/>
      <c r="AZ15" s="206"/>
    </row>
    <row r="16" spans="2:52" x14ac:dyDescent="0.35">
      <c r="B16" s="170" t="s">
        <v>31</v>
      </c>
      <c r="C16" s="80">
        <v>1.92</v>
      </c>
      <c r="D16" s="80">
        <v>1.5</v>
      </c>
      <c r="E16" s="80">
        <v>1.83</v>
      </c>
      <c r="F16" s="80">
        <v>2.2200000000000002</v>
      </c>
      <c r="G16" s="80">
        <v>3.45</v>
      </c>
      <c r="H16" s="80">
        <v>3.45</v>
      </c>
      <c r="I16" s="80">
        <v>4.13</v>
      </c>
      <c r="J16" s="80"/>
      <c r="L16" s="170" t="s">
        <v>31</v>
      </c>
      <c r="M16" s="80">
        <v>0.9</v>
      </c>
      <c r="N16" s="80">
        <v>2.1800000000000002</v>
      </c>
      <c r="O16" s="80">
        <v>4.3</v>
      </c>
      <c r="Q16" s="179" t="s">
        <v>101</v>
      </c>
      <c r="R16" s="179"/>
      <c r="S16" s="179"/>
      <c r="T16" s="179"/>
      <c r="U16" s="179"/>
      <c r="V16" s="179"/>
      <c r="W16" s="179"/>
      <c r="X16" s="179"/>
      <c r="Y16" s="179"/>
      <c r="Z16" s="179"/>
      <c r="AA16" s="179"/>
      <c r="AB16" s="179"/>
      <c r="AC16" s="179"/>
      <c r="AD16" s="179"/>
      <c r="AE16" s="179"/>
      <c r="AF16" s="179"/>
      <c r="AG16" s="179"/>
      <c r="AH16" s="179"/>
      <c r="AI16" s="179"/>
      <c r="AJ16" s="180"/>
      <c r="AK16" s="180" t="e">
        <f t="shared" ref="AK16:AQ16" si="10">+AK13+AK15</f>
        <v>#REF!</v>
      </c>
      <c r="AL16" s="180" t="e">
        <f t="shared" si="10"/>
        <v>#REF!</v>
      </c>
      <c r="AM16" s="180" t="e">
        <f t="shared" si="10"/>
        <v>#REF!</v>
      </c>
      <c r="AN16" s="180">
        <f t="shared" si="10"/>
        <v>1283.4015753424658</v>
      </c>
      <c r="AO16" s="180" t="e">
        <f t="shared" si="10"/>
        <v>#REF!</v>
      </c>
      <c r="AP16" s="180" t="e">
        <f t="shared" si="10"/>
        <v>#REF!</v>
      </c>
      <c r="AQ16" s="180" t="e">
        <f t="shared" si="10"/>
        <v>#REF!</v>
      </c>
      <c r="AR16" s="180" t="e">
        <f>+AR13+AR15</f>
        <v>#REF!</v>
      </c>
      <c r="AS16" s="180" t="e">
        <f>+AS13+AS15</f>
        <v>#REF!</v>
      </c>
      <c r="AT16" s="180" t="e">
        <f>+AT13+AT15</f>
        <v>#REF!</v>
      </c>
      <c r="AU16" s="180" t="e">
        <f>+AU13+AU15</f>
        <v>#REF!</v>
      </c>
      <c r="AV16" s="180" t="e">
        <f>+AV13+AV15</f>
        <v>#REF!</v>
      </c>
      <c r="AW16" s="203"/>
      <c r="AX16" s="204"/>
      <c r="AY16" s="205"/>
      <c r="AZ16" s="206"/>
    </row>
    <row r="17" spans="1:53" x14ac:dyDescent="0.35">
      <c r="A17" s="81" t="s">
        <v>38</v>
      </c>
      <c r="B17" s="170" t="s">
        <v>34</v>
      </c>
      <c r="C17" s="80">
        <v>0.19</v>
      </c>
      <c r="D17" s="80">
        <v>0.19</v>
      </c>
      <c r="E17" s="80">
        <v>0.19</v>
      </c>
      <c r="F17" s="80">
        <v>0.19</v>
      </c>
      <c r="G17" s="80">
        <v>0.33</v>
      </c>
      <c r="H17" s="80">
        <v>0.33</v>
      </c>
      <c r="I17" s="80">
        <v>0.33</v>
      </c>
      <c r="J17" s="80"/>
      <c r="L17" s="170" t="s">
        <v>34</v>
      </c>
      <c r="M17" s="80">
        <v>4.3</v>
      </c>
      <c r="N17" s="80">
        <v>4.3</v>
      </c>
      <c r="O17" s="80">
        <v>8.36</v>
      </c>
      <c r="Q17" s="157" t="s">
        <v>96</v>
      </c>
      <c r="R17" s="158">
        <f t="shared" ref="R17:AH17" si="11">+R12*75%+R13*25%</f>
        <v>1055.9819400000001</v>
      </c>
      <c r="S17" s="158">
        <f t="shared" si="11"/>
        <v>1077.4154300000002</v>
      </c>
      <c r="T17" s="158">
        <f t="shared" si="11"/>
        <v>1125.9411799999998</v>
      </c>
      <c r="U17" s="158">
        <f t="shared" si="11"/>
        <v>1113.01125</v>
      </c>
      <c r="V17" s="158">
        <f t="shared" si="11"/>
        <v>1135.3485000000001</v>
      </c>
      <c r="W17" s="158">
        <f t="shared" si="11"/>
        <v>1166.2611999999999</v>
      </c>
      <c r="X17" s="158">
        <f t="shared" si="11"/>
        <v>1225.98125</v>
      </c>
      <c r="Y17" s="158">
        <f t="shared" si="11"/>
        <v>1272.19625</v>
      </c>
      <c r="Z17" s="158">
        <f t="shared" si="11"/>
        <v>1290.9390000000001</v>
      </c>
      <c r="AA17" s="158">
        <f t="shared" si="11"/>
        <v>1346.6537499999999</v>
      </c>
      <c r="AB17" s="158">
        <f t="shared" si="11"/>
        <v>1458.34</v>
      </c>
      <c r="AC17" s="158">
        <f t="shared" si="11"/>
        <v>1420.4844986301368</v>
      </c>
      <c r="AD17" s="158">
        <f t="shared" si="11"/>
        <v>1419.8312784378102</v>
      </c>
      <c r="AE17" s="158">
        <f t="shared" si="11"/>
        <v>1415.7433460958905</v>
      </c>
      <c r="AF17" s="158" t="e">
        <f t="shared" si="11"/>
        <v>#REF!</v>
      </c>
      <c r="AG17" s="158" t="e">
        <f t="shared" si="11"/>
        <v>#REF!</v>
      </c>
      <c r="AH17" s="158" t="e">
        <f t="shared" si="11"/>
        <v>#REF!</v>
      </c>
      <c r="AI17" s="158" t="e">
        <f>+AI12*50%+AI13*50%</f>
        <v>#REF!</v>
      </c>
      <c r="AJ17" s="158" t="e">
        <f>+AJ12*50%+AJ13*50%</f>
        <v>#REF!</v>
      </c>
      <c r="AK17" s="158" t="e">
        <f t="shared" ref="AK17:AQ17" si="12">+AK12*50%+AK16*50%</f>
        <v>#REF!</v>
      </c>
      <c r="AL17" s="158" t="e">
        <f t="shared" si="12"/>
        <v>#REF!</v>
      </c>
      <c r="AM17" s="158" t="e">
        <f t="shared" si="12"/>
        <v>#REF!</v>
      </c>
      <c r="AN17" s="158" t="e">
        <f t="shared" si="12"/>
        <v>#REF!</v>
      </c>
      <c r="AO17" s="158" t="e">
        <f t="shared" si="12"/>
        <v>#REF!</v>
      </c>
      <c r="AP17" s="158" t="e">
        <f t="shared" si="12"/>
        <v>#REF!</v>
      </c>
      <c r="AQ17" s="158" t="e">
        <f t="shared" si="12"/>
        <v>#REF!</v>
      </c>
      <c r="AR17" s="158" t="e">
        <f>+AR12*50%+AR16*50%</f>
        <v>#REF!</v>
      </c>
      <c r="AS17" s="158" t="e">
        <f>+AS12*50%+AS16*50%</f>
        <v>#REF!</v>
      </c>
      <c r="AT17" s="158" t="e">
        <f>+AT12*50%+AT16*50%</f>
        <v>#REF!</v>
      </c>
      <c r="AU17" s="158" t="e">
        <f>+AU12*50%+AU16*50%</f>
        <v>#REF!</v>
      </c>
      <c r="AV17" s="158" t="e">
        <f>+AV12*50%+AV16*50%</f>
        <v>#REF!</v>
      </c>
      <c r="AW17" s="80"/>
      <c r="AX17" s="80"/>
      <c r="AY17" s="80"/>
    </row>
    <row r="18" spans="1:53" x14ac:dyDescent="0.35">
      <c r="B18" s="170" t="s">
        <v>36</v>
      </c>
      <c r="C18" s="80">
        <v>0.16</v>
      </c>
      <c r="D18" s="80">
        <v>0.16</v>
      </c>
      <c r="E18" s="80">
        <v>0.16</v>
      </c>
      <c r="F18" s="80">
        <v>0.16</v>
      </c>
      <c r="G18" s="80">
        <v>0.28000000000000003</v>
      </c>
      <c r="H18" s="80">
        <v>0.28000000000000003</v>
      </c>
      <c r="I18" s="80">
        <v>0.28000000000000003</v>
      </c>
      <c r="J18" s="80"/>
      <c r="L18" s="170" t="s">
        <v>36</v>
      </c>
      <c r="M18" s="80">
        <v>8.36</v>
      </c>
      <c r="N18" s="80">
        <v>8.36</v>
      </c>
      <c r="O18" s="84" t="e">
        <f t="shared" ref="O18" si="13">+O12+O13+O15+O16+O17+O14</f>
        <v>#REF!</v>
      </c>
      <c r="Q18" s="113" t="s">
        <v>37</v>
      </c>
      <c r="R18" s="118">
        <f>+R17*1%</f>
        <v>10.559819400000002</v>
      </c>
      <c r="S18" s="118">
        <f t="shared" ref="S18:AU18" si="14">+S17*1%</f>
        <v>10.774154300000003</v>
      </c>
      <c r="T18" s="118">
        <f t="shared" si="14"/>
        <v>11.259411799999999</v>
      </c>
      <c r="U18" s="118">
        <f t="shared" si="14"/>
        <v>11.130112500000001</v>
      </c>
      <c r="V18" s="118">
        <f t="shared" si="14"/>
        <v>11.353485000000001</v>
      </c>
      <c r="W18" s="118">
        <f t="shared" si="14"/>
        <v>11.662611999999999</v>
      </c>
      <c r="X18" s="118">
        <f t="shared" si="14"/>
        <v>12.259812500000001</v>
      </c>
      <c r="Y18" s="118">
        <f t="shared" si="14"/>
        <v>12.7219625</v>
      </c>
      <c r="Z18" s="118">
        <f t="shared" si="14"/>
        <v>12.909390000000002</v>
      </c>
      <c r="AA18" s="118">
        <f t="shared" si="14"/>
        <v>13.466537499999999</v>
      </c>
      <c r="AB18" s="118">
        <f t="shared" si="14"/>
        <v>14.583399999999999</v>
      </c>
      <c r="AC18" s="118">
        <f t="shared" si="14"/>
        <v>14.204844986301369</v>
      </c>
      <c r="AD18" s="118">
        <f t="shared" si="14"/>
        <v>14.198312784378102</v>
      </c>
      <c r="AE18" s="118">
        <f t="shared" si="14"/>
        <v>14.157433460958906</v>
      </c>
      <c r="AF18" s="118" t="e">
        <f t="shared" si="14"/>
        <v>#REF!</v>
      </c>
      <c r="AG18" s="118" t="e">
        <f t="shared" si="14"/>
        <v>#REF!</v>
      </c>
      <c r="AH18" s="118" t="e">
        <f t="shared" si="14"/>
        <v>#REF!</v>
      </c>
      <c r="AI18" s="118" t="e">
        <f t="shared" si="14"/>
        <v>#REF!</v>
      </c>
      <c r="AJ18" s="118" t="e">
        <f t="shared" si="14"/>
        <v>#REF!</v>
      </c>
      <c r="AK18" s="118" t="e">
        <f t="shared" si="14"/>
        <v>#REF!</v>
      </c>
      <c r="AL18" s="118" t="e">
        <f t="shared" si="14"/>
        <v>#REF!</v>
      </c>
      <c r="AM18" s="118" t="e">
        <f t="shared" si="14"/>
        <v>#REF!</v>
      </c>
      <c r="AN18" s="118" t="e">
        <f t="shared" si="14"/>
        <v>#REF!</v>
      </c>
      <c r="AO18" s="118" t="e">
        <f t="shared" si="14"/>
        <v>#REF!</v>
      </c>
      <c r="AP18" s="118" t="e">
        <f t="shared" si="14"/>
        <v>#REF!</v>
      </c>
      <c r="AQ18" s="118" t="e">
        <f t="shared" si="14"/>
        <v>#REF!</v>
      </c>
      <c r="AR18" s="118" t="e">
        <f t="shared" si="14"/>
        <v>#REF!</v>
      </c>
      <c r="AS18" s="118" t="e">
        <f t="shared" si="14"/>
        <v>#REF!</v>
      </c>
      <c r="AT18" s="118" t="e">
        <f t="shared" si="14"/>
        <v>#REF!</v>
      </c>
      <c r="AU18" s="118" t="e">
        <f t="shared" si="14"/>
        <v>#REF!</v>
      </c>
      <c r="AV18" s="118" t="e">
        <f t="shared" ref="AV18" si="15">+AV17*1%</f>
        <v>#REF!</v>
      </c>
      <c r="AW18" s="79"/>
      <c r="AX18" s="80"/>
      <c r="AY18" s="84"/>
    </row>
    <row r="19" spans="1:53" x14ac:dyDescent="0.35">
      <c r="B19" s="169" t="s">
        <v>39</v>
      </c>
      <c r="C19" s="84" t="e">
        <f>+C12+C15+C16+C17+C18</f>
        <v>#REF!</v>
      </c>
      <c r="D19" s="84" t="e">
        <f t="shared" ref="D19:I19" si="16">+D12+D15+D16+D17+D18</f>
        <v>#REF!</v>
      </c>
      <c r="E19" s="84" t="e">
        <f t="shared" si="16"/>
        <v>#REF!</v>
      </c>
      <c r="F19" s="84" t="e">
        <f t="shared" si="16"/>
        <v>#REF!</v>
      </c>
      <c r="G19" s="84" t="e">
        <f t="shared" si="16"/>
        <v>#REF!</v>
      </c>
      <c r="H19" s="84" t="e">
        <f t="shared" si="16"/>
        <v>#REF!</v>
      </c>
      <c r="I19" s="84" t="e">
        <f t="shared" si="16"/>
        <v>#REF!</v>
      </c>
      <c r="J19" s="84"/>
      <c r="L19" s="169" t="s">
        <v>39</v>
      </c>
      <c r="M19" s="84" t="e">
        <f>+M12+M15+M16+M17+M18</f>
        <v>#REF!</v>
      </c>
      <c r="N19" s="84" t="e">
        <f t="shared" ref="N19" si="17">+N12+N15+N16+N17+N18</f>
        <v>#REF!</v>
      </c>
      <c r="Q19" s="113" t="s">
        <v>74</v>
      </c>
      <c r="R19" s="115">
        <f>+R18+R17</f>
        <v>1066.5417594</v>
      </c>
      <c r="S19" s="115">
        <f t="shared" ref="S19:AU19" si="18">+S18+S17</f>
        <v>1088.1895843000002</v>
      </c>
      <c r="T19" s="115">
        <f t="shared" si="18"/>
        <v>1137.2005917999998</v>
      </c>
      <c r="U19" s="115">
        <f t="shared" si="18"/>
        <v>1124.1413625</v>
      </c>
      <c r="V19" s="115">
        <f t="shared" si="18"/>
        <v>1146.7019850000001</v>
      </c>
      <c r="W19" s="115">
        <f t="shared" si="18"/>
        <v>1177.923812</v>
      </c>
      <c r="X19" s="115">
        <f t="shared" si="18"/>
        <v>1238.2410625</v>
      </c>
      <c r="Y19" s="115">
        <f t="shared" si="18"/>
        <v>1284.9182125</v>
      </c>
      <c r="Z19" s="115">
        <f t="shared" si="18"/>
        <v>1303.8483900000001</v>
      </c>
      <c r="AA19" s="115">
        <f t="shared" si="18"/>
        <v>1360.1202874999999</v>
      </c>
      <c r="AB19" s="115">
        <f t="shared" si="18"/>
        <v>1472.9233999999999</v>
      </c>
      <c r="AC19" s="115">
        <f t="shared" si="18"/>
        <v>1434.6893436164382</v>
      </c>
      <c r="AD19" s="115">
        <f t="shared" si="18"/>
        <v>1434.0295912221882</v>
      </c>
      <c r="AE19" s="115">
        <f t="shared" si="18"/>
        <v>1429.9007795568493</v>
      </c>
      <c r="AF19" s="115" t="e">
        <f t="shared" si="18"/>
        <v>#REF!</v>
      </c>
      <c r="AG19" s="115" t="e">
        <f t="shared" si="18"/>
        <v>#REF!</v>
      </c>
      <c r="AH19" s="115" t="e">
        <f t="shared" si="18"/>
        <v>#REF!</v>
      </c>
      <c r="AI19" s="115" t="e">
        <f t="shared" si="18"/>
        <v>#REF!</v>
      </c>
      <c r="AJ19" s="115" t="e">
        <f t="shared" si="18"/>
        <v>#REF!</v>
      </c>
      <c r="AK19" s="115" t="e">
        <f t="shared" si="18"/>
        <v>#REF!</v>
      </c>
      <c r="AL19" s="115" t="e">
        <f t="shared" si="18"/>
        <v>#REF!</v>
      </c>
      <c r="AM19" s="115" t="e">
        <f t="shared" si="18"/>
        <v>#REF!</v>
      </c>
      <c r="AN19" s="115" t="e">
        <f t="shared" si="18"/>
        <v>#REF!</v>
      </c>
      <c r="AO19" s="115" t="e">
        <f t="shared" si="18"/>
        <v>#REF!</v>
      </c>
      <c r="AP19" s="115" t="e">
        <f t="shared" si="18"/>
        <v>#REF!</v>
      </c>
      <c r="AQ19" s="115" t="e">
        <f t="shared" si="18"/>
        <v>#REF!</v>
      </c>
      <c r="AR19" s="115" t="e">
        <f t="shared" si="18"/>
        <v>#REF!</v>
      </c>
      <c r="AS19" s="115" t="e">
        <f t="shared" si="18"/>
        <v>#REF!</v>
      </c>
      <c r="AT19" s="115" t="e">
        <f t="shared" si="18"/>
        <v>#REF!</v>
      </c>
      <c r="AU19" s="115" t="e">
        <f t="shared" si="18"/>
        <v>#REF!</v>
      </c>
      <c r="AV19" s="115" t="e">
        <f t="shared" ref="AV19" si="19">+AV18+AV17</f>
        <v>#REF!</v>
      </c>
      <c r="AW19" s="181"/>
      <c r="AX19" s="84"/>
      <c r="AY19" s="84"/>
      <c r="BA19" s="182"/>
    </row>
    <row r="20" spans="1:53" x14ac:dyDescent="0.35">
      <c r="O20" s="84"/>
      <c r="Q20" s="85"/>
      <c r="R20" s="120" t="e">
        <f>+#REF!</f>
        <v>#REF!</v>
      </c>
      <c r="S20" s="120" t="e">
        <f>+R20</f>
        <v>#REF!</v>
      </c>
      <c r="T20" s="120" t="e">
        <f>+S20</f>
        <v>#REF!</v>
      </c>
      <c r="U20" s="120" t="e">
        <f>+T20</f>
        <v>#REF!</v>
      </c>
      <c r="V20" s="120" t="e">
        <f t="shared" ref="V20:AG20" si="20">+U20</f>
        <v>#REF!</v>
      </c>
      <c r="W20" s="120" t="e">
        <f t="shared" si="20"/>
        <v>#REF!</v>
      </c>
      <c r="X20" s="120" t="e">
        <f t="shared" si="20"/>
        <v>#REF!</v>
      </c>
      <c r="Y20" s="120" t="e">
        <f t="shared" si="20"/>
        <v>#REF!</v>
      </c>
      <c r="Z20" s="120" t="e">
        <f t="shared" si="20"/>
        <v>#REF!</v>
      </c>
      <c r="AA20" s="120" t="e">
        <f t="shared" si="20"/>
        <v>#REF!</v>
      </c>
      <c r="AB20" s="120" t="e">
        <f t="shared" si="20"/>
        <v>#REF!</v>
      </c>
      <c r="AC20" s="120" t="e">
        <f t="shared" si="20"/>
        <v>#REF!</v>
      </c>
      <c r="AD20" s="120" t="e">
        <f t="shared" si="20"/>
        <v>#REF!</v>
      </c>
      <c r="AE20" s="120" t="e">
        <f t="shared" si="20"/>
        <v>#REF!</v>
      </c>
      <c r="AF20" s="120" t="e">
        <f t="shared" si="20"/>
        <v>#REF!</v>
      </c>
      <c r="AG20" s="120" t="e">
        <f t="shared" si="20"/>
        <v>#REF!</v>
      </c>
      <c r="AH20" s="120"/>
      <c r="AI20" s="120"/>
      <c r="AJ20" s="120"/>
      <c r="AK20" s="120"/>
      <c r="AL20" s="120"/>
      <c r="AM20" s="120"/>
      <c r="AN20" s="120"/>
      <c r="AO20" s="120"/>
      <c r="AP20" s="120"/>
      <c r="AQ20" s="120"/>
      <c r="AR20" s="120"/>
      <c r="AS20" s="120"/>
      <c r="AT20" s="120"/>
      <c r="AU20" s="120"/>
      <c r="AV20" s="120"/>
      <c r="AX20" s="84"/>
      <c r="AY20" s="82"/>
    </row>
    <row r="21" spans="1:53" x14ac:dyDescent="0.35">
      <c r="B21" s="169"/>
      <c r="C21" s="84"/>
      <c r="D21" s="84"/>
      <c r="E21" s="84"/>
      <c r="F21" s="84"/>
      <c r="G21" s="84"/>
      <c r="H21" s="84"/>
      <c r="I21" s="84"/>
      <c r="J21" s="84"/>
      <c r="K21" s="94"/>
      <c r="M21" s="84"/>
      <c r="N21" s="84"/>
      <c r="Q21" s="82"/>
      <c r="R21" s="82"/>
      <c r="S21" s="82"/>
      <c r="U21" s="94"/>
      <c r="V21" s="94"/>
      <c r="W21" s="94"/>
      <c r="X21" s="94"/>
      <c r="Y21" s="94"/>
      <c r="Z21" s="94"/>
      <c r="AA21" s="94"/>
      <c r="AB21" s="94"/>
      <c r="AC21" s="94"/>
      <c r="AD21" s="94"/>
      <c r="AE21" s="94"/>
      <c r="AF21" s="94"/>
      <c r="AG21" s="94"/>
      <c r="AH21" s="94"/>
      <c r="AI21" s="94"/>
      <c r="AJ21" s="94"/>
      <c r="AK21" s="94"/>
      <c r="AL21" s="94"/>
      <c r="AM21" s="94"/>
      <c r="AN21" s="94"/>
      <c r="AO21" s="94"/>
      <c r="AP21" s="94"/>
      <c r="AQ21" s="94"/>
      <c r="AR21" s="94"/>
      <c r="AS21" s="94"/>
      <c r="AT21" s="94"/>
      <c r="AU21" s="94"/>
      <c r="AV21" s="94"/>
      <c r="AX21" s="82"/>
      <c r="AY21" s="82"/>
    </row>
    <row r="22" spans="1:53" x14ac:dyDescent="0.35">
      <c r="C22" s="132"/>
      <c r="D22" s="132"/>
      <c r="E22" s="132"/>
      <c r="F22" s="132"/>
      <c r="G22" s="132"/>
      <c r="H22" s="132"/>
      <c r="I22" s="132"/>
      <c r="K22" s="94"/>
      <c r="AX22" s="82"/>
    </row>
    <row r="23" spans="1:53" x14ac:dyDescent="0.35">
      <c r="M23" s="86"/>
      <c r="O23" s="201"/>
    </row>
    <row r="24" spans="1:53" x14ac:dyDescent="0.35">
      <c r="C24" s="201"/>
      <c r="F24" s="201"/>
      <c r="I24" s="201"/>
      <c r="M24" s="201"/>
      <c r="N24" s="201"/>
    </row>
    <row r="25" spans="1:53" x14ac:dyDescent="0.35">
      <c r="F25" s="201">
        <f>+F24-F22</f>
        <v>0</v>
      </c>
    </row>
    <row r="27" spans="1:53" x14ac:dyDescent="0.35">
      <c r="AH27" s="164"/>
    </row>
    <row r="28" spans="1:53" x14ac:dyDescent="0.35">
      <c r="N28" s="123"/>
    </row>
    <row r="34" spans="1:53" s="82" customFormat="1" x14ac:dyDescent="0.35">
      <c r="A34" s="81"/>
      <c r="B34" s="173"/>
      <c r="J34" s="81"/>
      <c r="K34" s="81"/>
      <c r="L34" s="173"/>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c r="AY34" s="81"/>
      <c r="AZ34" s="81"/>
      <c r="BA34" s="81"/>
    </row>
    <row r="35" spans="1:53" x14ac:dyDescent="0.35">
      <c r="B35" s="173" t="s">
        <v>51</v>
      </c>
    </row>
  </sheetData>
  <mergeCells count="6">
    <mergeCell ref="Q1:AY1"/>
    <mergeCell ref="B2:D2"/>
    <mergeCell ref="Q2:R2"/>
    <mergeCell ref="AW2:AX2"/>
    <mergeCell ref="B3:D3"/>
    <mergeCell ref="AW3:AX3"/>
  </mergeCells>
  <pageMargins left="0.7" right="0.7" top="0.75" bottom="0.75" header="0.3" footer="0.3"/>
  <pageSetup orientation="portrait" r:id="rId1"/>
  <customProperties>
    <customPr name="EpmWorksheetKeyString_GUID" r:id="rId2"/>
  </customProperties>
  <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BB35"/>
  <sheetViews>
    <sheetView topLeftCell="B1" zoomScale="90" zoomScaleNormal="90" workbookViewId="0">
      <selection activeCell="F3" sqref="F3"/>
    </sheetView>
  </sheetViews>
  <sheetFormatPr defaultColWidth="11.453125" defaultRowHeight="14.5" x14ac:dyDescent="0.35"/>
  <cols>
    <col min="1" max="1" width="3.453125" style="81" customWidth="1"/>
    <col min="2" max="2" width="18.81640625" style="173" bestFit="1" customWidth="1"/>
    <col min="3" max="3" width="10.81640625" style="82" customWidth="1"/>
    <col min="4" max="5" width="10.54296875" style="82" hidden="1" customWidth="1"/>
    <col min="6" max="6" width="11" style="82" customWidth="1"/>
    <col min="7" max="7" width="11.1796875" style="82" hidden="1" customWidth="1"/>
    <col min="8" max="8" width="11" style="82" hidden="1" customWidth="1"/>
    <col min="9" max="9" width="11.54296875" style="82" customWidth="1"/>
    <col min="10" max="10" width="8.54296875" style="81" hidden="1" customWidth="1"/>
    <col min="11" max="11" width="2.81640625" style="81" customWidth="1"/>
    <col min="12" max="12" width="20" style="173" customWidth="1"/>
    <col min="13" max="14" width="10.81640625" style="82" customWidth="1"/>
    <col min="15" max="15" width="10.81640625" style="82" hidden="1" customWidth="1"/>
    <col min="16" max="16" width="2.81640625" style="81" customWidth="1"/>
    <col min="17" max="17" width="29.1796875" style="81" customWidth="1"/>
    <col min="18" max="18" width="16.1796875" style="81" hidden="1" customWidth="1"/>
    <col min="19" max="19" width="17.54296875" style="81" hidden="1" customWidth="1"/>
    <col min="20" max="20" width="14.54296875" style="81" hidden="1" customWidth="1"/>
    <col min="21" max="21" width="16" style="81" hidden="1" customWidth="1"/>
    <col min="22" max="22" width="17.81640625" style="81" hidden="1" customWidth="1"/>
    <col min="23" max="23" width="17.1796875" style="81" hidden="1" customWidth="1"/>
    <col min="24" max="29" width="14.453125" style="81" hidden="1" customWidth="1"/>
    <col min="30" max="30" width="16.453125" style="81" hidden="1" customWidth="1"/>
    <col min="31" max="33" width="14.81640625" style="81" hidden="1" customWidth="1"/>
    <col min="34" max="34" width="16.54296875" style="81" hidden="1" customWidth="1"/>
    <col min="35" max="36" width="17.54296875" style="81" hidden="1" customWidth="1"/>
    <col min="37" max="40" width="15.1796875" style="81" hidden="1" customWidth="1"/>
    <col min="41" max="41" width="13.81640625" style="81" hidden="1" customWidth="1"/>
    <col min="42" max="42" width="14.453125" style="81" hidden="1" customWidth="1"/>
    <col min="43" max="45" width="16.54296875" style="81" hidden="1" customWidth="1"/>
    <col min="46" max="46" width="15.81640625" style="81" hidden="1" customWidth="1"/>
    <col min="47" max="48" width="16.54296875" style="81" hidden="1" customWidth="1"/>
    <col min="49" max="49" width="16.54296875" style="81" bestFit="1" customWidth="1"/>
    <col min="50" max="53" width="11.453125" style="81" customWidth="1"/>
    <col min="54" max="16384" width="11.453125" style="81"/>
  </cols>
  <sheetData>
    <row r="1" spans="2:53" x14ac:dyDescent="0.35">
      <c r="B1" s="122"/>
      <c r="C1" s="86"/>
      <c r="D1" s="86"/>
      <c r="E1" s="86"/>
      <c r="F1" s="87"/>
      <c r="G1" s="87"/>
      <c r="H1" s="87"/>
      <c r="I1" s="87"/>
      <c r="J1" s="87"/>
      <c r="K1" s="87"/>
      <c r="L1" s="122"/>
      <c r="M1" s="87"/>
      <c r="N1" s="87"/>
      <c r="O1" s="87"/>
      <c r="Q1" s="574"/>
      <c r="R1" s="574"/>
      <c r="S1" s="574"/>
      <c r="T1" s="574"/>
      <c r="U1" s="574"/>
      <c r="V1" s="574"/>
      <c r="W1" s="574"/>
      <c r="X1" s="574"/>
      <c r="Y1" s="574"/>
      <c r="Z1" s="574"/>
      <c r="AA1" s="574"/>
      <c r="AB1" s="574"/>
      <c r="AC1" s="574"/>
      <c r="AD1" s="574"/>
      <c r="AE1" s="574"/>
      <c r="AF1" s="574"/>
      <c r="AG1" s="574"/>
      <c r="AH1" s="574"/>
      <c r="AI1" s="574"/>
      <c r="AJ1" s="574"/>
      <c r="AK1" s="574"/>
      <c r="AL1" s="574"/>
      <c r="AM1" s="574"/>
      <c r="AN1" s="574"/>
      <c r="AO1" s="574"/>
      <c r="AP1" s="574"/>
      <c r="AQ1" s="574"/>
      <c r="AR1" s="574"/>
      <c r="AS1" s="574"/>
      <c r="AT1" s="574"/>
      <c r="AU1" s="574"/>
      <c r="AV1" s="574"/>
      <c r="AW1" s="574"/>
      <c r="AX1" s="574"/>
      <c r="AY1" s="574"/>
      <c r="AZ1" s="574"/>
    </row>
    <row r="2" spans="2:53" s="142" customFormat="1" ht="15" customHeight="1" x14ac:dyDescent="0.35">
      <c r="B2" s="576" t="s">
        <v>66</v>
      </c>
      <c r="C2" s="576"/>
      <c r="D2" s="576"/>
      <c r="F2" s="141" t="e">
        <f>+AW12</f>
        <v>#REF!</v>
      </c>
      <c r="H2" s="141"/>
      <c r="I2" s="141"/>
      <c r="J2" s="143">
        <v>0.05</v>
      </c>
      <c r="K2" s="144"/>
      <c r="L2" s="171"/>
      <c r="M2" s="141"/>
      <c r="N2" s="141"/>
      <c r="O2" s="141"/>
      <c r="Q2" s="576"/>
      <c r="R2" s="576"/>
      <c r="S2" s="141"/>
      <c r="T2" s="143"/>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4"/>
      <c r="AV2" s="144"/>
      <c r="AW2" s="144"/>
      <c r="AX2" s="576"/>
      <c r="AY2" s="576"/>
      <c r="AZ2" s="141"/>
    </row>
    <row r="3" spans="2:53" s="133" customFormat="1" ht="15" customHeight="1" x14ac:dyDescent="0.35">
      <c r="B3" s="576" t="s">
        <v>67</v>
      </c>
      <c r="C3" s="576"/>
      <c r="D3" s="576"/>
      <c r="F3" s="134">
        <f>+AW16</f>
        <v>1344.6847602739726</v>
      </c>
      <c r="G3" s="135"/>
      <c r="H3" s="134"/>
      <c r="I3" s="134"/>
      <c r="J3" s="137" t="e">
        <f>+F2*J2</f>
        <v>#REF!</v>
      </c>
      <c r="K3" s="136"/>
      <c r="L3" s="200"/>
      <c r="M3" s="200"/>
      <c r="N3" s="134"/>
      <c r="O3" s="134"/>
      <c r="Q3" s="138"/>
      <c r="R3" s="139"/>
      <c r="S3" s="140"/>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577"/>
      <c r="AY3" s="577"/>
      <c r="AZ3" s="134"/>
    </row>
    <row r="4" spans="2:53" ht="23.5" hidden="1" x14ac:dyDescent="0.55000000000000004">
      <c r="B4" s="169"/>
      <c r="C4" s="92" t="e">
        <f>+(C10+C11)/C6*1000</f>
        <v>#REF!</v>
      </c>
      <c r="D4" s="92" t="e">
        <f>+(G10+G11)/G6*1000</f>
        <v>#REF!</v>
      </c>
      <c r="E4" s="92" t="e">
        <f>+(E10+E11)/E6*1000</f>
        <v>#REF!</v>
      </c>
      <c r="F4" s="92" t="e">
        <f>+(F10+F11)/F6*1000</f>
        <v>#REF!</v>
      </c>
      <c r="I4" s="92" t="e">
        <f>+(I10+I11)/I6*1000</f>
        <v>#REF!</v>
      </c>
      <c r="K4" s="88"/>
      <c r="L4" s="169"/>
      <c r="M4" s="92"/>
      <c r="N4" s="92"/>
      <c r="O4" s="92"/>
      <c r="Q4" s="93"/>
      <c r="R4" s="82"/>
      <c r="S4" s="90"/>
      <c r="T4" s="94"/>
      <c r="U4" s="88"/>
      <c r="V4" s="8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88"/>
      <c r="AW4" s="88"/>
      <c r="AX4" s="91"/>
      <c r="AY4" s="91"/>
      <c r="AZ4" s="78"/>
    </row>
    <row r="5" spans="2:53" s="95" customFormat="1" ht="33.75" customHeight="1" x14ac:dyDescent="0.35">
      <c r="B5" s="169" t="s">
        <v>5</v>
      </c>
      <c r="C5" s="85" t="s">
        <v>68</v>
      </c>
      <c r="D5" s="85" t="s">
        <v>69</v>
      </c>
      <c r="E5" s="85" t="s">
        <v>69</v>
      </c>
      <c r="F5" s="85" t="s">
        <v>69</v>
      </c>
      <c r="G5" s="85" t="s">
        <v>70</v>
      </c>
      <c r="H5" s="85" t="s">
        <v>70</v>
      </c>
      <c r="I5" s="85" t="s">
        <v>70</v>
      </c>
      <c r="J5" s="85"/>
      <c r="K5" s="88"/>
      <c r="L5" s="169" t="s">
        <v>71</v>
      </c>
      <c r="M5" s="96" t="s">
        <v>7</v>
      </c>
      <c r="N5" s="96" t="s">
        <v>8</v>
      </c>
      <c r="O5" s="96" t="s">
        <v>8</v>
      </c>
      <c r="Q5" s="147" t="s">
        <v>72</v>
      </c>
      <c r="R5" s="99" t="s">
        <v>54</v>
      </c>
      <c r="S5" s="99" t="s">
        <v>55</v>
      </c>
      <c r="T5" s="99" t="s">
        <v>56</v>
      </c>
      <c r="U5" s="99" t="s">
        <v>12</v>
      </c>
      <c r="V5" s="99" t="s">
        <v>57</v>
      </c>
      <c r="W5" s="99" t="s">
        <v>58</v>
      </c>
      <c r="X5" s="99" t="s">
        <v>59</v>
      </c>
      <c r="Y5" s="99" t="s">
        <v>60</v>
      </c>
      <c r="Z5" s="99" t="s">
        <v>62</v>
      </c>
      <c r="AA5" s="99" t="s">
        <v>64</v>
      </c>
      <c r="AB5" s="99" t="s">
        <v>65</v>
      </c>
      <c r="AC5" s="99" t="s">
        <v>73</v>
      </c>
      <c r="AD5" s="99" t="s">
        <v>53</v>
      </c>
      <c r="AE5" s="99" t="s">
        <v>77</v>
      </c>
      <c r="AF5" s="99" t="s">
        <v>78</v>
      </c>
      <c r="AG5" s="99" t="s">
        <v>79</v>
      </c>
      <c r="AH5" s="99" t="s">
        <v>90</v>
      </c>
      <c r="AI5" s="99" t="s">
        <v>91</v>
      </c>
      <c r="AJ5" s="99" t="s">
        <v>97</v>
      </c>
      <c r="AK5" s="99" t="s">
        <v>98</v>
      </c>
      <c r="AL5" s="99" t="s">
        <v>102</v>
      </c>
      <c r="AM5" s="99" t="s">
        <v>103</v>
      </c>
      <c r="AN5" s="99" t="s">
        <v>104</v>
      </c>
      <c r="AO5" s="99" t="s">
        <v>107</v>
      </c>
      <c r="AP5" s="99" t="s">
        <v>108</v>
      </c>
      <c r="AQ5" s="99" t="s">
        <v>114</v>
      </c>
      <c r="AR5" s="99" t="s">
        <v>121</v>
      </c>
      <c r="AS5" s="99" t="s">
        <v>122</v>
      </c>
      <c r="AT5" s="99" t="s">
        <v>123</v>
      </c>
      <c r="AU5" s="99" t="s">
        <v>124</v>
      </c>
      <c r="AV5" s="99" t="s">
        <v>125</v>
      </c>
      <c r="AW5" s="99" t="s">
        <v>126</v>
      </c>
      <c r="AX5" s="100"/>
      <c r="AY5" s="97"/>
      <c r="AZ5" s="97"/>
    </row>
    <row r="6" spans="2:53" x14ac:dyDescent="0.35">
      <c r="B6" s="169" t="s">
        <v>13</v>
      </c>
      <c r="C6" s="101">
        <v>16.7</v>
      </c>
      <c r="D6" s="101">
        <v>16.7</v>
      </c>
      <c r="E6" s="101">
        <v>20.5</v>
      </c>
      <c r="F6" s="101">
        <v>20.5</v>
      </c>
      <c r="G6" s="101">
        <v>30.6</v>
      </c>
      <c r="H6" s="101">
        <v>30.6</v>
      </c>
      <c r="I6" s="101">
        <v>38.6</v>
      </c>
      <c r="J6" s="101"/>
      <c r="L6" s="169" t="s">
        <v>13</v>
      </c>
      <c r="M6" s="101">
        <v>15</v>
      </c>
      <c r="N6" s="101">
        <v>20.5</v>
      </c>
      <c r="O6" s="101">
        <v>20.5</v>
      </c>
      <c r="Q6" s="102" t="s">
        <v>14</v>
      </c>
      <c r="R6" s="104">
        <v>938.13</v>
      </c>
      <c r="S6" s="105">
        <v>959</v>
      </c>
      <c r="T6" s="104">
        <v>1006.25</v>
      </c>
      <c r="U6" s="130">
        <v>993.75</v>
      </c>
      <c r="V6" s="131">
        <v>1015.5</v>
      </c>
      <c r="W6" s="131">
        <v>1045.5999999999999</v>
      </c>
      <c r="X6" s="43">
        <v>1103.75</v>
      </c>
      <c r="Y6" s="43">
        <v>1148.75</v>
      </c>
      <c r="Z6" s="43">
        <v>1167</v>
      </c>
      <c r="AA6" s="43">
        <v>1221.25</v>
      </c>
      <c r="AB6" s="43">
        <v>1330</v>
      </c>
      <c r="AC6" s="43">
        <f>+'IHS (Mod)'!I5</f>
        <v>1280</v>
      </c>
      <c r="AD6" s="43">
        <f>+'IHS (Mod)'!J5</f>
        <v>1279.380005</v>
      </c>
      <c r="AE6" s="43">
        <v>1275.5</v>
      </c>
      <c r="AF6" s="43" t="e">
        <f>+#REF!</f>
        <v>#REF!</v>
      </c>
      <c r="AG6" s="43" t="e">
        <f>+#REF!</f>
        <v>#REF!</v>
      </c>
      <c r="AH6" s="43" t="e">
        <f>+#REF!</f>
        <v>#REF!</v>
      </c>
      <c r="AI6" s="43" t="e">
        <f>+#REF!</f>
        <v>#REF!</v>
      </c>
      <c r="AJ6" s="43" t="e">
        <f>+#REF!</f>
        <v>#REF!</v>
      </c>
      <c r="AK6" s="43" t="e">
        <f>+#REF!</f>
        <v>#REF!</v>
      </c>
      <c r="AL6" s="43" t="e">
        <f>+#REF!</f>
        <v>#REF!</v>
      </c>
      <c r="AM6" s="43" t="e">
        <f>+#REF!</f>
        <v>#REF!</v>
      </c>
      <c r="AN6" s="43" t="e">
        <f>+#REF!</f>
        <v>#REF!</v>
      </c>
      <c r="AO6" s="43" t="e">
        <f>+#REF!</f>
        <v>#REF!</v>
      </c>
      <c r="AP6" s="43" t="e">
        <f>+#REF!</f>
        <v>#REF!</v>
      </c>
      <c r="AQ6" s="43" t="e">
        <f>+#REF!</f>
        <v>#REF!</v>
      </c>
      <c r="AR6" s="43" t="e">
        <f>+#REF!</f>
        <v>#REF!</v>
      </c>
      <c r="AS6" s="43" t="e">
        <f>+#REF!</f>
        <v>#REF!</v>
      </c>
      <c r="AT6" s="43" t="e">
        <f>+#REF!</f>
        <v>#REF!</v>
      </c>
      <c r="AU6" s="43" t="e">
        <f>+#REF!</f>
        <v>#REF!</v>
      </c>
      <c r="AV6" s="43" t="e">
        <f>+#REF!</f>
        <v>#REF!</v>
      </c>
      <c r="AW6" s="43" t="e">
        <f>+#REF!</f>
        <v>#REF!</v>
      </c>
      <c r="AX6" s="85"/>
      <c r="AY6" s="101"/>
      <c r="AZ6" s="101"/>
    </row>
    <row r="7" spans="2:53" x14ac:dyDescent="0.35">
      <c r="B7" s="170" t="s">
        <v>16</v>
      </c>
      <c r="C7" s="91" t="s">
        <v>17</v>
      </c>
      <c r="D7" s="91" t="s">
        <v>17</v>
      </c>
      <c r="E7" s="91" t="s">
        <v>17</v>
      </c>
      <c r="F7" s="91" t="s">
        <v>17</v>
      </c>
      <c r="G7" s="91" t="s">
        <v>17</v>
      </c>
      <c r="H7" s="91" t="s">
        <v>17</v>
      </c>
      <c r="I7" s="91" t="s">
        <v>17</v>
      </c>
      <c r="J7" s="91"/>
      <c r="L7" s="170" t="s">
        <v>16</v>
      </c>
      <c r="M7" s="91" t="s">
        <v>17</v>
      </c>
      <c r="N7" s="91" t="s">
        <v>17</v>
      </c>
      <c r="O7" s="91" t="s">
        <v>17</v>
      </c>
      <c r="Q7" s="128" t="s">
        <v>99</v>
      </c>
      <c r="R7" s="129">
        <v>25.09</v>
      </c>
      <c r="S7" s="129">
        <v>25.09</v>
      </c>
      <c r="T7" s="129">
        <v>25.09</v>
      </c>
      <c r="U7" s="129">
        <v>25</v>
      </c>
      <c r="V7" s="129">
        <v>25</v>
      </c>
      <c r="W7" s="129">
        <v>25</v>
      </c>
      <c r="X7" s="129">
        <v>25</v>
      </c>
      <c r="Y7" s="129">
        <v>25</v>
      </c>
      <c r="Z7" s="129">
        <v>25</v>
      </c>
      <c r="AA7" s="129">
        <v>25</v>
      </c>
      <c r="AB7" s="129">
        <v>25</v>
      </c>
      <c r="AC7" s="129">
        <v>33.139726027397259</v>
      </c>
      <c r="AD7" s="129">
        <f>+Septiembre18!AD8</f>
        <v>33.1236741020548</v>
      </c>
      <c r="AE7" s="129">
        <v>33.023219178082194</v>
      </c>
      <c r="AF7" s="129">
        <v>33.023219178082194</v>
      </c>
      <c r="AG7" s="129">
        <v>32.783732876712328</v>
      </c>
      <c r="AH7" s="129">
        <v>29.126712328767123</v>
      </c>
      <c r="AI7" s="129">
        <v>27.395420677397254</v>
      </c>
      <c r="AJ7" s="129">
        <v>26.796575342465754</v>
      </c>
      <c r="AK7" s="129">
        <v>13.948458904109588</v>
      </c>
      <c r="AL7" s="129">
        <v>14.191181506849315</v>
      </c>
      <c r="AM7" s="129">
        <v>14.255907534246576</v>
      </c>
      <c r="AN7" s="129" t="e">
        <f t="shared" ref="AN7:AU7" si="0">((((AN6*4.5%)/365)*210))*50%</f>
        <v>#REF!</v>
      </c>
      <c r="AO7" s="129" t="e">
        <f t="shared" si="0"/>
        <v>#REF!</v>
      </c>
      <c r="AP7" s="129" t="e">
        <f t="shared" si="0"/>
        <v>#REF!</v>
      </c>
      <c r="AQ7" s="129" t="e">
        <f t="shared" si="0"/>
        <v>#REF!</v>
      </c>
      <c r="AR7" s="129" t="e">
        <f t="shared" si="0"/>
        <v>#REF!</v>
      </c>
      <c r="AS7" s="129" t="e">
        <f t="shared" si="0"/>
        <v>#REF!</v>
      </c>
      <c r="AT7" s="129" t="e">
        <f t="shared" si="0"/>
        <v>#REF!</v>
      </c>
      <c r="AU7" s="129" t="e">
        <f t="shared" si="0"/>
        <v>#REF!</v>
      </c>
      <c r="AV7" s="129" t="e">
        <f>((((AV6*4.5%)/365)*210))*50%</f>
        <v>#REF!</v>
      </c>
      <c r="AW7" s="129" t="e">
        <f>((((AW6*4.5%)/365)*210))*50%</f>
        <v>#REF!</v>
      </c>
      <c r="AX7" s="85"/>
      <c r="AY7" s="91"/>
      <c r="AZ7" s="91"/>
    </row>
    <row r="8" spans="2:53" x14ac:dyDescent="0.35">
      <c r="B8" s="170" t="s">
        <v>115</v>
      </c>
      <c r="C8" s="91" t="s">
        <v>116</v>
      </c>
      <c r="D8" s="91"/>
      <c r="E8" s="91"/>
      <c r="F8" s="91" t="s">
        <v>117</v>
      </c>
      <c r="G8" s="91"/>
      <c r="H8" s="91"/>
      <c r="I8" s="91" t="s">
        <v>118</v>
      </c>
      <c r="J8" s="91"/>
      <c r="L8" s="170"/>
      <c r="M8" s="91" t="s">
        <v>119</v>
      </c>
      <c r="N8" s="91" t="s">
        <v>120</v>
      </c>
      <c r="O8" s="91"/>
      <c r="Q8" s="128"/>
      <c r="R8" s="129"/>
      <c r="S8" s="129"/>
      <c r="T8" s="129"/>
      <c r="U8" s="129"/>
      <c r="V8" s="129"/>
      <c r="W8" s="129"/>
      <c r="X8" s="129"/>
      <c r="Y8" s="129"/>
      <c r="Z8" s="129"/>
      <c r="AA8" s="129"/>
      <c r="AB8" s="129"/>
      <c r="AC8" s="129"/>
      <c r="AD8" s="129"/>
      <c r="AE8" s="129"/>
      <c r="AF8" s="129"/>
      <c r="AG8" s="129"/>
      <c r="AH8" s="129"/>
      <c r="AI8" s="129"/>
      <c r="AJ8" s="129"/>
      <c r="AK8" s="129"/>
      <c r="AL8" s="129"/>
      <c r="AM8" s="129"/>
      <c r="AN8" s="129"/>
      <c r="AO8" s="129"/>
      <c r="AP8" s="129"/>
      <c r="AQ8" s="129"/>
      <c r="AR8" s="129"/>
      <c r="AS8" s="129"/>
      <c r="AT8" s="129"/>
      <c r="AU8" s="129"/>
      <c r="AV8" s="129"/>
      <c r="AW8" s="129"/>
      <c r="AX8" s="85"/>
      <c r="AY8" s="91"/>
      <c r="AZ8" s="91"/>
    </row>
    <row r="9" spans="2:53" s="95" customFormat="1" ht="29" x14ac:dyDescent="0.35">
      <c r="B9" s="175" t="s">
        <v>92</v>
      </c>
      <c r="C9" s="177" t="s">
        <v>93</v>
      </c>
      <c r="D9" s="177" t="s">
        <v>94</v>
      </c>
      <c r="E9" s="176">
        <v>1</v>
      </c>
      <c r="F9" s="177" t="s">
        <v>93</v>
      </c>
      <c r="G9" s="176">
        <v>1</v>
      </c>
      <c r="H9" s="177" t="s">
        <v>94</v>
      </c>
      <c r="I9" s="177" t="s">
        <v>93</v>
      </c>
      <c r="J9" s="162"/>
      <c r="L9" s="175" t="str">
        <f>+B9</f>
        <v>% Resina (Virgen/PCR)</v>
      </c>
      <c r="M9" s="177" t="s">
        <v>94</v>
      </c>
      <c r="N9" s="176">
        <v>1</v>
      </c>
      <c r="O9" s="177" t="s">
        <v>94</v>
      </c>
      <c r="Q9" s="166" t="s">
        <v>128</v>
      </c>
      <c r="R9" s="129">
        <v>65</v>
      </c>
      <c r="S9" s="167">
        <v>65</v>
      </c>
      <c r="T9" s="129">
        <v>65</v>
      </c>
      <c r="U9" s="129">
        <v>65</v>
      </c>
      <c r="V9" s="129">
        <v>65</v>
      </c>
      <c r="W9" s="129">
        <v>65</v>
      </c>
      <c r="X9" s="129">
        <v>65</v>
      </c>
      <c r="Y9" s="129">
        <v>65</v>
      </c>
      <c r="Z9" s="129">
        <v>65</v>
      </c>
      <c r="AA9" s="129">
        <v>65</v>
      </c>
      <c r="AB9" s="129">
        <v>65</v>
      </c>
      <c r="AC9" s="129">
        <v>70</v>
      </c>
      <c r="AD9" s="129">
        <v>70</v>
      </c>
      <c r="AE9" s="129">
        <v>70</v>
      </c>
      <c r="AF9" s="129">
        <v>70</v>
      </c>
      <c r="AG9" s="129">
        <v>70</v>
      </c>
      <c r="AH9" s="129">
        <v>70</v>
      </c>
      <c r="AI9" s="129">
        <v>70</v>
      </c>
      <c r="AJ9" s="129">
        <v>70</v>
      </c>
      <c r="AK9" s="129">
        <v>70</v>
      </c>
      <c r="AL9" s="129">
        <v>70</v>
      </c>
      <c r="AM9" s="129">
        <v>70</v>
      </c>
      <c r="AN9" s="129">
        <v>70</v>
      </c>
      <c r="AO9" s="129">
        <v>70</v>
      </c>
      <c r="AP9" s="129">
        <v>70</v>
      </c>
      <c r="AQ9" s="129">
        <v>70</v>
      </c>
      <c r="AR9" s="129">
        <v>70</v>
      </c>
      <c r="AS9" s="129">
        <v>70</v>
      </c>
      <c r="AT9" s="209">
        <v>70</v>
      </c>
      <c r="AU9" s="209">
        <v>90.46</v>
      </c>
      <c r="AV9" s="210">
        <v>78.56</v>
      </c>
      <c r="AW9" s="210">
        <v>78.56</v>
      </c>
      <c r="AX9" s="208">
        <f>+AU9/AT9-1</f>
        <v>0.29228571428571426</v>
      </c>
      <c r="AY9" s="165"/>
      <c r="AZ9" s="165"/>
    </row>
    <row r="10" spans="2:53" x14ac:dyDescent="0.35">
      <c r="B10" s="170" t="s">
        <v>19</v>
      </c>
      <c r="C10" s="80" t="e">
        <f>+(C6*F2/1000)*1.01*50%</f>
        <v>#REF!</v>
      </c>
      <c r="D10" s="80" t="e">
        <f>+(D6*$F$2/1000)*1.01*75%</f>
        <v>#REF!</v>
      </c>
      <c r="E10" s="80" t="e">
        <f>+(E6*$F$2/1000)*1.01</f>
        <v>#REF!</v>
      </c>
      <c r="F10" s="80" t="e">
        <f>+(F6*$F$2/1000)*1.01*50%</f>
        <v>#REF!</v>
      </c>
      <c r="G10" s="80" t="e">
        <f>+(G6*F2/1000)*1.01</f>
        <v>#REF!</v>
      </c>
      <c r="H10" s="80" t="e">
        <f>+(H6*$F$2/1000)*1.01*75%</f>
        <v>#REF!</v>
      </c>
      <c r="I10" s="80" t="e">
        <f>+(I6*$F$2/1000)*1.01*50%</f>
        <v>#REF!</v>
      </c>
      <c r="J10" s="80"/>
      <c r="L10" s="170" t="s">
        <v>19</v>
      </c>
      <c r="M10" s="80" t="e">
        <f>+(M6*F2/1000)*1.005*75%</f>
        <v>#REF!</v>
      </c>
      <c r="N10" s="80" t="e">
        <f>+(N6*F2/1000)*1.005</f>
        <v>#REF!</v>
      </c>
      <c r="O10" s="80" t="e">
        <f>+(O6*F2/1000)*1.005*75%</f>
        <v>#REF!</v>
      </c>
      <c r="Q10" s="102"/>
      <c r="R10" s="104">
        <f>SUM(R6:R9)</f>
        <v>1028.22</v>
      </c>
      <c r="S10" s="104">
        <f>SUM(S6:S9)</f>
        <v>1049.0900000000001</v>
      </c>
      <c r="T10" s="104">
        <f>SUM(T6:T9)</f>
        <v>1096.3399999999999</v>
      </c>
      <c r="U10" s="104">
        <f>SUM(U6:U9)</f>
        <v>1083.75</v>
      </c>
      <c r="V10" s="104">
        <f t="shared" ref="V10:AQ10" si="1">SUM(V6:V9)</f>
        <v>1105.5</v>
      </c>
      <c r="W10" s="104">
        <f t="shared" si="1"/>
        <v>1135.5999999999999</v>
      </c>
      <c r="X10" s="104">
        <f t="shared" si="1"/>
        <v>1193.75</v>
      </c>
      <c r="Y10" s="104">
        <f t="shared" si="1"/>
        <v>1238.75</v>
      </c>
      <c r="Z10" s="104">
        <f t="shared" si="1"/>
        <v>1257</v>
      </c>
      <c r="AA10" s="104">
        <f t="shared" si="1"/>
        <v>1311.25</v>
      </c>
      <c r="AB10" s="104">
        <f t="shared" si="1"/>
        <v>1420</v>
      </c>
      <c r="AC10" s="104">
        <f t="shared" si="1"/>
        <v>1383.1397260273973</v>
      </c>
      <c r="AD10" s="104">
        <f t="shared" si="1"/>
        <v>1382.5036791020548</v>
      </c>
      <c r="AE10" s="104">
        <f t="shared" si="1"/>
        <v>1378.5232191780822</v>
      </c>
      <c r="AF10" s="104" t="e">
        <f t="shared" si="1"/>
        <v>#REF!</v>
      </c>
      <c r="AG10" s="104" t="e">
        <f t="shared" si="1"/>
        <v>#REF!</v>
      </c>
      <c r="AH10" s="104" t="e">
        <f t="shared" si="1"/>
        <v>#REF!</v>
      </c>
      <c r="AI10" s="104" t="e">
        <f t="shared" si="1"/>
        <v>#REF!</v>
      </c>
      <c r="AJ10" s="104" t="e">
        <f t="shared" si="1"/>
        <v>#REF!</v>
      </c>
      <c r="AK10" s="104" t="e">
        <f t="shared" si="1"/>
        <v>#REF!</v>
      </c>
      <c r="AL10" s="104" t="e">
        <f t="shared" si="1"/>
        <v>#REF!</v>
      </c>
      <c r="AM10" s="104" t="e">
        <f t="shared" si="1"/>
        <v>#REF!</v>
      </c>
      <c r="AN10" s="104" t="e">
        <f t="shared" si="1"/>
        <v>#REF!</v>
      </c>
      <c r="AO10" s="104" t="e">
        <f t="shared" si="1"/>
        <v>#REF!</v>
      </c>
      <c r="AP10" s="104" t="e">
        <f t="shared" si="1"/>
        <v>#REF!</v>
      </c>
      <c r="AQ10" s="104" t="e">
        <f t="shared" si="1"/>
        <v>#REF!</v>
      </c>
      <c r="AR10" s="104" t="e">
        <f t="shared" ref="AR10:AW10" si="2">SUM(AR6:AR9)</f>
        <v>#REF!</v>
      </c>
      <c r="AS10" s="104" t="e">
        <f t="shared" si="2"/>
        <v>#REF!</v>
      </c>
      <c r="AT10" s="104" t="e">
        <f t="shared" si="2"/>
        <v>#REF!</v>
      </c>
      <c r="AU10" s="104" t="e">
        <f t="shared" si="2"/>
        <v>#REF!</v>
      </c>
      <c r="AV10" s="104" t="e">
        <f t="shared" si="2"/>
        <v>#REF!</v>
      </c>
      <c r="AW10" s="104" t="e">
        <f t="shared" si="2"/>
        <v>#REF!</v>
      </c>
      <c r="AX10" s="79"/>
      <c r="AY10" s="80"/>
      <c r="AZ10" s="80"/>
    </row>
    <row r="11" spans="2:53" x14ac:dyDescent="0.35">
      <c r="B11" s="172" t="s">
        <v>23</v>
      </c>
      <c r="C11" s="76">
        <f>+(C6*$F$3/1000)*1.01*50%</f>
        <v>11.340398925770549</v>
      </c>
      <c r="D11" s="76">
        <f>+(D6*$F$3/1000)*1.01*25%</f>
        <v>5.6701994628852743</v>
      </c>
      <c r="E11" s="76">
        <v>0</v>
      </c>
      <c r="F11" s="76">
        <f>+(F6*$F$3/1000)*1.01*50%</f>
        <v>13.920848980736302</v>
      </c>
      <c r="G11" s="76">
        <v>0</v>
      </c>
      <c r="H11" s="76">
        <f>+(H6*$F$3/1000)*1.01*25%</f>
        <v>10.389706800256848</v>
      </c>
      <c r="I11" s="76">
        <f>+(I6*$F$3/1000)*1.01*50%</f>
        <v>26.211940032020546</v>
      </c>
      <c r="J11" s="76"/>
      <c r="K11" s="121"/>
      <c r="L11" s="172" t="s">
        <v>23</v>
      </c>
      <c r="M11" s="76">
        <f>+(M6*F3/1000)*1.005*25%</f>
        <v>5.0677806902825333</v>
      </c>
      <c r="N11" s="76">
        <v>0</v>
      </c>
      <c r="O11" s="76">
        <f>+(O6*F3/1000)*1.005*25%</f>
        <v>6.9259669433861291</v>
      </c>
      <c r="Q11" s="106" t="s">
        <v>27</v>
      </c>
      <c r="R11" s="108">
        <f>+R10*4%</f>
        <v>41.128800000000005</v>
      </c>
      <c r="S11" s="104">
        <f>+S10*4%</f>
        <v>41.963600000000007</v>
      </c>
      <c r="T11" s="108">
        <f>+T10*4%</f>
        <v>43.8536</v>
      </c>
      <c r="U11" s="108">
        <f>+U10*4%</f>
        <v>43.35</v>
      </c>
      <c r="V11" s="108">
        <f t="shared" ref="V11:AQ11" si="3">+V10*4%</f>
        <v>44.22</v>
      </c>
      <c r="W11" s="108">
        <f t="shared" si="3"/>
        <v>45.423999999999999</v>
      </c>
      <c r="X11" s="108">
        <f t="shared" si="3"/>
        <v>47.75</v>
      </c>
      <c r="Y11" s="108">
        <f t="shared" si="3"/>
        <v>49.550000000000004</v>
      </c>
      <c r="Z11" s="108">
        <f t="shared" si="3"/>
        <v>50.28</v>
      </c>
      <c r="AA11" s="108">
        <f t="shared" si="3"/>
        <v>52.45</v>
      </c>
      <c r="AB11" s="108">
        <f t="shared" si="3"/>
        <v>56.800000000000004</v>
      </c>
      <c r="AC11" s="108">
        <f t="shared" si="3"/>
        <v>55.325589041095895</v>
      </c>
      <c r="AD11" s="108">
        <f t="shared" si="3"/>
        <v>55.30014716408219</v>
      </c>
      <c r="AE11" s="108">
        <f t="shared" si="3"/>
        <v>55.140928767123285</v>
      </c>
      <c r="AF11" s="108" t="e">
        <f t="shared" si="3"/>
        <v>#REF!</v>
      </c>
      <c r="AG11" s="108" t="e">
        <f t="shared" si="3"/>
        <v>#REF!</v>
      </c>
      <c r="AH11" s="108" t="e">
        <f t="shared" si="3"/>
        <v>#REF!</v>
      </c>
      <c r="AI11" s="108" t="e">
        <f t="shared" si="3"/>
        <v>#REF!</v>
      </c>
      <c r="AJ11" s="108" t="e">
        <f t="shared" si="3"/>
        <v>#REF!</v>
      </c>
      <c r="AK11" s="108" t="e">
        <f t="shared" si="3"/>
        <v>#REF!</v>
      </c>
      <c r="AL11" s="108" t="e">
        <f t="shared" si="3"/>
        <v>#REF!</v>
      </c>
      <c r="AM11" s="108" t="e">
        <f t="shared" si="3"/>
        <v>#REF!</v>
      </c>
      <c r="AN11" s="108" t="e">
        <f t="shared" si="3"/>
        <v>#REF!</v>
      </c>
      <c r="AO11" s="108" t="e">
        <f t="shared" si="3"/>
        <v>#REF!</v>
      </c>
      <c r="AP11" s="108" t="e">
        <f t="shared" si="3"/>
        <v>#REF!</v>
      </c>
      <c r="AQ11" s="108" t="e">
        <f t="shared" si="3"/>
        <v>#REF!</v>
      </c>
      <c r="AR11" s="108" t="e">
        <f t="shared" ref="AR11:AW11" si="4">+AR10*4%</f>
        <v>#REF!</v>
      </c>
      <c r="AS11" s="108" t="e">
        <f t="shared" si="4"/>
        <v>#REF!</v>
      </c>
      <c r="AT11" s="108" t="e">
        <f t="shared" si="4"/>
        <v>#REF!</v>
      </c>
      <c r="AU11" s="108" t="e">
        <f t="shared" si="4"/>
        <v>#REF!</v>
      </c>
      <c r="AV11" s="108" t="e">
        <f t="shared" si="4"/>
        <v>#REF!</v>
      </c>
      <c r="AW11" s="108" t="e">
        <f t="shared" si="4"/>
        <v>#REF!</v>
      </c>
      <c r="AX11" s="79"/>
      <c r="AY11" s="80"/>
      <c r="AZ11" s="80"/>
    </row>
    <row r="12" spans="2:53" x14ac:dyDescent="0.35">
      <c r="B12" s="169" t="s">
        <v>95</v>
      </c>
      <c r="C12" s="84" t="e">
        <f>SUM(C10:C11)</f>
        <v>#REF!</v>
      </c>
      <c r="D12" s="84" t="e">
        <f t="shared" ref="D12:J12" si="5">SUM(D10:D11)</f>
        <v>#REF!</v>
      </c>
      <c r="E12" s="84" t="e">
        <f t="shared" si="5"/>
        <v>#REF!</v>
      </c>
      <c r="F12" s="84" t="e">
        <f t="shared" si="5"/>
        <v>#REF!</v>
      </c>
      <c r="G12" s="84" t="e">
        <f t="shared" si="5"/>
        <v>#REF!</v>
      </c>
      <c r="H12" s="84" t="e">
        <f t="shared" si="5"/>
        <v>#REF!</v>
      </c>
      <c r="I12" s="84" t="e">
        <f t="shared" si="5"/>
        <v>#REF!</v>
      </c>
      <c r="J12" s="80">
        <f t="shared" si="5"/>
        <v>0</v>
      </c>
      <c r="K12" s="80"/>
      <c r="L12" s="169" t="s">
        <v>95</v>
      </c>
      <c r="M12" s="84" t="e">
        <f t="shared" ref="M12:O12" si="6">SUM(M10:M11)</f>
        <v>#REF!</v>
      </c>
      <c r="N12" s="84" t="e">
        <f t="shared" si="6"/>
        <v>#REF!</v>
      </c>
      <c r="O12" s="84" t="e">
        <f t="shared" si="6"/>
        <v>#REF!</v>
      </c>
      <c r="Q12" s="157" t="s">
        <v>30</v>
      </c>
      <c r="R12" s="158">
        <f>+R11+R10</f>
        <v>1069.3488</v>
      </c>
      <c r="S12" s="159">
        <f>+S11+S10</f>
        <v>1091.0536000000002</v>
      </c>
      <c r="T12" s="158">
        <f>+T11+T10</f>
        <v>1140.1935999999998</v>
      </c>
      <c r="U12" s="158">
        <f>+U11+U10</f>
        <v>1127.0999999999999</v>
      </c>
      <c r="V12" s="158">
        <f t="shared" ref="V12:AQ12" si="7">+V11+V10</f>
        <v>1149.72</v>
      </c>
      <c r="W12" s="158">
        <f t="shared" si="7"/>
        <v>1181.0239999999999</v>
      </c>
      <c r="X12" s="158">
        <f t="shared" si="7"/>
        <v>1241.5</v>
      </c>
      <c r="Y12" s="158">
        <f t="shared" si="7"/>
        <v>1288.3</v>
      </c>
      <c r="Z12" s="158">
        <f t="shared" si="7"/>
        <v>1307.28</v>
      </c>
      <c r="AA12" s="158">
        <f t="shared" si="7"/>
        <v>1363.7</v>
      </c>
      <c r="AB12" s="158">
        <f t="shared" si="7"/>
        <v>1476.8</v>
      </c>
      <c r="AC12" s="158">
        <f t="shared" si="7"/>
        <v>1438.4653150684931</v>
      </c>
      <c r="AD12" s="158">
        <f t="shared" si="7"/>
        <v>1437.8038262661369</v>
      </c>
      <c r="AE12" s="158">
        <f t="shared" si="7"/>
        <v>1433.6641479452055</v>
      </c>
      <c r="AF12" s="158" t="e">
        <f t="shared" si="7"/>
        <v>#REF!</v>
      </c>
      <c r="AG12" s="158" t="e">
        <f t="shared" si="7"/>
        <v>#REF!</v>
      </c>
      <c r="AH12" s="158" t="e">
        <f t="shared" si="7"/>
        <v>#REF!</v>
      </c>
      <c r="AI12" s="158" t="e">
        <f t="shared" si="7"/>
        <v>#REF!</v>
      </c>
      <c r="AJ12" s="158" t="e">
        <f t="shared" si="7"/>
        <v>#REF!</v>
      </c>
      <c r="AK12" s="158" t="e">
        <f t="shared" si="7"/>
        <v>#REF!</v>
      </c>
      <c r="AL12" s="158" t="e">
        <f t="shared" si="7"/>
        <v>#REF!</v>
      </c>
      <c r="AM12" s="158" t="e">
        <f t="shared" si="7"/>
        <v>#REF!</v>
      </c>
      <c r="AN12" s="158" t="e">
        <f t="shared" si="7"/>
        <v>#REF!</v>
      </c>
      <c r="AO12" s="158" t="e">
        <f t="shared" si="7"/>
        <v>#REF!</v>
      </c>
      <c r="AP12" s="158" t="e">
        <f t="shared" si="7"/>
        <v>#REF!</v>
      </c>
      <c r="AQ12" s="158" t="e">
        <f t="shared" si="7"/>
        <v>#REF!</v>
      </c>
      <c r="AR12" s="158" t="e">
        <f t="shared" ref="AR12:AW12" si="8">+AR11+AR10</f>
        <v>#REF!</v>
      </c>
      <c r="AS12" s="158" t="e">
        <f t="shared" si="8"/>
        <v>#REF!</v>
      </c>
      <c r="AT12" s="158" t="e">
        <f t="shared" si="8"/>
        <v>#REF!</v>
      </c>
      <c r="AU12" s="158" t="e">
        <f t="shared" si="8"/>
        <v>#REF!</v>
      </c>
      <c r="AV12" s="158" t="e">
        <f t="shared" si="8"/>
        <v>#REF!</v>
      </c>
      <c r="AW12" s="158" t="e">
        <f t="shared" si="8"/>
        <v>#REF!</v>
      </c>
      <c r="AX12" s="79"/>
      <c r="AY12" s="80"/>
      <c r="AZ12" s="80"/>
    </row>
    <row r="13" spans="2:53" x14ac:dyDescent="0.35">
      <c r="B13" s="170" t="s">
        <v>129</v>
      </c>
      <c r="C13" s="80">
        <v>8.25</v>
      </c>
      <c r="D13" s="80">
        <v>8.2299999999999986</v>
      </c>
      <c r="E13" s="80">
        <f>8.2+0.03</f>
        <v>8.2299999999999986</v>
      </c>
      <c r="F13" s="80">
        <v>8.25</v>
      </c>
      <c r="G13" s="80">
        <v>11.200000000000001</v>
      </c>
      <c r="H13" s="80">
        <v>11.200000000000001</v>
      </c>
      <c r="I13" s="80">
        <v>11.23</v>
      </c>
      <c r="J13" s="80"/>
      <c r="L13" s="170" t="s">
        <v>129</v>
      </c>
      <c r="M13" s="80">
        <f>+C13</f>
        <v>8.25</v>
      </c>
      <c r="N13" s="80">
        <f>+F13</f>
        <v>8.25</v>
      </c>
      <c r="O13" s="80">
        <v>8.23</v>
      </c>
      <c r="Q13" s="160" t="s">
        <v>32</v>
      </c>
      <c r="R13" s="161">
        <f>+R12*(1-5%)</f>
        <v>1015.88136</v>
      </c>
      <c r="S13" s="161">
        <f t="shared" ref="S13:AM13" si="9">+S12*(1-5%)</f>
        <v>1036.5009200000002</v>
      </c>
      <c r="T13" s="161">
        <f t="shared" si="9"/>
        <v>1083.1839199999997</v>
      </c>
      <c r="U13" s="161">
        <f t="shared" si="9"/>
        <v>1070.7449999999999</v>
      </c>
      <c r="V13" s="161">
        <f t="shared" si="9"/>
        <v>1092.2339999999999</v>
      </c>
      <c r="W13" s="161">
        <f t="shared" si="9"/>
        <v>1121.9727999999998</v>
      </c>
      <c r="X13" s="161">
        <f t="shared" si="9"/>
        <v>1179.425</v>
      </c>
      <c r="Y13" s="161">
        <f t="shared" si="9"/>
        <v>1223.885</v>
      </c>
      <c r="Z13" s="161">
        <f t="shared" si="9"/>
        <v>1241.9159999999999</v>
      </c>
      <c r="AA13" s="161">
        <f t="shared" si="9"/>
        <v>1295.5149999999999</v>
      </c>
      <c r="AB13" s="161">
        <f t="shared" si="9"/>
        <v>1402.9599999999998</v>
      </c>
      <c r="AC13" s="161">
        <f t="shared" si="9"/>
        <v>1366.5420493150684</v>
      </c>
      <c r="AD13" s="161">
        <f t="shared" si="9"/>
        <v>1365.9136349528299</v>
      </c>
      <c r="AE13" s="161">
        <f t="shared" si="9"/>
        <v>1361.9809405479452</v>
      </c>
      <c r="AF13" s="161" t="e">
        <f t="shared" si="9"/>
        <v>#REF!</v>
      </c>
      <c r="AG13" s="161" t="e">
        <f t="shared" si="9"/>
        <v>#REF!</v>
      </c>
      <c r="AH13" s="161" t="e">
        <f t="shared" si="9"/>
        <v>#REF!</v>
      </c>
      <c r="AI13" s="161" t="e">
        <f t="shared" si="9"/>
        <v>#REF!</v>
      </c>
      <c r="AJ13" s="161" t="e">
        <f t="shared" si="9"/>
        <v>#REF!</v>
      </c>
      <c r="AK13" s="161" t="e">
        <f t="shared" si="9"/>
        <v>#REF!</v>
      </c>
      <c r="AL13" s="161" t="e">
        <f t="shared" si="9"/>
        <v>#REF!</v>
      </c>
      <c r="AM13" s="161" t="e">
        <f t="shared" si="9"/>
        <v>#REF!</v>
      </c>
      <c r="AN13" s="161">
        <v>1267</v>
      </c>
      <c r="AO13" s="161" t="e">
        <f t="shared" ref="AO13:AQ13" si="10">+AO12*(1-5%)</f>
        <v>#REF!</v>
      </c>
      <c r="AP13" s="161" t="e">
        <f t="shared" si="10"/>
        <v>#REF!</v>
      </c>
      <c r="AQ13" s="161" t="e">
        <f t="shared" si="10"/>
        <v>#REF!</v>
      </c>
      <c r="AR13" s="161" t="e">
        <f t="shared" ref="AR13:AV13" si="11">+AR12*(1-5%)</f>
        <v>#REF!</v>
      </c>
      <c r="AS13" s="161" t="e">
        <f t="shared" si="11"/>
        <v>#REF!</v>
      </c>
      <c r="AT13" s="161" t="e">
        <f t="shared" si="11"/>
        <v>#REF!</v>
      </c>
      <c r="AU13" s="161" t="e">
        <f t="shared" si="11"/>
        <v>#REF!</v>
      </c>
      <c r="AV13" s="161" t="e">
        <f t="shared" si="11"/>
        <v>#REF!</v>
      </c>
      <c r="AW13" s="161">
        <v>1327.5</v>
      </c>
      <c r="AX13" s="211">
        <v>1327.5</v>
      </c>
      <c r="AY13" s="204" t="s">
        <v>130</v>
      </c>
      <c r="AZ13" s="205"/>
      <c r="BA13" s="206"/>
    </row>
    <row r="14" spans="2:53" x14ac:dyDescent="0.35">
      <c r="B14" s="170" t="s">
        <v>131</v>
      </c>
      <c r="C14" s="80">
        <v>0</v>
      </c>
      <c r="D14" s="80"/>
      <c r="E14" s="80"/>
      <c r="F14" s="80">
        <v>0</v>
      </c>
      <c r="G14" s="80"/>
      <c r="H14" s="80"/>
      <c r="I14" s="80">
        <v>0</v>
      </c>
      <c r="J14" s="80"/>
      <c r="L14" s="170" t="s">
        <v>131</v>
      </c>
      <c r="M14" s="80">
        <f>(M15-M13)</f>
        <v>19.12</v>
      </c>
      <c r="N14" s="80">
        <f>(N15-N13)</f>
        <v>19.14</v>
      </c>
      <c r="O14" s="80">
        <v>19.09</v>
      </c>
      <c r="Q14" s="160"/>
      <c r="R14" s="161"/>
      <c r="S14" s="161"/>
      <c r="T14" s="161"/>
      <c r="U14" s="161"/>
      <c r="V14" s="161"/>
      <c r="W14" s="161"/>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1"/>
      <c r="AU14" s="161"/>
      <c r="AV14" s="161"/>
      <c r="AW14" s="161"/>
    </row>
    <row r="15" spans="2:53" x14ac:dyDescent="0.35">
      <c r="B15" s="169" t="s">
        <v>132</v>
      </c>
      <c r="C15" s="80">
        <f>+C13+C14</f>
        <v>8.25</v>
      </c>
      <c r="D15" s="80">
        <f t="shared" ref="D15:I15" si="12">+D13+D14</f>
        <v>8.2299999999999986</v>
      </c>
      <c r="E15" s="80">
        <f t="shared" si="12"/>
        <v>8.2299999999999986</v>
      </c>
      <c r="F15" s="80">
        <f t="shared" si="12"/>
        <v>8.25</v>
      </c>
      <c r="G15" s="80">
        <f t="shared" si="12"/>
        <v>11.200000000000001</v>
      </c>
      <c r="H15" s="80">
        <f t="shared" si="12"/>
        <v>11.200000000000001</v>
      </c>
      <c r="I15" s="80">
        <f t="shared" si="12"/>
        <v>11.23</v>
      </c>
      <c r="J15" s="80"/>
      <c r="L15" s="169" t="s">
        <v>132</v>
      </c>
      <c r="M15" s="80">
        <v>27.37</v>
      </c>
      <c r="N15" s="80">
        <v>27.39</v>
      </c>
      <c r="O15" s="80">
        <v>2.1800000000000002</v>
      </c>
      <c r="Q15" s="128" t="s">
        <v>100</v>
      </c>
      <c r="R15" s="128" t="s">
        <v>18</v>
      </c>
      <c r="S15" s="128" t="s">
        <v>18</v>
      </c>
      <c r="T15" s="128" t="s">
        <v>18</v>
      </c>
      <c r="U15" s="128" t="s">
        <v>18</v>
      </c>
      <c r="V15" s="128" t="s">
        <v>18</v>
      </c>
      <c r="W15" s="128" t="s">
        <v>18</v>
      </c>
      <c r="X15" s="128" t="s">
        <v>18</v>
      </c>
      <c r="Y15" s="128" t="s">
        <v>18</v>
      </c>
      <c r="Z15" s="128" t="s">
        <v>18</v>
      </c>
      <c r="AA15" s="128" t="s">
        <v>18</v>
      </c>
      <c r="AB15" s="128" t="s">
        <v>18</v>
      </c>
      <c r="AC15" s="128" t="s">
        <v>18</v>
      </c>
      <c r="AD15" s="128" t="s">
        <v>18</v>
      </c>
      <c r="AE15" s="128" t="s">
        <v>18</v>
      </c>
      <c r="AF15" s="128" t="s">
        <v>18</v>
      </c>
      <c r="AG15" s="128" t="s">
        <v>18</v>
      </c>
      <c r="AH15" s="128" t="s">
        <v>18</v>
      </c>
      <c r="AI15" s="128" t="s">
        <v>18</v>
      </c>
      <c r="AJ15" s="129">
        <v>0</v>
      </c>
      <c r="AK15" s="129">
        <f>+AZ15</f>
        <v>0</v>
      </c>
      <c r="AL15" s="129">
        <v>15.097681007201158</v>
      </c>
      <c r="AM15" s="129">
        <v>15.162458159293488</v>
      </c>
      <c r="AN15" s="129">
        <f t="shared" ref="AN15:AU15" si="13">((((AN13*4.5%)/365)*210))*50%</f>
        <v>16.401575342465755</v>
      </c>
      <c r="AO15" s="129" t="e">
        <f t="shared" si="13"/>
        <v>#REF!</v>
      </c>
      <c r="AP15" s="129" t="e">
        <f t="shared" si="13"/>
        <v>#REF!</v>
      </c>
      <c r="AQ15" s="129" t="e">
        <f t="shared" si="13"/>
        <v>#REF!</v>
      </c>
      <c r="AR15" s="129" t="e">
        <f t="shared" si="13"/>
        <v>#REF!</v>
      </c>
      <c r="AS15" s="129" t="e">
        <f t="shared" si="13"/>
        <v>#REF!</v>
      </c>
      <c r="AT15" s="129" t="e">
        <f t="shared" si="13"/>
        <v>#REF!</v>
      </c>
      <c r="AU15" s="129" t="e">
        <f t="shared" si="13"/>
        <v>#REF!</v>
      </c>
      <c r="AV15" s="129" t="e">
        <f>((((AV13*4.5%)/365)*210))*50%</f>
        <v>#REF!</v>
      </c>
      <c r="AW15" s="129">
        <f>((((AW13*4.5%)/365)*210))*50%</f>
        <v>17.184760273972604</v>
      </c>
      <c r="AX15" s="203"/>
      <c r="AY15" s="204"/>
      <c r="AZ15" s="207"/>
      <c r="BA15" s="206"/>
    </row>
    <row r="16" spans="2:53" x14ac:dyDescent="0.35">
      <c r="B16" s="170" t="s">
        <v>31</v>
      </c>
      <c r="C16" s="80">
        <v>1.92</v>
      </c>
      <c r="D16" s="80">
        <v>1.5</v>
      </c>
      <c r="E16" s="80">
        <v>1.83</v>
      </c>
      <c r="F16" s="80">
        <v>2.2200000000000002</v>
      </c>
      <c r="G16" s="80">
        <v>3.45</v>
      </c>
      <c r="H16" s="80">
        <v>3.45</v>
      </c>
      <c r="I16" s="80">
        <v>4.13</v>
      </c>
      <c r="J16" s="80"/>
      <c r="L16" s="170" t="s">
        <v>31</v>
      </c>
      <c r="M16" s="80">
        <v>0.9</v>
      </c>
      <c r="N16" s="80">
        <v>2.1800000000000002</v>
      </c>
      <c r="O16" s="80">
        <v>4.3</v>
      </c>
      <c r="Q16" s="179" t="s">
        <v>101</v>
      </c>
      <c r="R16" s="179"/>
      <c r="S16" s="179"/>
      <c r="T16" s="179"/>
      <c r="U16" s="179"/>
      <c r="V16" s="179"/>
      <c r="W16" s="179"/>
      <c r="X16" s="179"/>
      <c r="Y16" s="179"/>
      <c r="Z16" s="179"/>
      <c r="AA16" s="179"/>
      <c r="AB16" s="179"/>
      <c r="AC16" s="179"/>
      <c r="AD16" s="179"/>
      <c r="AE16" s="179"/>
      <c r="AF16" s="179"/>
      <c r="AG16" s="179"/>
      <c r="AH16" s="179"/>
      <c r="AI16" s="179"/>
      <c r="AJ16" s="180"/>
      <c r="AK16" s="180" t="e">
        <f t="shared" ref="AK16:AQ16" si="14">+AK13+AK15</f>
        <v>#REF!</v>
      </c>
      <c r="AL16" s="180" t="e">
        <f t="shared" si="14"/>
        <v>#REF!</v>
      </c>
      <c r="AM16" s="180" t="e">
        <f t="shared" si="14"/>
        <v>#REF!</v>
      </c>
      <c r="AN16" s="180">
        <f t="shared" si="14"/>
        <v>1283.4015753424658</v>
      </c>
      <c r="AO16" s="180" t="e">
        <f t="shared" si="14"/>
        <v>#REF!</v>
      </c>
      <c r="AP16" s="180" t="e">
        <f t="shared" si="14"/>
        <v>#REF!</v>
      </c>
      <c r="AQ16" s="180" t="e">
        <f t="shared" si="14"/>
        <v>#REF!</v>
      </c>
      <c r="AR16" s="180" t="e">
        <f t="shared" ref="AR16:AW16" si="15">+AR13+AR15</f>
        <v>#REF!</v>
      </c>
      <c r="AS16" s="180" t="e">
        <f t="shared" si="15"/>
        <v>#REF!</v>
      </c>
      <c r="AT16" s="180" t="e">
        <f t="shared" si="15"/>
        <v>#REF!</v>
      </c>
      <c r="AU16" s="180" t="e">
        <f t="shared" si="15"/>
        <v>#REF!</v>
      </c>
      <c r="AV16" s="180" t="e">
        <f t="shared" si="15"/>
        <v>#REF!</v>
      </c>
      <c r="AW16" s="180">
        <f t="shared" si="15"/>
        <v>1344.6847602739726</v>
      </c>
      <c r="AX16" s="203"/>
      <c r="AY16" s="204"/>
      <c r="AZ16" s="205"/>
      <c r="BA16" s="206"/>
    </row>
    <row r="17" spans="1:54" x14ac:dyDescent="0.35">
      <c r="A17" s="81" t="s">
        <v>38</v>
      </c>
      <c r="B17" s="170" t="s">
        <v>34</v>
      </c>
      <c r="C17" s="80">
        <v>0.19</v>
      </c>
      <c r="D17" s="80">
        <v>0.19</v>
      </c>
      <c r="E17" s="80">
        <v>0.19</v>
      </c>
      <c r="F17" s="80">
        <v>0.19</v>
      </c>
      <c r="G17" s="80">
        <v>0.33</v>
      </c>
      <c r="H17" s="80">
        <v>0.33</v>
      </c>
      <c r="I17" s="80">
        <v>0.33</v>
      </c>
      <c r="J17" s="80"/>
      <c r="L17" s="170" t="s">
        <v>34</v>
      </c>
      <c r="M17" s="80">
        <v>4.3</v>
      </c>
      <c r="N17" s="80">
        <v>4.3</v>
      </c>
      <c r="O17" s="80">
        <v>8.36</v>
      </c>
      <c r="Q17" s="157" t="s">
        <v>96</v>
      </c>
      <c r="R17" s="158">
        <f t="shared" ref="R17:AH17" si="16">+R12*75%+R13*25%</f>
        <v>1055.9819400000001</v>
      </c>
      <c r="S17" s="158">
        <f t="shared" si="16"/>
        <v>1077.4154300000002</v>
      </c>
      <c r="T17" s="158">
        <f t="shared" si="16"/>
        <v>1125.9411799999998</v>
      </c>
      <c r="U17" s="158">
        <f t="shared" si="16"/>
        <v>1113.01125</v>
      </c>
      <c r="V17" s="158">
        <f t="shared" si="16"/>
        <v>1135.3485000000001</v>
      </c>
      <c r="W17" s="158">
        <f t="shared" si="16"/>
        <v>1166.2611999999999</v>
      </c>
      <c r="X17" s="158">
        <f t="shared" si="16"/>
        <v>1225.98125</v>
      </c>
      <c r="Y17" s="158">
        <f t="shared" si="16"/>
        <v>1272.19625</v>
      </c>
      <c r="Z17" s="158">
        <f t="shared" si="16"/>
        <v>1290.9390000000001</v>
      </c>
      <c r="AA17" s="158">
        <f t="shared" si="16"/>
        <v>1346.6537499999999</v>
      </c>
      <c r="AB17" s="158">
        <f t="shared" si="16"/>
        <v>1458.34</v>
      </c>
      <c r="AC17" s="158">
        <f t="shared" si="16"/>
        <v>1420.4844986301368</v>
      </c>
      <c r="AD17" s="158">
        <f t="shared" si="16"/>
        <v>1419.8312784378102</v>
      </c>
      <c r="AE17" s="158">
        <f t="shared" si="16"/>
        <v>1415.7433460958905</v>
      </c>
      <c r="AF17" s="158" t="e">
        <f t="shared" si="16"/>
        <v>#REF!</v>
      </c>
      <c r="AG17" s="158" t="e">
        <f t="shared" si="16"/>
        <v>#REF!</v>
      </c>
      <c r="AH17" s="158" t="e">
        <f t="shared" si="16"/>
        <v>#REF!</v>
      </c>
      <c r="AI17" s="158" t="e">
        <f>+AI12*50%+AI13*50%</f>
        <v>#REF!</v>
      </c>
      <c r="AJ17" s="158" t="e">
        <f>+AJ12*50%+AJ13*50%</f>
        <v>#REF!</v>
      </c>
      <c r="AK17" s="158" t="e">
        <f t="shared" ref="AK17:AQ17" si="17">+AK12*50%+AK16*50%</f>
        <v>#REF!</v>
      </c>
      <c r="AL17" s="158" t="e">
        <f t="shared" si="17"/>
        <v>#REF!</v>
      </c>
      <c r="AM17" s="158" t="e">
        <f t="shared" si="17"/>
        <v>#REF!</v>
      </c>
      <c r="AN17" s="158" t="e">
        <f t="shared" si="17"/>
        <v>#REF!</v>
      </c>
      <c r="AO17" s="158" t="e">
        <f t="shared" si="17"/>
        <v>#REF!</v>
      </c>
      <c r="AP17" s="158" t="e">
        <f t="shared" si="17"/>
        <v>#REF!</v>
      </c>
      <c r="AQ17" s="158" t="e">
        <f t="shared" si="17"/>
        <v>#REF!</v>
      </c>
      <c r="AR17" s="158" t="e">
        <f t="shared" ref="AR17:AW17" si="18">+AR12*50%+AR16*50%</f>
        <v>#REF!</v>
      </c>
      <c r="AS17" s="158" t="e">
        <f t="shared" si="18"/>
        <v>#REF!</v>
      </c>
      <c r="AT17" s="158" t="e">
        <f t="shared" si="18"/>
        <v>#REF!</v>
      </c>
      <c r="AU17" s="158" t="e">
        <f t="shared" si="18"/>
        <v>#REF!</v>
      </c>
      <c r="AV17" s="158" t="e">
        <f t="shared" si="18"/>
        <v>#REF!</v>
      </c>
      <c r="AW17" s="158" t="e">
        <f t="shared" si="18"/>
        <v>#REF!</v>
      </c>
      <c r="AX17" s="80"/>
      <c r="AY17" s="80"/>
      <c r="AZ17" s="80"/>
    </row>
    <row r="18" spans="1:54" x14ac:dyDescent="0.35">
      <c r="B18" s="170" t="s">
        <v>36</v>
      </c>
      <c r="C18" s="80">
        <v>0.16</v>
      </c>
      <c r="D18" s="80">
        <v>0.16</v>
      </c>
      <c r="E18" s="80">
        <v>0.16</v>
      </c>
      <c r="F18" s="80">
        <v>0.16</v>
      </c>
      <c r="G18" s="80">
        <v>0.28000000000000003</v>
      </c>
      <c r="H18" s="80">
        <v>0.28000000000000003</v>
      </c>
      <c r="I18" s="80">
        <v>0.28000000000000003</v>
      </c>
      <c r="J18" s="80"/>
      <c r="L18" s="170" t="s">
        <v>36</v>
      </c>
      <c r="M18" s="80">
        <v>8.36</v>
      </c>
      <c r="N18" s="80">
        <v>8.36</v>
      </c>
      <c r="O18" s="84" t="e">
        <f t="shared" ref="O18" si="19">+O12+O13+O15+O16+O17+O14</f>
        <v>#REF!</v>
      </c>
      <c r="Q18" s="113" t="s">
        <v>37</v>
      </c>
      <c r="R18" s="118">
        <f>+R17*1%</f>
        <v>10.559819400000002</v>
      </c>
      <c r="S18" s="118">
        <f t="shared" ref="S18:AV18" si="20">+S17*1%</f>
        <v>10.774154300000003</v>
      </c>
      <c r="T18" s="118">
        <f t="shared" si="20"/>
        <v>11.259411799999999</v>
      </c>
      <c r="U18" s="118">
        <f t="shared" si="20"/>
        <v>11.130112500000001</v>
      </c>
      <c r="V18" s="118">
        <f t="shared" si="20"/>
        <v>11.353485000000001</v>
      </c>
      <c r="W18" s="118">
        <f t="shared" si="20"/>
        <v>11.662611999999999</v>
      </c>
      <c r="X18" s="118">
        <f t="shared" si="20"/>
        <v>12.259812500000001</v>
      </c>
      <c r="Y18" s="118">
        <f t="shared" si="20"/>
        <v>12.7219625</v>
      </c>
      <c r="Z18" s="118">
        <f t="shared" si="20"/>
        <v>12.909390000000002</v>
      </c>
      <c r="AA18" s="118">
        <f t="shared" si="20"/>
        <v>13.466537499999999</v>
      </c>
      <c r="AB18" s="118">
        <f t="shared" si="20"/>
        <v>14.583399999999999</v>
      </c>
      <c r="AC18" s="118">
        <f t="shared" si="20"/>
        <v>14.204844986301369</v>
      </c>
      <c r="AD18" s="118">
        <f t="shared" si="20"/>
        <v>14.198312784378102</v>
      </c>
      <c r="AE18" s="118">
        <f t="shared" si="20"/>
        <v>14.157433460958906</v>
      </c>
      <c r="AF18" s="118" t="e">
        <f t="shared" si="20"/>
        <v>#REF!</v>
      </c>
      <c r="AG18" s="118" t="e">
        <f t="shared" si="20"/>
        <v>#REF!</v>
      </c>
      <c r="AH18" s="118" t="e">
        <f t="shared" si="20"/>
        <v>#REF!</v>
      </c>
      <c r="AI18" s="118" t="e">
        <f t="shared" si="20"/>
        <v>#REF!</v>
      </c>
      <c r="AJ18" s="118" t="e">
        <f t="shared" si="20"/>
        <v>#REF!</v>
      </c>
      <c r="AK18" s="118" t="e">
        <f t="shared" si="20"/>
        <v>#REF!</v>
      </c>
      <c r="AL18" s="118" t="e">
        <f t="shared" si="20"/>
        <v>#REF!</v>
      </c>
      <c r="AM18" s="118" t="e">
        <f t="shared" si="20"/>
        <v>#REF!</v>
      </c>
      <c r="AN18" s="118" t="e">
        <f t="shared" si="20"/>
        <v>#REF!</v>
      </c>
      <c r="AO18" s="118" t="e">
        <f t="shared" si="20"/>
        <v>#REF!</v>
      </c>
      <c r="AP18" s="118" t="e">
        <f t="shared" si="20"/>
        <v>#REF!</v>
      </c>
      <c r="AQ18" s="118" t="e">
        <f t="shared" si="20"/>
        <v>#REF!</v>
      </c>
      <c r="AR18" s="118" t="e">
        <f t="shared" si="20"/>
        <v>#REF!</v>
      </c>
      <c r="AS18" s="118" t="e">
        <f t="shared" si="20"/>
        <v>#REF!</v>
      </c>
      <c r="AT18" s="118" t="e">
        <f t="shared" si="20"/>
        <v>#REF!</v>
      </c>
      <c r="AU18" s="118" t="e">
        <f t="shared" si="20"/>
        <v>#REF!</v>
      </c>
      <c r="AV18" s="118" t="e">
        <f t="shared" si="20"/>
        <v>#REF!</v>
      </c>
      <c r="AW18" s="118" t="e">
        <f t="shared" ref="AW18" si="21">+AW17*1%</f>
        <v>#REF!</v>
      </c>
      <c r="AX18" s="79"/>
      <c r="AY18" s="80"/>
      <c r="AZ18" s="84"/>
    </row>
    <row r="19" spans="1:54" x14ac:dyDescent="0.35">
      <c r="B19" s="169" t="s">
        <v>39</v>
      </c>
      <c r="C19" s="84" t="e">
        <f>+C12+C15+C16+C17+C18</f>
        <v>#REF!</v>
      </c>
      <c r="D19" s="84" t="e">
        <f t="shared" ref="D19:I19" si="22">+D12+D15+D16+D17+D18</f>
        <v>#REF!</v>
      </c>
      <c r="E19" s="84" t="e">
        <f t="shared" si="22"/>
        <v>#REF!</v>
      </c>
      <c r="F19" s="84" t="e">
        <f t="shared" si="22"/>
        <v>#REF!</v>
      </c>
      <c r="G19" s="84" t="e">
        <f t="shared" si="22"/>
        <v>#REF!</v>
      </c>
      <c r="H19" s="84" t="e">
        <f t="shared" si="22"/>
        <v>#REF!</v>
      </c>
      <c r="I19" s="84" t="e">
        <f t="shared" si="22"/>
        <v>#REF!</v>
      </c>
      <c r="J19" s="84"/>
      <c r="L19" s="169" t="s">
        <v>39</v>
      </c>
      <c r="M19" s="84" t="e">
        <f>+M12+M15+M16+M17+M18</f>
        <v>#REF!</v>
      </c>
      <c r="N19" s="84" t="e">
        <f t="shared" ref="N19" si="23">+N12+N15+N16+N17+N18</f>
        <v>#REF!</v>
      </c>
      <c r="Q19" s="113" t="s">
        <v>74</v>
      </c>
      <c r="R19" s="115">
        <f>+R18+R17</f>
        <v>1066.5417594</v>
      </c>
      <c r="S19" s="115">
        <f t="shared" ref="S19:AV19" si="24">+S18+S17</f>
        <v>1088.1895843000002</v>
      </c>
      <c r="T19" s="115">
        <f t="shared" si="24"/>
        <v>1137.2005917999998</v>
      </c>
      <c r="U19" s="115">
        <f t="shared" si="24"/>
        <v>1124.1413625</v>
      </c>
      <c r="V19" s="115">
        <f t="shared" si="24"/>
        <v>1146.7019850000001</v>
      </c>
      <c r="W19" s="115">
        <f t="shared" si="24"/>
        <v>1177.923812</v>
      </c>
      <c r="X19" s="115">
        <f t="shared" si="24"/>
        <v>1238.2410625</v>
      </c>
      <c r="Y19" s="115">
        <f t="shared" si="24"/>
        <v>1284.9182125</v>
      </c>
      <c r="Z19" s="115">
        <f t="shared" si="24"/>
        <v>1303.8483900000001</v>
      </c>
      <c r="AA19" s="115">
        <f t="shared" si="24"/>
        <v>1360.1202874999999</v>
      </c>
      <c r="AB19" s="115">
        <f t="shared" si="24"/>
        <v>1472.9233999999999</v>
      </c>
      <c r="AC19" s="115">
        <f t="shared" si="24"/>
        <v>1434.6893436164382</v>
      </c>
      <c r="AD19" s="115">
        <f t="shared" si="24"/>
        <v>1434.0295912221882</v>
      </c>
      <c r="AE19" s="115">
        <f t="shared" si="24"/>
        <v>1429.9007795568493</v>
      </c>
      <c r="AF19" s="115" t="e">
        <f t="shared" si="24"/>
        <v>#REF!</v>
      </c>
      <c r="AG19" s="115" t="e">
        <f t="shared" si="24"/>
        <v>#REF!</v>
      </c>
      <c r="AH19" s="115" t="e">
        <f t="shared" si="24"/>
        <v>#REF!</v>
      </c>
      <c r="AI19" s="115" t="e">
        <f t="shared" si="24"/>
        <v>#REF!</v>
      </c>
      <c r="AJ19" s="115" t="e">
        <f t="shared" si="24"/>
        <v>#REF!</v>
      </c>
      <c r="AK19" s="115" t="e">
        <f t="shared" si="24"/>
        <v>#REF!</v>
      </c>
      <c r="AL19" s="115" t="e">
        <f t="shared" si="24"/>
        <v>#REF!</v>
      </c>
      <c r="AM19" s="115" t="e">
        <f t="shared" si="24"/>
        <v>#REF!</v>
      </c>
      <c r="AN19" s="115" t="e">
        <f t="shared" si="24"/>
        <v>#REF!</v>
      </c>
      <c r="AO19" s="115" t="e">
        <f t="shared" si="24"/>
        <v>#REF!</v>
      </c>
      <c r="AP19" s="115" t="e">
        <f t="shared" si="24"/>
        <v>#REF!</v>
      </c>
      <c r="AQ19" s="115" t="e">
        <f t="shared" si="24"/>
        <v>#REF!</v>
      </c>
      <c r="AR19" s="115" t="e">
        <f t="shared" si="24"/>
        <v>#REF!</v>
      </c>
      <c r="AS19" s="115" t="e">
        <f t="shared" si="24"/>
        <v>#REF!</v>
      </c>
      <c r="AT19" s="115" t="e">
        <f t="shared" si="24"/>
        <v>#REF!</v>
      </c>
      <c r="AU19" s="115" t="e">
        <f t="shared" si="24"/>
        <v>#REF!</v>
      </c>
      <c r="AV19" s="115" t="e">
        <f t="shared" si="24"/>
        <v>#REF!</v>
      </c>
      <c r="AW19" s="115" t="e">
        <f>+AW18+AW17</f>
        <v>#REF!</v>
      </c>
      <c r="AX19" s="181"/>
      <c r="AY19" s="84"/>
      <c r="AZ19" s="84"/>
      <c r="BB19" s="182"/>
    </row>
    <row r="20" spans="1:54" x14ac:dyDescent="0.35">
      <c r="M20" s="84"/>
      <c r="N20" s="84"/>
      <c r="O20" s="84"/>
      <c r="Q20" s="85"/>
      <c r="R20" s="120" t="e">
        <f>+#REF!</f>
        <v>#REF!</v>
      </c>
      <c r="S20" s="120" t="e">
        <f>+R20</f>
        <v>#REF!</v>
      </c>
      <c r="T20" s="120" t="e">
        <f>+S20</f>
        <v>#REF!</v>
      </c>
      <c r="U20" s="120" t="e">
        <f>+T20</f>
        <v>#REF!</v>
      </c>
      <c r="V20" s="120" t="e">
        <f t="shared" ref="V20:AG20" si="25">+U20</f>
        <v>#REF!</v>
      </c>
      <c r="W20" s="120" t="e">
        <f t="shared" si="25"/>
        <v>#REF!</v>
      </c>
      <c r="X20" s="120" t="e">
        <f t="shared" si="25"/>
        <v>#REF!</v>
      </c>
      <c r="Y20" s="120" t="e">
        <f t="shared" si="25"/>
        <v>#REF!</v>
      </c>
      <c r="Z20" s="120" t="e">
        <f t="shared" si="25"/>
        <v>#REF!</v>
      </c>
      <c r="AA20" s="120" t="e">
        <f t="shared" si="25"/>
        <v>#REF!</v>
      </c>
      <c r="AB20" s="120" t="e">
        <f t="shared" si="25"/>
        <v>#REF!</v>
      </c>
      <c r="AC20" s="120" t="e">
        <f t="shared" si="25"/>
        <v>#REF!</v>
      </c>
      <c r="AD20" s="120" t="e">
        <f t="shared" si="25"/>
        <v>#REF!</v>
      </c>
      <c r="AE20" s="120" t="e">
        <f t="shared" si="25"/>
        <v>#REF!</v>
      </c>
      <c r="AF20" s="120" t="e">
        <f t="shared" si="25"/>
        <v>#REF!</v>
      </c>
      <c r="AG20" s="120" t="e">
        <f t="shared" si="25"/>
        <v>#REF!</v>
      </c>
      <c r="AH20" s="120"/>
      <c r="AI20" s="120"/>
      <c r="AJ20" s="120"/>
      <c r="AK20" s="120"/>
      <c r="AL20" s="120"/>
      <c r="AM20" s="120"/>
      <c r="AN20" s="120"/>
      <c r="AO20" s="120"/>
      <c r="AP20" s="120"/>
      <c r="AQ20" s="120"/>
      <c r="AR20" s="120"/>
      <c r="AS20" s="120"/>
      <c r="AT20" s="120"/>
      <c r="AU20" s="120"/>
      <c r="AV20" s="120"/>
      <c r="AW20" s="120"/>
      <c r="AY20" s="84"/>
      <c r="AZ20" s="82"/>
    </row>
    <row r="21" spans="1:54" x14ac:dyDescent="0.35">
      <c r="B21" s="169"/>
      <c r="C21" s="84"/>
      <c r="D21" s="84"/>
      <c r="E21" s="84"/>
      <c r="F21" s="84"/>
      <c r="G21" s="84"/>
      <c r="H21" s="84"/>
      <c r="I21" s="84"/>
      <c r="J21" s="84"/>
      <c r="K21" s="94"/>
      <c r="M21" s="84"/>
      <c r="N21" s="84"/>
      <c r="Q21" s="82"/>
      <c r="R21" s="82"/>
      <c r="S21" s="82"/>
      <c r="U21" s="94"/>
      <c r="V21" s="94"/>
      <c r="W21" s="94"/>
      <c r="X21" s="94"/>
      <c r="Y21" s="94"/>
      <c r="Z21" s="94"/>
      <c r="AA21" s="94"/>
      <c r="AB21" s="94"/>
      <c r="AC21" s="94"/>
      <c r="AD21" s="94"/>
      <c r="AE21" s="94"/>
      <c r="AF21" s="94"/>
      <c r="AG21" s="94"/>
      <c r="AH21" s="94"/>
      <c r="AI21" s="94"/>
      <c r="AJ21" s="94"/>
      <c r="AK21" s="94"/>
      <c r="AL21" s="94"/>
      <c r="AM21" s="94"/>
      <c r="AN21" s="94"/>
      <c r="AO21" s="94"/>
      <c r="AP21" s="94"/>
      <c r="AQ21" s="94"/>
      <c r="AR21" s="94"/>
      <c r="AS21" s="94"/>
      <c r="AT21" s="94"/>
      <c r="AU21" s="94"/>
      <c r="AV21" s="94"/>
      <c r="AW21" s="94"/>
      <c r="AY21" s="82"/>
      <c r="AZ21" s="82"/>
    </row>
    <row r="22" spans="1:54" x14ac:dyDescent="0.35">
      <c r="C22" s="132"/>
      <c r="D22" s="132"/>
      <c r="E22" s="132"/>
      <c r="F22" s="132"/>
      <c r="G22" s="132"/>
      <c r="H22" s="132"/>
      <c r="I22" s="132"/>
      <c r="K22" s="94"/>
      <c r="AY22" s="82"/>
    </row>
    <row r="23" spans="1:54" x14ac:dyDescent="0.35">
      <c r="M23" s="86"/>
      <c r="O23" s="201"/>
    </row>
    <row r="24" spans="1:54" x14ac:dyDescent="0.35">
      <c r="C24" s="201"/>
      <c r="F24" s="201"/>
      <c r="I24" s="201"/>
      <c r="M24" s="201"/>
      <c r="N24" s="201"/>
    </row>
    <row r="25" spans="1:54" x14ac:dyDescent="0.35">
      <c r="F25" s="201">
        <f>+F24-F22</f>
        <v>0</v>
      </c>
    </row>
    <row r="27" spans="1:54" x14ac:dyDescent="0.35">
      <c r="AH27" s="164"/>
    </row>
    <row r="28" spans="1:54" x14ac:dyDescent="0.35">
      <c r="N28" s="123"/>
    </row>
    <row r="34" spans="1:54" s="82" customFormat="1" x14ac:dyDescent="0.35">
      <c r="A34" s="81"/>
      <c r="B34" s="173"/>
      <c r="J34" s="81"/>
      <c r="K34" s="81"/>
      <c r="L34" s="173"/>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c r="AY34" s="81"/>
      <c r="AZ34" s="81"/>
      <c r="BA34" s="81"/>
      <c r="BB34" s="81"/>
    </row>
    <row r="35" spans="1:54" x14ac:dyDescent="0.35">
      <c r="B35" s="173" t="s">
        <v>51</v>
      </c>
    </row>
  </sheetData>
  <mergeCells count="6">
    <mergeCell ref="Q1:AZ1"/>
    <mergeCell ref="B2:D2"/>
    <mergeCell ref="Q2:R2"/>
    <mergeCell ref="AX2:AY2"/>
    <mergeCell ref="B3:D3"/>
    <mergeCell ref="AX3:AY3"/>
  </mergeCells>
  <pageMargins left="0.7" right="0.7" top="0.75" bottom="0.75" header="0.3" footer="0.3"/>
  <pageSetup orientation="portrait" r:id="rId1"/>
  <customProperties>
    <customPr name="EpmWorksheetKeyString_GUID" r:id="rId2"/>
  </customProperties>
  <drawing r:id="rId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BC35"/>
  <sheetViews>
    <sheetView zoomScale="90" zoomScaleNormal="90" workbookViewId="0">
      <selection activeCell="AY16" sqref="AY16"/>
    </sheetView>
  </sheetViews>
  <sheetFormatPr defaultColWidth="11.453125" defaultRowHeight="14.5" x14ac:dyDescent="0.35"/>
  <cols>
    <col min="1" max="1" width="3.453125" style="81" customWidth="1"/>
    <col min="2" max="2" width="18.81640625" style="173" bestFit="1" customWidth="1"/>
    <col min="3" max="3" width="10.81640625" style="82" customWidth="1"/>
    <col min="4" max="5" width="10.54296875" style="82" hidden="1" customWidth="1"/>
    <col min="6" max="6" width="11" style="82" customWidth="1"/>
    <col min="7" max="7" width="11.1796875" style="82" hidden="1" customWidth="1"/>
    <col min="8" max="8" width="11" style="82" hidden="1" customWidth="1"/>
    <col min="9" max="9" width="11.54296875" style="82" customWidth="1"/>
    <col min="10" max="10" width="8.54296875" style="81" hidden="1" customWidth="1"/>
    <col min="11" max="11" width="2.81640625" style="81" customWidth="1"/>
    <col min="12" max="12" width="20" style="173" customWidth="1"/>
    <col min="13" max="14" width="10.81640625" style="82" customWidth="1"/>
    <col min="15" max="15" width="10.81640625" style="82" hidden="1" customWidth="1"/>
    <col min="16" max="16" width="2.81640625" style="81" customWidth="1"/>
    <col min="17" max="17" width="29.1796875" style="81" customWidth="1"/>
    <col min="18" max="18" width="16.1796875" style="81" hidden="1" customWidth="1"/>
    <col min="19" max="19" width="17.54296875" style="81" hidden="1" customWidth="1"/>
    <col min="20" max="20" width="14.54296875" style="81" hidden="1" customWidth="1"/>
    <col min="21" max="21" width="16" style="81" hidden="1" customWidth="1"/>
    <col min="22" max="22" width="17.81640625" style="81" hidden="1" customWidth="1"/>
    <col min="23" max="23" width="17.1796875" style="81" hidden="1" customWidth="1"/>
    <col min="24" max="29" width="14.453125" style="81" hidden="1" customWidth="1"/>
    <col min="30" max="30" width="16.453125" style="81" hidden="1" customWidth="1"/>
    <col min="31" max="33" width="14.81640625" style="81" hidden="1" customWidth="1"/>
    <col min="34" max="34" width="16.54296875" style="81" hidden="1" customWidth="1"/>
    <col min="35" max="36" width="17.54296875" style="81" hidden="1" customWidth="1"/>
    <col min="37" max="39" width="15.1796875" style="81" hidden="1" customWidth="1"/>
    <col min="40" max="40" width="13.54296875" style="81" hidden="1" customWidth="1"/>
    <col min="41" max="41" width="14.54296875" style="81" hidden="1" customWidth="1"/>
    <col min="42" max="42" width="14.453125" style="81" hidden="1" customWidth="1"/>
    <col min="43" max="43" width="16.54296875" style="81" hidden="1" customWidth="1"/>
    <col min="44" max="45" width="17.1796875" style="81" hidden="1" customWidth="1"/>
    <col min="46" max="46" width="15.81640625" style="81" hidden="1" customWidth="1"/>
    <col min="47" max="47" width="15" style="81" hidden="1" customWidth="1"/>
    <col min="48" max="49" width="15.54296875" style="81" hidden="1" customWidth="1"/>
    <col min="50" max="50" width="16.54296875" style="81" bestFit="1" customWidth="1"/>
    <col min="51" max="54" width="11.453125" style="81" customWidth="1"/>
    <col min="55" max="16384" width="11.453125" style="81"/>
  </cols>
  <sheetData>
    <row r="1" spans="2:54" x14ac:dyDescent="0.35">
      <c r="B1" s="122"/>
      <c r="C1" s="86"/>
      <c r="D1" s="86"/>
      <c r="E1" s="86"/>
      <c r="F1" s="87"/>
      <c r="G1" s="87"/>
      <c r="H1" s="87"/>
      <c r="I1" s="87"/>
      <c r="J1" s="87"/>
      <c r="K1" s="87"/>
      <c r="L1" s="122"/>
      <c r="M1" s="87"/>
      <c r="N1" s="87"/>
      <c r="O1" s="87"/>
      <c r="Q1" s="574"/>
      <c r="R1" s="574"/>
      <c r="S1" s="574"/>
      <c r="T1" s="574"/>
      <c r="U1" s="574"/>
      <c r="V1" s="574"/>
      <c r="W1" s="574"/>
      <c r="X1" s="574"/>
      <c r="Y1" s="574"/>
      <c r="Z1" s="574"/>
      <c r="AA1" s="574"/>
      <c r="AB1" s="574"/>
      <c r="AC1" s="574"/>
      <c r="AD1" s="574"/>
      <c r="AE1" s="574"/>
      <c r="AF1" s="574"/>
      <c r="AG1" s="574"/>
      <c r="AH1" s="574"/>
      <c r="AI1" s="574"/>
      <c r="AJ1" s="574"/>
      <c r="AK1" s="574"/>
      <c r="AL1" s="574"/>
      <c r="AM1" s="574"/>
      <c r="AN1" s="574"/>
      <c r="AO1" s="574"/>
      <c r="AP1" s="574"/>
      <c r="AQ1" s="574"/>
      <c r="AR1" s="574"/>
      <c r="AS1" s="574"/>
      <c r="AT1" s="574"/>
      <c r="AU1" s="574"/>
      <c r="AV1" s="574"/>
      <c r="AW1" s="574"/>
      <c r="AX1" s="574"/>
      <c r="AY1" s="574"/>
      <c r="AZ1" s="574"/>
      <c r="BA1" s="574"/>
    </row>
    <row r="2" spans="2:54" s="142" customFormat="1" ht="15" customHeight="1" x14ac:dyDescent="0.35">
      <c r="B2" s="576" t="s">
        <v>66</v>
      </c>
      <c r="C2" s="576"/>
      <c r="D2" s="576"/>
      <c r="F2" s="141" t="e">
        <f>+AX12</f>
        <v>#REF!</v>
      </c>
      <c r="H2" s="141"/>
      <c r="I2" s="141"/>
      <c r="J2" s="143">
        <v>0.05</v>
      </c>
      <c r="K2" s="144"/>
      <c r="L2" s="171"/>
      <c r="M2" s="141"/>
      <c r="N2" s="141"/>
      <c r="O2" s="141"/>
      <c r="Q2" s="576"/>
      <c r="R2" s="576"/>
      <c r="S2" s="141"/>
      <c r="T2" s="143"/>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4"/>
      <c r="AV2" s="144"/>
      <c r="AW2" s="144"/>
      <c r="AX2" s="144"/>
      <c r="AY2" s="576"/>
      <c r="AZ2" s="576"/>
      <c r="BA2" s="141"/>
    </row>
    <row r="3" spans="2:54" s="133" customFormat="1" ht="15" customHeight="1" x14ac:dyDescent="0.35">
      <c r="B3" s="576" t="s">
        <v>67</v>
      </c>
      <c r="C3" s="576"/>
      <c r="D3" s="576"/>
      <c r="F3" s="134">
        <f>+AX16</f>
        <v>1344.6847602739726</v>
      </c>
      <c r="G3" s="135"/>
      <c r="H3" s="134"/>
      <c r="I3" s="134"/>
      <c r="J3" s="137" t="e">
        <f>+F2*J2</f>
        <v>#REF!</v>
      </c>
      <c r="K3" s="136"/>
      <c r="L3" s="200"/>
      <c r="M3" s="200"/>
      <c r="N3" s="134"/>
      <c r="O3" s="134"/>
      <c r="Q3" s="138"/>
      <c r="R3" s="139"/>
      <c r="S3" s="140"/>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577"/>
      <c r="AZ3" s="577"/>
      <c r="BA3" s="134"/>
    </row>
    <row r="4" spans="2:54" ht="23.5" hidden="1" x14ac:dyDescent="0.55000000000000004">
      <c r="B4" s="169"/>
      <c r="C4" s="92" t="e">
        <f>+(C10+C11)/C6*1000</f>
        <v>#REF!</v>
      </c>
      <c r="D4" s="92" t="e">
        <f>+(G10+G11)/G6*1000</f>
        <v>#REF!</v>
      </c>
      <c r="E4" s="92" t="e">
        <f>+(E10+E11)/E6*1000</f>
        <v>#REF!</v>
      </c>
      <c r="F4" s="92" t="e">
        <f>+(F10+F11)/F6*1000</f>
        <v>#REF!</v>
      </c>
      <c r="I4" s="92" t="e">
        <f>+(I10+I11)/I6*1000</f>
        <v>#REF!</v>
      </c>
      <c r="K4" s="88"/>
      <c r="L4" s="169"/>
      <c r="M4" s="92"/>
      <c r="N4" s="92"/>
      <c r="O4" s="92"/>
      <c r="Q4" s="93"/>
      <c r="R4" s="82"/>
      <c r="S4" s="90"/>
      <c r="T4" s="94"/>
      <c r="U4" s="88"/>
      <c r="V4" s="8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88"/>
      <c r="AW4" s="88"/>
      <c r="AX4" s="88"/>
      <c r="AY4" s="91"/>
      <c r="AZ4" s="91"/>
      <c r="BA4" s="78"/>
    </row>
    <row r="5" spans="2:54" s="95" customFormat="1" ht="33.75" customHeight="1" x14ac:dyDescent="0.35">
      <c r="B5" s="169" t="s">
        <v>5</v>
      </c>
      <c r="C5" s="85" t="s">
        <v>68</v>
      </c>
      <c r="D5" s="85" t="s">
        <v>69</v>
      </c>
      <c r="E5" s="85" t="s">
        <v>69</v>
      </c>
      <c r="F5" s="85" t="s">
        <v>69</v>
      </c>
      <c r="G5" s="85" t="s">
        <v>70</v>
      </c>
      <c r="H5" s="85" t="s">
        <v>70</v>
      </c>
      <c r="I5" s="85" t="s">
        <v>70</v>
      </c>
      <c r="J5" s="85"/>
      <c r="K5" s="88"/>
      <c r="L5" s="169" t="s">
        <v>71</v>
      </c>
      <c r="M5" s="96" t="s">
        <v>7</v>
      </c>
      <c r="N5" s="96" t="s">
        <v>8</v>
      </c>
      <c r="O5" s="96" t="s">
        <v>8</v>
      </c>
      <c r="Q5" s="147" t="s">
        <v>72</v>
      </c>
      <c r="R5" s="99" t="s">
        <v>54</v>
      </c>
      <c r="S5" s="99" t="s">
        <v>55</v>
      </c>
      <c r="T5" s="99" t="s">
        <v>56</v>
      </c>
      <c r="U5" s="99" t="s">
        <v>12</v>
      </c>
      <c r="V5" s="99" t="s">
        <v>57</v>
      </c>
      <c r="W5" s="99" t="s">
        <v>58</v>
      </c>
      <c r="X5" s="99" t="s">
        <v>59</v>
      </c>
      <c r="Y5" s="99" t="s">
        <v>60</v>
      </c>
      <c r="Z5" s="99" t="s">
        <v>62</v>
      </c>
      <c r="AA5" s="99" t="s">
        <v>64</v>
      </c>
      <c r="AB5" s="99" t="s">
        <v>65</v>
      </c>
      <c r="AC5" s="99" t="s">
        <v>73</v>
      </c>
      <c r="AD5" s="99" t="s">
        <v>53</v>
      </c>
      <c r="AE5" s="99" t="s">
        <v>77</v>
      </c>
      <c r="AF5" s="99" t="s">
        <v>78</v>
      </c>
      <c r="AG5" s="99" t="s">
        <v>79</v>
      </c>
      <c r="AH5" s="99" t="s">
        <v>90</v>
      </c>
      <c r="AI5" s="99" t="s">
        <v>91</v>
      </c>
      <c r="AJ5" s="99" t="s">
        <v>97</v>
      </c>
      <c r="AK5" s="99" t="s">
        <v>98</v>
      </c>
      <c r="AL5" s="99" t="s">
        <v>102</v>
      </c>
      <c r="AM5" s="99" t="s">
        <v>103</v>
      </c>
      <c r="AN5" s="99" t="s">
        <v>104</v>
      </c>
      <c r="AO5" s="99" t="s">
        <v>107</v>
      </c>
      <c r="AP5" s="99" t="s">
        <v>108</v>
      </c>
      <c r="AQ5" s="99" t="s">
        <v>114</v>
      </c>
      <c r="AR5" s="99" t="s">
        <v>121</v>
      </c>
      <c r="AS5" s="99" t="s">
        <v>122</v>
      </c>
      <c r="AT5" s="99" t="s">
        <v>123</v>
      </c>
      <c r="AU5" s="99" t="s">
        <v>124</v>
      </c>
      <c r="AV5" s="99" t="s">
        <v>125</v>
      </c>
      <c r="AW5" s="99" t="s">
        <v>126</v>
      </c>
      <c r="AX5" s="99" t="s">
        <v>127</v>
      </c>
      <c r="AY5" s="100"/>
      <c r="AZ5" s="97"/>
      <c r="BA5" s="97"/>
    </row>
    <row r="6" spans="2:54" x14ac:dyDescent="0.35">
      <c r="B6" s="169" t="s">
        <v>13</v>
      </c>
      <c r="C6" s="101">
        <v>16.7</v>
      </c>
      <c r="D6" s="101">
        <v>16.7</v>
      </c>
      <c r="E6" s="101">
        <v>20.5</v>
      </c>
      <c r="F6" s="101">
        <v>20.5</v>
      </c>
      <c r="G6" s="101">
        <v>30.6</v>
      </c>
      <c r="H6" s="101">
        <v>30.6</v>
      </c>
      <c r="I6" s="101">
        <v>38.6</v>
      </c>
      <c r="J6" s="101"/>
      <c r="L6" s="169" t="s">
        <v>13</v>
      </c>
      <c r="M6" s="101">
        <v>15</v>
      </c>
      <c r="N6" s="101">
        <v>20.5</v>
      </c>
      <c r="O6" s="101">
        <v>20.5</v>
      </c>
      <c r="Q6" s="102" t="s">
        <v>14</v>
      </c>
      <c r="R6" s="104">
        <v>938.13</v>
      </c>
      <c r="S6" s="105">
        <v>959</v>
      </c>
      <c r="T6" s="104">
        <v>1006.25</v>
      </c>
      <c r="U6" s="130">
        <v>993.75</v>
      </c>
      <c r="V6" s="131">
        <v>1015.5</v>
      </c>
      <c r="W6" s="131">
        <v>1045.5999999999999</v>
      </c>
      <c r="X6" s="43">
        <v>1103.75</v>
      </c>
      <c r="Y6" s="43">
        <v>1148.75</v>
      </c>
      <c r="Z6" s="43">
        <v>1167</v>
      </c>
      <c r="AA6" s="43">
        <v>1221.25</v>
      </c>
      <c r="AB6" s="43">
        <v>1330</v>
      </c>
      <c r="AC6" s="43">
        <f>+'IHS (Mod)'!I5</f>
        <v>1280</v>
      </c>
      <c r="AD6" s="43">
        <f>+'IHS (Mod)'!J5</f>
        <v>1279.380005</v>
      </c>
      <c r="AE6" s="43">
        <v>1275.5</v>
      </c>
      <c r="AF6" s="43" t="e">
        <f>+#REF!</f>
        <v>#REF!</v>
      </c>
      <c r="AG6" s="43" t="e">
        <f>+#REF!</f>
        <v>#REF!</v>
      </c>
      <c r="AH6" s="43" t="e">
        <f>+#REF!</f>
        <v>#REF!</v>
      </c>
      <c r="AI6" s="43" t="e">
        <f>+#REF!</f>
        <v>#REF!</v>
      </c>
      <c r="AJ6" s="43" t="e">
        <f>+#REF!</f>
        <v>#REF!</v>
      </c>
      <c r="AK6" s="43" t="e">
        <f>+#REF!</f>
        <v>#REF!</v>
      </c>
      <c r="AL6" s="43" t="e">
        <f>+#REF!</f>
        <v>#REF!</v>
      </c>
      <c r="AM6" s="43" t="e">
        <f>+#REF!</f>
        <v>#REF!</v>
      </c>
      <c r="AN6" s="43" t="e">
        <f>+#REF!</f>
        <v>#REF!</v>
      </c>
      <c r="AO6" s="43" t="e">
        <f>+#REF!</f>
        <v>#REF!</v>
      </c>
      <c r="AP6" s="43" t="e">
        <f>+#REF!</f>
        <v>#REF!</v>
      </c>
      <c r="AQ6" s="43" t="e">
        <f>+#REF!</f>
        <v>#REF!</v>
      </c>
      <c r="AR6" s="43" t="e">
        <f>+#REF!</f>
        <v>#REF!</v>
      </c>
      <c r="AS6" s="43" t="e">
        <f>+#REF!</f>
        <v>#REF!</v>
      </c>
      <c r="AT6" s="43" t="e">
        <f>+#REF!</f>
        <v>#REF!</v>
      </c>
      <c r="AU6" s="43" t="e">
        <f>+#REF!</f>
        <v>#REF!</v>
      </c>
      <c r="AV6" s="43" t="e">
        <f>+#REF!</f>
        <v>#REF!</v>
      </c>
      <c r="AW6" s="43" t="e">
        <f>+#REF!</f>
        <v>#REF!</v>
      </c>
      <c r="AX6" s="43" t="e">
        <f>+#REF!</f>
        <v>#REF!</v>
      </c>
      <c r="AY6" s="85"/>
      <c r="AZ6" s="101"/>
      <c r="BA6" s="101"/>
    </row>
    <row r="7" spans="2:54" x14ac:dyDescent="0.35">
      <c r="B7" s="170" t="s">
        <v>16</v>
      </c>
      <c r="C7" s="91" t="s">
        <v>17</v>
      </c>
      <c r="D7" s="91" t="s">
        <v>17</v>
      </c>
      <c r="E7" s="91" t="s">
        <v>17</v>
      </c>
      <c r="F7" s="91" t="s">
        <v>17</v>
      </c>
      <c r="G7" s="91" t="s">
        <v>17</v>
      </c>
      <c r="H7" s="91" t="s">
        <v>17</v>
      </c>
      <c r="I7" s="91" t="s">
        <v>17</v>
      </c>
      <c r="J7" s="91"/>
      <c r="L7" s="170" t="s">
        <v>16</v>
      </c>
      <c r="M7" s="91" t="s">
        <v>17</v>
      </c>
      <c r="N7" s="91" t="s">
        <v>17</v>
      </c>
      <c r="O7" s="91" t="s">
        <v>17</v>
      </c>
      <c r="Q7" s="128" t="s">
        <v>99</v>
      </c>
      <c r="R7" s="129">
        <v>25.09</v>
      </c>
      <c r="S7" s="129">
        <v>25.09</v>
      </c>
      <c r="T7" s="129">
        <v>25.09</v>
      </c>
      <c r="U7" s="129">
        <v>25</v>
      </c>
      <c r="V7" s="129">
        <v>25</v>
      </c>
      <c r="W7" s="129">
        <v>25</v>
      </c>
      <c r="X7" s="129">
        <v>25</v>
      </c>
      <c r="Y7" s="129">
        <v>25</v>
      </c>
      <c r="Z7" s="129">
        <v>25</v>
      </c>
      <c r="AA7" s="129">
        <v>25</v>
      </c>
      <c r="AB7" s="129">
        <v>25</v>
      </c>
      <c r="AC7" s="129">
        <v>33.139726027397259</v>
      </c>
      <c r="AD7" s="129">
        <f>+Septiembre18!AD8</f>
        <v>33.1236741020548</v>
      </c>
      <c r="AE7" s="129">
        <v>33.023219178082194</v>
      </c>
      <c r="AF7" s="129">
        <v>33.023219178082194</v>
      </c>
      <c r="AG7" s="129">
        <v>32.783732876712328</v>
      </c>
      <c r="AH7" s="129">
        <v>29.126712328767123</v>
      </c>
      <c r="AI7" s="129">
        <v>27.395420677397254</v>
      </c>
      <c r="AJ7" s="129">
        <v>26.796575342465754</v>
      </c>
      <c r="AK7" s="129">
        <v>13.948458904109588</v>
      </c>
      <c r="AL7" s="129">
        <v>14.191181506849315</v>
      </c>
      <c r="AM7" s="129">
        <v>14.255907534246576</v>
      </c>
      <c r="AN7" s="129" t="e">
        <f t="shared" ref="AN7:AU7" si="0">((((AN6*4.5%)/365)*210))*50%</f>
        <v>#REF!</v>
      </c>
      <c r="AO7" s="129" t="e">
        <f t="shared" si="0"/>
        <v>#REF!</v>
      </c>
      <c r="AP7" s="129" t="e">
        <f t="shared" si="0"/>
        <v>#REF!</v>
      </c>
      <c r="AQ7" s="129" t="e">
        <f t="shared" si="0"/>
        <v>#REF!</v>
      </c>
      <c r="AR7" s="129" t="e">
        <f t="shared" si="0"/>
        <v>#REF!</v>
      </c>
      <c r="AS7" s="129" t="e">
        <f t="shared" si="0"/>
        <v>#REF!</v>
      </c>
      <c r="AT7" s="129" t="e">
        <f t="shared" si="0"/>
        <v>#REF!</v>
      </c>
      <c r="AU7" s="129" t="e">
        <f t="shared" si="0"/>
        <v>#REF!</v>
      </c>
      <c r="AV7" s="129" t="e">
        <f>((((AV6*4.5%)/365)*210))*50%</f>
        <v>#REF!</v>
      </c>
      <c r="AW7" s="129" t="e">
        <f>((((AW6*4.5%)/365)*210))*50%</f>
        <v>#REF!</v>
      </c>
      <c r="AX7" s="129" t="e">
        <f>((((AX6*4.5%)/365)*210))*50%</f>
        <v>#REF!</v>
      </c>
      <c r="AY7" s="85"/>
      <c r="AZ7" s="91"/>
      <c r="BA7" s="91"/>
    </row>
    <row r="8" spans="2:54" x14ac:dyDescent="0.35">
      <c r="B8" s="170" t="s">
        <v>115</v>
      </c>
      <c r="C8" s="91" t="s">
        <v>116</v>
      </c>
      <c r="D8" s="91"/>
      <c r="E8" s="91"/>
      <c r="F8" s="91" t="s">
        <v>117</v>
      </c>
      <c r="G8" s="91"/>
      <c r="H8" s="91"/>
      <c r="I8" s="91" t="s">
        <v>118</v>
      </c>
      <c r="J8" s="91"/>
      <c r="L8" s="170"/>
      <c r="M8" s="91" t="s">
        <v>119</v>
      </c>
      <c r="N8" s="91" t="s">
        <v>120</v>
      </c>
      <c r="O8" s="91"/>
      <c r="Q8" s="128"/>
      <c r="R8" s="129"/>
      <c r="S8" s="129"/>
      <c r="T8" s="129"/>
      <c r="U8" s="129"/>
      <c r="V8" s="129"/>
      <c r="W8" s="129"/>
      <c r="X8" s="129"/>
      <c r="Y8" s="129"/>
      <c r="Z8" s="129"/>
      <c r="AA8" s="129"/>
      <c r="AB8" s="129"/>
      <c r="AC8" s="129"/>
      <c r="AD8" s="129"/>
      <c r="AE8" s="129"/>
      <c r="AF8" s="129"/>
      <c r="AG8" s="129"/>
      <c r="AH8" s="129"/>
      <c r="AI8" s="129"/>
      <c r="AJ8" s="129"/>
      <c r="AK8" s="129"/>
      <c r="AL8" s="129"/>
      <c r="AM8" s="129"/>
      <c r="AN8" s="129"/>
      <c r="AO8" s="129"/>
      <c r="AP8" s="129"/>
      <c r="AQ8" s="129"/>
      <c r="AR8" s="129"/>
      <c r="AS8" s="129"/>
      <c r="AT8" s="129"/>
      <c r="AU8" s="129"/>
      <c r="AV8" s="129"/>
      <c r="AW8" s="129"/>
      <c r="AX8" s="129"/>
      <c r="AY8" s="85"/>
      <c r="AZ8" s="91"/>
      <c r="BA8" s="91"/>
    </row>
    <row r="9" spans="2:54" s="95" customFormat="1" ht="29" x14ac:dyDescent="0.35">
      <c r="B9" s="175" t="s">
        <v>92</v>
      </c>
      <c r="C9" s="177" t="s">
        <v>93</v>
      </c>
      <c r="D9" s="177" t="s">
        <v>94</v>
      </c>
      <c r="E9" s="176">
        <v>1</v>
      </c>
      <c r="F9" s="177" t="s">
        <v>93</v>
      </c>
      <c r="G9" s="176">
        <v>1</v>
      </c>
      <c r="H9" s="177" t="s">
        <v>94</v>
      </c>
      <c r="I9" s="177" t="s">
        <v>93</v>
      </c>
      <c r="J9" s="162"/>
      <c r="L9" s="175" t="str">
        <f>+B9</f>
        <v>% Resina (Virgen/PCR)</v>
      </c>
      <c r="M9" s="177" t="s">
        <v>94</v>
      </c>
      <c r="N9" s="176">
        <v>1</v>
      </c>
      <c r="O9" s="177" t="s">
        <v>94</v>
      </c>
      <c r="Q9" s="166" t="s">
        <v>128</v>
      </c>
      <c r="R9" s="129">
        <v>65</v>
      </c>
      <c r="S9" s="167">
        <v>65</v>
      </c>
      <c r="T9" s="129">
        <v>65</v>
      </c>
      <c r="U9" s="129">
        <v>65</v>
      </c>
      <c r="V9" s="129">
        <v>65</v>
      </c>
      <c r="W9" s="129">
        <v>65</v>
      </c>
      <c r="X9" s="129">
        <v>65</v>
      </c>
      <c r="Y9" s="129">
        <v>65</v>
      </c>
      <c r="Z9" s="129">
        <v>65</v>
      </c>
      <c r="AA9" s="129">
        <v>65</v>
      </c>
      <c r="AB9" s="129">
        <v>65</v>
      </c>
      <c r="AC9" s="129">
        <v>70</v>
      </c>
      <c r="AD9" s="129">
        <v>70</v>
      </c>
      <c r="AE9" s="129">
        <v>70</v>
      </c>
      <c r="AF9" s="129">
        <v>70</v>
      </c>
      <c r="AG9" s="129">
        <v>70</v>
      </c>
      <c r="AH9" s="129">
        <v>70</v>
      </c>
      <c r="AI9" s="129">
        <v>70</v>
      </c>
      <c r="AJ9" s="129">
        <v>70</v>
      </c>
      <c r="AK9" s="129">
        <v>70</v>
      </c>
      <c r="AL9" s="129">
        <v>70</v>
      </c>
      <c r="AM9" s="129">
        <v>70</v>
      </c>
      <c r="AN9" s="129">
        <v>70</v>
      </c>
      <c r="AO9" s="129">
        <v>70</v>
      </c>
      <c r="AP9" s="129">
        <v>70</v>
      </c>
      <c r="AQ9" s="129">
        <v>70</v>
      </c>
      <c r="AR9" s="129">
        <v>70</v>
      </c>
      <c r="AS9" s="129">
        <v>70</v>
      </c>
      <c r="AT9" s="209">
        <v>70</v>
      </c>
      <c r="AU9" s="209">
        <v>90.46</v>
      </c>
      <c r="AV9" s="210">
        <v>78.56</v>
      </c>
      <c r="AW9" s="210">
        <v>78.56</v>
      </c>
      <c r="AX9" s="210">
        <v>78.56</v>
      </c>
      <c r="AY9" s="208"/>
      <c r="AZ9" s="165"/>
      <c r="BA9" s="165"/>
    </row>
    <row r="10" spans="2:54" x14ac:dyDescent="0.35">
      <c r="B10" s="170" t="s">
        <v>19</v>
      </c>
      <c r="C10" s="80" t="e">
        <f>+(C6*F2/1000)*1.01*50%</f>
        <v>#REF!</v>
      </c>
      <c r="D10" s="80" t="e">
        <f>+(D6*$F$2/1000)*1.01*75%</f>
        <v>#REF!</v>
      </c>
      <c r="E10" s="80" t="e">
        <f>+(E6*$F$2/1000)*1.01</f>
        <v>#REF!</v>
      </c>
      <c r="F10" s="80" t="e">
        <f>+(F6*$F$2/1000)*1.01*50%</f>
        <v>#REF!</v>
      </c>
      <c r="G10" s="80" t="e">
        <f>+(G6*F2/1000)*1.01</f>
        <v>#REF!</v>
      </c>
      <c r="H10" s="80" t="e">
        <f>+(H6*$F$2/1000)*1.01*75%</f>
        <v>#REF!</v>
      </c>
      <c r="I10" s="80" t="e">
        <f>+(I6*$F$2/1000)*1.01*50%</f>
        <v>#REF!</v>
      </c>
      <c r="J10" s="80"/>
      <c r="L10" s="170" t="s">
        <v>19</v>
      </c>
      <c r="M10" s="80" t="e">
        <f>+(M6*F2/1000)*1.005*75%</f>
        <v>#REF!</v>
      </c>
      <c r="N10" s="80" t="e">
        <f>+(N6*F2/1000)*1.005</f>
        <v>#REF!</v>
      </c>
      <c r="O10" s="80" t="e">
        <f>+(O6*F2/1000)*1.005*75%</f>
        <v>#REF!</v>
      </c>
      <c r="Q10" s="102"/>
      <c r="R10" s="104">
        <f>SUM(R6:R9)</f>
        <v>1028.22</v>
      </c>
      <c r="S10" s="104">
        <f>SUM(S6:S9)</f>
        <v>1049.0900000000001</v>
      </c>
      <c r="T10" s="104">
        <f>SUM(T6:T9)</f>
        <v>1096.3399999999999</v>
      </c>
      <c r="U10" s="104">
        <f>SUM(U6:U9)</f>
        <v>1083.75</v>
      </c>
      <c r="V10" s="104">
        <f t="shared" ref="V10:AW10" si="1">SUM(V6:V9)</f>
        <v>1105.5</v>
      </c>
      <c r="W10" s="104">
        <f t="shared" si="1"/>
        <v>1135.5999999999999</v>
      </c>
      <c r="X10" s="104">
        <f t="shared" si="1"/>
        <v>1193.75</v>
      </c>
      <c r="Y10" s="104">
        <f t="shared" si="1"/>
        <v>1238.75</v>
      </c>
      <c r="Z10" s="104">
        <f t="shared" si="1"/>
        <v>1257</v>
      </c>
      <c r="AA10" s="104">
        <f t="shared" si="1"/>
        <v>1311.25</v>
      </c>
      <c r="AB10" s="104">
        <f t="shared" si="1"/>
        <v>1420</v>
      </c>
      <c r="AC10" s="104">
        <f t="shared" si="1"/>
        <v>1383.1397260273973</v>
      </c>
      <c r="AD10" s="104">
        <f t="shared" si="1"/>
        <v>1382.5036791020548</v>
      </c>
      <c r="AE10" s="104">
        <f t="shared" si="1"/>
        <v>1378.5232191780822</v>
      </c>
      <c r="AF10" s="104" t="e">
        <f t="shared" si="1"/>
        <v>#REF!</v>
      </c>
      <c r="AG10" s="104" t="e">
        <f t="shared" si="1"/>
        <v>#REF!</v>
      </c>
      <c r="AH10" s="104" t="e">
        <f t="shared" si="1"/>
        <v>#REF!</v>
      </c>
      <c r="AI10" s="104" t="e">
        <f t="shared" si="1"/>
        <v>#REF!</v>
      </c>
      <c r="AJ10" s="104" t="e">
        <f t="shared" si="1"/>
        <v>#REF!</v>
      </c>
      <c r="AK10" s="104" t="e">
        <f t="shared" si="1"/>
        <v>#REF!</v>
      </c>
      <c r="AL10" s="104" t="e">
        <f t="shared" si="1"/>
        <v>#REF!</v>
      </c>
      <c r="AM10" s="104" t="e">
        <f t="shared" si="1"/>
        <v>#REF!</v>
      </c>
      <c r="AN10" s="104" t="e">
        <f t="shared" si="1"/>
        <v>#REF!</v>
      </c>
      <c r="AO10" s="104" t="e">
        <f t="shared" si="1"/>
        <v>#REF!</v>
      </c>
      <c r="AP10" s="104" t="e">
        <f t="shared" si="1"/>
        <v>#REF!</v>
      </c>
      <c r="AQ10" s="104" t="e">
        <f t="shared" si="1"/>
        <v>#REF!</v>
      </c>
      <c r="AR10" s="104" t="e">
        <f t="shared" si="1"/>
        <v>#REF!</v>
      </c>
      <c r="AS10" s="104" t="e">
        <f t="shared" si="1"/>
        <v>#REF!</v>
      </c>
      <c r="AT10" s="104" t="e">
        <f t="shared" si="1"/>
        <v>#REF!</v>
      </c>
      <c r="AU10" s="104" t="e">
        <f t="shared" si="1"/>
        <v>#REF!</v>
      </c>
      <c r="AV10" s="104" t="e">
        <f t="shared" si="1"/>
        <v>#REF!</v>
      </c>
      <c r="AW10" s="104" t="e">
        <f t="shared" si="1"/>
        <v>#REF!</v>
      </c>
      <c r="AX10" s="104" t="e">
        <f t="shared" ref="AX10" si="2">SUM(AX6:AX9)</f>
        <v>#REF!</v>
      </c>
      <c r="AY10" s="79"/>
      <c r="AZ10" s="80"/>
      <c r="BA10" s="80"/>
    </row>
    <row r="11" spans="2:54" x14ac:dyDescent="0.35">
      <c r="B11" s="172" t="s">
        <v>23</v>
      </c>
      <c r="C11" s="76">
        <f>+(C6*$F$3/1000)*1.01*50%</f>
        <v>11.340398925770549</v>
      </c>
      <c r="D11" s="76">
        <f>+(D6*$F$3/1000)*1.01*25%</f>
        <v>5.6701994628852743</v>
      </c>
      <c r="E11" s="76">
        <v>0</v>
      </c>
      <c r="F11" s="76">
        <f>+(F6*$F$3/1000)*1.01*50%</f>
        <v>13.920848980736302</v>
      </c>
      <c r="G11" s="76">
        <v>0</v>
      </c>
      <c r="H11" s="76">
        <f>+(H6*$F$3/1000)*1.01*25%</f>
        <v>10.389706800256848</v>
      </c>
      <c r="I11" s="76">
        <f>+(I6*$F$3/1000)*1.01*50%</f>
        <v>26.211940032020546</v>
      </c>
      <c r="J11" s="76"/>
      <c r="K11" s="121"/>
      <c r="L11" s="172" t="s">
        <v>23</v>
      </c>
      <c r="M11" s="76">
        <f>+(M6*F3/1000)*1.005*25%</f>
        <v>5.0677806902825333</v>
      </c>
      <c r="N11" s="76">
        <v>0</v>
      </c>
      <c r="O11" s="76">
        <f>+(O6*F3/1000)*1.005*25%</f>
        <v>6.9259669433861291</v>
      </c>
      <c r="Q11" s="106" t="s">
        <v>27</v>
      </c>
      <c r="R11" s="108">
        <f>+R10*4%</f>
        <v>41.128800000000005</v>
      </c>
      <c r="S11" s="104">
        <f>+S10*4%</f>
        <v>41.963600000000007</v>
      </c>
      <c r="T11" s="108">
        <f>+T10*4%</f>
        <v>43.8536</v>
      </c>
      <c r="U11" s="108">
        <f>+U10*4%</f>
        <v>43.35</v>
      </c>
      <c r="V11" s="108">
        <f t="shared" ref="V11:AW11" si="3">+V10*4%</f>
        <v>44.22</v>
      </c>
      <c r="W11" s="108">
        <f t="shared" si="3"/>
        <v>45.423999999999999</v>
      </c>
      <c r="X11" s="108">
        <f t="shared" si="3"/>
        <v>47.75</v>
      </c>
      <c r="Y11" s="108">
        <f t="shared" si="3"/>
        <v>49.550000000000004</v>
      </c>
      <c r="Z11" s="108">
        <f t="shared" si="3"/>
        <v>50.28</v>
      </c>
      <c r="AA11" s="108">
        <f t="shared" si="3"/>
        <v>52.45</v>
      </c>
      <c r="AB11" s="108">
        <f t="shared" si="3"/>
        <v>56.800000000000004</v>
      </c>
      <c r="AC11" s="108">
        <f t="shared" si="3"/>
        <v>55.325589041095895</v>
      </c>
      <c r="AD11" s="108">
        <f t="shared" si="3"/>
        <v>55.30014716408219</v>
      </c>
      <c r="AE11" s="108">
        <f t="shared" si="3"/>
        <v>55.140928767123285</v>
      </c>
      <c r="AF11" s="108" t="e">
        <f t="shared" si="3"/>
        <v>#REF!</v>
      </c>
      <c r="AG11" s="108" t="e">
        <f t="shared" si="3"/>
        <v>#REF!</v>
      </c>
      <c r="AH11" s="108" t="e">
        <f t="shared" si="3"/>
        <v>#REF!</v>
      </c>
      <c r="AI11" s="108" t="e">
        <f t="shared" si="3"/>
        <v>#REF!</v>
      </c>
      <c r="AJ11" s="108" t="e">
        <f t="shared" si="3"/>
        <v>#REF!</v>
      </c>
      <c r="AK11" s="108" t="e">
        <f t="shared" si="3"/>
        <v>#REF!</v>
      </c>
      <c r="AL11" s="108" t="e">
        <f t="shared" si="3"/>
        <v>#REF!</v>
      </c>
      <c r="AM11" s="108" t="e">
        <f t="shared" si="3"/>
        <v>#REF!</v>
      </c>
      <c r="AN11" s="108" t="e">
        <f t="shared" si="3"/>
        <v>#REF!</v>
      </c>
      <c r="AO11" s="108" t="e">
        <f t="shared" si="3"/>
        <v>#REF!</v>
      </c>
      <c r="AP11" s="108" t="e">
        <f t="shared" si="3"/>
        <v>#REF!</v>
      </c>
      <c r="AQ11" s="108" t="e">
        <f t="shared" si="3"/>
        <v>#REF!</v>
      </c>
      <c r="AR11" s="108" t="e">
        <f t="shared" si="3"/>
        <v>#REF!</v>
      </c>
      <c r="AS11" s="108" t="e">
        <f t="shared" si="3"/>
        <v>#REF!</v>
      </c>
      <c r="AT11" s="108" t="e">
        <f t="shared" si="3"/>
        <v>#REF!</v>
      </c>
      <c r="AU11" s="108" t="e">
        <f t="shared" si="3"/>
        <v>#REF!</v>
      </c>
      <c r="AV11" s="108" t="e">
        <f t="shared" si="3"/>
        <v>#REF!</v>
      </c>
      <c r="AW11" s="108" t="e">
        <f t="shared" si="3"/>
        <v>#REF!</v>
      </c>
      <c r="AX11" s="108" t="e">
        <f t="shared" ref="AX11" si="4">+AX10*4%</f>
        <v>#REF!</v>
      </c>
      <c r="AY11" s="79"/>
      <c r="AZ11" s="80"/>
      <c r="BA11" s="80"/>
    </row>
    <row r="12" spans="2:54" x14ac:dyDescent="0.35">
      <c r="B12" s="169" t="s">
        <v>95</v>
      </c>
      <c r="C12" s="84" t="e">
        <f>SUM(C10:C11)</f>
        <v>#REF!</v>
      </c>
      <c r="D12" s="84" t="e">
        <f t="shared" ref="D12:J12" si="5">SUM(D10:D11)</f>
        <v>#REF!</v>
      </c>
      <c r="E12" s="84" t="e">
        <f t="shared" si="5"/>
        <v>#REF!</v>
      </c>
      <c r="F12" s="84" t="e">
        <f t="shared" si="5"/>
        <v>#REF!</v>
      </c>
      <c r="G12" s="84" t="e">
        <f t="shared" si="5"/>
        <v>#REF!</v>
      </c>
      <c r="H12" s="84" t="e">
        <f t="shared" si="5"/>
        <v>#REF!</v>
      </c>
      <c r="I12" s="84" t="e">
        <f t="shared" si="5"/>
        <v>#REF!</v>
      </c>
      <c r="J12" s="80">
        <f t="shared" si="5"/>
        <v>0</v>
      </c>
      <c r="K12" s="80"/>
      <c r="L12" s="169" t="s">
        <v>95</v>
      </c>
      <c r="M12" s="84" t="e">
        <f t="shared" ref="M12:O12" si="6">SUM(M10:M11)</f>
        <v>#REF!</v>
      </c>
      <c r="N12" s="84" t="e">
        <f t="shared" si="6"/>
        <v>#REF!</v>
      </c>
      <c r="O12" s="84" t="e">
        <f t="shared" si="6"/>
        <v>#REF!</v>
      </c>
      <c r="Q12" s="157" t="s">
        <v>30</v>
      </c>
      <c r="R12" s="158">
        <f>+R11+R10</f>
        <v>1069.3488</v>
      </c>
      <c r="S12" s="159">
        <f>+S11+S10</f>
        <v>1091.0536000000002</v>
      </c>
      <c r="T12" s="158">
        <f>+T11+T10</f>
        <v>1140.1935999999998</v>
      </c>
      <c r="U12" s="158">
        <f>+U11+U10</f>
        <v>1127.0999999999999</v>
      </c>
      <c r="V12" s="158">
        <f t="shared" ref="V12:AW12" si="7">+V11+V10</f>
        <v>1149.72</v>
      </c>
      <c r="W12" s="158">
        <f t="shared" si="7"/>
        <v>1181.0239999999999</v>
      </c>
      <c r="X12" s="158">
        <f t="shared" si="7"/>
        <v>1241.5</v>
      </c>
      <c r="Y12" s="158">
        <f t="shared" si="7"/>
        <v>1288.3</v>
      </c>
      <c r="Z12" s="158">
        <f t="shared" si="7"/>
        <v>1307.28</v>
      </c>
      <c r="AA12" s="158">
        <f t="shared" si="7"/>
        <v>1363.7</v>
      </c>
      <c r="AB12" s="158">
        <f t="shared" si="7"/>
        <v>1476.8</v>
      </c>
      <c r="AC12" s="158">
        <f t="shared" si="7"/>
        <v>1438.4653150684931</v>
      </c>
      <c r="AD12" s="158">
        <f t="shared" si="7"/>
        <v>1437.8038262661369</v>
      </c>
      <c r="AE12" s="158">
        <f t="shared" si="7"/>
        <v>1433.6641479452055</v>
      </c>
      <c r="AF12" s="158" t="e">
        <f t="shared" si="7"/>
        <v>#REF!</v>
      </c>
      <c r="AG12" s="158" t="e">
        <f t="shared" si="7"/>
        <v>#REF!</v>
      </c>
      <c r="AH12" s="158" t="e">
        <f t="shared" si="7"/>
        <v>#REF!</v>
      </c>
      <c r="AI12" s="158" t="e">
        <f t="shared" si="7"/>
        <v>#REF!</v>
      </c>
      <c r="AJ12" s="158" t="e">
        <f t="shared" si="7"/>
        <v>#REF!</v>
      </c>
      <c r="AK12" s="158" t="e">
        <f t="shared" si="7"/>
        <v>#REF!</v>
      </c>
      <c r="AL12" s="158" t="e">
        <f t="shared" si="7"/>
        <v>#REF!</v>
      </c>
      <c r="AM12" s="158" t="e">
        <f t="shared" si="7"/>
        <v>#REF!</v>
      </c>
      <c r="AN12" s="158" t="e">
        <f t="shared" si="7"/>
        <v>#REF!</v>
      </c>
      <c r="AO12" s="158" t="e">
        <f t="shared" si="7"/>
        <v>#REF!</v>
      </c>
      <c r="AP12" s="158" t="e">
        <f t="shared" si="7"/>
        <v>#REF!</v>
      </c>
      <c r="AQ12" s="158" t="e">
        <f t="shared" si="7"/>
        <v>#REF!</v>
      </c>
      <c r="AR12" s="158" t="e">
        <f t="shared" si="7"/>
        <v>#REF!</v>
      </c>
      <c r="AS12" s="158" t="e">
        <f t="shared" si="7"/>
        <v>#REF!</v>
      </c>
      <c r="AT12" s="158" t="e">
        <f t="shared" si="7"/>
        <v>#REF!</v>
      </c>
      <c r="AU12" s="158" t="e">
        <f t="shared" si="7"/>
        <v>#REF!</v>
      </c>
      <c r="AV12" s="158" t="e">
        <f t="shared" si="7"/>
        <v>#REF!</v>
      </c>
      <c r="AW12" s="158" t="e">
        <f t="shared" si="7"/>
        <v>#REF!</v>
      </c>
      <c r="AX12" s="158" t="e">
        <f t="shared" ref="AX12" si="8">+AX11+AX10</f>
        <v>#REF!</v>
      </c>
      <c r="AY12" s="79"/>
      <c r="AZ12" s="80"/>
      <c r="BA12" s="80"/>
    </row>
    <row r="13" spans="2:54" x14ac:dyDescent="0.35">
      <c r="B13" s="170" t="s">
        <v>129</v>
      </c>
      <c r="C13" s="80">
        <v>8.25</v>
      </c>
      <c r="D13" s="80">
        <v>8.2299999999999986</v>
      </c>
      <c r="E13" s="80">
        <f>8.2+0.03</f>
        <v>8.2299999999999986</v>
      </c>
      <c r="F13" s="80">
        <v>8.25</v>
      </c>
      <c r="G13" s="80">
        <v>11.200000000000001</v>
      </c>
      <c r="H13" s="80">
        <v>11.200000000000001</v>
      </c>
      <c r="I13" s="80">
        <v>11.23</v>
      </c>
      <c r="J13" s="80"/>
      <c r="L13" s="170" t="s">
        <v>129</v>
      </c>
      <c r="M13" s="80">
        <f>+C13</f>
        <v>8.25</v>
      </c>
      <c r="N13" s="80">
        <f>+F13</f>
        <v>8.25</v>
      </c>
      <c r="O13" s="80">
        <v>8.23</v>
      </c>
      <c r="Q13" s="160" t="s">
        <v>32</v>
      </c>
      <c r="R13" s="161">
        <f>+R12*(1-5%)</f>
        <v>1015.88136</v>
      </c>
      <c r="S13" s="161">
        <f t="shared" ref="S13:AM13" si="9">+S12*(1-5%)</f>
        <v>1036.5009200000002</v>
      </c>
      <c r="T13" s="161">
        <f t="shared" si="9"/>
        <v>1083.1839199999997</v>
      </c>
      <c r="U13" s="161">
        <f t="shared" si="9"/>
        <v>1070.7449999999999</v>
      </c>
      <c r="V13" s="161">
        <f t="shared" si="9"/>
        <v>1092.2339999999999</v>
      </c>
      <c r="W13" s="161">
        <f t="shared" si="9"/>
        <v>1121.9727999999998</v>
      </c>
      <c r="X13" s="161">
        <f t="shared" si="9"/>
        <v>1179.425</v>
      </c>
      <c r="Y13" s="161">
        <f t="shared" si="9"/>
        <v>1223.885</v>
      </c>
      <c r="Z13" s="161">
        <f t="shared" si="9"/>
        <v>1241.9159999999999</v>
      </c>
      <c r="AA13" s="161">
        <f t="shared" si="9"/>
        <v>1295.5149999999999</v>
      </c>
      <c r="AB13" s="161">
        <f t="shared" si="9"/>
        <v>1402.9599999999998</v>
      </c>
      <c r="AC13" s="161">
        <f t="shared" si="9"/>
        <v>1366.5420493150684</v>
      </c>
      <c r="AD13" s="161">
        <f t="shared" si="9"/>
        <v>1365.9136349528299</v>
      </c>
      <c r="AE13" s="161">
        <f t="shared" si="9"/>
        <v>1361.9809405479452</v>
      </c>
      <c r="AF13" s="161" t="e">
        <f t="shared" si="9"/>
        <v>#REF!</v>
      </c>
      <c r="AG13" s="161" t="e">
        <f t="shared" si="9"/>
        <v>#REF!</v>
      </c>
      <c r="AH13" s="161" t="e">
        <f t="shared" si="9"/>
        <v>#REF!</v>
      </c>
      <c r="AI13" s="161" t="e">
        <f t="shared" si="9"/>
        <v>#REF!</v>
      </c>
      <c r="AJ13" s="161" t="e">
        <f t="shared" si="9"/>
        <v>#REF!</v>
      </c>
      <c r="AK13" s="161" t="e">
        <f t="shared" si="9"/>
        <v>#REF!</v>
      </c>
      <c r="AL13" s="161" t="e">
        <f t="shared" si="9"/>
        <v>#REF!</v>
      </c>
      <c r="AM13" s="161" t="e">
        <f t="shared" si="9"/>
        <v>#REF!</v>
      </c>
      <c r="AN13" s="161">
        <v>1267</v>
      </c>
      <c r="AO13" s="161" t="e">
        <f t="shared" ref="AO13:AV13" si="10">+AO12*(1-5%)</f>
        <v>#REF!</v>
      </c>
      <c r="AP13" s="161" t="e">
        <f t="shared" si="10"/>
        <v>#REF!</v>
      </c>
      <c r="AQ13" s="161" t="e">
        <f t="shared" si="10"/>
        <v>#REF!</v>
      </c>
      <c r="AR13" s="161" t="e">
        <f t="shared" si="10"/>
        <v>#REF!</v>
      </c>
      <c r="AS13" s="161" t="e">
        <f t="shared" si="10"/>
        <v>#REF!</v>
      </c>
      <c r="AT13" s="161" t="e">
        <f t="shared" si="10"/>
        <v>#REF!</v>
      </c>
      <c r="AU13" s="161" t="e">
        <f t="shared" si="10"/>
        <v>#REF!</v>
      </c>
      <c r="AV13" s="161" t="e">
        <f t="shared" si="10"/>
        <v>#REF!</v>
      </c>
      <c r="AW13" s="161">
        <v>1327.5</v>
      </c>
      <c r="AX13" s="161">
        <v>1327.5</v>
      </c>
      <c r="AY13" s="211">
        <v>1327.5</v>
      </c>
      <c r="AZ13" s="204" t="s">
        <v>130</v>
      </c>
      <c r="BA13" s="205"/>
      <c r="BB13" s="206"/>
    </row>
    <row r="14" spans="2:54" x14ac:dyDescent="0.35">
      <c r="B14" s="170" t="s">
        <v>131</v>
      </c>
      <c r="C14" s="80">
        <v>0</v>
      </c>
      <c r="D14" s="80"/>
      <c r="E14" s="80"/>
      <c r="F14" s="80">
        <v>0</v>
      </c>
      <c r="G14" s="80"/>
      <c r="H14" s="80"/>
      <c r="I14" s="80">
        <v>0</v>
      </c>
      <c r="J14" s="80"/>
      <c r="L14" s="170" t="s">
        <v>131</v>
      </c>
      <c r="M14" s="80">
        <f>(M15-M13)</f>
        <v>19.12</v>
      </c>
      <c r="N14" s="80">
        <f>(N15-N13)</f>
        <v>19.14</v>
      </c>
      <c r="O14" s="80">
        <v>19.09</v>
      </c>
      <c r="Q14" s="160"/>
      <c r="R14" s="161"/>
      <c r="S14" s="161"/>
      <c r="T14" s="161"/>
      <c r="U14" s="161"/>
      <c r="V14" s="161"/>
      <c r="W14" s="161"/>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1"/>
      <c r="AU14" s="161"/>
      <c r="AV14" s="161"/>
      <c r="AW14" s="161"/>
      <c r="AX14" s="161"/>
    </row>
    <row r="15" spans="2:54" x14ac:dyDescent="0.35">
      <c r="B15" s="169" t="s">
        <v>132</v>
      </c>
      <c r="C15" s="80">
        <f>+C13+C14</f>
        <v>8.25</v>
      </c>
      <c r="D15" s="80">
        <f t="shared" ref="D15:I15" si="11">+D13+D14</f>
        <v>8.2299999999999986</v>
      </c>
      <c r="E15" s="80">
        <f t="shared" si="11"/>
        <v>8.2299999999999986</v>
      </c>
      <c r="F15" s="80">
        <f t="shared" si="11"/>
        <v>8.25</v>
      </c>
      <c r="G15" s="80">
        <f t="shared" si="11"/>
        <v>11.200000000000001</v>
      </c>
      <c r="H15" s="80">
        <f t="shared" si="11"/>
        <v>11.200000000000001</v>
      </c>
      <c r="I15" s="80">
        <f t="shared" si="11"/>
        <v>11.23</v>
      </c>
      <c r="J15" s="80"/>
      <c r="L15" s="169" t="s">
        <v>132</v>
      </c>
      <c r="M15" s="80">
        <v>27.37</v>
      </c>
      <c r="N15" s="80">
        <v>27.39</v>
      </c>
      <c r="O15" s="80">
        <v>2.1800000000000002</v>
      </c>
      <c r="Q15" s="128" t="s">
        <v>100</v>
      </c>
      <c r="R15" s="128" t="s">
        <v>18</v>
      </c>
      <c r="S15" s="128" t="s">
        <v>18</v>
      </c>
      <c r="T15" s="128" t="s">
        <v>18</v>
      </c>
      <c r="U15" s="128" t="s">
        <v>18</v>
      </c>
      <c r="V15" s="128" t="s">
        <v>18</v>
      </c>
      <c r="W15" s="128" t="s">
        <v>18</v>
      </c>
      <c r="X15" s="128" t="s">
        <v>18</v>
      </c>
      <c r="Y15" s="128" t="s">
        <v>18</v>
      </c>
      <c r="Z15" s="128" t="s">
        <v>18</v>
      </c>
      <c r="AA15" s="128" t="s">
        <v>18</v>
      </c>
      <c r="AB15" s="128" t="s">
        <v>18</v>
      </c>
      <c r="AC15" s="128" t="s">
        <v>18</v>
      </c>
      <c r="AD15" s="128" t="s">
        <v>18</v>
      </c>
      <c r="AE15" s="128" t="s">
        <v>18</v>
      </c>
      <c r="AF15" s="128" t="s">
        <v>18</v>
      </c>
      <c r="AG15" s="128" t="s">
        <v>18</v>
      </c>
      <c r="AH15" s="128" t="s">
        <v>18</v>
      </c>
      <c r="AI15" s="128" t="s">
        <v>18</v>
      </c>
      <c r="AJ15" s="129">
        <v>0</v>
      </c>
      <c r="AK15" s="129">
        <f>+BA15</f>
        <v>0</v>
      </c>
      <c r="AL15" s="129">
        <v>15.097681007201158</v>
      </c>
      <c r="AM15" s="129">
        <v>15.162458159293488</v>
      </c>
      <c r="AN15" s="129">
        <f t="shared" ref="AN15:AU15" si="12">((((AN13*4.5%)/365)*210))*50%</f>
        <v>16.401575342465755</v>
      </c>
      <c r="AO15" s="129" t="e">
        <f t="shared" si="12"/>
        <v>#REF!</v>
      </c>
      <c r="AP15" s="129" t="e">
        <f t="shared" si="12"/>
        <v>#REF!</v>
      </c>
      <c r="AQ15" s="129" t="e">
        <f t="shared" si="12"/>
        <v>#REF!</v>
      </c>
      <c r="AR15" s="129" t="e">
        <f t="shared" si="12"/>
        <v>#REF!</v>
      </c>
      <c r="AS15" s="129" t="e">
        <f t="shared" si="12"/>
        <v>#REF!</v>
      </c>
      <c r="AT15" s="129" t="e">
        <f t="shared" si="12"/>
        <v>#REF!</v>
      </c>
      <c r="AU15" s="129" t="e">
        <f t="shared" si="12"/>
        <v>#REF!</v>
      </c>
      <c r="AV15" s="129" t="e">
        <f>((((AV13*4.5%)/365)*210))*50%</f>
        <v>#REF!</v>
      </c>
      <c r="AW15" s="129">
        <f>((((AW13*4.5%)/365)*210))*50%</f>
        <v>17.184760273972604</v>
      </c>
      <c r="AX15" s="129">
        <f>((((AX13*4.5%)/365)*210))*50%</f>
        <v>17.184760273972604</v>
      </c>
      <c r="AY15" s="203"/>
      <c r="AZ15" s="204"/>
      <c r="BA15" s="207"/>
      <c r="BB15" s="206"/>
    </row>
    <row r="16" spans="2:54" x14ac:dyDescent="0.35">
      <c r="B16" s="170" t="s">
        <v>31</v>
      </c>
      <c r="C16" s="80">
        <v>1.92</v>
      </c>
      <c r="D16" s="80">
        <v>1.5</v>
      </c>
      <c r="E16" s="80">
        <v>1.83</v>
      </c>
      <c r="F16" s="80">
        <v>2.2200000000000002</v>
      </c>
      <c r="G16" s="80">
        <v>3.45</v>
      </c>
      <c r="H16" s="80">
        <v>3.45</v>
      </c>
      <c r="I16" s="80">
        <v>4.13</v>
      </c>
      <c r="J16" s="80"/>
      <c r="L16" s="170" t="s">
        <v>31</v>
      </c>
      <c r="M16" s="80">
        <v>0.9</v>
      </c>
      <c r="N16" s="80">
        <v>2.1800000000000002</v>
      </c>
      <c r="O16" s="80">
        <v>4.3</v>
      </c>
      <c r="Q16" s="179" t="s">
        <v>101</v>
      </c>
      <c r="R16" s="179"/>
      <c r="S16" s="179"/>
      <c r="T16" s="179"/>
      <c r="U16" s="179"/>
      <c r="V16" s="179"/>
      <c r="W16" s="179"/>
      <c r="X16" s="179"/>
      <c r="Y16" s="179"/>
      <c r="Z16" s="179"/>
      <c r="AA16" s="179"/>
      <c r="AB16" s="179"/>
      <c r="AC16" s="179"/>
      <c r="AD16" s="179"/>
      <c r="AE16" s="179"/>
      <c r="AF16" s="179"/>
      <c r="AG16" s="179"/>
      <c r="AH16" s="179"/>
      <c r="AI16" s="179"/>
      <c r="AJ16" s="180"/>
      <c r="AK16" s="180" t="e">
        <f t="shared" ref="AK16:AW16" si="13">+AK13+AK15</f>
        <v>#REF!</v>
      </c>
      <c r="AL16" s="180" t="e">
        <f t="shared" si="13"/>
        <v>#REF!</v>
      </c>
      <c r="AM16" s="180" t="e">
        <f t="shared" si="13"/>
        <v>#REF!</v>
      </c>
      <c r="AN16" s="180">
        <f t="shared" si="13"/>
        <v>1283.4015753424658</v>
      </c>
      <c r="AO16" s="180" t="e">
        <f t="shared" si="13"/>
        <v>#REF!</v>
      </c>
      <c r="AP16" s="180" t="e">
        <f t="shared" si="13"/>
        <v>#REF!</v>
      </c>
      <c r="AQ16" s="180" t="e">
        <f t="shared" si="13"/>
        <v>#REF!</v>
      </c>
      <c r="AR16" s="180" t="e">
        <f t="shared" si="13"/>
        <v>#REF!</v>
      </c>
      <c r="AS16" s="180" t="e">
        <f t="shared" si="13"/>
        <v>#REF!</v>
      </c>
      <c r="AT16" s="180" t="e">
        <f t="shared" si="13"/>
        <v>#REF!</v>
      </c>
      <c r="AU16" s="180" t="e">
        <f t="shared" si="13"/>
        <v>#REF!</v>
      </c>
      <c r="AV16" s="180" t="e">
        <f t="shared" si="13"/>
        <v>#REF!</v>
      </c>
      <c r="AW16" s="180">
        <f t="shared" si="13"/>
        <v>1344.6847602739726</v>
      </c>
      <c r="AX16" s="180">
        <f t="shared" ref="AX16" si="14">+AX13+AX15</f>
        <v>1344.6847602739726</v>
      </c>
      <c r="AY16" s="203"/>
      <c r="AZ16" s="204"/>
      <c r="BA16" s="205"/>
      <c r="BB16" s="206"/>
    </row>
    <row r="17" spans="1:55" x14ac:dyDescent="0.35">
      <c r="A17" s="81" t="s">
        <v>38</v>
      </c>
      <c r="B17" s="170" t="s">
        <v>34</v>
      </c>
      <c r="C17" s="80">
        <v>0.19</v>
      </c>
      <c r="D17" s="80">
        <v>0.19</v>
      </c>
      <c r="E17" s="80">
        <v>0.19</v>
      </c>
      <c r="F17" s="80">
        <v>0.19</v>
      </c>
      <c r="G17" s="80">
        <v>0.33</v>
      </c>
      <c r="H17" s="80">
        <v>0.33</v>
      </c>
      <c r="I17" s="80">
        <v>0.33</v>
      </c>
      <c r="J17" s="80"/>
      <c r="L17" s="170" t="s">
        <v>34</v>
      </c>
      <c r="M17" s="80">
        <v>4.3</v>
      </c>
      <c r="N17" s="80">
        <v>4.3</v>
      </c>
      <c r="O17" s="80">
        <v>8.36</v>
      </c>
      <c r="Q17" s="157" t="s">
        <v>96</v>
      </c>
      <c r="R17" s="158">
        <f t="shared" ref="R17:AH17" si="15">+R12*75%+R13*25%</f>
        <v>1055.9819400000001</v>
      </c>
      <c r="S17" s="158">
        <f t="shared" si="15"/>
        <v>1077.4154300000002</v>
      </c>
      <c r="T17" s="158">
        <f t="shared" si="15"/>
        <v>1125.9411799999998</v>
      </c>
      <c r="U17" s="158">
        <f t="shared" si="15"/>
        <v>1113.01125</v>
      </c>
      <c r="V17" s="158">
        <f t="shared" si="15"/>
        <v>1135.3485000000001</v>
      </c>
      <c r="W17" s="158">
        <f t="shared" si="15"/>
        <v>1166.2611999999999</v>
      </c>
      <c r="X17" s="158">
        <f t="shared" si="15"/>
        <v>1225.98125</v>
      </c>
      <c r="Y17" s="158">
        <f t="shared" si="15"/>
        <v>1272.19625</v>
      </c>
      <c r="Z17" s="158">
        <f t="shared" si="15"/>
        <v>1290.9390000000001</v>
      </c>
      <c r="AA17" s="158">
        <f t="shared" si="15"/>
        <v>1346.6537499999999</v>
      </c>
      <c r="AB17" s="158">
        <f t="shared" si="15"/>
        <v>1458.34</v>
      </c>
      <c r="AC17" s="158">
        <f t="shared" si="15"/>
        <v>1420.4844986301368</v>
      </c>
      <c r="AD17" s="158">
        <f t="shared" si="15"/>
        <v>1419.8312784378102</v>
      </c>
      <c r="AE17" s="158">
        <f t="shared" si="15"/>
        <v>1415.7433460958905</v>
      </c>
      <c r="AF17" s="158" t="e">
        <f t="shared" si="15"/>
        <v>#REF!</v>
      </c>
      <c r="AG17" s="158" t="e">
        <f t="shared" si="15"/>
        <v>#REF!</v>
      </c>
      <c r="AH17" s="158" t="e">
        <f t="shared" si="15"/>
        <v>#REF!</v>
      </c>
      <c r="AI17" s="158" t="e">
        <f>+AI12*50%+AI13*50%</f>
        <v>#REF!</v>
      </c>
      <c r="AJ17" s="158" t="e">
        <f>+AJ12*50%+AJ13*50%</f>
        <v>#REF!</v>
      </c>
      <c r="AK17" s="158" t="e">
        <f t="shared" ref="AK17:AW17" si="16">+AK12*50%+AK16*50%</f>
        <v>#REF!</v>
      </c>
      <c r="AL17" s="158" t="e">
        <f t="shared" si="16"/>
        <v>#REF!</v>
      </c>
      <c r="AM17" s="158" t="e">
        <f t="shared" si="16"/>
        <v>#REF!</v>
      </c>
      <c r="AN17" s="158" t="e">
        <f t="shared" si="16"/>
        <v>#REF!</v>
      </c>
      <c r="AO17" s="158" t="e">
        <f t="shared" si="16"/>
        <v>#REF!</v>
      </c>
      <c r="AP17" s="158" t="e">
        <f t="shared" si="16"/>
        <v>#REF!</v>
      </c>
      <c r="AQ17" s="158" t="e">
        <f t="shared" si="16"/>
        <v>#REF!</v>
      </c>
      <c r="AR17" s="158" t="e">
        <f t="shared" si="16"/>
        <v>#REF!</v>
      </c>
      <c r="AS17" s="158" t="e">
        <f t="shared" si="16"/>
        <v>#REF!</v>
      </c>
      <c r="AT17" s="158" t="e">
        <f t="shared" si="16"/>
        <v>#REF!</v>
      </c>
      <c r="AU17" s="158" t="e">
        <f t="shared" si="16"/>
        <v>#REF!</v>
      </c>
      <c r="AV17" s="158" t="e">
        <f t="shared" si="16"/>
        <v>#REF!</v>
      </c>
      <c r="AW17" s="158" t="e">
        <f t="shared" si="16"/>
        <v>#REF!</v>
      </c>
      <c r="AX17" s="158" t="e">
        <f t="shared" ref="AX17" si="17">+AX12*50%+AX16*50%</f>
        <v>#REF!</v>
      </c>
      <c r="AY17" s="80"/>
      <c r="AZ17" s="80"/>
      <c r="BA17" s="80"/>
    </row>
    <row r="18" spans="1:55" x14ac:dyDescent="0.35">
      <c r="B18" s="170" t="s">
        <v>36</v>
      </c>
      <c r="C18" s="80">
        <v>0.16</v>
      </c>
      <c r="D18" s="80">
        <v>0.16</v>
      </c>
      <c r="E18" s="80">
        <v>0.16</v>
      </c>
      <c r="F18" s="80">
        <v>0.16</v>
      </c>
      <c r="G18" s="80">
        <v>0.28000000000000003</v>
      </c>
      <c r="H18" s="80">
        <v>0.28000000000000003</v>
      </c>
      <c r="I18" s="80">
        <v>0.28000000000000003</v>
      </c>
      <c r="J18" s="80"/>
      <c r="L18" s="170" t="s">
        <v>36</v>
      </c>
      <c r="M18" s="80">
        <v>8.36</v>
      </c>
      <c r="N18" s="80">
        <v>8.36</v>
      </c>
      <c r="O18" s="84" t="e">
        <f t="shared" ref="O18" si="18">+O12+O13+O15+O16+O17+O14</f>
        <v>#REF!</v>
      </c>
      <c r="Q18" s="113" t="s">
        <v>37</v>
      </c>
      <c r="R18" s="118">
        <f>+R17*1%</f>
        <v>10.559819400000002</v>
      </c>
      <c r="S18" s="118">
        <f t="shared" ref="S18:AW18" si="19">+S17*1%</f>
        <v>10.774154300000003</v>
      </c>
      <c r="T18" s="118">
        <f t="shared" si="19"/>
        <v>11.259411799999999</v>
      </c>
      <c r="U18" s="118">
        <f t="shared" si="19"/>
        <v>11.130112500000001</v>
      </c>
      <c r="V18" s="118">
        <f t="shared" si="19"/>
        <v>11.353485000000001</v>
      </c>
      <c r="W18" s="118">
        <f t="shared" si="19"/>
        <v>11.662611999999999</v>
      </c>
      <c r="X18" s="118">
        <f t="shared" si="19"/>
        <v>12.259812500000001</v>
      </c>
      <c r="Y18" s="118">
        <f t="shared" si="19"/>
        <v>12.7219625</v>
      </c>
      <c r="Z18" s="118">
        <f t="shared" si="19"/>
        <v>12.909390000000002</v>
      </c>
      <c r="AA18" s="118">
        <f t="shared" si="19"/>
        <v>13.466537499999999</v>
      </c>
      <c r="AB18" s="118">
        <f t="shared" si="19"/>
        <v>14.583399999999999</v>
      </c>
      <c r="AC18" s="118">
        <f t="shared" si="19"/>
        <v>14.204844986301369</v>
      </c>
      <c r="AD18" s="118">
        <f t="shared" si="19"/>
        <v>14.198312784378102</v>
      </c>
      <c r="AE18" s="118">
        <f t="shared" si="19"/>
        <v>14.157433460958906</v>
      </c>
      <c r="AF18" s="118" t="e">
        <f t="shared" si="19"/>
        <v>#REF!</v>
      </c>
      <c r="AG18" s="118" t="e">
        <f t="shared" si="19"/>
        <v>#REF!</v>
      </c>
      <c r="AH18" s="118" t="e">
        <f t="shared" si="19"/>
        <v>#REF!</v>
      </c>
      <c r="AI18" s="118" t="e">
        <f t="shared" si="19"/>
        <v>#REF!</v>
      </c>
      <c r="AJ18" s="118" t="e">
        <f t="shared" si="19"/>
        <v>#REF!</v>
      </c>
      <c r="AK18" s="118" t="e">
        <f t="shared" si="19"/>
        <v>#REF!</v>
      </c>
      <c r="AL18" s="118" t="e">
        <f t="shared" si="19"/>
        <v>#REF!</v>
      </c>
      <c r="AM18" s="118" t="e">
        <f t="shared" si="19"/>
        <v>#REF!</v>
      </c>
      <c r="AN18" s="118" t="e">
        <f t="shared" si="19"/>
        <v>#REF!</v>
      </c>
      <c r="AO18" s="118" t="e">
        <f t="shared" si="19"/>
        <v>#REF!</v>
      </c>
      <c r="AP18" s="118" t="e">
        <f t="shared" si="19"/>
        <v>#REF!</v>
      </c>
      <c r="AQ18" s="118" t="e">
        <f t="shared" si="19"/>
        <v>#REF!</v>
      </c>
      <c r="AR18" s="118" t="e">
        <f t="shared" si="19"/>
        <v>#REF!</v>
      </c>
      <c r="AS18" s="118" t="e">
        <f t="shared" si="19"/>
        <v>#REF!</v>
      </c>
      <c r="AT18" s="118" t="e">
        <f t="shared" si="19"/>
        <v>#REF!</v>
      </c>
      <c r="AU18" s="118" t="e">
        <f t="shared" si="19"/>
        <v>#REF!</v>
      </c>
      <c r="AV18" s="118" t="e">
        <f t="shared" si="19"/>
        <v>#REF!</v>
      </c>
      <c r="AW18" s="118" t="e">
        <f t="shared" si="19"/>
        <v>#REF!</v>
      </c>
      <c r="AX18" s="118" t="e">
        <f t="shared" ref="AX18" si="20">+AX17*1%</f>
        <v>#REF!</v>
      </c>
      <c r="AY18" s="79"/>
      <c r="AZ18" s="80"/>
      <c r="BA18" s="84"/>
    </row>
    <row r="19" spans="1:55" x14ac:dyDescent="0.35">
      <c r="B19" s="169" t="s">
        <v>39</v>
      </c>
      <c r="C19" s="84" t="e">
        <f>+C12+C15+C16+C17+C18</f>
        <v>#REF!</v>
      </c>
      <c r="D19" s="84" t="e">
        <f t="shared" ref="D19:I19" si="21">+D12+D15+D16+D17+D18</f>
        <v>#REF!</v>
      </c>
      <c r="E19" s="84" t="e">
        <f t="shared" si="21"/>
        <v>#REF!</v>
      </c>
      <c r="F19" s="84" t="e">
        <f t="shared" si="21"/>
        <v>#REF!</v>
      </c>
      <c r="G19" s="84" t="e">
        <f t="shared" si="21"/>
        <v>#REF!</v>
      </c>
      <c r="H19" s="84" t="e">
        <f t="shared" si="21"/>
        <v>#REF!</v>
      </c>
      <c r="I19" s="84" t="e">
        <f t="shared" si="21"/>
        <v>#REF!</v>
      </c>
      <c r="J19" s="84"/>
      <c r="L19" s="169" t="s">
        <v>39</v>
      </c>
      <c r="M19" s="84" t="e">
        <f>+M12+M15+M16+M17+M18</f>
        <v>#REF!</v>
      </c>
      <c r="N19" s="84" t="e">
        <f t="shared" ref="N19" si="22">+N12+N15+N16+N17+N18</f>
        <v>#REF!</v>
      </c>
      <c r="Q19" s="113" t="s">
        <v>74</v>
      </c>
      <c r="R19" s="115">
        <f>+R18+R17</f>
        <v>1066.5417594</v>
      </c>
      <c r="S19" s="115">
        <f t="shared" ref="S19:AV19" si="23">+S18+S17</f>
        <v>1088.1895843000002</v>
      </c>
      <c r="T19" s="115">
        <f t="shared" si="23"/>
        <v>1137.2005917999998</v>
      </c>
      <c r="U19" s="115">
        <f t="shared" si="23"/>
        <v>1124.1413625</v>
      </c>
      <c r="V19" s="115">
        <f t="shared" si="23"/>
        <v>1146.7019850000001</v>
      </c>
      <c r="W19" s="115">
        <f t="shared" si="23"/>
        <v>1177.923812</v>
      </c>
      <c r="X19" s="115">
        <f t="shared" si="23"/>
        <v>1238.2410625</v>
      </c>
      <c r="Y19" s="115">
        <f t="shared" si="23"/>
        <v>1284.9182125</v>
      </c>
      <c r="Z19" s="115">
        <f t="shared" si="23"/>
        <v>1303.8483900000001</v>
      </c>
      <c r="AA19" s="115">
        <f t="shared" si="23"/>
        <v>1360.1202874999999</v>
      </c>
      <c r="AB19" s="115">
        <f t="shared" si="23"/>
        <v>1472.9233999999999</v>
      </c>
      <c r="AC19" s="115">
        <f t="shared" si="23"/>
        <v>1434.6893436164382</v>
      </c>
      <c r="AD19" s="115">
        <f t="shared" si="23"/>
        <v>1434.0295912221882</v>
      </c>
      <c r="AE19" s="115">
        <f t="shared" si="23"/>
        <v>1429.9007795568493</v>
      </c>
      <c r="AF19" s="115" t="e">
        <f t="shared" si="23"/>
        <v>#REF!</v>
      </c>
      <c r="AG19" s="115" t="e">
        <f t="shared" si="23"/>
        <v>#REF!</v>
      </c>
      <c r="AH19" s="115" t="e">
        <f t="shared" si="23"/>
        <v>#REF!</v>
      </c>
      <c r="AI19" s="115" t="e">
        <f t="shared" si="23"/>
        <v>#REF!</v>
      </c>
      <c r="AJ19" s="115" t="e">
        <f t="shared" si="23"/>
        <v>#REF!</v>
      </c>
      <c r="AK19" s="115" t="e">
        <f t="shared" si="23"/>
        <v>#REF!</v>
      </c>
      <c r="AL19" s="115" t="e">
        <f t="shared" si="23"/>
        <v>#REF!</v>
      </c>
      <c r="AM19" s="115" t="e">
        <f t="shared" si="23"/>
        <v>#REF!</v>
      </c>
      <c r="AN19" s="115" t="e">
        <f t="shared" si="23"/>
        <v>#REF!</v>
      </c>
      <c r="AO19" s="115" t="e">
        <f t="shared" si="23"/>
        <v>#REF!</v>
      </c>
      <c r="AP19" s="115" t="e">
        <f t="shared" si="23"/>
        <v>#REF!</v>
      </c>
      <c r="AQ19" s="115" t="e">
        <f t="shared" si="23"/>
        <v>#REF!</v>
      </c>
      <c r="AR19" s="115" t="e">
        <f t="shared" si="23"/>
        <v>#REF!</v>
      </c>
      <c r="AS19" s="115" t="e">
        <f t="shared" si="23"/>
        <v>#REF!</v>
      </c>
      <c r="AT19" s="115" t="e">
        <f t="shared" si="23"/>
        <v>#REF!</v>
      </c>
      <c r="AU19" s="115" t="e">
        <f t="shared" si="23"/>
        <v>#REF!</v>
      </c>
      <c r="AV19" s="115" t="e">
        <f t="shared" si="23"/>
        <v>#REF!</v>
      </c>
      <c r="AW19" s="115" t="e">
        <f>+AW18+AW17</f>
        <v>#REF!</v>
      </c>
      <c r="AX19" s="115" t="e">
        <f>+AX18+AX17</f>
        <v>#REF!</v>
      </c>
      <c r="AY19" s="181"/>
      <c r="AZ19" s="84"/>
      <c r="BA19" s="84"/>
      <c r="BC19" s="182"/>
    </row>
    <row r="20" spans="1:55" x14ac:dyDescent="0.35">
      <c r="M20" s="84"/>
      <c r="N20" s="84"/>
      <c r="O20" s="84"/>
      <c r="Q20" s="85"/>
      <c r="R20" s="120" t="e">
        <f>+#REF!</f>
        <v>#REF!</v>
      </c>
      <c r="S20" s="120" t="e">
        <f>+R20</f>
        <v>#REF!</v>
      </c>
      <c r="T20" s="120" t="e">
        <f>+S20</f>
        <v>#REF!</v>
      </c>
      <c r="U20" s="120" t="e">
        <f>+T20</f>
        <v>#REF!</v>
      </c>
      <c r="V20" s="120" t="e">
        <f t="shared" ref="V20:AG20" si="24">+U20</f>
        <v>#REF!</v>
      </c>
      <c r="W20" s="120" t="e">
        <f t="shared" si="24"/>
        <v>#REF!</v>
      </c>
      <c r="X20" s="120" t="e">
        <f t="shared" si="24"/>
        <v>#REF!</v>
      </c>
      <c r="Y20" s="120" t="e">
        <f t="shared" si="24"/>
        <v>#REF!</v>
      </c>
      <c r="Z20" s="120" t="e">
        <f t="shared" si="24"/>
        <v>#REF!</v>
      </c>
      <c r="AA20" s="120" t="e">
        <f t="shared" si="24"/>
        <v>#REF!</v>
      </c>
      <c r="AB20" s="120" t="e">
        <f t="shared" si="24"/>
        <v>#REF!</v>
      </c>
      <c r="AC20" s="120" t="e">
        <f t="shared" si="24"/>
        <v>#REF!</v>
      </c>
      <c r="AD20" s="120" t="e">
        <f t="shared" si="24"/>
        <v>#REF!</v>
      </c>
      <c r="AE20" s="120" t="e">
        <f t="shared" si="24"/>
        <v>#REF!</v>
      </c>
      <c r="AF20" s="120" t="e">
        <f t="shared" si="24"/>
        <v>#REF!</v>
      </c>
      <c r="AG20" s="120" t="e">
        <f t="shared" si="24"/>
        <v>#REF!</v>
      </c>
      <c r="AH20" s="120"/>
      <c r="AI20" s="120"/>
      <c r="AJ20" s="120"/>
      <c r="AK20" s="120"/>
      <c r="AL20" s="120"/>
      <c r="AM20" s="120"/>
      <c r="AN20" s="120"/>
      <c r="AO20" s="120"/>
      <c r="AP20" s="120"/>
      <c r="AQ20" s="120"/>
      <c r="AR20" s="120"/>
      <c r="AS20" s="120"/>
      <c r="AT20" s="120"/>
      <c r="AU20" s="120"/>
      <c r="AV20" s="120"/>
      <c r="AW20" s="120"/>
      <c r="AX20" s="120"/>
      <c r="AZ20" s="84"/>
      <c r="BA20" s="82"/>
    </row>
    <row r="21" spans="1:55" x14ac:dyDescent="0.35">
      <c r="B21" s="169"/>
      <c r="C21" s="84"/>
      <c r="D21" s="84"/>
      <c r="E21" s="84"/>
      <c r="F21" s="84"/>
      <c r="G21" s="84"/>
      <c r="H21" s="84"/>
      <c r="I21" s="84"/>
      <c r="J21" s="84"/>
      <c r="K21" s="94"/>
      <c r="M21" s="84"/>
      <c r="N21" s="84"/>
      <c r="Q21" s="82"/>
      <c r="R21" s="82"/>
      <c r="S21" s="82"/>
      <c r="U21" s="94"/>
      <c r="V21" s="94"/>
      <c r="W21" s="94"/>
      <c r="X21" s="94"/>
      <c r="Y21" s="94"/>
      <c r="Z21" s="94"/>
      <c r="AA21" s="94"/>
      <c r="AB21" s="94"/>
      <c r="AC21" s="94"/>
      <c r="AD21" s="94"/>
      <c r="AE21" s="94"/>
      <c r="AF21" s="94"/>
      <c r="AG21" s="94"/>
      <c r="AH21" s="94"/>
      <c r="AI21" s="94"/>
      <c r="AJ21" s="94"/>
      <c r="AK21" s="94"/>
      <c r="AL21" s="94"/>
      <c r="AM21" s="94"/>
      <c r="AN21" s="94"/>
      <c r="AO21" s="94"/>
      <c r="AP21" s="94"/>
      <c r="AQ21" s="94"/>
      <c r="AR21" s="94"/>
      <c r="AS21" s="94"/>
      <c r="AT21" s="94"/>
      <c r="AU21" s="94"/>
      <c r="AV21" s="94"/>
      <c r="AW21" s="94"/>
      <c r="AX21" s="94"/>
      <c r="AZ21" s="82"/>
      <c r="BA21" s="82"/>
    </row>
    <row r="22" spans="1:55" x14ac:dyDescent="0.35">
      <c r="C22" s="132"/>
      <c r="D22" s="132"/>
      <c r="E22" s="132"/>
      <c r="F22" s="132"/>
      <c r="G22" s="132"/>
      <c r="H22" s="132"/>
      <c r="I22" s="132"/>
      <c r="K22" s="94"/>
      <c r="AZ22" s="82"/>
    </row>
    <row r="23" spans="1:55" x14ac:dyDescent="0.35">
      <c r="M23" s="86"/>
      <c r="O23" s="201"/>
    </row>
    <row r="24" spans="1:55" x14ac:dyDescent="0.35">
      <c r="C24" s="201"/>
      <c r="F24" s="201"/>
      <c r="I24" s="201"/>
      <c r="M24" s="201"/>
      <c r="N24" s="201"/>
    </row>
    <row r="25" spans="1:55" x14ac:dyDescent="0.35">
      <c r="F25" s="201">
        <f>+F24-F22</f>
        <v>0</v>
      </c>
    </row>
    <row r="27" spans="1:55" x14ac:dyDescent="0.35">
      <c r="AH27" s="164"/>
    </row>
    <row r="28" spans="1:55" x14ac:dyDescent="0.35">
      <c r="N28" s="123"/>
    </row>
    <row r="34" spans="1:55" s="82" customFormat="1" x14ac:dyDescent="0.35">
      <c r="A34" s="81"/>
      <c r="B34" s="173"/>
      <c r="J34" s="81"/>
      <c r="K34" s="81"/>
      <c r="L34" s="173"/>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c r="AY34" s="81"/>
      <c r="AZ34" s="81"/>
      <c r="BA34" s="81"/>
      <c r="BB34" s="81"/>
      <c r="BC34" s="81"/>
    </row>
    <row r="35" spans="1:55" x14ac:dyDescent="0.35">
      <c r="B35" s="173" t="s">
        <v>51</v>
      </c>
    </row>
  </sheetData>
  <mergeCells count="6">
    <mergeCell ref="Q1:BA1"/>
    <mergeCell ref="B2:D2"/>
    <mergeCell ref="Q2:R2"/>
    <mergeCell ref="AY2:AZ2"/>
    <mergeCell ref="B3:D3"/>
    <mergeCell ref="AY3:AZ3"/>
  </mergeCells>
  <pageMargins left="0.7" right="0.7" top="0.75" bottom="0.75" header="0.3" footer="0.3"/>
  <pageSetup orientation="portrait" r:id="rId1"/>
  <customProperties>
    <customPr name="EpmWorksheetKeyString_GUID" r:id="rId2"/>
  </customProperties>
  <drawing r:id="rId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D35"/>
  <sheetViews>
    <sheetView zoomScale="90" zoomScaleNormal="90" workbookViewId="0">
      <selection activeCell="AY6" sqref="AY6:AY19"/>
    </sheetView>
  </sheetViews>
  <sheetFormatPr defaultColWidth="11.453125" defaultRowHeight="14.5" x14ac:dyDescent="0.35"/>
  <cols>
    <col min="1" max="1" width="3.453125" style="81" customWidth="1"/>
    <col min="2" max="2" width="18.81640625" style="173" bestFit="1" customWidth="1"/>
    <col min="3" max="3" width="10.81640625" style="82" customWidth="1"/>
    <col min="4" max="5" width="10.54296875" style="82" hidden="1" customWidth="1"/>
    <col min="6" max="6" width="11" style="82" customWidth="1"/>
    <col min="7" max="7" width="11.1796875" style="82" hidden="1" customWidth="1"/>
    <col min="8" max="8" width="11" style="82" hidden="1" customWidth="1"/>
    <col min="9" max="9" width="11.54296875" style="82" customWidth="1"/>
    <col min="10" max="10" width="8.54296875" style="81" hidden="1" customWidth="1"/>
    <col min="11" max="11" width="2.81640625" style="81" customWidth="1"/>
    <col min="12" max="12" width="20" style="173" customWidth="1"/>
    <col min="13" max="14" width="10.81640625" style="82" customWidth="1"/>
    <col min="15" max="15" width="10.81640625" style="82" hidden="1" customWidth="1"/>
    <col min="16" max="16" width="2.81640625" style="81" customWidth="1"/>
    <col min="17" max="17" width="29.1796875" style="81" customWidth="1"/>
    <col min="18" max="18" width="16.1796875" style="81" hidden="1" customWidth="1"/>
    <col min="19" max="19" width="17.54296875" style="81" hidden="1" customWidth="1"/>
    <col min="20" max="20" width="14.54296875" style="81" hidden="1" customWidth="1"/>
    <col min="21" max="21" width="16" style="81" hidden="1" customWidth="1"/>
    <col min="22" max="22" width="17.81640625" style="81" hidden="1" customWidth="1"/>
    <col min="23" max="23" width="17.1796875" style="81" hidden="1" customWidth="1"/>
    <col min="24" max="29" width="14.453125" style="81" hidden="1" customWidth="1"/>
    <col min="30" max="30" width="16.453125" style="81" hidden="1" customWidth="1"/>
    <col min="31" max="33" width="14.81640625" style="81" hidden="1" customWidth="1"/>
    <col min="34" max="34" width="16.54296875" style="81" hidden="1" customWidth="1"/>
    <col min="35" max="36" width="17.54296875" style="81" hidden="1" customWidth="1"/>
    <col min="37" max="40" width="15.1796875" style="81" hidden="1" customWidth="1"/>
    <col min="41" max="41" width="13.81640625" style="81" hidden="1" customWidth="1"/>
    <col min="42" max="42" width="14.453125" style="81" hidden="1" customWidth="1"/>
    <col min="43" max="45" width="16.54296875" style="81" hidden="1" customWidth="1"/>
    <col min="46" max="46" width="15.81640625" style="81" hidden="1" customWidth="1"/>
    <col min="47" max="48" width="16.54296875" style="81" hidden="1" customWidth="1"/>
    <col min="49" max="49" width="15.54296875" style="81" hidden="1" customWidth="1"/>
    <col min="50" max="50" width="17.81640625" style="81" hidden="1" customWidth="1"/>
    <col min="51" max="51" width="16.54296875" style="81" bestFit="1" customWidth="1"/>
    <col min="52" max="55" width="11.453125" style="81" customWidth="1"/>
    <col min="56" max="16384" width="11.453125" style="81"/>
  </cols>
  <sheetData>
    <row r="1" spans="2:55" x14ac:dyDescent="0.35">
      <c r="B1" s="122"/>
      <c r="C1" s="86"/>
      <c r="D1" s="86"/>
      <c r="E1" s="86"/>
      <c r="F1" s="87"/>
      <c r="G1" s="87"/>
      <c r="H1" s="87"/>
      <c r="I1" s="87"/>
      <c r="J1" s="87"/>
      <c r="K1" s="87"/>
      <c r="L1" s="122"/>
      <c r="M1" s="87"/>
      <c r="N1" s="87"/>
      <c r="O1" s="87"/>
      <c r="Q1" s="574"/>
      <c r="R1" s="574"/>
      <c r="S1" s="574"/>
      <c r="T1" s="574"/>
      <c r="U1" s="574"/>
      <c r="V1" s="574"/>
      <c r="W1" s="574"/>
      <c r="X1" s="574"/>
      <c r="Y1" s="574"/>
      <c r="Z1" s="574"/>
      <c r="AA1" s="574"/>
      <c r="AB1" s="574"/>
      <c r="AC1" s="574"/>
      <c r="AD1" s="574"/>
      <c r="AE1" s="574"/>
      <c r="AF1" s="574"/>
      <c r="AG1" s="574"/>
      <c r="AH1" s="574"/>
      <c r="AI1" s="574"/>
      <c r="AJ1" s="574"/>
      <c r="AK1" s="574"/>
      <c r="AL1" s="574"/>
      <c r="AM1" s="574"/>
      <c r="AN1" s="574"/>
      <c r="AO1" s="574"/>
      <c r="AP1" s="574"/>
      <c r="AQ1" s="574"/>
      <c r="AR1" s="574"/>
      <c r="AS1" s="574"/>
      <c r="AT1" s="574"/>
      <c r="AU1" s="574"/>
      <c r="AV1" s="574"/>
      <c r="AW1" s="574"/>
      <c r="AX1" s="574"/>
      <c r="AY1" s="574"/>
      <c r="AZ1" s="574"/>
      <c r="BA1" s="574"/>
      <c r="BB1" s="574"/>
    </row>
    <row r="2" spans="2:55" s="142" customFormat="1" ht="15" customHeight="1" x14ac:dyDescent="0.35">
      <c r="B2" s="576" t="s">
        <v>66</v>
      </c>
      <c r="C2" s="576"/>
      <c r="D2" s="576"/>
      <c r="F2" s="141" t="e">
        <f>+AY12</f>
        <v>#REF!</v>
      </c>
      <c r="H2" s="141"/>
      <c r="I2" s="141"/>
      <c r="J2" s="143">
        <v>0.05</v>
      </c>
      <c r="K2" s="144"/>
      <c r="L2" s="171"/>
      <c r="M2" s="141"/>
      <c r="N2" s="141"/>
      <c r="O2" s="141"/>
      <c r="Q2" s="576"/>
      <c r="R2" s="576"/>
      <c r="S2" s="141"/>
      <c r="T2" s="143"/>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4"/>
      <c r="AV2" s="144"/>
      <c r="AW2" s="144"/>
      <c r="AX2" s="144"/>
      <c r="AY2" s="144"/>
      <c r="AZ2" s="576"/>
      <c r="BA2" s="576"/>
      <c r="BB2" s="141"/>
    </row>
    <row r="3" spans="2:55" s="133" customFormat="1" ht="15" customHeight="1" x14ac:dyDescent="0.35">
      <c r="B3" s="576" t="s">
        <v>67</v>
      </c>
      <c r="C3" s="576"/>
      <c r="D3" s="576"/>
      <c r="F3" s="134">
        <f>+AY16</f>
        <v>1344.6847602739726</v>
      </c>
      <c r="G3" s="135"/>
      <c r="H3" s="134"/>
      <c r="I3" s="134"/>
      <c r="J3" s="137" t="e">
        <f>+F2*J2</f>
        <v>#REF!</v>
      </c>
      <c r="K3" s="136"/>
      <c r="L3" s="200"/>
      <c r="M3" s="200"/>
      <c r="N3" s="134"/>
      <c r="O3" s="134"/>
      <c r="Q3" s="138"/>
      <c r="R3" s="139"/>
      <c r="S3" s="140"/>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577"/>
      <c r="BA3" s="577"/>
      <c r="BB3" s="134"/>
    </row>
    <row r="4" spans="2:55" ht="23.5" hidden="1" x14ac:dyDescent="0.55000000000000004">
      <c r="B4" s="169"/>
      <c r="C4" s="92" t="e">
        <f>+(C10+C11)/C6*1000</f>
        <v>#REF!</v>
      </c>
      <c r="D4" s="92" t="e">
        <f>+(G10+G11)/G6*1000</f>
        <v>#REF!</v>
      </c>
      <c r="E4" s="92" t="e">
        <f>+(E10+E11)/E6*1000</f>
        <v>#REF!</v>
      </c>
      <c r="F4" s="92" t="e">
        <f>+(F10+F11)/F6*1000</f>
        <v>#REF!</v>
      </c>
      <c r="I4" s="92" t="e">
        <f>+(I10+I11)/I6*1000</f>
        <v>#REF!</v>
      </c>
      <c r="K4" s="88"/>
      <c r="L4" s="169"/>
      <c r="M4" s="92"/>
      <c r="N4" s="92"/>
      <c r="O4" s="92"/>
      <c r="Q4" s="93"/>
      <c r="R4" s="82"/>
      <c r="S4" s="90"/>
      <c r="T4" s="94"/>
      <c r="U4" s="88"/>
      <c r="V4" s="8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88"/>
      <c r="AW4" s="88"/>
      <c r="AX4" s="88"/>
      <c r="AY4" s="88"/>
      <c r="AZ4" s="91"/>
      <c r="BA4" s="91"/>
      <c r="BB4" s="78"/>
    </row>
    <row r="5" spans="2:55" s="95" customFormat="1" ht="33.75" customHeight="1" x14ac:dyDescent="0.35">
      <c r="B5" s="169" t="s">
        <v>5</v>
      </c>
      <c r="C5" s="85" t="s">
        <v>68</v>
      </c>
      <c r="D5" s="85" t="s">
        <v>69</v>
      </c>
      <c r="E5" s="85" t="s">
        <v>69</v>
      </c>
      <c r="F5" s="85" t="s">
        <v>69</v>
      </c>
      <c r="G5" s="85" t="s">
        <v>70</v>
      </c>
      <c r="H5" s="85" t="s">
        <v>70</v>
      </c>
      <c r="I5" s="85" t="s">
        <v>70</v>
      </c>
      <c r="J5" s="85"/>
      <c r="K5" s="88"/>
      <c r="L5" s="169" t="s">
        <v>71</v>
      </c>
      <c r="M5" s="96" t="s">
        <v>7</v>
      </c>
      <c r="N5" s="96" t="s">
        <v>8</v>
      </c>
      <c r="O5" s="96" t="s">
        <v>8</v>
      </c>
      <c r="Q5" s="147" t="s">
        <v>72</v>
      </c>
      <c r="R5" s="99" t="s">
        <v>54</v>
      </c>
      <c r="S5" s="99" t="s">
        <v>55</v>
      </c>
      <c r="T5" s="99" t="s">
        <v>56</v>
      </c>
      <c r="U5" s="99" t="s">
        <v>12</v>
      </c>
      <c r="V5" s="99" t="s">
        <v>57</v>
      </c>
      <c r="W5" s="99" t="s">
        <v>58</v>
      </c>
      <c r="X5" s="99" t="s">
        <v>59</v>
      </c>
      <c r="Y5" s="99" t="s">
        <v>60</v>
      </c>
      <c r="Z5" s="99" t="s">
        <v>62</v>
      </c>
      <c r="AA5" s="99" t="s">
        <v>64</v>
      </c>
      <c r="AB5" s="99" t="s">
        <v>65</v>
      </c>
      <c r="AC5" s="99" t="s">
        <v>73</v>
      </c>
      <c r="AD5" s="99" t="s">
        <v>53</v>
      </c>
      <c r="AE5" s="99" t="s">
        <v>77</v>
      </c>
      <c r="AF5" s="99" t="s">
        <v>78</v>
      </c>
      <c r="AG5" s="99" t="s">
        <v>79</v>
      </c>
      <c r="AH5" s="99" t="s">
        <v>90</v>
      </c>
      <c r="AI5" s="99" t="s">
        <v>91</v>
      </c>
      <c r="AJ5" s="99" t="s">
        <v>97</v>
      </c>
      <c r="AK5" s="99" t="s">
        <v>98</v>
      </c>
      <c r="AL5" s="99" t="s">
        <v>102</v>
      </c>
      <c r="AM5" s="99" t="s">
        <v>103</v>
      </c>
      <c r="AN5" s="99" t="s">
        <v>104</v>
      </c>
      <c r="AO5" s="99" t="s">
        <v>107</v>
      </c>
      <c r="AP5" s="99" t="s">
        <v>108</v>
      </c>
      <c r="AQ5" s="99" t="s">
        <v>114</v>
      </c>
      <c r="AR5" s="99" t="s">
        <v>121</v>
      </c>
      <c r="AS5" s="99" t="s">
        <v>122</v>
      </c>
      <c r="AT5" s="99" t="s">
        <v>123</v>
      </c>
      <c r="AU5" s="99" t="s">
        <v>124</v>
      </c>
      <c r="AV5" s="99" t="s">
        <v>125</v>
      </c>
      <c r="AW5" s="99" t="s">
        <v>126</v>
      </c>
      <c r="AX5" s="99" t="s">
        <v>142</v>
      </c>
      <c r="AY5" s="99" t="s">
        <v>143</v>
      </c>
      <c r="AZ5" s="100"/>
      <c r="BA5" s="97"/>
      <c r="BB5" s="97"/>
    </row>
    <row r="6" spans="2:55" x14ac:dyDescent="0.35">
      <c r="B6" s="169" t="s">
        <v>13</v>
      </c>
      <c r="C6" s="101">
        <v>16.7</v>
      </c>
      <c r="D6" s="101">
        <v>16.7</v>
      </c>
      <c r="E6" s="101">
        <v>20.5</v>
      </c>
      <c r="F6" s="101">
        <v>20.5</v>
      </c>
      <c r="G6" s="101">
        <v>30.6</v>
      </c>
      <c r="H6" s="101">
        <v>30.6</v>
      </c>
      <c r="I6" s="101">
        <v>38.6</v>
      </c>
      <c r="J6" s="101"/>
      <c r="L6" s="169" t="s">
        <v>13</v>
      </c>
      <c r="M6" s="101">
        <v>15</v>
      </c>
      <c r="N6" s="101">
        <v>20.5</v>
      </c>
      <c r="O6" s="101">
        <v>20.5</v>
      </c>
      <c r="Q6" s="102" t="s">
        <v>14</v>
      </c>
      <c r="R6" s="104">
        <v>938.13</v>
      </c>
      <c r="S6" s="105">
        <v>959</v>
      </c>
      <c r="T6" s="104">
        <v>1006.25</v>
      </c>
      <c r="U6" s="130">
        <v>993.75</v>
      </c>
      <c r="V6" s="131">
        <v>1015.5</v>
      </c>
      <c r="W6" s="131">
        <v>1045.5999999999999</v>
      </c>
      <c r="X6" s="43">
        <v>1103.75</v>
      </c>
      <c r="Y6" s="43">
        <v>1148.75</v>
      </c>
      <c r="Z6" s="43">
        <v>1167</v>
      </c>
      <c r="AA6" s="43">
        <v>1221.25</v>
      </c>
      <c r="AB6" s="43">
        <v>1330</v>
      </c>
      <c r="AC6" s="43">
        <f>+'IHS (Mod)'!I5</f>
        <v>1280</v>
      </c>
      <c r="AD6" s="43">
        <f>+'IHS (Mod)'!J5</f>
        <v>1279.380005</v>
      </c>
      <c r="AE6" s="43">
        <v>1275.5</v>
      </c>
      <c r="AF6" s="43" t="e">
        <f>+#REF!</f>
        <v>#REF!</v>
      </c>
      <c r="AG6" s="43" t="e">
        <f>+#REF!</f>
        <v>#REF!</v>
      </c>
      <c r="AH6" s="43" t="e">
        <f>+#REF!</f>
        <v>#REF!</v>
      </c>
      <c r="AI6" s="43" t="e">
        <f>+#REF!</f>
        <v>#REF!</v>
      </c>
      <c r="AJ6" s="43" t="e">
        <f>+#REF!</f>
        <v>#REF!</v>
      </c>
      <c r="AK6" s="43" t="e">
        <f>+#REF!</f>
        <v>#REF!</v>
      </c>
      <c r="AL6" s="43" t="e">
        <f>+#REF!</f>
        <v>#REF!</v>
      </c>
      <c r="AM6" s="43" t="e">
        <f>+#REF!</f>
        <v>#REF!</v>
      </c>
      <c r="AN6" s="43" t="e">
        <f>+#REF!</f>
        <v>#REF!</v>
      </c>
      <c r="AO6" s="43" t="e">
        <f>+#REF!</f>
        <v>#REF!</v>
      </c>
      <c r="AP6" s="43" t="e">
        <f>+#REF!</f>
        <v>#REF!</v>
      </c>
      <c r="AQ6" s="43" t="e">
        <f>+#REF!</f>
        <v>#REF!</v>
      </c>
      <c r="AR6" s="43" t="e">
        <f>+#REF!</f>
        <v>#REF!</v>
      </c>
      <c r="AS6" s="43" t="e">
        <f>+#REF!</f>
        <v>#REF!</v>
      </c>
      <c r="AT6" s="43" t="e">
        <f>+#REF!</f>
        <v>#REF!</v>
      </c>
      <c r="AU6" s="43" t="e">
        <f>+#REF!</f>
        <v>#REF!</v>
      </c>
      <c r="AV6" s="43" t="e">
        <f>+#REF!</f>
        <v>#REF!</v>
      </c>
      <c r="AW6" s="43" t="e">
        <f>+#REF!</f>
        <v>#REF!</v>
      </c>
      <c r="AX6" s="43" t="e">
        <f>+#REF!</f>
        <v>#REF!</v>
      </c>
      <c r="AY6" s="43" t="e">
        <f>+#REF!</f>
        <v>#REF!</v>
      </c>
      <c r="AZ6" s="85"/>
      <c r="BA6" s="101"/>
      <c r="BB6" s="101"/>
    </row>
    <row r="7" spans="2:55" x14ac:dyDescent="0.35">
      <c r="B7" s="170" t="s">
        <v>16</v>
      </c>
      <c r="C7" s="91" t="s">
        <v>17</v>
      </c>
      <c r="D7" s="91" t="s">
        <v>17</v>
      </c>
      <c r="E7" s="91" t="s">
        <v>17</v>
      </c>
      <c r="F7" s="91" t="s">
        <v>17</v>
      </c>
      <c r="G7" s="91" t="s">
        <v>17</v>
      </c>
      <c r="H7" s="91" t="s">
        <v>17</v>
      </c>
      <c r="I7" s="91" t="s">
        <v>17</v>
      </c>
      <c r="J7" s="91"/>
      <c r="L7" s="170" t="s">
        <v>16</v>
      </c>
      <c r="M7" s="91" t="s">
        <v>17</v>
      </c>
      <c r="N7" s="91" t="s">
        <v>17</v>
      </c>
      <c r="O7" s="91" t="s">
        <v>17</v>
      </c>
      <c r="Q7" s="128" t="s">
        <v>99</v>
      </c>
      <c r="R7" s="129">
        <v>25.09</v>
      </c>
      <c r="S7" s="129">
        <v>25.09</v>
      </c>
      <c r="T7" s="129">
        <v>25.09</v>
      </c>
      <c r="U7" s="129">
        <v>25</v>
      </c>
      <c r="V7" s="129">
        <v>25</v>
      </c>
      <c r="W7" s="129">
        <v>25</v>
      </c>
      <c r="X7" s="129">
        <v>25</v>
      </c>
      <c r="Y7" s="129">
        <v>25</v>
      </c>
      <c r="Z7" s="129">
        <v>25</v>
      </c>
      <c r="AA7" s="129">
        <v>25</v>
      </c>
      <c r="AB7" s="129">
        <v>25</v>
      </c>
      <c r="AC7" s="129">
        <v>33.139726027397259</v>
      </c>
      <c r="AD7" s="129">
        <f>+Septiembre18!AD8</f>
        <v>33.1236741020548</v>
      </c>
      <c r="AE7" s="129">
        <v>33.023219178082194</v>
      </c>
      <c r="AF7" s="129">
        <v>33.023219178082194</v>
      </c>
      <c r="AG7" s="129">
        <v>32.783732876712328</v>
      </c>
      <c r="AH7" s="129">
        <v>29.126712328767123</v>
      </c>
      <c r="AI7" s="129">
        <v>27.395420677397254</v>
      </c>
      <c r="AJ7" s="129">
        <v>26.796575342465754</v>
      </c>
      <c r="AK7" s="129">
        <v>13.948458904109588</v>
      </c>
      <c r="AL7" s="129">
        <v>14.191181506849315</v>
      </c>
      <c r="AM7" s="129">
        <v>14.255907534246576</v>
      </c>
      <c r="AN7" s="129" t="e">
        <f t="shared" ref="AN7:AU7" si="0">((((AN6*4.5%)/365)*210))*50%</f>
        <v>#REF!</v>
      </c>
      <c r="AO7" s="129" t="e">
        <f t="shared" si="0"/>
        <v>#REF!</v>
      </c>
      <c r="AP7" s="129" t="e">
        <f t="shared" si="0"/>
        <v>#REF!</v>
      </c>
      <c r="AQ7" s="129" t="e">
        <f t="shared" si="0"/>
        <v>#REF!</v>
      </c>
      <c r="AR7" s="129" t="e">
        <f t="shared" si="0"/>
        <v>#REF!</v>
      </c>
      <c r="AS7" s="129" t="e">
        <f t="shared" si="0"/>
        <v>#REF!</v>
      </c>
      <c r="AT7" s="129" t="e">
        <f t="shared" si="0"/>
        <v>#REF!</v>
      </c>
      <c r="AU7" s="129" t="e">
        <f t="shared" si="0"/>
        <v>#REF!</v>
      </c>
      <c r="AV7" s="129" t="e">
        <f>((((AV6*4.5%)/365)*210))*50%</f>
        <v>#REF!</v>
      </c>
      <c r="AW7" s="129" t="e">
        <f>((((AW6*4.5%)/365)*210))*50%</f>
        <v>#REF!</v>
      </c>
      <c r="AX7" s="129" t="e">
        <f>((((AX6*4.5%)/365)*210))*50%</f>
        <v>#REF!</v>
      </c>
      <c r="AY7" s="129" t="e">
        <f>((((AY6*4.5%)/365)*210))*50%</f>
        <v>#REF!</v>
      </c>
      <c r="AZ7" s="85"/>
      <c r="BA7" s="91"/>
      <c r="BB7" s="91"/>
    </row>
    <row r="8" spans="2:55" x14ac:dyDescent="0.35">
      <c r="B8" s="170" t="s">
        <v>115</v>
      </c>
      <c r="C8" s="91" t="s">
        <v>116</v>
      </c>
      <c r="D8" s="91"/>
      <c r="E8" s="91"/>
      <c r="F8" s="91" t="s">
        <v>117</v>
      </c>
      <c r="G8" s="91"/>
      <c r="H8" s="91"/>
      <c r="I8" s="91" t="s">
        <v>118</v>
      </c>
      <c r="J8" s="91"/>
      <c r="L8" s="170"/>
      <c r="M8" s="91" t="s">
        <v>119</v>
      </c>
      <c r="N8" s="91" t="s">
        <v>120</v>
      </c>
      <c r="O8" s="91"/>
      <c r="Q8" s="128"/>
      <c r="R8" s="129"/>
      <c r="S8" s="129"/>
      <c r="T8" s="129"/>
      <c r="U8" s="129"/>
      <c r="V8" s="129"/>
      <c r="W8" s="129"/>
      <c r="X8" s="129"/>
      <c r="Y8" s="129"/>
      <c r="Z8" s="129"/>
      <c r="AA8" s="129"/>
      <c r="AB8" s="129"/>
      <c r="AC8" s="129"/>
      <c r="AD8" s="129"/>
      <c r="AE8" s="129"/>
      <c r="AF8" s="129"/>
      <c r="AG8" s="129"/>
      <c r="AH8" s="129"/>
      <c r="AI8" s="129"/>
      <c r="AJ8" s="129"/>
      <c r="AK8" s="129"/>
      <c r="AL8" s="129"/>
      <c r="AM8" s="129"/>
      <c r="AN8" s="129"/>
      <c r="AO8" s="129"/>
      <c r="AP8" s="129"/>
      <c r="AQ8" s="129"/>
      <c r="AR8" s="129"/>
      <c r="AS8" s="129"/>
      <c r="AT8" s="129"/>
      <c r="AU8" s="129"/>
      <c r="AV8" s="129"/>
      <c r="AW8" s="129"/>
      <c r="AX8" s="129"/>
      <c r="AY8" s="129"/>
      <c r="AZ8" s="85"/>
      <c r="BA8" s="91"/>
      <c r="BB8" s="91"/>
    </row>
    <row r="9" spans="2:55" s="95" customFormat="1" ht="29" x14ac:dyDescent="0.35">
      <c r="B9" s="175" t="s">
        <v>92</v>
      </c>
      <c r="C9" s="177" t="s">
        <v>93</v>
      </c>
      <c r="D9" s="177" t="s">
        <v>94</v>
      </c>
      <c r="E9" s="176">
        <v>1</v>
      </c>
      <c r="F9" s="177" t="s">
        <v>93</v>
      </c>
      <c r="G9" s="176">
        <v>1</v>
      </c>
      <c r="H9" s="177" t="s">
        <v>94</v>
      </c>
      <c r="I9" s="177" t="s">
        <v>93</v>
      </c>
      <c r="J9" s="162"/>
      <c r="L9" s="175" t="str">
        <f>+B9</f>
        <v>% Resina (Virgen/PCR)</v>
      </c>
      <c r="M9" s="177" t="s">
        <v>94</v>
      </c>
      <c r="N9" s="176">
        <v>1</v>
      </c>
      <c r="O9" s="177" t="s">
        <v>94</v>
      </c>
      <c r="Q9" s="166" t="s">
        <v>128</v>
      </c>
      <c r="R9" s="129">
        <v>65</v>
      </c>
      <c r="S9" s="167">
        <v>65</v>
      </c>
      <c r="T9" s="129">
        <v>65</v>
      </c>
      <c r="U9" s="129">
        <v>65</v>
      </c>
      <c r="V9" s="129">
        <v>65</v>
      </c>
      <c r="W9" s="129">
        <v>65</v>
      </c>
      <c r="X9" s="129">
        <v>65</v>
      </c>
      <c r="Y9" s="129">
        <v>65</v>
      </c>
      <c r="Z9" s="129">
        <v>65</v>
      </c>
      <c r="AA9" s="129">
        <v>65</v>
      </c>
      <c r="AB9" s="129">
        <v>65</v>
      </c>
      <c r="AC9" s="129">
        <v>70</v>
      </c>
      <c r="AD9" s="129">
        <v>70</v>
      </c>
      <c r="AE9" s="129">
        <v>70</v>
      </c>
      <c r="AF9" s="129">
        <v>70</v>
      </c>
      <c r="AG9" s="129">
        <v>70</v>
      </c>
      <c r="AH9" s="129">
        <v>70</v>
      </c>
      <c r="AI9" s="129">
        <v>70</v>
      </c>
      <c r="AJ9" s="129">
        <v>70</v>
      </c>
      <c r="AK9" s="129">
        <v>70</v>
      </c>
      <c r="AL9" s="129">
        <v>70</v>
      </c>
      <c r="AM9" s="129">
        <v>70</v>
      </c>
      <c r="AN9" s="129">
        <v>70</v>
      </c>
      <c r="AO9" s="129">
        <v>70</v>
      </c>
      <c r="AP9" s="129">
        <v>70</v>
      </c>
      <c r="AQ9" s="129">
        <v>70</v>
      </c>
      <c r="AR9" s="129">
        <v>70</v>
      </c>
      <c r="AS9" s="129">
        <v>70</v>
      </c>
      <c r="AT9" s="209">
        <v>70</v>
      </c>
      <c r="AU9" s="209">
        <v>90.46</v>
      </c>
      <c r="AV9" s="210">
        <v>78.56</v>
      </c>
      <c r="AW9" s="210">
        <v>78.56</v>
      </c>
      <c r="AX9" s="210">
        <v>78.56</v>
      </c>
      <c r="AY9" s="210">
        <v>78.56</v>
      </c>
      <c r="AZ9" s="208"/>
      <c r="BA9" s="165"/>
      <c r="BB9" s="165"/>
    </row>
    <row r="10" spans="2:55" x14ac:dyDescent="0.35">
      <c r="B10" s="170" t="s">
        <v>19</v>
      </c>
      <c r="C10" s="80" t="e">
        <f>+(C6*F2/1000)*1.01*50%</f>
        <v>#REF!</v>
      </c>
      <c r="D10" s="80" t="e">
        <f>+(D6*$F$2/1000)*1.01*75%</f>
        <v>#REF!</v>
      </c>
      <c r="E10" s="80" t="e">
        <f>+(E6*$F$2/1000)*1.01</f>
        <v>#REF!</v>
      </c>
      <c r="F10" s="80" t="e">
        <f>+(F6*$F$2/1000)*1.01*50%</f>
        <v>#REF!</v>
      </c>
      <c r="G10" s="80" t="e">
        <f>+(G6*F2/1000)*1.01</f>
        <v>#REF!</v>
      </c>
      <c r="H10" s="80" t="e">
        <f>+(H6*$F$2/1000)*1.01*75%</f>
        <v>#REF!</v>
      </c>
      <c r="I10" s="80" t="e">
        <f>+(I6*$F$2/1000)*1.01*50%</f>
        <v>#REF!</v>
      </c>
      <c r="J10" s="80"/>
      <c r="L10" s="170" t="s">
        <v>19</v>
      </c>
      <c r="M10" s="80" t="e">
        <f>+(M6*F2/1000)*1.005*75%</f>
        <v>#REF!</v>
      </c>
      <c r="N10" s="80" t="e">
        <f>+(N6*F2/1000)*1.005</f>
        <v>#REF!</v>
      </c>
      <c r="O10" s="80" t="e">
        <f>+(O6*F2/1000)*1.005*75%</f>
        <v>#REF!</v>
      </c>
      <c r="Q10" s="102"/>
      <c r="R10" s="104">
        <f>SUM(R6:R9)</f>
        <v>1028.22</v>
      </c>
      <c r="S10" s="104">
        <f>SUM(S6:S9)</f>
        <v>1049.0900000000001</v>
      </c>
      <c r="T10" s="104">
        <f>SUM(T6:T9)</f>
        <v>1096.3399999999999</v>
      </c>
      <c r="U10" s="104">
        <f>SUM(U6:U9)</f>
        <v>1083.75</v>
      </c>
      <c r="V10" s="104">
        <f t="shared" ref="V10:AY10" si="1">SUM(V6:V9)</f>
        <v>1105.5</v>
      </c>
      <c r="W10" s="104">
        <f t="shared" si="1"/>
        <v>1135.5999999999999</v>
      </c>
      <c r="X10" s="104">
        <f t="shared" si="1"/>
        <v>1193.75</v>
      </c>
      <c r="Y10" s="104">
        <f t="shared" si="1"/>
        <v>1238.75</v>
      </c>
      <c r="Z10" s="104">
        <f t="shared" si="1"/>
        <v>1257</v>
      </c>
      <c r="AA10" s="104">
        <f t="shared" si="1"/>
        <v>1311.25</v>
      </c>
      <c r="AB10" s="104">
        <f t="shared" si="1"/>
        <v>1420</v>
      </c>
      <c r="AC10" s="104">
        <f t="shared" si="1"/>
        <v>1383.1397260273973</v>
      </c>
      <c r="AD10" s="104">
        <f t="shared" si="1"/>
        <v>1382.5036791020548</v>
      </c>
      <c r="AE10" s="104">
        <f t="shared" si="1"/>
        <v>1378.5232191780822</v>
      </c>
      <c r="AF10" s="104" t="e">
        <f t="shared" si="1"/>
        <v>#REF!</v>
      </c>
      <c r="AG10" s="104" t="e">
        <f t="shared" si="1"/>
        <v>#REF!</v>
      </c>
      <c r="AH10" s="104" t="e">
        <f t="shared" si="1"/>
        <v>#REF!</v>
      </c>
      <c r="AI10" s="104" t="e">
        <f t="shared" si="1"/>
        <v>#REF!</v>
      </c>
      <c r="AJ10" s="104" t="e">
        <f t="shared" si="1"/>
        <v>#REF!</v>
      </c>
      <c r="AK10" s="104" t="e">
        <f t="shared" si="1"/>
        <v>#REF!</v>
      </c>
      <c r="AL10" s="104" t="e">
        <f t="shared" si="1"/>
        <v>#REF!</v>
      </c>
      <c r="AM10" s="104" t="e">
        <f t="shared" si="1"/>
        <v>#REF!</v>
      </c>
      <c r="AN10" s="104" t="e">
        <f t="shared" si="1"/>
        <v>#REF!</v>
      </c>
      <c r="AO10" s="104" t="e">
        <f t="shared" si="1"/>
        <v>#REF!</v>
      </c>
      <c r="AP10" s="104" t="e">
        <f t="shared" si="1"/>
        <v>#REF!</v>
      </c>
      <c r="AQ10" s="104" t="e">
        <f t="shared" si="1"/>
        <v>#REF!</v>
      </c>
      <c r="AR10" s="104" t="e">
        <f t="shared" si="1"/>
        <v>#REF!</v>
      </c>
      <c r="AS10" s="104" t="e">
        <f t="shared" si="1"/>
        <v>#REF!</v>
      </c>
      <c r="AT10" s="104" t="e">
        <f t="shared" si="1"/>
        <v>#REF!</v>
      </c>
      <c r="AU10" s="104" t="e">
        <f t="shared" si="1"/>
        <v>#REF!</v>
      </c>
      <c r="AV10" s="104" t="e">
        <f t="shared" si="1"/>
        <v>#REF!</v>
      </c>
      <c r="AW10" s="104" t="e">
        <f t="shared" si="1"/>
        <v>#REF!</v>
      </c>
      <c r="AX10" s="104" t="e">
        <f t="shared" si="1"/>
        <v>#REF!</v>
      </c>
      <c r="AY10" s="104" t="e">
        <f t="shared" si="1"/>
        <v>#REF!</v>
      </c>
      <c r="AZ10" s="79"/>
      <c r="BA10" s="80"/>
      <c r="BB10" s="80"/>
    </row>
    <row r="11" spans="2:55" x14ac:dyDescent="0.35">
      <c r="B11" s="172" t="s">
        <v>23</v>
      </c>
      <c r="C11" s="76">
        <f>+(C6*$F$3/1000)*1.01*50%</f>
        <v>11.340398925770549</v>
      </c>
      <c r="D11" s="76">
        <f>+(D6*$F$3/1000)*1.01*25%</f>
        <v>5.6701994628852743</v>
      </c>
      <c r="E11" s="76">
        <v>0</v>
      </c>
      <c r="F11" s="76">
        <f>+(F6*$F$3/1000)*1.01*50%</f>
        <v>13.920848980736302</v>
      </c>
      <c r="G11" s="76">
        <v>0</v>
      </c>
      <c r="H11" s="76">
        <f>+(H6*$F$3/1000)*1.01*25%</f>
        <v>10.389706800256848</v>
      </c>
      <c r="I11" s="76">
        <f>+(I6*$F$3/1000)*1.01*50%</f>
        <v>26.211940032020546</v>
      </c>
      <c r="J11" s="76"/>
      <c r="K11" s="121"/>
      <c r="L11" s="172" t="s">
        <v>23</v>
      </c>
      <c r="M11" s="76">
        <f>+(M6*F3/1000)*1.005*25%</f>
        <v>5.0677806902825333</v>
      </c>
      <c r="N11" s="76">
        <v>0</v>
      </c>
      <c r="O11" s="76">
        <f>+(O6*F3/1000)*1.005*25%</f>
        <v>6.9259669433861291</v>
      </c>
      <c r="Q11" s="106" t="s">
        <v>27</v>
      </c>
      <c r="R11" s="108">
        <f>+R10*4%</f>
        <v>41.128800000000005</v>
      </c>
      <c r="S11" s="104">
        <f>+S10*4%</f>
        <v>41.963600000000007</v>
      </c>
      <c r="T11" s="108">
        <f>+T10*4%</f>
        <v>43.8536</v>
      </c>
      <c r="U11" s="108">
        <f>+U10*4%</f>
        <v>43.35</v>
      </c>
      <c r="V11" s="108">
        <f t="shared" ref="V11:AY11" si="2">+V10*4%</f>
        <v>44.22</v>
      </c>
      <c r="W11" s="108">
        <f t="shared" si="2"/>
        <v>45.423999999999999</v>
      </c>
      <c r="X11" s="108">
        <f t="shared" si="2"/>
        <v>47.75</v>
      </c>
      <c r="Y11" s="108">
        <f t="shared" si="2"/>
        <v>49.550000000000004</v>
      </c>
      <c r="Z11" s="108">
        <f t="shared" si="2"/>
        <v>50.28</v>
      </c>
      <c r="AA11" s="108">
        <f t="shared" si="2"/>
        <v>52.45</v>
      </c>
      <c r="AB11" s="108">
        <f t="shared" si="2"/>
        <v>56.800000000000004</v>
      </c>
      <c r="AC11" s="108">
        <f t="shared" si="2"/>
        <v>55.325589041095895</v>
      </c>
      <c r="AD11" s="108">
        <f t="shared" si="2"/>
        <v>55.30014716408219</v>
      </c>
      <c r="AE11" s="108">
        <f t="shared" si="2"/>
        <v>55.140928767123285</v>
      </c>
      <c r="AF11" s="108" t="e">
        <f t="shared" si="2"/>
        <v>#REF!</v>
      </c>
      <c r="AG11" s="108" t="e">
        <f t="shared" si="2"/>
        <v>#REF!</v>
      </c>
      <c r="AH11" s="108" t="e">
        <f t="shared" si="2"/>
        <v>#REF!</v>
      </c>
      <c r="AI11" s="108" t="e">
        <f t="shared" si="2"/>
        <v>#REF!</v>
      </c>
      <c r="AJ11" s="108" t="e">
        <f t="shared" si="2"/>
        <v>#REF!</v>
      </c>
      <c r="AK11" s="108" t="e">
        <f t="shared" si="2"/>
        <v>#REF!</v>
      </c>
      <c r="AL11" s="108" t="e">
        <f t="shared" si="2"/>
        <v>#REF!</v>
      </c>
      <c r="AM11" s="108" t="e">
        <f t="shared" si="2"/>
        <v>#REF!</v>
      </c>
      <c r="AN11" s="108" t="e">
        <f t="shared" si="2"/>
        <v>#REF!</v>
      </c>
      <c r="AO11" s="108" t="e">
        <f t="shared" si="2"/>
        <v>#REF!</v>
      </c>
      <c r="AP11" s="108" t="e">
        <f t="shared" si="2"/>
        <v>#REF!</v>
      </c>
      <c r="AQ11" s="108" t="e">
        <f t="shared" si="2"/>
        <v>#REF!</v>
      </c>
      <c r="AR11" s="108" t="e">
        <f t="shared" si="2"/>
        <v>#REF!</v>
      </c>
      <c r="AS11" s="108" t="e">
        <f t="shared" si="2"/>
        <v>#REF!</v>
      </c>
      <c r="AT11" s="108" t="e">
        <f t="shared" si="2"/>
        <v>#REF!</v>
      </c>
      <c r="AU11" s="108" t="e">
        <f t="shared" si="2"/>
        <v>#REF!</v>
      </c>
      <c r="AV11" s="108" t="e">
        <f t="shared" si="2"/>
        <v>#REF!</v>
      </c>
      <c r="AW11" s="108" t="e">
        <f t="shared" si="2"/>
        <v>#REF!</v>
      </c>
      <c r="AX11" s="108" t="e">
        <f t="shared" si="2"/>
        <v>#REF!</v>
      </c>
      <c r="AY11" s="108" t="e">
        <f t="shared" si="2"/>
        <v>#REF!</v>
      </c>
      <c r="AZ11" s="79"/>
      <c r="BA11" s="80"/>
      <c r="BB11" s="80"/>
    </row>
    <row r="12" spans="2:55" x14ac:dyDescent="0.35">
      <c r="B12" s="169" t="s">
        <v>95</v>
      </c>
      <c r="C12" s="84" t="e">
        <f>SUM(C10:C11)</f>
        <v>#REF!</v>
      </c>
      <c r="D12" s="84" t="e">
        <f t="shared" ref="D12:J12" si="3">SUM(D10:D11)</f>
        <v>#REF!</v>
      </c>
      <c r="E12" s="84" t="e">
        <f t="shared" si="3"/>
        <v>#REF!</v>
      </c>
      <c r="F12" s="84" t="e">
        <f t="shared" si="3"/>
        <v>#REF!</v>
      </c>
      <c r="G12" s="84" t="e">
        <f t="shared" si="3"/>
        <v>#REF!</v>
      </c>
      <c r="H12" s="84" t="e">
        <f t="shared" si="3"/>
        <v>#REF!</v>
      </c>
      <c r="I12" s="84" t="e">
        <f t="shared" si="3"/>
        <v>#REF!</v>
      </c>
      <c r="J12" s="80">
        <f t="shared" si="3"/>
        <v>0</v>
      </c>
      <c r="K12" s="80"/>
      <c r="L12" s="169" t="s">
        <v>95</v>
      </c>
      <c r="M12" s="84" t="e">
        <f t="shared" ref="M12:O12" si="4">SUM(M10:M11)</f>
        <v>#REF!</v>
      </c>
      <c r="N12" s="84" t="e">
        <f t="shared" si="4"/>
        <v>#REF!</v>
      </c>
      <c r="O12" s="84" t="e">
        <f t="shared" si="4"/>
        <v>#REF!</v>
      </c>
      <c r="Q12" s="157" t="s">
        <v>30</v>
      </c>
      <c r="R12" s="158">
        <f>+R11+R10</f>
        <v>1069.3488</v>
      </c>
      <c r="S12" s="159">
        <f>+S11+S10</f>
        <v>1091.0536000000002</v>
      </c>
      <c r="T12" s="158">
        <f>+T11+T10</f>
        <v>1140.1935999999998</v>
      </c>
      <c r="U12" s="158">
        <f>+U11+U10</f>
        <v>1127.0999999999999</v>
      </c>
      <c r="V12" s="158">
        <f t="shared" ref="V12:AY12" si="5">+V11+V10</f>
        <v>1149.72</v>
      </c>
      <c r="W12" s="158">
        <f t="shared" si="5"/>
        <v>1181.0239999999999</v>
      </c>
      <c r="X12" s="158">
        <f t="shared" si="5"/>
        <v>1241.5</v>
      </c>
      <c r="Y12" s="158">
        <f t="shared" si="5"/>
        <v>1288.3</v>
      </c>
      <c r="Z12" s="158">
        <f t="shared" si="5"/>
        <v>1307.28</v>
      </c>
      <c r="AA12" s="158">
        <f t="shared" si="5"/>
        <v>1363.7</v>
      </c>
      <c r="AB12" s="158">
        <f t="shared" si="5"/>
        <v>1476.8</v>
      </c>
      <c r="AC12" s="158">
        <f t="shared" si="5"/>
        <v>1438.4653150684931</v>
      </c>
      <c r="AD12" s="158">
        <f t="shared" si="5"/>
        <v>1437.8038262661369</v>
      </c>
      <c r="AE12" s="158">
        <f t="shared" si="5"/>
        <v>1433.6641479452055</v>
      </c>
      <c r="AF12" s="158" t="e">
        <f t="shared" si="5"/>
        <v>#REF!</v>
      </c>
      <c r="AG12" s="158" t="e">
        <f t="shared" si="5"/>
        <v>#REF!</v>
      </c>
      <c r="AH12" s="158" t="e">
        <f t="shared" si="5"/>
        <v>#REF!</v>
      </c>
      <c r="AI12" s="158" t="e">
        <f t="shared" si="5"/>
        <v>#REF!</v>
      </c>
      <c r="AJ12" s="158" t="e">
        <f t="shared" si="5"/>
        <v>#REF!</v>
      </c>
      <c r="AK12" s="158" t="e">
        <f t="shared" si="5"/>
        <v>#REF!</v>
      </c>
      <c r="AL12" s="158" t="e">
        <f t="shared" si="5"/>
        <v>#REF!</v>
      </c>
      <c r="AM12" s="158" t="e">
        <f t="shared" si="5"/>
        <v>#REF!</v>
      </c>
      <c r="AN12" s="158" t="e">
        <f t="shared" si="5"/>
        <v>#REF!</v>
      </c>
      <c r="AO12" s="158" t="e">
        <f t="shared" si="5"/>
        <v>#REF!</v>
      </c>
      <c r="AP12" s="158" t="e">
        <f t="shared" si="5"/>
        <v>#REF!</v>
      </c>
      <c r="AQ12" s="158" t="e">
        <f t="shared" si="5"/>
        <v>#REF!</v>
      </c>
      <c r="AR12" s="158" t="e">
        <f t="shared" si="5"/>
        <v>#REF!</v>
      </c>
      <c r="AS12" s="158" t="e">
        <f t="shared" si="5"/>
        <v>#REF!</v>
      </c>
      <c r="AT12" s="158" t="e">
        <f t="shared" si="5"/>
        <v>#REF!</v>
      </c>
      <c r="AU12" s="158" t="e">
        <f t="shared" si="5"/>
        <v>#REF!</v>
      </c>
      <c r="AV12" s="158" t="e">
        <f t="shared" si="5"/>
        <v>#REF!</v>
      </c>
      <c r="AW12" s="158" t="e">
        <f t="shared" si="5"/>
        <v>#REF!</v>
      </c>
      <c r="AX12" s="158" t="e">
        <f t="shared" si="5"/>
        <v>#REF!</v>
      </c>
      <c r="AY12" s="158" t="e">
        <f t="shared" si="5"/>
        <v>#REF!</v>
      </c>
      <c r="AZ12" s="79"/>
      <c r="BA12" s="80"/>
      <c r="BB12" s="80"/>
    </row>
    <row r="13" spans="2:55" x14ac:dyDescent="0.35">
      <c r="B13" s="170" t="s">
        <v>129</v>
      </c>
      <c r="C13" s="80">
        <v>8.25</v>
      </c>
      <c r="D13" s="80">
        <v>8.2299999999999986</v>
      </c>
      <c r="E13" s="80">
        <f>8.2+0.03</f>
        <v>8.2299999999999986</v>
      </c>
      <c r="F13" s="80">
        <v>8.25</v>
      </c>
      <c r="G13" s="80">
        <v>11.200000000000001</v>
      </c>
      <c r="H13" s="80">
        <v>11.200000000000001</v>
      </c>
      <c r="I13" s="80">
        <v>11.23</v>
      </c>
      <c r="J13" s="80"/>
      <c r="L13" s="170" t="s">
        <v>129</v>
      </c>
      <c r="M13" s="80">
        <f>+C13</f>
        <v>8.25</v>
      </c>
      <c r="N13" s="80">
        <f>+F13</f>
        <v>8.25</v>
      </c>
      <c r="O13" s="80">
        <v>8.23</v>
      </c>
      <c r="Q13" s="160" t="s">
        <v>32</v>
      </c>
      <c r="R13" s="161">
        <f>+R12*(1-5%)</f>
        <v>1015.88136</v>
      </c>
      <c r="S13" s="161">
        <f t="shared" ref="S13:AM13" si="6">+S12*(1-5%)</f>
        <v>1036.5009200000002</v>
      </c>
      <c r="T13" s="161">
        <f t="shared" si="6"/>
        <v>1083.1839199999997</v>
      </c>
      <c r="U13" s="161">
        <f t="shared" si="6"/>
        <v>1070.7449999999999</v>
      </c>
      <c r="V13" s="161">
        <f t="shared" si="6"/>
        <v>1092.2339999999999</v>
      </c>
      <c r="W13" s="161">
        <f t="shared" si="6"/>
        <v>1121.9727999999998</v>
      </c>
      <c r="X13" s="161">
        <f t="shared" si="6"/>
        <v>1179.425</v>
      </c>
      <c r="Y13" s="161">
        <f t="shared" si="6"/>
        <v>1223.885</v>
      </c>
      <c r="Z13" s="161">
        <f t="shared" si="6"/>
        <v>1241.9159999999999</v>
      </c>
      <c r="AA13" s="161">
        <f t="shared" si="6"/>
        <v>1295.5149999999999</v>
      </c>
      <c r="AB13" s="161">
        <f t="shared" si="6"/>
        <v>1402.9599999999998</v>
      </c>
      <c r="AC13" s="161">
        <f t="shared" si="6"/>
        <v>1366.5420493150684</v>
      </c>
      <c r="AD13" s="161">
        <f t="shared" si="6"/>
        <v>1365.9136349528299</v>
      </c>
      <c r="AE13" s="161">
        <f t="shared" si="6"/>
        <v>1361.9809405479452</v>
      </c>
      <c r="AF13" s="161" t="e">
        <f t="shared" si="6"/>
        <v>#REF!</v>
      </c>
      <c r="AG13" s="161" t="e">
        <f t="shared" si="6"/>
        <v>#REF!</v>
      </c>
      <c r="AH13" s="161" t="e">
        <f t="shared" si="6"/>
        <v>#REF!</v>
      </c>
      <c r="AI13" s="161" t="e">
        <f t="shared" si="6"/>
        <v>#REF!</v>
      </c>
      <c r="AJ13" s="161" t="e">
        <f t="shared" si="6"/>
        <v>#REF!</v>
      </c>
      <c r="AK13" s="161" t="e">
        <f t="shared" si="6"/>
        <v>#REF!</v>
      </c>
      <c r="AL13" s="161" t="e">
        <f t="shared" si="6"/>
        <v>#REF!</v>
      </c>
      <c r="AM13" s="161" t="e">
        <f t="shared" si="6"/>
        <v>#REF!</v>
      </c>
      <c r="AN13" s="161">
        <v>1267</v>
      </c>
      <c r="AO13" s="161" t="e">
        <f t="shared" ref="AO13:AV13" si="7">+AO12*(1-5%)</f>
        <v>#REF!</v>
      </c>
      <c r="AP13" s="161" t="e">
        <f t="shared" si="7"/>
        <v>#REF!</v>
      </c>
      <c r="AQ13" s="161" t="e">
        <f t="shared" si="7"/>
        <v>#REF!</v>
      </c>
      <c r="AR13" s="161" t="e">
        <f t="shared" si="7"/>
        <v>#REF!</v>
      </c>
      <c r="AS13" s="161" t="e">
        <f t="shared" si="7"/>
        <v>#REF!</v>
      </c>
      <c r="AT13" s="161" t="e">
        <f t="shared" si="7"/>
        <v>#REF!</v>
      </c>
      <c r="AU13" s="161" t="e">
        <f t="shared" si="7"/>
        <v>#REF!</v>
      </c>
      <c r="AV13" s="161" t="e">
        <f t="shared" si="7"/>
        <v>#REF!</v>
      </c>
      <c r="AW13" s="161">
        <v>1327.5</v>
      </c>
      <c r="AX13" s="161">
        <v>1327.5</v>
      </c>
      <c r="AY13" s="161">
        <v>1327.5</v>
      </c>
      <c r="AZ13" s="211">
        <v>1327.5</v>
      </c>
      <c r="BA13" s="204" t="s">
        <v>130</v>
      </c>
      <c r="BB13" s="205"/>
      <c r="BC13" s="206"/>
    </row>
    <row r="14" spans="2:55" x14ac:dyDescent="0.35">
      <c r="B14" s="170" t="s">
        <v>131</v>
      </c>
      <c r="C14" s="80">
        <v>0</v>
      </c>
      <c r="D14" s="80"/>
      <c r="E14" s="80"/>
      <c r="F14" s="80">
        <v>0</v>
      </c>
      <c r="G14" s="80"/>
      <c r="H14" s="80"/>
      <c r="I14" s="80">
        <v>0</v>
      </c>
      <c r="J14" s="80"/>
      <c r="L14" s="170" t="s">
        <v>131</v>
      </c>
      <c r="M14" s="80">
        <f>(M15-M13)</f>
        <v>19.12</v>
      </c>
      <c r="N14" s="80">
        <f>(N15-N13)</f>
        <v>19.14</v>
      </c>
      <c r="O14" s="80">
        <v>19.09</v>
      </c>
      <c r="Q14" s="160"/>
      <c r="R14" s="161"/>
      <c r="S14" s="161"/>
      <c r="T14" s="161"/>
      <c r="U14" s="161"/>
      <c r="V14" s="161"/>
      <c r="W14" s="161"/>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1"/>
      <c r="AU14" s="161"/>
      <c r="AV14" s="161"/>
      <c r="AW14" s="161"/>
      <c r="AX14" s="161"/>
      <c r="AY14" s="161"/>
    </row>
    <row r="15" spans="2:55" x14ac:dyDescent="0.35">
      <c r="B15" s="169" t="s">
        <v>132</v>
      </c>
      <c r="C15" s="80">
        <f>+C13+C14</f>
        <v>8.25</v>
      </c>
      <c r="D15" s="80">
        <f t="shared" ref="D15:I15" si="8">+D13+D14</f>
        <v>8.2299999999999986</v>
      </c>
      <c r="E15" s="80">
        <f t="shared" si="8"/>
        <v>8.2299999999999986</v>
      </c>
      <c r="F15" s="80">
        <f t="shared" si="8"/>
        <v>8.25</v>
      </c>
      <c r="G15" s="80">
        <f t="shared" si="8"/>
        <v>11.200000000000001</v>
      </c>
      <c r="H15" s="80">
        <f t="shared" si="8"/>
        <v>11.200000000000001</v>
      </c>
      <c r="I15" s="80">
        <f t="shared" si="8"/>
        <v>11.23</v>
      </c>
      <c r="J15" s="80"/>
      <c r="L15" s="169" t="s">
        <v>132</v>
      </c>
      <c r="M15" s="80">
        <v>27.37</v>
      </c>
      <c r="N15" s="80">
        <v>27.39</v>
      </c>
      <c r="O15" s="80">
        <v>2.1800000000000002</v>
      </c>
      <c r="Q15" s="128" t="s">
        <v>100</v>
      </c>
      <c r="R15" s="128" t="s">
        <v>18</v>
      </c>
      <c r="S15" s="128" t="s">
        <v>18</v>
      </c>
      <c r="T15" s="128" t="s">
        <v>18</v>
      </c>
      <c r="U15" s="128" t="s">
        <v>18</v>
      </c>
      <c r="V15" s="128" t="s">
        <v>18</v>
      </c>
      <c r="W15" s="128" t="s">
        <v>18</v>
      </c>
      <c r="X15" s="128" t="s">
        <v>18</v>
      </c>
      <c r="Y15" s="128" t="s">
        <v>18</v>
      </c>
      <c r="Z15" s="128" t="s">
        <v>18</v>
      </c>
      <c r="AA15" s="128" t="s">
        <v>18</v>
      </c>
      <c r="AB15" s="128" t="s">
        <v>18</v>
      </c>
      <c r="AC15" s="128" t="s">
        <v>18</v>
      </c>
      <c r="AD15" s="128" t="s">
        <v>18</v>
      </c>
      <c r="AE15" s="128" t="s">
        <v>18</v>
      </c>
      <c r="AF15" s="128" t="s">
        <v>18</v>
      </c>
      <c r="AG15" s="128" t="s">
        <v>18</v>
      </c>
      <c r="AH15" s="128" t="s">
        <v>18</v>
      </c>
      <c r="AI15" s="128" t="s">
        <v>18</v>
      </c>
      <c r="AJ15" s="129">
        <v>0</v>
      </c>
      <c r="AK15" s="129">
        <f>+BB15</f>
        <v>0</v>
      </c>
      <c r="AL15" s="129">
        <v>15.097681007201158</v>
      </c>
      <c r="AM15" s="129">
        <v>15.162458159293488</v>
      </c>
      <c r="AN15" s="129">
        <f t="shared" ref="AN15:AU15" si="9">((((AN13*4.5%)/365)*210))*50%</f>
        <v>16.401575342465755</v>
      </c>
      <c r="AO15" s="129" t="e">
        <f t="shared" si="9"/>
        <v>#REF!</v>
      </c>
      <c r="AP15" s="129" t="e">
        <f t="shared" si="9"/>
        <v>#REF!</v>
      </c>
      <c r="AQ15" s="129" t="e">
        <f t="shared" si="9"/>
        <v>#REF!</v>
      </c>
      <c r="AR15" s="129" t="e">
        <f t="shared" si="9"/>
        <v>#REF!</v>
      </c>
      <c r="AS15" s="129" t="e">
        <f t="shared" si="9"/>
        <v>#REF!</v>
      </c>
      <c r="AT15" s="129" t="e">
        <f t="shared" si="9"/>
        <v>#REF!</v>
      </c>
      <c r="AU15" s="129" t="e">
        <f t="shared" si="9"/>
        <v>#REF!</v>
      </c>
      <c r="AV15" s="129" t="e">
        <f>((((AV13*4.5%)/365)*210))*50%</f>
        <v>#REF!</v>
      </c>
      <c r="AW15" s="129">
        <f>((((AW13*4.5%)/365)*210))*50%</f>
        <v>17.184760273972604</v>
      </c>
      <c r="AX15" s="129">
        <f>((((AX13*4.5%)/365)*210))*50%</f>
        <v>17.184760273972604</v>
      </c>
      <c r="AY15" s="129">
        <f>((((AY13*4.5%)/365)*210))*50%</f>
        <v>17.184760273972604</v>
      </c>
      <c r="AZ15" s="203"/>
      <c r="BA15" s="204"/>
      <c r="BB15" s="207"/>
      <c r="BC15" s="206"/>
    </row>
    <row r="16" spans="2:55" x14ac:dyDescent="0.35">
      <c r="B16" s="170" t="s">
        <v>31</v>
      </c>
      <c r="C16" s="80">
        <v>1.92</v>
      </c>
      <c r="D16" s="80">
        <v>1.5</v>
      </c>
      <c r="E16" s="80">
        <v>1.83</v>
      </c>
      <c r="F16" s="80">
        <v>2.2200000000000002</v>
      </c>
      <c r="G16" s="80">
        <v>3.45</v>
      </c>
      <c r="H16" s="80">
        <v>3.45</v>
      </c>
      <c r="I16" s="80">
        <v>4.13</v>
      </c>
      <c r="J16" s="80"/>
      <c r="L16" s="170" t="s">
        <v>31</v>
      </c>
      <c r="M16" s="80">
        <v>0.9</v>
      </c>
      <c r="N16" s="80">
        <v>2.1800000000000002</v>
      </c>
      <c r="O16" s="80">
        <v>4.3</v>
      </c>
      <c r="Q16" s="179" t="s">
        <v>101</v>
      </c>
      <c r="R16" s="179"/>
      <c r="S16" s="179"/>
      <c r="T16" s="179"/>
      <c r="U16" s="179"/>
      <c r="V16" s="179"/>
      <c r="W16" s="179"/>
      <c r="X16" s="179"/>
      <c r="Y16" s="179"/>
      <c r="Z16" s="179"/>
      <c r="AA16" s="179"/>
      <c r="AB16" s="179"/>
      <c r="AC16" s="179"/>
      <c r="AD16" s="179"/>
      <c r="AE16" s="179"/>
      <c r="AF16" s="179"/>
      <c r="AG16" s="179"/>
      <c r="AH16" s="179"/>
      <c r="AI16" s="179"/>
      <c r="AJ16" s="180"/>
      <c r="AK16" s="180" t="e">
        <f t="shared" ref="AK16:AY16" si="10">+AK13+AK15</f>
        <v>#REF!</v>
      </c>
      <c r="AL16" s="180" t="e">
        <f t="shared" si="10"/>
        <v>#REF!</v>
      </c>
      <c r="AM16" s="180" t="e">
        <f t="shared" si="10"/>
        <v>#REF!</v>
      </c>
      <c r="AN16" s="180">
        <f t="shared" si="10"/>
        <v>1283.4015753424658</v>
      </c>
      <c r="AO16" s="180" t="e">
        <f t="shared" si="10"/>
        <v>#REF!</v>
      </c>
      <c r="AP16" s="180" t="e">
        <f t="shared" si="10"/>
        <v>#REF!</v>
      </c>
      <c r="AQ16" s="180" t="e">
        <f t="shared" si="10"/>
        <v>#REF!</v>
      </c>
      <c r="AR16" s="180" t="e">
        <f t="shared" si="10"/>
        <v>#REF!</v>
      </c>
      <c r="AS16" s="180" t="e">
        <f t="shared" si="10"/>
        <v>#REF!</v>
      </c>
      <c r="AT16" s="180" t="e">
        <f t="shared" si="10"/>
        <v>#REF!</v>
      </c>
      <c r="AU16" s="180" t="e">
        <f t="shared" si="10"/>
        <v>#REF!</v>
      </c>
      <c r="AV16" s="180" t="e">
        <f t="shared" si="10"/>
        <v>#REF!</v>
      </c>
      <c r="AW16" s="180">
        <f t="shared" si="10"/>
        <v>1344.6847602739726</v>
      </c>
      <c r="AX16" s="180">
        <f t="shared" si="10"/>
        <v>1344.6847602739726</v>
      </c>
      <c r="AY16" s="180">
        <f t="shared" si="10"/>
        <v>1344.6847602739726</v>
      </c>
      <c r="AZ16" s="203"/>
      <c r="BA16" s="204"/>
      <c r="BB16" s="205"/>
      <c r="BC16" s="206"/>
    </row>
    <row r="17" spans="1:56" x14ac:dyDescent="0.35">
      <c r="A17" s="81" t="s">
        <v>38</v>
      </c>
      <c r="B17" s="170" t="s">
        <v>34</v>
      </c>
      <c r="C17" s="80">
        <v>0.19</v>
      </c>
      <c r="D17" s="80">
        <v>0.19</v>
      </c>
      <c r="E17" s="80">
        <v>0.19</v>
      </c>
      <c r="F17" s="80">
        <v>0.19</v>
      </c>
      <c r="G17" s="80">
        <v>0.33</v>
      </c>
      <c r="H17" s="80">
        <v>0.33</v>
      </c>
      <c r="I17" s="80">
        <v>0.33</v>
      </c>
      <c r="J17" s="80"/>
      <c r="L17" s="170" t="s">
        <v>34</v>
      </c>
      <c r="M17" s="80">
        <v>4.3</v>
      </c>
      <c r="N17" s="80">
        <v>4.3</v>
      </c>
      <c r="O17" s="80">
        <v>8.36</v>
      </c>
      <c r="Q17" s="157" t="s">
        <v>96</v>
      </c>
      <c r="R17" s="158">
        <f t="shared" ref="R17:AH17" si="11">+R12*75%+R13*25%</f>
        <v>1055.9819400000001</v>
      </c>
      <c r="S17" s="158">
        <f t="shared" si="11"/>
        <v>1077.4154300000002</v>
      </c>
      <c r="T17" s="158">
        <f t="shared" si="11"/>
        <v>1125.9411799999998</v>
      </c>
      <c r="U17" s="158">
        <f t="shared" si="11"/>
        <v>1113.01125</v>
      </c>
      <c r="V17" s="158">
        <f t="shared" si="11"/>
        <v>1135.3485000000001</v>
      </c>
      <c r="W17" s="158">
        <f t="shared" si="11"/>
        <v>1166.2611999999999</v>
      </c>
      <c r="X17" s="158">
        <f t="shared" si="11"/>
        <v>1225.98125</v>
      </c>
      <c r="Y17" s="158">
        <f t="shared" si="11"/>
        <v>1272.19625</v>
      </c>
      <c r="Z17" s="158">
        <f t="shared" si="11"/>
        <v>1290.9390000000001</v>
      </c>
      <c r="AA17" s="158">
        <f t="shared" si="11"/>
        <v>1346.6537499999999</v>
      </c>
      <c r="AB17" s="158">
        <f t="shared" si="11"/>
        <v>1458.34</v>
      </c>
      <c r="AC17" s="158">
        <f t="shared" si="11"/>
        <v>1420.4844986301368</v>
      </c>
      <c r="AD17" s="158">
        <f t="shared" si="11"/>
        <v>1419.8312784378102</v>
      </c>
      <c r="AE17" s="158">
        <f t="shared" si="11"/>
        <v>1415.7433460958905</v>
      </c>
      <c r="AF17" s="158" t="e">
        <f t="shared" si="11"/>
        <v>#REF!</v>
      </c>
      <c r="AG17" s="158" t="e">
        <f t="shared" si="11"/>
        <v>#REF!</v>
      </c>
      <c r="AH17" s="158" t="e">
        <f t="shared" si="11"/>
        <v>#REF!</v>
      </c>
      <c r="AI17" s="158" t="e">
        <f>+AI12*50%+AI13*50%</f>
        <v>#REF!</v>
      </c>
      <c r="AJ17" s="158" t="e">
        <f>+AJ12*50%+AJ13*50%</f>
        <v>#REF!</v>
      </c>
      <c r="AK17" s="158" t="e">
        <f t="shared" ref="AK17:AY17" si="12">+AK12*50%+AK16*50%</f>
        <v>#REF!</v>
      </c>
      <c r="AL17" s="158" t="e">
        <f t="shared" si="12"/>
        <v>#REF!</v>
      </c>
      <c r="AM17" s="158" t="e">
        <f t="shared" si="12"/>
        <v>#REF!</v>
      </c>
      <c r="AN17" s="158" t="e">
        <f t="shared" si="12"/>
        <v>#REF!</v>
      </c>
      <c r="AO17" s="158" t="e">
        <f t="shared" si="12"/>
        <v>#REF!</v>
      </c>
      <c r="AP17" s="158" t="e">
        <f t="shared" si="12"/>
        <v>#REF!</v>
      </c>
      <c r="AQ17" s="158" t="e">
        <f t="shared" si="12"/>
        <v>#REF!</v>
      </c>
      <c r="AR17" s="158" t="e">
        <f t="shared" si="12"/>
        <v>#REF!</v>
      </c>
      <c r="AS17" s="158" t="e">
        <f t="shared" si="12"/>
        <v>#REF!</v>
      </c>
      <c r="AT17" s="158" t="e">
        <f t="shared" si="12"/>
        <v>#REF!</v>
      </c>
      <c r="AU17" s="158" t="e">
        <f t="shared" si="12"/>
        <v>#REF!</v>
      </c>
      <c r="AV17" s="158" t="e">
        <f t="shared" si="12"/>
        <v>#REF!</v>
      </c>
      <c r="AW17" s="158" t="e">
        <f t="shared" si="12"/>
        <v>#REF!</v>
      </c>
      <c r="AX17" s="158" t="e">
        <f t="shared" si="12"/>
        <v>#REF!</v>
      </c>
      <c r="AY17" s="158" t="e">
        <f t="shared" si="12"/>
        <v>#REF!</v>
      </c>
      <c r="AZ17" s="80"/>
      <c r="BA17" s="80"/>
      <c r="BB17" s="80"/>
    </row>
    <row r="18" spans="1:56" x14ac:dyDescent="0.35">
      <c r="B18" s="170" t="s">
        <v>36</v>
      </c>
      <c r="C18" s="80">
        <v>0.16</v>
      </c>
      <c r="D18" s="80">
        <v>0.16</v>
      </c>
      <c r="E18" s="80">
        <v>0.16</v>
      </c>
      <c r="F18" s="80">
        <v>0.16</v>
      </c>
      <c r="G18" s="80">
        <v>0.28000000000000003</v>
      </c>
      <c r="H18" s="80">
        <v>0.28000000000000003</v>
      </c>
      <c r="I18" s="80">
        <v>0.28000000000000003</v>
      </c>
      <c r="J18" s="80"/>
      <c r="L18" s="170" t="s">
        <v>36</v>
      </c>
      <c r="M18" s="80">
        <v>8.36</v>
      </c>
      <c r="N18" s="80">
        <v>8.36</v>
      </c>
      <c r="O18" s="84" t="e">
        <f t="shared" ref="O18" si="13">+O12+O13+O15+O16+O17+O14</f>
        <v>#REF!</v>
      </c>
      <c r="Q18" s="113" t="s">
        <v>37</v>
      </c>
      <c r="R18" s="118">
        <f>+R17*1%</f>
        <v>10.559819400000002</v>
      </c>
      <c r="S18" s="118">
        <f t="shared" ref="S18:AY18" si="14">+S17*1%</f>
        <v>10.774154300000003</v>
      </c>
      <c r="T18" s="118">
        <f t="shared" si="14"/>
        <v>11.259411799999999</v>
      </c>
      <c r="U18" s="118">
        <f t="shared" si="14"/>
        <v>11.130112500000001</v>
      </c>
      <c r="V18" s="118">
        <f t="shared" si="14"/>
        <v>11.353485000000001</v>
      </c>
      <c r="W18" s="118">
        <f t="shared" si="14"/>
        <v>11.662611999999999</v>
      </c>
      <c r="X18" s="118">
        <f t="shared" si="14"/>
        <v>12.259812500000001</v>
      </c>
      <c r="Y18" s="118">
        <f t="shared" si="14"/>
        <v>12.7219625</v>
      </c>
      <c r="Z18" s="118">
        <f t="shared" si="14"/>
        <v>12.909390000000002</v>
      </c>
      <c r="AA18" s="118">
        <f t="shared" si="14"/>
        <v>13.466537499999999</v>
      </c>
      <c r="AB18" s="118">
        <f t="shared" si="14"/>
        <v>14.583399999999999</v>
      </c>
      <c r="AC18" s="118">
        <f t="shared" si="14"/>
        <v>14.204844986301369</v>
      </c>
      <c r="AD18" s="118">
        <f t="shared" si="14"/>
        <v>14.198312784378102</v>
      </c>
      <c r="AE18" s="118">
        <f t="shared" si="14"/>
        <v>14.157433460958906</v>
      </c>
      <c r="AF18" s="118" t="e">
        <f t="shared" si="14"/>
        <v>#REF!</v>
      </c>
      <c r="AG18" s="118" t="e">
        <f t="shared" si="14"/>
        <v>#REF!</v>
      </c>
      <c r="AH18" s="118" t="e">
        <f t="shared" si="14"/>
        <v>#REF!</v>
      </c>
      <c r="AI18" s="118" t="e">
        <f t="shared" si="14"/>
        <v>#REF!</v>
      </c>
      <c r="AJ18" s="118" t="e">
        <f t="shared" si="14"/>
        <v>#REF!</v>
      </c>
      <c r="AK18" s="118" t="e">
        <f t="shared" si="14"/>
        <v>#REF!</v>
      </c>
      <c r="AL18" s="118" t="e">
        <f t="shared" si="14"/>
        <v>#REF!</v>
      </c>
      <c r="AM18" s="118" t="e">
        <f t="shared" si="14"/>
        <v>#REF!</v>
      </c>
      <c r="AN18" s="118" t="e">
        <f t="shared" si="14"/>
        <v>#REF!</v>
      </c>
      <c r="AO18" s="118" t="e">
        <f t="shared" si="14"/>
        <v>#REF!</v>
      </c>
      <c r="AP18" s="118" t="e">
        <f t="shared" si="14"/>
        <v>#REF!</v>
      </c>
      <c r="AQ18" s="118" t="e">
        <f t="shared" si="14"/>
        <v>#REF!</v>
      </c>
      <c r="AR18" s="118" t="e">
        <f t="shared" si="14"/>
        <v>#REF!</v>
      </c>
      <c r="AS18" s="118" t="e">
        <f t="shared" si="14"/>
        <v>#REF!</v>
      </c>
      <c r="AT18" s="118" t="e">
        <f t="shared" si="14"/>
        <v>#REF!</v>
      </c>
      <c r="AU18" s="118" t="e">
        <f t="shared" si="14"/>
        <v>#REF!</v>
      </c>
      <c r="AV18" s="118" t="e">
        <f t="shared" si="14"/>
        <v>#REF!</v>
      </c>
      <c r="AW18" s="118" t="e">
        <f t="shared" si="14"/>
        <v>#REF!</v>
      </c>
      <c r="AX18" s="118" t="e">
        <f t="shared" si="14"/>
        <v>#REF!</v>
      </c>
      <c r="AY18" s="118" t="e">
        <f t="shared" si="14"/>
        <v>#REF!</v>
      </c>
      <c r="AZ18" s="79"/>
      <c r="BA18" s="80"/>
      <c r="BB18" s="84"/>
    </row>
    <row r="19" spans="1:56" x14ac:dyDescent="0.35">
      <c r="B19" s="169" t="s">
        <v>39</v>
      </c>
      <c r="C19" s="84" t="e">
        <f>+C12+C15+C16+C17+C18</f>
        <v>#REF!</v>
      </c>
      <c r="D19" s="84" t="e">
        <f t="shared" ref="D19:I19" si="15">+D12+D15+D16+D17+D18</f>
        <v>#REF!</v>
      </c>
      <c r="E19" s="84" t="e">
        <f t="shared" si="15"/>
        <v>#REF!</v>
      </c>
      <c r="F19" s="84" t="e">
        <f t="shared" si="15"/>
        <v>#REF!</v>
      </c>
      <c r="G19" s="84" t="e">
        <f t="shared" si="15"/>
        <v>#REF!</v>
      </c>
      <c r="H19" s="84" t="e">
        <f t="shared" si="15"/>
        <v>#REF!</v>
      </c>
      <c r="I19" s="84" t="e">
        <f t="shared" si="15"/>
        <v>#REF!</v>
      </c>
      <c r="J19" s="84"/>
      <c r="L19" s="169" t="s">
        <v>39</v>
      </c>
      <c r="M19" s="84" t="e">
        <f>+M12+M15+M16+M17+M18</f>
        <v>#REF!</v>
      </c>
      <c r="N19" s="84" t="e">
        <f t="shared" ref="N19" si="16">+N12+N15+N16+N17+N18</f>
        <v>#REF!</v>
      </c>
      <c r="Q19" s="113" t="s">
        <v>74</v>
      </c>
      <c r="R19" s="115">
        <f>+R18+R17</f>
        <v>1066.5417594</v>
      </c>
      <c r="S19" s="115">
        <f t="shared" ref="S19:AV19" si="17">+S18+S17</f>
        <v>1088.1895843000002</v>
      </c>
      <c r="T19" s="115">
        <f t="shared" si="17"/>
        <v>1137.2005917999998</v>
      </c>
      <c r="U19" s="115">
        <f t="shared" si="17"/>
        <v>1124.1413625</v>
      </c>
      <c r="V19" s="115">
        <f t="shared" si="17"/>
        <v>1146.7019850000001</v>
      </c>
      <c r="W19" s="115">
        <f t="shared" si="17"/>
        <v>1177.923812</v>
      </c>
      <c r="X19" s="115">
        <f t="shared" si="17"/>
        <v>1238.2410625</v>
      </c>
      <c r="Y19" s="115">
        <f t="shared" si="17"/>
        <v>1284.9182125</v>
      </c>
      <c r="Z19" s="115">
        <f t="shared" si="17"/>
        <v>1303.8483900000001</v>
      </c>
      <c r="AA19" s="115">
        <f t="shared" si="17"/>
        <v>1360.1202874999999</v>
      </c>
      <c r="AB19" s="115">
        <f t="shared" si="17"/>
        <v>1472.9233999999999</v>
      </c>
      <c r="AC19" s="115">
        <f t="shared" si="17"/>
        <v>1434.6893436164382</v>
      </c>
      <c r="AD19" s="115">
        <f t="shared" si="17"/>
        <v>1434.0295912221882</v>
      </c>
      <c r="AE19" s="115">
        <f t="shared" si="17"/>
        <v>1429.9007795568493</v>
      </c>
      <c r="AF19" s="115" t="e">
        <f t="shared" si="17"/>
        <v>#REF!</v>
      </c>
      <c r="AG19" s="115" t="e">
        <f t="shared" si="17"/>
        <v>#REF!</v>
      </c>
      <c r="AH19" s="115" t="e">
        <f t="shared" si="17"/>
        <v>#REF!</v>
      </c>
      <c r="AI19" s="115" t="e">
        <f t="shared" si="17"/>
        <v>#REF!</v>
      </c>
      <c r="AJ19" s="115" t="e">
        <f t="shared" si="17"/>
        <v>#REF!</v>
      </c>
      <c r="AK19" s="115" t="e">
        <f t="shared" si="17"/>
        <v>#REF!</v>
      </c>
      <c r="AL19" s="115" t="e">
        <f t="shared" si="17"/>
        <v>#REF!</v>
      </c>
      <c r="AM19" s="115" t="e">
        <f t="shared" si="17"/>
        <v>#REF!</v>
      </c>
      <c r="AN19" s="115" t="e">
        <f t="shared" si="17"/>
        <v>#REF!</v>
      </c>
      <c r="AO19" s="115" t="e">
        <f t="shared" si="17"/>
        <v>#REF!</v>
      </c>
      <c r="AP19" s="115" t="e">
        <f t="shared" si="17"/>
        <v>#REF!</v>
      </c>
      <c r="AQ19" s="115" t="e">
        <f t="shared" si="17"/>
        <v>#REF!</v>
      </c>
      <c r="AR19" s="115" t="e">
        <f t="shared" si="17"/>
        <v>#REF!</v>
      </c>
      <c r="AS19" s="115" t="e">
        <f t="shared" si="17"/>
        <v>#REF!</v>
      </c>
      <c r="AT19" s="115" t="e">
        <f t="shared" si="17"/>
        <v>#REF!</v>
      </c>
      <c r="AU19" s="115" t="e">
        <f t="shared" si="17"/>
        <v>#REF!</v>
      </c>
      <c r="AV19" s="115" t="e">
        <f t="shared" si="17"/>
        <v>#REF!</v>
      </c>
      <c r="AW19" s="115" t="e">
        <f>+AW18+AW17</f>
        <v>#REF!</v>
      </c>
      <c r="AX19" s="115" t="e">
        <f>+AX18+AX17</f>
        <v>#REF!</v>
      </c>
      <c r="AY19" s="115" t="e">
        <f>+AY18+AY17</f>
        <v>#REF!</v>
      </c>
      <c r="AZ19" s="181"/>
      <c r="BA19" s="84"/>
      <c r="BB19" s="84"/>
      <c r="BD19" s="182"/>
    </row>
    <row r="20" spans="1:56" x14ac:dyDescent="0.35">
      <c r="M20" s="84"/>
      <c r="N20" s="84"/>
      <c r="O20" s="84"/>
      <c r="Q20" s="85"/>
      <c r="R20" s="120" t="e">
        <f>+#REF!</f>
        <v>#REF!</v>
      </c>
      <c r="S20" s="120" t="e">
        <f>+R20</f>
        <v>#REF!</v>
      </c>
      <c r="T20" s="120" t="e">
        <f>+S20</f>
        <v>#REF!</v>
      </c>
      <c r="U20" s="120" t="e">
        <f>+T20</f>
        <v>#REF!</v>
      </c>
      <c r="V20" s="120" t="e">
        <f t="shared" ref="V20:AG20" si="18">+U20</f>
        <v>#REF!</v>
      </c>
      <c r="W20" s="120" t="e">
        <f t="shared" si="18"/>
        <v>#REF!</v>
      </c>
      <c r="X20" s="120" t="e">
        <f t="shared" si="18"/>
        <v>#REF!</v>
      </c>
      <c r="Y20" s="120" t="e">
        <f t="shared" si="18"/>
        <v>#REF!</v>
      </c>
      <c r="Z20" s="120" t="e">
        <f t="shared" si="18"/>
        <v>#REF!</v>
      </c>
      <c r="AA20" s="120" t="e">
        <f t="shared" si="18"/>
        <v>#REF!</v>
      </c>
      <c r="AB20" s="120" t="e">
        <f t="shared" si="18"/>
        <v>#REF!</v>
      </c>
      <c r="AC20" s="120" t="e">
        <f t="shared" si="18"/>
        <v>#REF!</v>
      </c>
      <c r="AD20" s="120" t="e">
        <f t="shared" si="18"/>
        <v>#REF!</v>
      </c>
      <c r="AE20" s="120" t="e">
        <f t="shared" si="18"/>
        <v>#REF!</v>
      </c>
      <c r="AF20" s="120" t="e">
        <f t="shared" si="18"/>
        <v>#REF!</v>
      </c>
      <c r="AG20" s="120" t="e">
        <f t="shared" si="18"/>
        <v>#REF!</v>
      </c>
      <c r="AH20" s="120"/>
      <c r="AI20" s="120"/>
      <c r="AJ20" s="120"/>
      <c r="AK20" s="120"/>
      <c r="AL20" s="120"/>
      <c r="AM20" s="120"/>
      <c r="AN20" s="120"/>
      <c r="AO20" s="120"/>
      <c r="AP20" s="120"/>
      <c r="AQ20" s="120"/>
      <c r="AR20" s="120"/>
      <c r="AS20" s="120"/>
      <c r="AT20" s="120"/>
      <c r="AU20" s="120"/>
      <c r="AV20" s="120"/>
      <c r="AW20" s="120"/>
      <c r="AX20" s="120"/>
      <c r="AY20" s="120"/>
      <c r="BA20" s="84"/>
      <c r="BB20" s="82"/>
    </row>
    <row r="21" spans="1:56" x14ac:dyDescent="0.35">
      <c r="B21" s="169"/>
      <c r="C21" s="84"/>
      <c r="D21" s="84"/>
      <c r="E21" s="84"/>
      <c r="F21" s="84"/>
      <c r="G21" s="84"/>
      <c r="H21" s="84"/>
      <c r="I21" s="84"/>
      <c r="J21" s="84"/>
      <c r="K21" s="94"/>
      <c r="M21" s="84"/>
      <c r="N21" s="84"/>
      <c r="Q21" s="82"/>
      <c r="R21" s="82"/>
      <c r="S21" s="82"/>
      <c r="U21" s="94"/>
      <c r="V21" s="94"/>
      <c r="W21" s="94"/>
      <c r="X21" s="94"/>
      <c r="Y21" s="94"/>
      <c r="Z21" s="94"/>
      <c r="AA21" s="94"/>
      <c r="AB21" s="94"/>
      <c r="AC21" s="94"/>
      <c r="AD21" s="94"/>
      <c r="AE21" s="94"/>
      <c r="AF21" s="94"/>
      <c r="AG21" s="94"/>
      <c r="AH21" s="94"/>
      <c r="AI21" s="94"/>
      <c r="AJ21" s="94"/>
      <c r="AK21" s="94"/>
      <c r="AL21" s="94"/>
      <c r="AM21" s="94"/>
      <c r="AN21" s="94"/>
      <c r="AO21" s="94"/>
      <c r="AP21" s="94"/>
      <c r="AQ21" s="94"/>
      <c r="AR21" s="94"/>
      <c r="AS21" s="94"/>
      <c r="AT21" s="94"/>
      <c r="AU21" s="94"/>
      <c r="AV21" s="94"/>
      <c r="AW21" s="94"/>
      <c r="AX21" s="94"/>
      <c r="AY21" s="94"/>
      <c r="BA21" s="82"/>
      <c r="BB21" s="82"/>
    </row>
    <row r="22" spans="1:56" x14ac:dyDescent="0.35">
      <c r="C22" s="132"/>
      <c r="D22" s="132"/>
      <c r="E22" s="132"/>
      <c r="F22" s="132"/>
      <c r="G22" s="132"/>
      <c r="H22" s="132"/>
      <c r="I22" s="132"/>
      <c r="K22" s="94"/>
      <c r="BA22" s="82"/>
    </row>
    <row r="23" spans="1:56" x14ac:dyDescent="0.35">
      <c r="M23" s="86"/>
      <c r="O23" s="201"/>
    </row>
    <row r="24" spans="1:56" x14ac:dyDescent="0.35">
      <c r="C24" s="201"/>
      <c r="F24" s="201"/>
      <c r="I24" s="201"/>
      <c r="M24" s="201"/>
      <c r="N24" s="201"/>
    </row>
    <row r="25" spans="1:56" x14ac:dyDescent="0.35">
      <c r="F25" s="201">
        <f>+F24-F22</f>
        <v>0</v>
      </c>
    </row>
    <row r="27" spans="1:56" x14ac:dyDescent="0.35">
      <c r="AH27" s="164"/>
    </row>
    <row r="28" spans="1:56" x14ac:dyDescent="0.35">
      <c r="N28" s="123"/>
    </row>
    <row r="34" spans="1:56" s="82" customFormat="1" x14ac:dyDescent="0.35">
      <c r="A34" s="81"/>
      <c r="B34" s="173"/>
      <c r="J34" s="81"/>
      <c r="K34" s="81"/>
      <c r="L34" s="173"/>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c r="AY34" s="81"/>
      <c r="AZ34" s="81"/>
      <c r="BA34" s="81"/>
      <c r="BB34" s="81"/>
      <c r="BC34" s="81"/>
      <c r="BD34" s="81"/>
    </row>
    <row r="35" spans="1:56" x14ac:dyDescent="0.35">
      <c r="B35" s="173" t="s">
        <v>51</v>
      </c>
    </row>
  </sheetData>
  <mergeCells count="6">
    <mergeCell ref="Q1:BB1"/>
    <mergeCell ref="B2:D2"/>
    <mergeCell ref="Q2:R2"/>
    <mergeCell ref="AZ2:BA2"/>
    <mergeCell ref="B3:D3"/>
    <mergeCell ref="AZ3:BA3"/>
  </mergeCells>
  <pageMargins left="0.7" right="0.7" top="0.75" bottom="0.75" header="0.3" footer="0.3"/>
  <customProperties>
    <customPr name="EpmWorksheetKeyString_GUID" r:id="rId1"/>
  </customProperties>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BE35"/>
  <sheetViews>
    <sheetView zoomScale="90" zoomScaleNormal="90" workbookViewId="0">
      <selection activeCell="M22" sqref="M22"/>
    </sheetView>
  </sheetViews>
  <sheetFormatPr defaultColWidth="11.453125" defaultRowHeight="14.5" x14ac:dyDescent="0.35"/>
  <cols>
    <col min="1" max="1" width="3.453125" style="81" customWidth="1"/>
    <col min="2" max="2" width="18.81640625" style="173" bestFit="1" customWidth="1"/>
    <col min="3" max="3" width="10.81640625" style="82" customWidth="1"/>
    <col min="4" max="5" width="10.54296875" style="82" hidden="1" customWidth="1"/>
    <col min="6" max="6" width="11" style="82" customWidth="1"/>
    <col min="7" max="7" width="11.1796875" style="82" hidden="1" customWidth="1"/>
    <col min="8" max="8" width="11" style="82" hidden="1" customWidth="1"/>
    <col min="9" max="9" width="11.54296875" style="82" customWidth="1"/>
    <col min="10" max="10" width="8.54296875" style="81" hidden="1" customWidth="1"/>
    <col min="11" max="11" width="2.81640625" style="81" customWidth="1"/>
    <col min="12" max="12" width="20" style="173" customWidth="1"/>
    <col min="13" max="14" width="10.81640625" style="82" customWidth="1"/>
    <col min="15" max="15" width="10.81640625" style="82" hidden="1" customWidth="1"/>
    <col min="16" max="16" width="2.81640625" style="81" customWidth="1"/>
    <col min="17" max="17" width="29.1796875" style="81" customWidth="1"/>
    <col min="18" max="18" width="16.1796875" style="81" hidden="1" customWidth="1"/>
    <col min="19" max="19" width="17.54296875" style="81" hidden="1" customWidth="1"/>
    <col min="20" max="20" width="14.54296875" style="81" hidden="1" customWidth="1"/>
    <col min="21" max="21" width="16" style="81" hidden="1" customWidth="1"/>
    <col min="22" max="22" width="17.81640625" style="81" hidden="1" customWidth="1"/>
    <col min="23" max="23" width="17.1796875" style="81" hidden="1" customWidth="1"/>
    <col min="24" max="29" width="14.453125" style="81" hidden="1" customWidth="1"/>
    <col min="30" max="30" width="16.453125" style="81" hidden="1" customWidth="1"/>
    <col min="31" max="33" width="14.81640625" style="81" hidden="1" customWidth="1"/>
    <col min="34" max="34" width="16.54296875" style="81" hidden="1" customWidth="1"/>
    <col min="35" max="36" width="17.54296875" style="81" hidden="1" customWidth="1"/>
    <col min="37" max="40" width="15.1796875" style="81" hidden="1" customWidth="1"/>
    <col min="41" max="41" width="13.81640625" style="81" hidden="1" customWidth="1"/>
    <col min="42" max="42" width="14.453125" style="81" hidden="1" customWidth="1"/>
    <col min="43" max="44" width="16.54296875" style="81" hidden="1" customWidth="1"/>
    <col min="45" max="45" width="16.1796875" style="81" hidden="1" customWidth="1"/>
    <col min="46" max="46" width="15.81640625" style="81" hidden="1" customWidth="1"/>
    <col min="47" max="47" width="15" style="81" hidden="1" customWidth="1"/>
    <col min="48" max="49" width="15.54296875" style="81" hidden="1" customWidth="1"/>
    <col min="50" max="51" width="16.54296875" style="81" hidden="1" customWidth="1"/>
    <col min="52" max="52" width="16.54296875" style="81" bestFit="1" customWidth="1"/>
    <col min="53" max="56" width="11.453125" style="81" customWidth="1"/>
    <col min="57" max="16384" width="11.453125" style="81"/>
  </cols>
  <sheetData>
    <row r="1" spans="2:56" x14ac:dyDescent="0.35">
      <c r="B1" s="122"/>
      <c r="C1" s="86"/>
      <c r="D1" s="86"/>
      <c r="E1" s="86"/>
      <c r="F1" s="87"/>
      <c r="G1" s="87"/>
      <c r="H1" s="87"/>
      <c r="I1" s="87"/>
      <c r="J1" s="87"/>
      <c r="K1" s="87"/>
      <c r="L1" s="122"/>
      <c r="M1" s="87"/>
      <c r="N1" s="87"/>
      <c r="O1" s="87"/>
      <c r="Q1" s="574"/>
      <c r="R1" s="574"/>
      <c r="S1" s="574"/>
      <c r="T1" s="574"/>
      <c r="U1" s="574"/>
      <c r="V1" s="574"/>
      <c r="W1" s="574"/>
      <c r="X1" s="574"/>
      <c r="Y1" s="574"/>
      <c r="Z1" s="574"/>
      <c r="AA1" s="574"/>
      <c r="AB1" s="574"/>
      <c r="AC1" s="574"/>
      <c r="AD1" s="574"/>
      <c r="AE1" s="574"/>
      <c r="AF1" s="574"/>
      <c r="AG1" s="574"/>
      <c r="AH1" s="574"/>
      <c r="AI1" s="574"/>
      <c r="AJ1" s="574"/>
      <c r="AK1" s="574"/>
      <c r="AL1" s="574"/>
      <c r="AM1" s="574"/>
      <c r="AN1" s="574"/>
      <c r="AO1" s="574"/>
      <c r="AP1" s="574"/>
      <c r="AQ1" s="574"/>
      <c r="AR1" s="574"/>
      <c r="AS1" s="574"/>
      <c r="AT1" s="574"/>
      <c r="AU1" s="574"/>
      <c r="AV1" s="574"/>
      <c r="AW1" s="574"/>
      <c r="AX1" s="574"/>
      <c r="AY1" s="574"/>
      <c r="AZ1" s="574"/>
      <c r="BA1" s="574"/>
      <c r="BB1" s="574"/>
      <c r="BC1" s="574"/>
    </row>
    <row r="2" spans="2:56" s="142" customFormat="1" ht="15" customHeight="1" x14ac:dyDescent="0.35">
      <c r="B2" s="576" t="s">
        <v>66</v>
      </c>
      <c r="C2" s="576"/>
      <c r="D2" s="576"/>
      <c r="F2" s="141" t="e">
        <f>+AZ12</f>
        <v>#REF!</v>
      </c>
      <c r="H2" s="141"/>
      <c r="I2" s="141"/>
      <c r="J2" s="143">
        <v>0.05</v>
      </c>
      <c r="K2" s="144"/>
      <c r="L2" s="171"/>
      <c r="M2" s="141"/>
      <c r="N2" s="141"/>
      <c r="O2" s="141"/>
      <c r="Q2" s="576"/>
      <c r="R2" s="576"/>
      <c r="S2" s="141"/>
      <c r="T2" s="143"/>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4"/>
      <c r="AV2" s="144"/>
      <c r="AW2" s="144"/>
      <c r="AX2" s="144"/>
      <c r="AY2" s="144"/>
      <c r="AZ2" s="144"/>
      <c r="BA2" s="576"/>
      <c r="BB2" s="576"/>
      <c r="BC2" s="141"/>
    </row>
    <row r="3" spans="2:56" s="133" customFormat="1" ht="15" customHeight="1" x14ac:dyDescent="0.35">
      <c r="B3" s="576" t="s">
        <v>67</v>
      </c>
      <c r="C3" s="576"/>
      <c r="D3" s="576"/>
      <c r="F3" s="134">
        <f>+AZ16</f>
        <v>1344.6847602739726</v>
      </c>
      <c r="G3" s="135"/>
      <c r="H3" s="134"/>
      <c r="I3" s="134"/>
      <c r="J3" s="137" t="e">
        <f>+F2*J2</f>
        <v>#REF!</v>
      </c>
      <c r="K3" s="136"/>
      <c r="L3" s="200"/>
      <c r="M3" s="200"/>
      <c r="N3" s="134"/>
      <c r="O3" s="134"/>
      <c r="Q3" s="138"/>
      <c r="R3" s="139"/>
      <c r="S3" s="140"/>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577"/>
      <c r="BB3" s="577"/>
      <c r="BC3" s="134"/>
    </row>
    <row r="4" spans="2:56" ht="23.5" hidden="1" x14ac:dyDescent="0.55000000000000004">
      <c r="B4" s="169"/>
      <c r="C4" s="92" t="e">
        <f>+(C10+C11)/C6*1000</f>
        <v>#REF!</v>
      </c>
      <c r="D4" s="92" t="e">
        <f>+(G10+G11)/G6*1000</f>
        <v>#REF!</v>
      </c>
      <c r="E4" s="92" t="e">
        <f>+(E10+E11)/E6*1000</f>
        <v>#REF!</v>
      </c>
      <c r="F4" s="92" t="e">
        <f>+(F10+F11)/F6*1000</f>
        <v>#REF!</v>
      </c>
      <c r="I4" s="92" t="e">
        <f>+(I10+I11)/I6*1000</f>
        <v>#REF!</v>
      </c>
      <c r="K4" s="88"/>
      <c r="L4" s="169"/>
      <c r="M4" s="92"/>
      <c r="N4" s="92"/>
      <c r="O4" s="92"/>
      <c r="Q4" s="93"/>
      <c r="R4" s="82"/>
      <c r="S4" s="90"/>
      <c r="T4" s="94"/>
      <c r="U4" s="88"/>
      <c r="V4" s="8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88"/>
      <c r="AW4" s="88"/>
      <c r="AX4" s="88"/>
      <c r="AY4" s="88"/>
      <c r="AZ4" s="88"/>
      <c r="BA4" s="91"/>
      <c r="BB4" s="91"/>
      <c r="BC4" s="78"/>
    </row>
    <row r="5" spans="2:56" s="95" customFormat="1" ht="33.75" customHeight="1" x14ac:dyDescent="0.35">
      <c r="B5" s="169" t="s">
        <v>5</v>
      </c>
      <c r="C5" s="85" t="s">
        <v>68</v>
      </c>
      <c r="D5" s="85" t="s">
        <v>69</v>
      </c>
      <c r="E5" s="85" t="s">
        <v>69</v>
      </c>
      <c r="F5" s="85" t="s">
        <v>69</v>
      </c>
      <c r="G5" s="85" t="s">
        <v>70</v>
      </c>
      <c r="H5" s="85" t="s">
        <v>70</v>
      </c>
      <c r="I5" s="85" t="s">
        <v>70</v>
      </c>
      <c r="J5" s="85"/>
      <c r="K5" s="88"/>
      <c r="L5" s="169" t="s">
        <v>71</v>
      </c>
      <c r="M5" s="96" t="s">
        <v>7</v>
      </c>
      <c r="N5" s="96" t="s">
        <v>8</v>
      </c>
      <c r="O5" s="96" t="s">
        <v>8</v>
      </c>
      <c r="Q5" s="147" t="s">
        <v>72</v>
      </c>
      <c r="R5" s="99" t="s">
        <v>54</v>
      </c>
      <c r="S5" s="99" t="s">
        <v>55</v>
      </c>
      <c r="T5" s="99" t="s">
        <v>56</v>
      </c>
      <c r="U5" s="99" t="s">
        <v>12</v>
      </c>
      <c r="V5" s="99" t="s">
        <v>57</v>
      </c>
      <c r="W5" s="99" t="s">
        <v>58</v>
      </c>
      <c r="X5" s="99" t="s">
        <v>59</v>
      </c>
      <c r="Y5" s="99" t="s">
        <v>60</v>
      </c>
      <c r="Z5" s="99" t="s">
        <v>62</v>
      </c>
      <c r="AA5" s="99" t="s">
        <v>64</v>
      </c>
      <c r="AB5" s="99" t="s">
        <v>65</v>
      </c>
      <c r="AC5" s="99" t="s">
        <v>73</v>
      </c>
      <c r="AD5" s="99" t="s">
        <v>53</v>
      </c>
      <c r="AE5" s="99" t="s">
        <v>77</v>
      </c>
      <c r="AF5" s="99" t="s">
        <v>78</v>
      </c>
      <c r="AG5" s="99" t="s">
        <v>79</v>
      </c>
      <c r="AH5" s="99" t="s">
        <v>90</v>
      </c>
      <c r="AI5" s="99" t="s">
        <v>91</v>
      </c>
      <c r="AJ5" s="99" t="s">
        <v>97</v>
      </c>
      <c r="AK5" s="99" t="s">
        <v>98</v>
      </c>
      <c r="AL5" s="99" t="s">
        <v>102</v>
      </c>
      <c r="AM5" s="99" t="s">
        <v>103</v>
      </c>
      <c r="AN5" s="99" t="s">
        <v>104</v>
      </c>
      <c r="AO5" s="99" t="s">
        <v>107</v>
      </c>
      <c r="AP5" s="99" t="s">
        <v>108</v>
      </c>
      <c r="AQ5" s="99" t="s">
        <v>114</v>
      </c>
      <c r="AR5" s="99" t="s">
        <v>121</v>
      </c>
      <c r="AS5" s="99" t="s">
        <v>122</v>
      </c>
      <c r="AT5" s="99" t="s">
        <v>123</v>
      </c>
      <c r="AU5" s="99" t="s">
        <v>124</v>
      </c>
      <c r="AV5" s="99" t="s">
        <v>125</v>
      </c>
      <c r="AW5" s="99" t="s">
        <v>126</v>
      </c>
      <c r="AX5" s="99" t="s">
        <v>142</v>
      </c>
      <c r="AY5" s="99" t="s">
        <v>143</v>
      </c>
      <c r="AZ5" s="99" t="s">
        <v>144</v>
      </c>
      <c r="BA5" s="100"/>
      <c r="BB5" s="97"/>
      <c r="BC5" s="97"/>
    </row>
    <row r="6" spans="2:56" x14ac:dyDescent="0.35">
      <c r="B6" s="169" t="s">
        <v>13</v>
      </c>
      <c r="C6" s="101">
        <v>16.7</v>
      </c>
      <c r="D6" s="101">
        <v>16.7</v>
      </c>
      <c r="E6" s="101">
        <v>20.5</v>
      </c>
      <c r="F6" s="101">
        <v>20.5</v>
      </c>
      <c r="G6" s="101">
        <v>30.6</v>
      </c>
      <c r="H6" s="101">
        <v>30.6</v>
      </c>
      <c r="I6" s="101">
        <v>38.6</v>
      </c>
      <c r="J6" s="101"/>
      <c r="L6" s="169" t="s">
        <v>13</v>
      </c>
      <c r="M6" s="101">
        <v>15</v>
      </c>
      <c r="N6" s="101">
        <v>20.5</v>
      </c>
      <c r="O6" s="101">
        <v>20.5</v>
      </c>
      <c r="Q6" s="102" t="s">
        <v>14</v>
      </c>
      <c r="R6" s="104">
        <v>938.13</v>
      </c>
      <c r="S6" s="105">
        <v>959</v>
      </c>
      <c r="T6" s="104">
        <v>1006.25</v>
      </c>
      <c r="U6" s="130">
        <v>993.75</v>
      </c>
      <c r="V6" s="131">
        <v>1015.5</v>
      </c>
      <c r="W6" s="131">
        <v>1045.5999999999999</v>
      </c>
      <c r="X6" s="43">
        <v>1103.75</v>
      </c>
      <c r="Y6" s="43">
        <v>1148.75</v>
      </c>
      <c r="Z6" s="43">
        <v>1167</v>
      </c>
      <c r="AA6" s="43">
        <v>1221.25</v>
      </c>
      <c r="AB6" s="43">
        <v>1330</v>
      </c>
      <c r="AC6" s="43">
        <f>+'IHS (Mod)'!I5</f>
        <v>1280</v>
      </c>
      <c r="AD6" s="43">
        <f>+'IHS (Mod)'!J5</f>
        <v>1279.380005</v>
      </c>
      <c r="AE6" s="43">
        <v>1275.5</v>
      </c>
      <c r="AF6" s="43" t="e">
        <f>+#REF!</f>
        <v>#REF!</v>
      </c>
      <c r="AG6" s="43" t="e">
        <f>+#REF!</f>
        <v>#REF!</v>
      </c>
      <c r="AH6" s="43" t="e">
        <f>+#REF!</f>
        <v>#REF!</v>
      </c>
      <c r="AI6" s="43" t="e">
        <f>+#REF!</f>
        <v>#REF!</v>
      </c>
      <c r="AJ6" s="43" t="e">
        <f>+#REF!</f>
        <v>#REF!</v>
      </c>
      <c r="AK6" s="43" t="e">
        <f>+#REF!</f>
        <v>#REF!</v>
      </c>
      <c r="AL6" s="43" t="e">
        <f>+#REF!</f>
        <v>#REF!</v>
      </c>
      <c r="AM6" s="43" t="e">
        <f>+#REF!</f>
        <v>#REF!</v>
      </c>
      <c r="AN6" s="43" t="e">
        <f>+#REF!</f>
        <v>#REF!</v>
      </c>
      <c r="AO6" s="43" t="e">
        <f>+#REF!</f>
        <v>#REF!</v>
      </c>
      <c r="AP6" s="43" t="e">
        <f>+#REF!</f>
        <v>#REF!</v>
      </c>
      <c r="AQ6" s="43" t="e">
        <f>+#REF!</f>
        <v>#REF!</v>
      </c>
      <c r="AR6" s="43" t="e">
        <f>+#REF!</f>
        <v>#REF!</v>
      </c>
      <c r="AS6" s="43" t="e">
        <f>+#REF!</f>
        <v>#REF!</v>
      </c>
      <c r="AT6" s="43" t="e">
        <f>+#REF!</f>
        <v>#REF!</v>
      </c>
      <c r="AU6" s="43" t="e">
        <f>+#REF!</f>
        <v>#REF!</v>
      </c>
      <c r="AV6" s="43" t="e">
        <f>+#REF!</f>
        <v>#REF!</v>
      </c>
      <c r="AW6" s="43" t="e">
        <f>+#REF!</f>
        <v>#REF!</v>
      </c>
      <c r="AX6" s="43" t="e">
        <f>+#REF!</f>
        <v>#REF!</v>
      </c>
      <c r="AY6" s="43" t="e">
        <f>+#REF!</f>
        <v>#REF!</v>
      </c>
      <c r="AZ6" s="43" t="e">
        <f>+#REF!</f>
        <v>#REF!</v>
      </c>
      <c r="BA6" s="85"/>
      <c r="BB6" s="101"/>
      <c r="BC6" s="101"/>
    </row>
    <row r="7" spans="2:56" x14ac:dyDescent="0.35">
      <c r="B7" s="170" t="s">
        <v>16</v>
      </c>
      <c r="C7" s="91" t="s">
        <v>17</v>
      </c>
      <c r="D7" s="91" t="s">
        <v>17</v>
      </c>
      <c r="E7" s="91" t="s">
        <v>17</v>
      </c>
      <c r="F7" s="91" t="s">
        <v>17</v>
      </c>
      <c r="G7" s="91" t="s">
        <v>17</v>
      </c>
      <c r="H7" s="91" t="s">
        <v>17</v>
      </c>
      <c r="I7" s="91" t="s">
        <v>17</v>
      </c>
      <c r="J7" s="91"/>
      <c r="L7" s="170" t="s">
        <v>16</v>
      </c>
      <c r="M7" s="91" t="s">
        <v>17</v>
      </c>
      <c r="N7" s="91" t="s">
        <v>17</v>
      </c>
      <c r="O7" s="91" t="s">
        <v>17</v>
      </c>
      <c r="Q7" s="128" t="s">
        <v>99</v>
      </c>
      <c r="R7" s="129">
        <v>25.09</v>
      </c>
      <c r="S7" s="129">
        <v>25.09</v>
      </c>
      <c r="T7" s="129">
        <v>25.09</v>
      </c>
      <c r="U7" s="129">
        <v>25</v>
      </c>
      <c r="V7" s="129">
        <v>25</v>
      </c>
      <c r="W7" s="129">
        <v>25</v>
      </c>
      <c r="X7" s="129">
        <v>25</v>
      </c>
      <c r="Y7" s="129">
        <v>25</v>
      </c>
      <c r="Z7" s="129">
        <v>25</v>
      </c>
      <c r="AA7" s="129">
        <v>25</v>
      </c>
      <c r="AB7" s="129">
        <v>25</v>
      </c>
      <c r="AC7" s="129">
        <v>33.139726027397259</v>
      </c>
      <c r="AD7" s="129">
        <f>+Septiembre18!AD8</f>
        <v>33.1236741020548</v>
      </c>
      <c r="AE7" s="129">
        <v>33.023219178082194</v>
      </c>
      <c r="AF7" s="129">
        <v>33.023219178082194</v>
      </c>
      <c r="AG7" s="129">
        <v>32.783732876712328</v>
      </c>
      <c r="AH7" s="129">
        <v>29.126712328767123</v>
      </c>
      <c r="AI7" s="129">
        <v>27.395420677397254</v>
      </c>
      <c r="AJ7" s="129">
        <v>26.796575342465754</v>
      </c>
      <c r="AK7" s="129">
        <v>13.948458904109588</v>
      </c>
      <c r="AL7" s="129">
        <v>14.191181506849315</v>
      </c>
      <c r="AM7" s="129">
        <v>14.255907534246576</v>
      </c>
      <c r="AN7" s="129" t="e">
        <f t="shared" ref="AN7:AU7" si="0">((((AN6*4.5%)/365)*210))*50%</f>
        <v>#REF!</v>
      </c>
      <c r="AO7" s="129" t="e">
        <f t="shared" si="0"/>
        <v>#REF!</v>
      </c>
      <c r="AP7" s="129" t="e">
        <f t="shared" si="0"/>
        <v>#REF!</v>
      </c>
      <c r="AQ7" s="129" t="e">
        <f t="shared" si="0"/>
        <v>#REF!</v>
      </c>
      <c r="AR7" s="129" t="e">
        <f t="shared" si="0"/>
        <v>#REF!</v>
      </c>
      <c r="AS7" s="129" t="e">
        <f t="shared" si="0"/>
        <v>#REF!</v>
      </c>
      <c r="AT7" s="129" t="e">
        <f t="shared" si="0"/>
        <v>#REF!</v>
      </c>
      <c r="AU7" s="129" t="e">
        <f t="shared" si="0"/>
        <v>#REF!</v>
      </c>
      <c r="AV7" s="129" t="e">
        <f>((((AV6*4.5%)/365)*210))*50%</f>
        <v>#REF!</v>
      </c>
      <c r="AW7" s="129" t="e">
        <f>((((AW6*4.5%)/365)*210))*50%</f>
        <v>#REF!</v>
      </c>
      <c r="AX7" s="129" t="e">
        <f>((((AX6*4.5%)/365)*210))*50%</f>
        <v>#REF!</v>
      </c>
      <c r="AY7" s="129" t="e">
        <f>((((AY6*4.5%)/365)*210))*50%</f>
        <v>#REF!</v>
      </c>
      <c r="AZ7" s="129" t="e">
        <f>((((AZ6*4.5%)/365)*210))*50%</f>
        <v>#REF!</v>
      </c>
      <c r="BA7" s="85"/>
      <c r="BB7" s="91"/>
      <c r="BC7" s="91"/>
    </row>
    <row r="8" spans="2:56" x14ac:dyDescent="0.35">
      <c r="B8" s="170" t="s">
        <v>115</v>
      </c>
      <c r="C8" s="91" t="s">
        <v>116</v>
      </c>
      <c r="D8" s="91"/>
      <c r="E8" s="91"/>
      <c r="F8" s="91" t="s">
        <v>117</v>
      </c>
      <c r="G8" s="91"/>
      <c r="H8" s="91"/>
      <c r="I8" s="91" t="s">
        <v>118</v>
      </c>
      <c r="J8" s="91"/>
      <c r="L8" s="170"/>
      <c r="M8" s="91" t="s">
        <v>119</v>
      </c>
      <c r="N8" s="91" t="s">
        <v>120</v>
      </c>
      <c r="O8" s="91"/>
      <c r="Q8" s="128"/>
      <c r="R8" s="129"/>
      <c r="S8" s="129"/>
      <c r="T8" s="129"/>
      <c r="U8" s="129"/>
      <c r="V8" s="129"/>
      <c r="W8" s="129"/>
      <c r="X8" s="129"/>
      <c r="Y8" s="129"/>
      <c r="Z8" s="129"/>
      <c r="AA8" s="129"/>
      <c r="AB8" s="129"/>
      <c r="AC8" s="129"/>
      <c r="AD8" s="129"/>
      <c r="AE8" s="129"/>
      <c r="AF8" s="129"/>
      <c r="AG8" s="129"/>
      <c r="AH8" s="129"/>
      <c r="AI8" s="129"/>
      <c r="AJ8" s="129"/>
      <c r="AK8" s="129"/>
      <c r="AL8" s="129"/>
      <c r="AM8" s="129"/>
      <c r="AN8" s="129"/>
      <c r="AO8" s="129"/>
      <c r="AP8" s="129"/>
      <c r="AQ8" s="129"/>
      <c r="AR8" s="129"/>
      <c r="AS8" s="129"/>
      <c r="AT8" s="129"/>
      <c r="AU8" s="129"/>
      <c r="AV8" s="129"/>
      <c r="AW8" s="129"/>
      <c r="AX8" s="129"/>
      <c r="AY8" s="129"/>
      <c r="AZ8" s="129"/>
      <c r="BA8" s="85"/>
      <c r="BB8" s="91"/>
      <c r="BC8" s="91"/>
    </row>
    <row r="9" spans="2:56" s="95" customFormat="1" ht="29" x14ac:dyDescent="0.35">
      <c r="B9" s="175" t="s">
        <v>92</v>
      </c>
      <c r="C9" s="177" t="s">
        <v>93</v>
      </c>
      <c r="D9" s="177" t="s">
        <v>94</v>
      </c>
      <c r="E9" s="176">
        <v>1</v>
      </c>
      <c r="F9" s="177" t="s">
        <v>93</v>
      </c>
      <c r="G9" s="176">
        <v>1</v>
      </c>
      <c r="H9" s="177" t="s">
        <v>94</v>
      </c>
      <c r="I9" s="177" t="s">
        <v>93</v>
      </c>
      <c r="J9" s="162"/>
      <c r="L9" s="175" t="str">
        <f>+B9</f>
        <v>% Resina (Virgen/PCR)</v>
      </c>
      <c r="M9" s="177" t="s">
        <v>94</v>
      </c>
      <c r="N9" s="176">
        <v>1</v>
      </c>
      <c r="O9" s="177" t="s">
        <v>94</v>
      </c>
      <c r="Q9" s="166" t="s">
        <v>128</v>
      </c>
      <c r="R9" s="129">
        <v>65</v>
      </c>
      <c r="S9" s="167">
        <v>65</v>
      </c>
      <c r="T9" s="129">
        <v>65</v>
      </c>
      <c r="U9" s="129">
        <v>65</v>
      </c>
      <c r="V9" s="129">
        <v>65</v>
      </c>
      <c r="W9" s="129">
        <v>65</v>
      </c>
      <c r="X9" s="129">
        <v>65</v>
      </c>
      <c r="Y9" s="129">
        <v>65</v>
      </c>
      <c r="Z9" s="129">
        <v>65</v>
      </c>
      <c r="AA9" s="129">
        <v>65</v>
      </c>
      <c r="AB9" s="129">
        <v>65</v>
      </c>
      <c r="AC9" s="129">
        <v>70</v>
      </c>
      <c r="AD9" s="129">
        <v>70</v>
      </c>
      <c r="AE9" s="129">
        <v>70</v>
      </c>
      <c r="AF9" s="129">
        <v>70</v>
      </c>
      <c r="AG9" s="129">
        <v>70</v>
      </c>
      <c r="AH9" s="129">
        <v>70</v>
      </c>
      <c r="AI9" s="129">
        <v>70</v>
      </c>
      <c r="AJ9" s="129">
        <v>70</v>
      </c>
      <c r="AK9" s="129">
        <v>70</v>
      </c>
      <c r="AL9" s="129">
        <v>70</v>
      </c>
      <c r="AM9" s="129">
        <v>70</v>
      </c>
      <c r="AN9" s="129">
        <v>70</v>
      </c>
      <c r="AO9" s="129">
        <v>70</v>
      </c>
      <c r="AP9" s="129">
        <v>70</v>
      </c>
      <c r="AQ9" s="129">
        <v>70</v>
      </c>
      <c r="AR9" s="129">
        <v>70</v>
      </c>
      <c r="AS9" s="129">
        <v>70</v>
      </c>
      <c r="AT9" s="209">
        <v>70</v>
      </c>
      <c r="AU9" s="209">
        <v>90.46</v>
      </c>
      <c r="AV9" s="210">
        <v>78.56</v>
      </c>
      <c r="AW9" s="210">
        <v>78.56</v>
      </c>
      <c r="AX9" s="210">
        <v>78.56</v>
      </c>
      <c r="AY9" s="210">
        <v>78.56</v>
      </c>
      <c r="AZ9" s="210">
        <v>78.56</v>
      </c>
      <c r="BA9" s="208"/>
      <c r="BB9" s="165"/>
      <c r="BC9" s="165"/>
    </row>
    <row r="10" spans="2:56" x14ac:dyDescent="0.35">
      <c r="B10" s="170" t="s">
        <v>19</v>
      </c>
      <c r="C10" s="80" t="e">
        <f>+(C6*F2/1000)*1.01*50%</f>
        <v>#REF!</v>
      </c>
      <c r="D10" s="80" t="e">
        <f>+(D6*$F$2/1000)*1.01*75%</f>
        <v>#REF!</v>
      </c>
      <c r="E10" s="80" t="e">
        <f>+(E6*$F$2/1000)*1.01</f>
        <v>#REF!</v>
      </c>
      <c r="F10" s="80" t="e">
        <f>+(F6*$F$2/1000)*1.01*50%</f>
        <v>#REF!</v>
      </c>
      <c r="G10" s="80" t="e">
        <f>+(G6*F2/1000)*1.01</f>
        <v>#REF!</v>
      </c>
      <c r="H10" s="80" t="e">
        <f>+(H6*$F$2/1000)*1.01*75%</f>
        <v>#REF!</v>
      </c>
      <c r="I10" s="80" t="e">
        <f>+(I6*$F$2/1000)*1.01*50%</f>
        <v>#REF!</v>
      </c>
      <c r="J10" s="80"/>
      <c r="L10" s="170" t="s">
        <v>19</v>
      </c>
      <c r="M10" s="80" t="e">
        <f>+(M6*F2/1000)*1.005*75%</f>
        <v>#REF!</v>
      </c>
      <c r="N10" s="80" t="e">
        <f>+(N6*F2/1000)*1.005</f>
        <v>#REF!</v>
      </c>
      <c r="O10" s="80" t="e">
        <f>+(O6*F2/1000)*1.005*75%</f>
        <v>#REF!</v>
      </c>
      <c r="Q10" s="102"/>
      <c r="R10" s="104">
        <f>SUM(R6:R9)</f>
        <v>1028.22</v>
      </c>
      <c r="S10" s="104">
        <f>SUM(S6:S9)</f>
        <v>1049.0900000000001</v>
      </c>
      <c r="T10" s="104">
        <f>SUM(T6:T9)</f>
        <v>1096.3399999999999</v>
      </c>
      <c r="U10" s="104">
        <f>SUM(U6:U9)</f>
        <v>1083.75</v>
      </c>
      <c r="V10" s="104">
        <f t="shared" ref="V10:AZ10" si="1">SUM(V6:V9)</f>
        <v>1105.5</v>
      </c>
      <c r="W10" s="104">
        <f t="shared" si="1"/>
        <v>1135.5999999999999</v>
      </c>
      <c r="X10" s="104">
        <f t="shared" si="1"/>
        <v>1193.75</v>
      </c>
      <c r="Y10" s="104">
        <f t="shared" si="1"/>
        <v>1238.75</v>
      </c>
      <c r="Z10" s="104">
        <f t="shared" si="1"/>
        <v>1257</v>
      </c>
      <c r="AA10" s="104">
        <f t="shared" si="1"/>
        <v>1311.25</v>
      </c>
      <c r="AB10" s="104">
        <f t="shared" si="1"/>
        <v>1420</v>
      </c>
      <c r="AC10" s="104">
        <f t="shared" si="1"/>
        <v>1383.1397260273973</v>
      </c>
      <c r="AD10" s="104">
        <f t="shared" si="1"/>
        <v>1382.5036791020548</v>
      </c>
      <c r="AE10" s="104">
        <f t="shared" si="1"/>
        <v>1378.5232191780822</v>
      </c>
      <c r="AF10" s="104" t="e">
        <f t="shared" si="1"/>
        <v>#REF!</v>
      </c>
      <c r="AG10" s="104" t="e">
        <f t="shared" si="1"/>
        <v>#REF!</v>
      </c>
      <c r="AH10" s="104" t="e">
        <f t="shared" si="1"/>
        <v>#REF!</v>
      </c>
      <c r="AI10" s="104" t="e">
        <f t="shared" si="1"/>
        <v>#REF!</v>
      </c>
      <c r="AJ10" s="104" t="e">
        <f t="shared" si="1"/>
        <v>#REF!</v>
      </c>
      <c r="AK10" s="104" t="e">
        <f t="shared" si="1"/>
        <v>#REF!</v>
      </c>
      <c r="AL10" s="104" t="e">
        <f t="shared" si="1"/>
        <v>#REF!</v>
      </c>
      <c r="AM10" s="104" t="e">
        <f t="shared" si="1"/>
        <v>#REF!</v>
      </c>
      <c r="AN10" s="104" t="e">
        <f t="shared" si="1"/>
        <v>#REF!</v>
      </c>
      <c r="AO10" s="104" t="e">
        <f t="shared" si="1"/>
        <v>#REF!</v>
      </c>
      <c r="AP10" s="104" t="e">
        <f t="shared" si="1"/>
        <v>#REF!</v>
      </c>
      <c r="AQ10" s="104" t="e">
        <f t="shared" si="1"/>
        <v>#REF!</v>
      </c>
      <c r="AR10" s="104" t="e">
        <f t="shared" si="1"/>
        <v>#REF!</v>
      </c>
      <c r="AS10" s="104" t="e">
        <f t="shared" si="1"/>
        <v>#REF!</v>
      </c>
      <c r="AT10" s="104" t="e">
        <f t="shared" si="1"/>
        <v>#REF!</v>
      </c>
      <c r="AU10" s="104" t="e">
        <f t="shared" si="1"/>
        <v>#REF!</v>
      </c>
      <c r="AV10" s="104" t="e">
        <f t="shared" si="1"/>
        <v>#REF!</v>
      </c>
      <c r="AW10" s="104" t="e">
        <f t="shared" si="1"/>
        <v>#REF!</v>
      </c>
      <c r="AX10" s="104" t="e">
        <f t="shared" si="1"/>
        <v>#REF!</v>
      </c>
      <c r="AY10" s="104" t="e">
        <f t="shared" si="1"/>
        <v>#REF!</v>
      </c>
      <c r="AZ10" s="104" t="e">
        <f t="shared" si="1"/>
        <v>#REF!</v>
      </c>
      <c r="BA10" s="79"/>
      <c r="BB10" s="80"/>
      <c r="BC10" s="80"/>
    </row>
    <row r="11" spans="2:56" x14ac:dyDescent="0.35">
      <c r="B11" s="172" t="s">
        <v>23</v>
      </c>
      <c r="C11" s="76">
        <f>+(C6*$F$3/1000)*1.01*50%</f>
        <v>11.340398925770549</v>
      </c>
      <c r="D11" s="76">
        <f>+(D6*$F$3/1000)*1.01*25%</f>
        <v>5.6701994628852743</v>
      </c>
      <c r="E11" s="76">
        <v>0</v>
      </c>
      <c r="F11" s="76">
        <f>+(F6*$F$3/1000)*1.01*50%</f>
        <v>13.920848980736302</v>
      </c>
      <c r="G11" s="76">
        <v>0</v>
      </c>
      <c r="H11" s="76">
        <f>+(H6*$F$3/1000)*1.01*25%</f>
        <v>10.389706800256848</v>
      </c>
      <c r="I11" s="76">
        <f>+(I6*$F$3/1000)*1.01*50%</f>
        <v>26.211940032020546</v>
      </c>
      <c r="J11" s="76"/>
      <c r="K11" s="121"/>
      <c r="L11" s="172" t="s">
        <v>23</v>
      </c>
      <c r="M11" s="76">
        <f>+(M6*F3/1000)*1.005*25%</f>
        <v>5.0677806902825333</v>
      </c>
      <c r="N11" s="76">
        <v>0</v>
      </c>
      <c r="O11" s="76">
        <f>+(O6*F3/1000)*1.005*25%</f>
        <v>6.9259669433861291</v>
      </c>
      <c r="Q11" s="106" t="s">
        <v>27</v>
      </c>
      <c r="R11" s="108">
        <f>+R10*4%</f>
        <v>41.128800000000005</v>
      </c>
      <c r="S11" s="104">
        <f>+S10*4%</f>
        <v>41.963600000000007</v>
      </c>
      <c r="T11" s="108">
        <f>+T10*4%</f>
        <v>43.8536</v>
      </c>
      <c r="U11" s="108">
        <f>+U10*4%</f>
        <v>43.35</v>
      </c>
      <c r="V11" s="108">
        <f t="shared" ref="V11:AZ11" si="2">+V10*4%</f>
        <v>44.22</v>
      </c>
      <c r="W11" s="108">
        <f t="shared" si="2"/>
        <v>45.423999999999999</v>
      </c>
      <c r="X11" s="108">
        <f t="shared" si="2"/>
        <v>47.75</v>
      </c>
      <c r="Y11" s="108">
        <f t="shared" si="2"/>
        <v>49.550000000000004</v>
      </c>
      <c r="Z11" s="108">
        <f t="shared" si="2"/>
        <v>50.28</v>
      </c>
      <c r="AA11" s="108">
        <f t="shared" si="2"/>
        <v>52.45</v>
      </c>
      <c r="AB11" s="108">
        <f t="shared" si="2"/>
        <v>56.800000000000004</v>
      </c>
      <c r="AC11" s="108">
        <f t="shared" si="2"/>
        <v>55.325589041095895</v>
      </c>
      <c r="AD11" s="108">
        <f t="shared" si="2"/>
        <v>55.30014716408219</v>
      </c>
      <c r="AE11" s="108">
        <f t="shared" si="2"/>
        <v>55.140928767123285</v>
      </c>
      <c r="AF11" s="108" t="e">
        <f t="shared" si="2"/>
        <v>#REF!</v>
      </c>
      <c r="AG11" s="108" t="e">
        <f t="shared" si="2"/>
        <v>#REF!</v>
      </c>
      <c r="AH11" s="108" t="e">
        <f t="shared" si="2"/>
        <v>#REF!</v>
      </c>
      <c r="AI11" s="108" t="e">
        <f t="shared" si="2"/>
        <v>#REF!</v>
      </c>
      <c r="AJ11" s="108" t="e">
        <f t="shared" si="2"/>
        <v>#REF!</v>
      </c>
      <c r="AK11" s="108" t="e">
        <f t="shared" si="2"/>
        <v>#REF!</v>
      </c>
      <c r="AL11" s="108" t="e">
        <f t="shared" si="2"/>
        <v>#REF!</v>
      </c>
      <c r="AM11" s="108" t="e">
        <f t="shared" si="2"/>
        <v>#REF!</v>
      </c>
      <c r="AN11" s="108" t="e">
        <f t="shared" si="2"/>
        <v>#REF!</v>
      </c>
      <c r="AO11" s="108" t="e">
        <f t="shared" si="2"/>
        <v>#REF!</v>
      </c>
      <c r="AP11" s="108" t="e">
        <f t="shared" si="2"/>
        <v>#REF!</v>
      </c>
      <c r="AQ11" s="108" t="e">
        <f t="shared" si="2"/>
        <v>#REF!</v>
      </c>
      <c r="AR11" s="108" t="e">
        <f t="shared" si="2"/>
        <v>#REF!</v>
      </c>
      <c r="AS11" s="108" t="e">
        <f t="shared" si="2"/>
        <v>#REF!</v>
      </c>
      <c r="AT11" s="108" t="e">
        <f t="shared" si="2"/>
        <v>#REF!</v>
      </c>
      <c r="AU11" s="108" t="e">
        <f t="shared" si="2"/>
        <v>#REF!</v>
      </c>
      <c r="AV11" s="108" t="e">
        <f t="shared" si="2"/>
        <v>#REF!</v>
      </c>
      <c r="AW11" s="108" t="e">
        <f t="shared" si="2"/>
        <v>#REF!</v>
      </c>
      <c r="AX11" s="108" t="e">
        <f t="shared" si="2"/>
        <v>#REF!</v>
      </c>
      <c r="AY11" s="108" t="e">
        <f t="shared" si="2"/>
        <v>#REF!</v>
      </c>
      <c r="AZ11" s="108" t="e">
        <f t="shared" si="2"/>
        <v>#REF!</v>
      </c>
      <c r="BA11" s="79"/>
      <c r="BB11" s="80"/>
      <c r="BC11" s="80"/>
    </row>
    <row r="12" spans="2:56" x14ac:dyDescent="0.35">
      <c r="B12" s="169" t="s">
        <v>95</v>
      </c>
      <c r="C12" s="84" t="e">
        <f>SUM(C10:C11)</f>
        <v>#REF!</v>
      </c>
      <c r="D12" s="84" t="e">
        <f t="shared" ref="D12:J12" si="3">SUM(D10:D11)</f>
        <v>#REF!</v>
      </c>
      <c r="E12" s="84" t="e">
        <f t="shared" si="3"/>
        <v>#REF!</v>
      </c>
      <c r="F12" s="84" t="e">
        <f t="shared" si="3"/>
        <v>#REF!</v>
      </c>
      <c r="G12" s="84" t="e">
        <f t="shared" si="3"/>
        <v>#REF!</v>
      </c>
      <c r="H12" s="84" t="e">
        <f t="shared" si="3"/>
        <v>#REF!</v>
      </c>
      <c r="I12" s="84" t="e">
        <f t="shared" si="3"/>
        <v>#REF!</v>
      </c>
      <c r="J12" s="80">
        <f t="shared" si="3"/>
        <v>0</v>
      </c>
      <c r="K12" s="80"/>
      <c r="L12" s="169" t="s">
        <v>95</v>
      </c>
      <c r="M12" s="84" t="e">
        <f t="shared" ref="M12:O12" si="4">SUM(M10:M11)</f>
        <v>#REF!</v>
      </c>
      <c r="N12" s="84" t="e">
        <f t="shared" si="4"/>
        <v>#REF!</v>
      </c>
      <c r="O12" s="84" t="e">
        <f t="shared" si="4"/>
        <v>#REF!</v>
      </c>
      <c r="Q12" s="157" t="s">
        <v>30</v>
      </c>
      <c r="R12" s="158">
        <f>+R11+R10</f>
        <v>1069.3488</v>
      </c>
      <c r="S12" s="159">
        <f>+S11+S10</f>
        <v>1091.0536000000002</v>
      </c>
      <c r="T12" s="158">
        <f>+T11+T10</f>
        <v>1140.1935999999998</v>
      </c>
      <c r="U12" s="158">
        <f>+U11+U10</f>
        <v>1127.0999999999999</v>
      </c>
      <c r="V12" s="158">
        <f t="shared" ref="V12:AZ12" si="5">+V11+V10</f>
        <v>1149.72</v>
      </c>
      <c r="W12" s="158">
        <f t="shared" si="5"/>
        <v>1181.0239999999999</v>
      </c>
      <c r="X12" s="158">
        <f t="shared" si="5"/>
        <v>1241.5</v>
      </c>
      <c r="Y12" s="158">
        <f t="shared" si="5"/>
        <v>1288.3</v>
      </c>
      <c r="Z12" s="158">
        <f t="shared" si="5"/>
        <v>1307.28</v>
      </c>
      <c r="AA12" s="158">
        <f t="shared" si="5"/>
        <v>1363.7</v>
      </c>
      <c r="AB12" s="158">
        <f t="shared" si="5"/>
        <v>1476.8</v>
      </c>
      <c r="AC12" s="158">
        <f t="shared" si="5"/>
        <v>1438.4653150684931</v>
      </c>
      <c r="AD12" s="158">
        <f t="shared" si="5"/>
        <v>1437.8038262661369</v>
      </c>
      <c r="AE12" s="158">
        <f t="shared" si="5"/>
        <v>1433.6641479452055</v>
      </c>
      <c r="AF12" s="158" t="e">
        <f t="shared" si="5"/>
        <v>#REF!</v>
      </c>
      <c r="AG12" s="158" t="e">
        <f t="shared" si="5"/>
        <v>#REF!</v>
      </c>
      <c r="AH12" s="158" t="e">
        <f t="shared" si="5"/>
        <v>#REF!</v>
      </c>
      <c r="AI12" s="158" t="e">
        <f t="shared" si="5"/>
        <v>#REF!</v>
      </c>
      <c r="AJ12" s="158" t="e">
        <f t="shared" si="5"/>
        <v>#REF!</v>
      </c>
      <c r="AK12" s="158" t="e">
        <f t="shared" si="5"/>
        <v>#REF!</v>
      </c>
      <c r="AL12" s="158" t="e">
        <f t="shared" si="5"/>
        <v>#REF!</v>
      </c>
      <c r="AM12" s="158" t="e">
        <f t="shared" si="5"/>
        <v>#REF!</v>
      </c>
      <c r="AN12" s="158" t="e">
        <f t="shared" si="5"/>
        <v>#REF!</v>
      </c>
      <c r="AO12" s="158" t="e">
        <f t="shared" si="5"/>
        <v>#REF!</v>
      </c>
      <c r="AP12" s="158" t="e">
        <f t="shared" si="5"/>
        <v>#REF!</v>
      </c>
      <c r="AQ12" s="158" t="e">
        <f t="shared" si="5"/>
        <v>#REF!</v>
      </c>
      <c r="AR12" s="158" t="e">
        <f t="shared" si="5"/>
        <v>#REF!</v>
      </c>
      <c r="AS12" s="158" t="e">
        <f t="shared" si="5"/>
        <v>#REF!</v>
      </c>
      <c r="AT12" s="158" t="e">
        <f t="shared" si="5"/>
        <v>#REF!</v>
      </c>
      <c r="AU12" s="158" t="e">
        <f t="shared" si="5"/>
        <v>#REF!</v>
      </c>
      <c r="AV12" s="158" t="e">
        <f t="shared" si="5"/>
        <v>#REF!</v>
      </c>
      <c r="AW12" s="158" t="e">
        <f t="shared" si="5"/>
        <v>#REF!</v>
      </c>
      <c r="AX12" s="158" t="e">
        <f t="shared" si="5"/>
        <v>#REF!</v>
      </c>
      <c r="AY12" s="158" t="e">
        <f t="shared" si="5"/>
        <v>#REF!</v>
      </c>
      <c r="AZ12" s="158" t="e">
        <f t="shared" si="5"/>
        <v>#REF!</v>
      </c>
      <c r="BA12" s="79"/>
      <c r="BB12" s="80"/>
      <c r="BC12" s="80"/>
    </row>
    <row r="13" spans="2:56" x14ac:dyDescent="0.35">
      <c r="B13" s="170" t="s">
        <v>129</v>
      </c>
      <c r="C13" s="80">
        <v>8.25</v>
      </c>
      <c r="D13" s="80">
        <v>8.2299999999999986</v>
      </c>
      <c r="E13" s="80">
        <f>8.2+0.03</f>
        <v>8.2299999999999986</v>
      </c>
      <c r="F13" s="80">
        <v>8.25</v>
      </c>
      <c r="G13" s="80">
        <v>11.200000000000001</v>
      </c>
      <c r="H13" s="80">
        <v>11.200000000000001</v>
      </c>
      <c r="I13" s="80">
        <v>11.23</v>
      </c>
      <c r="J13" s="80"/>
      <c r="L13" s="170" t="s">
        <v>129</v>
      </c>
      <c r="M13" s="80">
        <f>+C13</f>
        <v>8.25</v>
      </c>
      <c r="N13" s="80">
        <f>+F13</f>
        <v>8.25</v>
      </c>
      <c r="O13" s="80">
        <v>8.23</v>
      </c>
      <c r="Q13" s="160" t="s">
        <v>32</v>
      </c>
      <c r="R13" s="161">
        <f>+R12*(1-5%)</f>
        <v>1015.88136</v>
      </c>
      <c r="S13" s="161">
        <f t="shared" ref="S13:AM13" si="6">+S12*(1-5%)</f>
        <v>1036.5009200000002</v>
      </c>
      <c r="T13" s="161">
        <f t="shared" si="6"/>
        <v>1083.1839199999997</v>
      </c>
      <c r="U13" s="161">
        <f t="shared" si="6"/>
        <v>1070.7449999999999</v>
      </c>
      <c r="V13" s="161">
        <f t="shared" si="6"/>
        <v>1092.2339999999999</v>
      </c>
      <c r="W13" s="161">
        <f t="shared" si="6"/>
        <v>1121.9727999999998</v>
      </c>
      <c r="X13" s="161">
        <f t="shared" si="6"/>
        <v>1179.425</v>
      </c>
      <c r="Y13" s="161">
        <f t="shared" si="6"/>
        <v>1223.885</v>
      </c>
      <c r="Z13" s="161">
        <f t="shared" si="6"/>
        <v>1241.9159999999999</v>
      </c>
      <c r="AA13" s="161">
        <f t="shared" si="6"/>
        <v>1295.5149999999999</v>
      </c>
      <c r="AB13" s="161">
        <f t="shared" si="6"/>
        <v>1402.9599999999998</v>
      </c>
      <c r="AC13" s="161">
        <f t="shared" si="6"/>
        <v>1366.5420493150684</v>
      </c>
      <c r="AD13" s="161">
        <f t="shared" si="6"/>
        <v>1365.9136349528299</v>
      </c>
      <c r="AE13" s="161">
        <f t="shared" si="6"/>
        <v>1361.9809405479452</v>
      </c>
      <c r="AF13" s="161" t="e">
        <f t="shared" si="6"/>
        <v>#REF!</v>
      </c>
      <c r="AG13" s="161" t="e">
        <f t="shared" si="6"/>
        <v>#REF!</v>
      </c>
      <c r="AH13" s="161" t="e">
        <f t="shared" si="6"/>
        <v>#REF!</v>
      </c>
      <c r="AI13" s="161" t="e">
        <f t="shared" si="6"/>
        <v>#REF!</v>
      </c>
      <c r="AJ13" s="161" t="e">
        <f t="shared" si="6"/>
        <v>#REF!</v>
      </c>
      <c r="AK13" s="161" t="e">
        <f t="shared" si="6"/>
        <v>#REF!</v>
      </c>
      <c r="AL13" s="161" t="e">
        <f t="shared" si="6"/>
        <v>#REF!</v>
      </c>
      <c r="AM13" s="161" t="e">
        <f t="shared" si="6"/>
        <v>#REF!</v>
      </c>
      <c r="AN13" s="161">
        <v>1267</v>
      </c>
      <c r="AO13" s="161" t="e">
        <f t="shared" ref="AO13:AV13" si="7">+AO12*(1-5%)</f>
        <v>#REF!</v>
      </c>
      <c r="AP13" s="161" t="e">
        <f t="shared" si="7"/>
        <v>#REF!</v>
      </c>
      <c r="AQ13" s="161" t="e">
        <f t="shared" si="7"/>
        <v>#REF!</v>
      </c>
      <c r="AR13" s="161" t="e">
        <f t="shared" si="7"/>
        <v>#REF!</v>
      </c>
      <c r="AS13" s="161" t="e">
        <f t="shared" si="7"/>
        <v>#REF!</v>
      </c>
      <c r="AT13" s="161" t="e">
        <f t="shared" si="7"/>
        <v>#REF!</v>
      </c>
      <c r="AU13" s="161" t="e">
        <f t="shared" si="7"/>
        <v>#REF!</v>
      </c>
      <c r="AV13" s="161" t="e">
        <f t="shared" si="7"/>
        <v>#REF!</v>
      </c>
      <c r="AW13" s="161">
        <v>1327.5</v>
      </c>
      <c r="AX13" s="161">
        <v>1327.5</v>
      </c>
      <c r="AY13" s="161">
        <v>1327.5</v>
      </c>
      <c r="AZ13" s="161">
        <v>1327.5</v>
      </c>
      <c r="BA13" s="211">
        <v>1327.5</v>
      </c>
      <c r="BB13" s="204" t="s">
        <v>130</v>
      </c>
      <c r="BC13" s="205"/>
      <c r="BD13" s="206"/>
    </row>
    <row r="14" spans="2:56" x14ac:dyDescent="0.35">
      <c r="B14" s="170" t="s">
        <v>131</v>
      </c>
      <c r="C14" s="80">
        <v>0</v>
      </c>
      <c r="D14" s="80"/>
      <c r="E14" s="80"/>
      <c r="F14" s="80">
        <v>0</v>
      </c>
      <c r="G14" s="80"/>
      <c r="H14" s="80"/>
      <c r="I14" s="80">
        <v>0</v>
      </c>
      <c r="J14" s="80"/>
      <c r="L14" s="170" t="s">
        <v>131</v>
      </c>
      <c r="M14" s="80">
        <f>(M15-M13)</f>
        <v>19.12</v>
      </c>
      <c r="N14" s="80">
        <f>(N15-N13)</f>
        <v>19.14</v>
      </c>
      <c r="O14" s="80">
        <v>19.09</v>
      </c>
      <c r="Q14" s="160"/>
      <c r="R14" s="161"/>
      <c r="S14" s="161"/>
      <c r="T14" s="161"/>
      <c r="U14" s="161"/>
      <c r="V14" s="161"/>
      <c r="W14" s="161"/>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1"/>
      <c r="AU14" s="161"/>
      <c r="AV14" s="161"/>
      <c r="AW14" s="161"/>
      <c r="AX14" s="161"/>
      <c r="AY14" s="161"/>
      <c r="AZ14" s="161"/>
    </row>
    <row r="15" spans="2:56" x14ac:dyDescent="0.35">
      <c r="B15" s="169" t="s">
        <v>132</v>
      </c>
      <c r="C15" s="80">
        <f>+C13+C14</f>
        <v>8.25</v>
      </c>
      <c r="D15" s="80">
        <f t="shared" ref="D15:I15" si="8">+D13+D14</f>
        <v>8.2299999999999986</v>
      </c>
      <c r="E15" s="80">
        <f t="shared" si="8"/>
        <v>8.2299999999999986</v>
      </c>
      <c r="F15" s="80">
        <f t="shared" si="8"/>
        <v>8.25</v>
      </c>
      <c r="G15" s="80">
        <f t="shared" si="8"/>
        <v>11.200000000000001</v>
      </c>
      <c r="H15" s="80">
        <f t="shared" si="8"/>
        <v>11.200000000000001</v>
      </c>
      <c r="I15" s="80">
        <f t="shared" si="8"/>
        <v>11.23</v>
      </c>
      <c r="J15" s="80"/>
      <c r="L15" s="169" t="s">
        <v>132</v>
      </c>
      <c r="M15" s="80">
        <v>27.37</v>
      </c>
      <c r="N15" s="80">
        <v>27.39</v>
      </c>
      <c r="O15" s="80">
        <v>2.1800000000000002</v>
      </c>
      <c r="Q15" s="128" t="s">
        <v>100</v>
      </c>
      <c r="R15" s="128" t="s">
        <v>18</v>
      </c>
      <c r="S15" s="128" t="s">
        <v>18</v>
      </c>
      <c r="T15" s="128" t="s">
        <v>18</v>
      </c>
      <c r="U15" s="128" t="s">
        <v>18</v>
      </c>
      <c r="V15" s="128" t="s">
        <v>18</v>
      </c>
      <c r="W15" s="128" t="s">
        <v>18</v>
      </c>
      <c r="X15" s="128" t="s">
        <v>18</v>
      </c>
      <c r="Y15" s="128" t="s">
        <v>18</v>
      </c>
      <c r="Z15" s="128" t="s">
        <v>18</v>
      </c>
      <c r="AA15" s="128" t="s">
        <v>18</v>
      </c>
      <c r="AB15" s="128" t="s">
        <v>18</v>
      </c>
      <c r="AC15" s="128" t="s">
        <v>18</v>
      </c>
      <c r="AD15" s="128" t="s">
        <v>18</v>
      </c>
      <c r="AE15" s="128" t="s">
        <v>18</v>
      </c>
      <c r="AF15" s="128" t="s">
        <v>18</v>
      </c>
      <c r="AG15" s="128" t="s">
        <v>18</v>
      </c>
      <c r="AH15" s="128" t="s">
        <v>18</v>
      </c>
      <c r="AI15" s="128" t="s">
        <v>18</v>
      </c>
      <c r="AJ15" s="129">
        <v>0</v>
      </c>
      <c r="AK15" s="129">
        <f>+BC15</f>
        <v>0</v>
      </c>
      <c r="AL15" s="129">
        <v>15.097681007201158</v>
      </c>
      <c r="AM15" s="129">
        <v>15.162458159293488</v>
      </c>
      <c r="AN15" s="129">
        <f t="shared" ref="AN15:AU15" si="9">((((AN13*4.5%)/365)*210))*50%</f>
        <v>16.401575342465755</v>
      </c>
      <c r="AO15" s="129" t="e">
        <f t="shared" si="9"/>
        <v>#REF!</v>
      </c>
      <c r="AP15" s="129" t="e">
        <f t="shared" si="9"/>
        <v>#REF!</v>
      </c>
      <c r="AQ15" s="129" t="e">
        <f t="shared" si="9"/>
        <v>#REF!</v>
      </c>
      <c r="AR15" s="129" t="e">
        <f t="shared" si="9"/>
        <v>#REF!</v>
      </c>
      <c r="AS15" s="129" t="e">
        <f t="shared" si="9"/>
        <v>#REF!</v>
      </c>
      <c r="AT15" s="129" t="e">
        <f t="shared" si="9"/>
        <v>#REF!</v>
      </c>
      <c r="AU15" s="129" t="e">
        <f t="shared" si="9"/>
        <v>#REF!</v>
      </c>
      <c r="AV15" s="129" t="e">
        <f>((((AV13*4.5%)/365)*210))*50%</f>
        <v>#REF!</v>
      </c>
      <c r="AW15" s="129">
        <f>((((AW13*4.5%)/365)*210))*50%</f>
        <v>17.184760273972604</v>
      </c>
      <c r="AX15" s="129">
        <f>((((AX13*4.5%)/365)*210))*50%</f>
        <v>17.184760273972604</v>
      </c>
      <c r="AY15" s="129">
        <f>((((AY13*4.5%)/365)*210))*50%</f>
        <v>17.184760273972604</v>
      </c>
      <c r="AZ15" s="129">
        <f>((((AZ13*4.5%)/365)*210))*50%</f>
        <v>17.184760273972604</v>
      </c>
      <c r="BA15" s="203"/>
      <c r="BB15" s="204"/>
      <c r="BC15" s="207"/>
      <c r="BD15" s="206"/>
    </row>
    <row r="16" spans="2:56" x14ac:dyDescent="0.35">
      <c r="B16" s="170" t="s">
        <v>31</v>
      </c>
      <c r="C16" s="80">
        <v>1.92</v>
      </c>
      <c r="D16" s="80">
        <v>1.5</v>
      </c>
      <c r="E16" s="80">
        <v>1.83</v>
      </c>
      <c r="F16" s="80">
        <v>2.2200000000000002</v>
      </c>
      <c r="G16" s="80">
        <v>3.45</v>
      </c>
      <c r="H16" s="80">
        <v>3.45</v>
      </c>
      <c r="I16" s="80">
        <v>4.13</v>
      </c>
      <c r="J16" s="80"/>
      <c r="L16" s="170" t="s">
        <v>31</v>
      </c>
      <c r="M16" s="80">
        <v>0.9</v>
      </c>
      <c r="N16" s="80">
        <v>2.1800000000000002</v>
      </c>
      <c r="O16" s="80">
        <v>4.3</v>
      </c>
      <c r="Q16" s="179" t="s">
        <v>101</v>
      </c>
      <c r="R16" s="179"/>
      <c r="S16" s="179"/>
      <c r="T16" s="179"/>
      <c r="U16" s="179"/>
      <c r="V16" s="179"/>
      <c r="W16" s="179"/>
      <c r="X16" s="179"/>
      <c r="Y16" s="179"/>
      <c r="Z16" s="179"/>
      <c r="AA16" s="179"/>
      <c r="AB16" s="179"/>
      <c r="AC16" s="179"/>
      <c r="AD16" s="179"/>
      <c r="AE16" s="179"/>
      <c r="AF16" s="179"/>
      <c r="AG16" s="179"/>
      <c r="AH16" s="179"/>
      <c r="AI16" s="179"/>
      <c r="AJ16" s="180"/>
      <c r="AK16" s="180" t="e">
        <f t="shared" ref="AK16:AZ16" si="10">+AK13+AK15</f>
        <v>#REF!</v>
      </c>
      <c r="AL16" s="180" t="e">
        <f t="shared" si="10"/>
        <v>#REF!</v>
      </c>
      <c r="AM16" s="180" t="e">
        <f t="shared" si="10"/>
        <v>#REF!</v>
      </c>
      <c r="AN16" s="180">
        <f t="shared" si="10"/>
        <v>1283.4015753424658</v>
      </c>
      <c r="AO16" s="180" t="e">
        <f t="shared" si="10"/>
        <v>#REF!</v>
      </c>
      <c r="AP16" s="180" t="e">
        <f t="shared" si="10"/>
        <v>#REF!</v>
      </c>
      <c r="AQ16" s="180" t="e">
        <f t="shared" si="10"/>
        <v>#REF!</v>
      </c>
      <c r="AR16" s="180" t="e">
        <f t="shared" si="10"/>
        <v>#REF!</v>
      </c>
      <c r="AS16" s="180" t="e">
        <f t="shared" si="10"/>
        <v>#REF!</v>
      </c>
      <c r="AT16" s="180" t="e">
        <f t="shared" si="10"/>
        <v>#REF!</v>
      </c>
      <c r="AU16" s="180" t="e">
        <f t="shared" si="10"/>
        <v>#REF!</v>
      </c>
      <c r="AV16" s="180" t="e">
        <f t="shared" si="10"/>
        <v>#REF!</v>
      </c>
      <c r="AW16" s="180">
        <f t="shared" si="10"/>
        <v>1344.6847602739726</v>
      </c>
      <c r="AX16" s="180">
        <f t="shared" si="10"/>
        <v>1344.6847602739726</v>
      </c>
      <c r="AY16" s="180">
        <f t="shared" si="10"/>
        <v>1344.6847602739726</v>
      </c>
      <c r="AZ16" s="180">
        <f t="shared" si="10"/>
        <v>1344.6847602739726</v>
      </c>
      <c r="BA16" s="203"/>
      <c r="BB16" s="204"/>
      <c r="BC16" s="205"/>
      <c r="BD16" s="206"/>
    </row>
    <row r="17" spans="1:57" x14ac:dyDescent="0.35">
      <c r="A17" s="81" t="s">
        <v>38</v>
      </c>
      <c r="B17" s="170" t="s">
        <v>34</v>
      </c>
      <c r="C17" s="80">
        <v>0.19</v>
      </c>
      <c r="D17" s="80">
        <v>0.19</v>
      </c>
      <c r="E17" s="80">
        <v>0.19</v>
      </c>
      <c r="F17" s="80">
        <v>0.19</v>
      </c>
      <c r="G17" s="80">
        <v>0.33</v>
      </c>
      <c r="H17" s="80">
        <v>0.33</v>
      </c>
      <c r="I17" s="80">
        <v>0.33</v>
      </c>
      <c r="J17" s="80"/>
      <c r="L17" s="170" t="s">
        <v>34</v>
      </c>
      <c r="M17" s="80">
        <v>4.3</v>
      </c>
      <c r="N17" s="80">
        <v>4.3</v>
      </c>
      <c r="O17" s="80">
        <v>8.36</v>
      </c>
      <c r="Q17" s="157" t="s">
        <v>96</v>
      </c>
      <c r="R17" s="158">
        <f t="shared" ref="R17:AH17" si="11">+R12*75%+R13*25%</f>
        <v>1055.9819400000001</v>
      </c>
      <c r="S17" s="158">
        <f t="shared" si="11"/>
        <v>1077.4154300000002</v>
      </c>
      <c r="T17" s="158">
        <f t="shared" si="11"/>
        <v>1125.9411799999998</v>
      </c>
      <c r="U17" s="158">
        <f t="shared" si="11"/>
        <v>1113.01125</v>
      </c>
      <c r="V17" s="158">
        <f t="shared" si="11"/>
        <v>1135.3485000000001</v>
      </c>
      <c r="W17" s="158">
        <f t="shared" si="11"/>
        <v>1166.2611999999999</v>
      </c>
      <c r="X17" s="158">
        <f t="shared" si="11"/>
        <v>1225.98125</v>
      </c>
      <c r="Y17" s="158">
        <f t="shared" si="11"/>
        <v>1272.19625</v>
      </c>
      <c r="Z17" s="158">
        <f t="shared" si="11"/>
        <v>1290.9390000000001</v>
      </c>
      <c r="AA17" s="158">
        <f t="shared" si="11"/>
        <v>1346.6537499999999</v>
      </c>
      <c r="AB17" s="158">
        <f t="shared" si="11"/>
        <v>1458.34</v>
      </c>
      <c r="AC17" s="158">
        <f t="shared" si="11"/>
        <v>1420.4844986301368</v>
      </c>
      <c r="AD17" s="158">
        <f t="shared" si="11"/>
        <v>1419.8312784378102</v>
      </c>
      <c r="AE17" s="158">
        <f t="shared" si="11"/>
        <v>1415.7433460958905</v>
      </c>
      <c r="AF17" s="158" t="e">
        <f t="shared" si="11"/>
        <v>#REF!</v>
      </c>
      <c r="AG17" s="158" t="e">
        <f t="shared" si="11"/>
        <v>#REF!</v>
      </c>
      <c r="AH17" s="158" t="e">
        <f t="shared" si="11"/>
        <v>#REF!</v>
      </c>
      <c r="AI17" s="158" t="e">
        <f>+AI12*50%+AI13*50%</f>
        <v>#REF!</v>
      </c>
      <c r="AJ17" s="158" t="e">
        <f>+AJ12*50%+AJ13*50%</f>
        <v>#REF!</v>
      </c>
      <c r="AK17" s="158" t="e">
        <f t="shared" ref="AK17:AZ17" si="12">+AK12*50%+AK16*50%</f>
        <v>#REF!</v>
      </c>
      <c r="AL17" s="158" t="e">
        <f t="shared" si="12"/>
        <v>#REF!</v>
      </c>
      <c r="AM17" s="158" t="e">
        <f t="shared" si="12"/>
        <v>#REF!</v>
      </c>
      <c r="AN17" s="158" t="e">
        <f t="shared" si="12"/>
        <v>#REF!</v>
      </c>
      <c r="AO17" s="158" t="e">
        <f t="shared" si="12"/>
        <v>#REF!</v>
      </c>
      <c r="AP17" s="158" t="e">
        <f t="shared" si="12"/>
        <v>#REF!</v>
      </c>
      <c r="AQ17" s="158" t="e">
        <f t="shared" si="12"/>
        <v>#REF!</v>
      </c>
      <c r="AR17" s="158" t="e">
        <f t="shared" si="12"/>
        <v>#REF!</v>
      </c>
      <c r="AS17" s="158" t="e">
        <f t="shared" si="12"/>
        <v>#REF!</v>
      </c>
      <c r="AT17" s="158" t="e">
        <f t="shared" si="12"/>
        <v>#REF!</v>
      </c>
      <c r="AU17" s="158" t="e">
        <f t="shared" si="12"/>
        <v>#REF!</v>
      </c>
      <c r="AV17" s="158" t="e">
        <f t="shared" si="12"/>
        <v>#REF!</v>
      </c>
      <c r="AW17" s="158" t="e">
        <f t="shared" si="12"/>
        <v>#REF!</v>
      </c>
      <c r="AX17" s="158" t="e">
        <f t="shared" si="12"/>
        <v>#REF!</v>
      </c>
      <c r="AY17" s="158" t="e">
        <f t="shared" si="12"/>
        <v>#REF!</v>
      </c>
      <c r="AZ17" s="158" t="e">
        <f t="shared" si="12"/>
        <v>#REF!</v>
      </c>
      <c r="BA17" s="80"/>
      <c r="BB17" s="80"/>
      <c r="BC17" s="80"/>
    </row>
    <row r="18" spans="1:57" x14ac:dyDescent="0.35">
      <c r="B18" s="170" t="s">
        <v>36</v>
      </c>
      <c r="C18" s="80">
        <v>0.16</v>
      </c>
      <c r="D18" s="80">
        <v>0.16</v>
      </c>
      <c r="E18" s="80">
        <v>0.16</v>
      </c>
      <c r="F18" s="80">
        <v>0.16</v>
      </c>
      <c r="G18" s="80">
        <v>0.28000000000000003</v>
      </c>
      <c r="H18" s="80">
        <v>0.28000000000000003</v>
      </c>
      <c r="I18" s="80">
        <v>0.28000000000000003</v>
      </c>
      <c r="J18" s="80"/>
      <c r="L18" s="170" t="s">
        <v>36</v>
      </c>
      <c r="M18" s="80">
        <v>8.36</v>
      </c>
      <c r="N18" s="80">
        <v>8.36</v>
      </c>
      <c r="O18" s="84" t="e">
        <f t="shared" ref="O18" si="13">+O12+O13+O15+O16+O17+O14</f>
        <v>#REF!</v>
      </c>
      <c r="Q18" s="113" t="s">
        <v>37</v>
      </c>
      <c r="R18" s="118">
        <f>+R17*1%</f>
        <v>10.559819400000002</v>
      </c>
      <c r="S18" s="118">
        <f t="shared" ref="S18:AZ18" si="14">+S17*1%</f>
        <v>10.774154300000003</v>
      </c>
      <c r="T18" s="118">
        <f t="shared" si="14"/>
        <v>11.259411799999999</v>
      </c>
      <c r="U18" s="118">
        <f t="shared" si="14"/>
        <v>11.130112500000001</v>
      </c>
      <c r="V18" s="118">
        <f t="shared" si="14"/>
        <v>11.353485000000001</v>
      </c>
      <c r="W18" s="118">
        <f t="shared" si="14"/>
        <v>11.662611999999999</v>
      </c>
      <c r="X18" s="118">
        <f t="shared" si="14"/>
        <v>12.259812500000001</v>
      </c>
      <c r="Y18" s="118">
        <f t="shared" si="14"/>
        <v>12.7219625</v>
      </c>
      <c r="Z18" s="118">
        <f t="shared" si="14"/>
        <v>12.909390000000002</v>
      </c>
      <c r="AA18" s="118">
        <f t="shared" si="14"/>
        <v>13.466537499999999</v>
      </c>
      <c r="AB18" s="118">
        <f t="shared" si="14"/>
        <v>14.583399999999999</v>
      </c>
      <c r="AC18" s="118">
        <f t="shared" si="14"/>
        <v>14.204844986301369</v>
      </c>
      <c r="AD18" s="118">
        <f t="shared" si="14"/>
        <v>14.198312784378102</v>
      </c>
      <c r="AE18" s="118">
        <f t="shared" si="14"/>
        <v>14.157433460958906</v>
      </c>
      <c r="AF18" s="118" t="e">
        <f t="shared" si="14"/>
        <v>#REF!</v>
      </c>
      <c r="AG18" s="118" t="e">
        <f t="shared" si="14"/>
        <v>#REF!</v>
      </c>
      <c r="AH18" s="118" t="e">
        <f t="shared" si="14"/>
        <v>#REF!</v>
      </c>
      <c r="AI18" s="118" t="e">
        <f t="shared" si="14"/>
        <v>#REF!</v>
      </c>
      <c r="AJ18" s="118" t="e">
        <f t="shared" si="14"/>
        <v>#REF!</v>
      </c>
      <c r="AK18" s="118" t="e">
        <f t="shared" si="14"/>
        <v>#REF!</v>
      </c>
      <c r="AL18" s="118" t="e">
        <f t="shared" si="14"/>
        <v>#REF!</v>
      </c>
      <c r="AM18" s="118" t="e">
        <f t="shared" si="14"/>
        <v>#REF!</v>
      </c>
      <c r="AN18" s="118" t="e">
        <f t="shared" si="14"/>
        <v>#REF!</v>
      </c>
      <c r="AO18" s="118" t="e">
        <f t="shared" si="14"/>
        <v>#REF!</v>
      </c>
      <c r="AP18" s="118" t="e">
        <f t="shared" si="14"/>
        <v>#REF!</v>
      </c>
      <c r="AQ18" s="118" t="e">
        <f t="shared" si="14"/>
        <v>#REF!</v>
      </c>
      <c r="AR18" s="118" t="e">
        <f t="shared" si="14"/>
        <v>#REF!</v>
      </c>
      <c r="AS18" s="118" t="e">
        <f t="shared" si="14"/>
        <v>#REF!</v>
      </c>
      <c r="AT18" s="118" t="e">
        <f t="shared" si="14"/>
        <v>#REF!</v>
      </c>
      <c r="AU18" s="118" t="e">
        <f t="shared" si="14"/>
        <v>#REF!</v>
      </c>
      <c r="AV18" s="118" t="e">
        <f t="shared" si="14"/>
        <v>#REF!</v>
      </c>
      <c r="AW18" s="118" t="e">
        <f t="shared" si="14"/>
        <v>#REF!</v>
      </c>
      <c r="AX18" s="118" t="e">
        <f t="shared" si="14"/>
        <v>#REF!</v>
      </c>
      <c r="AY18" s="118" t="e">
        <f t="shared" si="14"/>
        <v>#REF!</v>
      </c>
      <c r="AZ18" s="118" t="e">
        <f t="shared" si="14"/>
        <v>#REF!</v>
      </c>
      <c r="BA18" s="79"/>
      <c r="BB18" s="80"/>
      <c r="BC18" s="84"/>
    </row>
    <row r="19" spans="1:57" x14ac:dyDescent="0.35">
      <c r="B19" s="169" t="s">
        <v>39</v>
      </c>
      <c r="C19" s="84" t="e">
        <f>+C12+C15+C16+C17+C18</f>
        <v>#REF!</v>
      </c>
      <c r="D19" s="84" t="e">
        <f t="shared" ref="D19:I19" si="15">+D12+D15+D16+D17+D18</f>
        <v>#REF!</v>
      </c>
      <c r="E19" s="84" t="e">
        <f t="shared" si="15"/>
        <v>#REF!</v>
      </c>
      <c r="F19" s="84" t="e">
        <f t="shared" si="15"/>
        <v>#REF!</v>
      </c>
      <c r="G19" s="84" t="e">
        <f t="shared" si="15"/>
        <v>#REF!</v>
      </c>
      <c r="H19" s="84" t="e">
        <f t="shared" si="15"/>
        <v>#REF!</v>
      </c>
      <c r="I19" s="84" t="e">
        <f t="shared" si="15"/>
        <v>#REF!</v>
      </c>
      <c r="J19" s="84"/>
      <c r="L19" s="169" t="s">
        <v>39</v>
      </c>
      <c r="M19" s="84" t="e">
        <f>+M12+M15+M16+M17+M18</f>
        <v>#REF!</v>
      </c>
      <c r="N19" s="84" t="e">
        <f t="shared" ref="N19" si="16">+N12+N15+N16+N17+N18</f>
        <v>#REF!</v>
      </c>
      <c r="Q19" s="113" t="s">
        <v>74</v>
      </c>
      <c r="R19" s="115">
        <f>+R18+R17</f>
        <v>1066.5417594</v>
      </c>
      <c r="S19" s="115">
        <f t="shared" ref="S19:AV19" si="17">+S18+S17</f>
        <v>1088.1895843000002</v>
      </c>
      <c r="T19" s="115">
        <f t="shared" si="17"/>
        <v>1137.2005917999998</v>
      </c>
      <c r="U19" s="115">
        <f t="shared" si="17"/>
        <v>1124.1413625</v>
      </c>
      <c r="V19" s="115">
        <f t="shared" si="17"/>
        <v>1146.7019850000001</v>
      </c>
      <c r="W19" s="115">
        <f t="shared" si="17"/>
        <v>1177.923812</v>
      </c>
      <c r="X19" s="115">
        <f t="shared" si="17"/>
        <v>1238.2410625</v>
      </c>
      <c r="Y19" s="115">
        <f t="shared" si="17"/>
        <v>1284.9182125</v>
      </c>
      <c r="Z19" s="115">
        <f t="shared" si="17"/>
        <v>1303.8483900000001</v>
      </c>
      <c r="AA19" s="115">
        <f t="shared" si="17"/>
        <v>1360.1202874999999</v>
      </c>
      <c r="AB19" s="115">
        <f t="shared" si="17"/>
        <v>1472.9233999999999</v>
      </c>
      <c r="AC19" s="115">
        <f t="shared" si="17"/>
        <v>1434.6893436164382</v>
      </c>
      <c r="AD19" s="115">
        <f t="shared" si="17"/>
        <v>1434.0295912221882</v>
      </c>
      <c r="AE19" s="115">
        <f t="shared" si="17"/>
        <v>1429.9007795568493</v>
      </c>
      <c r="AF19" s="115" t="e">
        <f t="shared" si="17"/>
        <v>#REF!</v>
      </c>
      <c r="AG19" s="115" t="e">
        <f t="shared" si="17"/>
        <v>#REF!</v>
      </c>
      <c r="AH19" s="115" t="e">
        <f t="shared" si="17"/>
        <v>#REF!</v>
      </c>
      <c r="AI19" s="115" t="e">
        <f t="shared" si="17"/>
        <v>#REF!</v>
      </c>
      <c r="AJ19" s="115" t="e">
        <f t="shared" si="17"/>
        <v>#REF!</v>
      </c>
      <c r="AK19" s="115" t="e">
        <f t="shared" si="17"/>
        <v>#REF!</v>
      </c>
      <c r="AL19" s="115" t="e">
        <f t="shared" si="17"/>
        <v>#REF!</v>
      </c>
      <c r="AM19" s="115" t="e">
        <f t="shared" si="17"/>
        <v>#REF!</v>
      </c>
      <c r="AN19" s="115" t="e">
        <f t="shared" si="17"/>
        <v>#REF!</v>
      </c>
      <c r="AO19" s="115" t="e">
        <f t="shared" si="17"/>
        <v>#REF!</v>
      </c>
      <c r="AP19" s="115" t="e">
        <f t="shared" si="17"/>
        <v>#REF!</v>
      </c>
      <c r="AQ19" s="115" t="e">
        <f t="shared" si="17"/>
        <v>#REF!</v>
      </c>
      <c r="AR19" s="115" t="e">
        <f t="shared" si="17"/>
        <v>#REF!</v>
      </c>
      <c r="AS19" s="115" t="e">
        <f t="shared" si="17"/>
        <v>#REF!</v>
      </c>
      <c r="AT19" s="115" t="e">
        <f t="shared" si="17"/>
        <v>#REF!</v>
      </c>
      <c r="AU19" s="115" t="e">
        <f t="shared" si="17"/>
        <v>#REF!</v>
      </c>
      <c r="AV19" s="115" t="e">
        <f t="shared" si="17"/>
        <v>#REF!</v>
      </c>
      <c r="AW19" s="115" t="e">
        <f>+AW18+AW17</f>
        <v>#REF!</v>
      </c>
      <c r="AX19" s="115" t="e">
        <f>+AX18+AX17</f>
        <v>#REF!</v>
      </c>
      <c r="AY19" s="115" t="e">
        <f>+AY18+AY17</f>
        <v>#REF!</v>
      </c>
      <c r="AZ19" s="115" t="e">
        <f>+AZ18+AZ17</f>
        <v>#REF!</v>
      </c>
      <c r="BA19" s="181"/>
      <c r="BB19" s="84"/>
      <c r="BC19" s="84"/>
      <c r="BE19" s="182"/>
    </row>
    <row r="20" spans="1:57" x14ac:dyDescent="0.35">
      <c r="M20" s="84"/>
      <c r="N20" s="84"/>
      <c r="O20" s="84"/>
      <c r="Q20" s="85"/>
      <c r="R20" s="120" t="e">
        <f>+#REF!</f>
        <v>#REF!</v>
      </c>
      <c r="S20" s="120" t="e">
        <f>+R20</f>
        <v>#REF!</v>
      </c>
      <c r="T20" s="120" t="e">
        <f>+S20</f>
        <v>#REF!</v>
      </c>
      <c r="U20" s="120" t="e">
        <f>+T20</f>
        <v>#REF!</v>
      </c>
      <c r="V20" s="120" t="e">
        <f t="shared" ref="V20:AG20" si="18">+U20</f>
        <v>#REF!</v>
      </c>
      <c r="W20" s="120" t="e">
        <f t="shared" si="18"/>
        <v>#REF!</v>
      </c>
      <c r="X20" s="120" t="e">
        <f t="shared" si="18"/>
        <v>#REF!</v>
      </c>
      <c r="Y20" s="120" t="e">
        <f t="shared" si="18"/>
        <v>#REF!</v>
      </c>
      <c r="Z20" s="120" t="e">
        <f t="shared" si="18"/>
        <v>#REF!</v>
      </c>
      <c r="AA20" s="120" t="e">
        <f t="shared" si="18"/>
        <v>#REF!</v>
      </c>
      <c r="AB20" s="120" t="e">
        <f t="shared" si="18"/>
        <v>#REF!</v>
      </c>
      <c r="AC20" s="120" t="e">
        <f t="shared" si="18"/>
        <v>#REF!</v>
      </c>
      <c r="AD20" s="120" t="e">
        <f t="shared" si="18"/>
        <v>#REF!</v>
      </c>
      <c r="AE20" s="120" t="e">
        <f t="shared" si="18"/>
        <v>#REF!</v>
      </c>
      <c r="AF20" s="120" t="e">
        <f t="shared" si="18"/>
        <v>#REF!</v>
      </c>
      <c r="AG20" s="120" t="e">
        <f t="shared" si="18"/>
        <v>#REF!</v>
      </c>
      <c r="AH20" s="120"/>
      <c r="AI20" s="120"/>
      <c r="AJ20" s="120"/>
      <c r="AK20" s="120"/>
      <c r="AL20" s="120"/>
      <c r="AM20" s="120"/>
      <c r="AN20" s="120"/>
      <c r="AO20" s="120"/>
      <c r="AP20" s="120"/>
      <c r="AQ20" s="120"/>
      <c r="AR20" s="120"/>
      <c r="AS20" s="120"/>
      <c r="AT20" s="120"/>
      <c r="AU20" s="120"/>
      <c r="AV20" s="120"/>
      <c r="AW20" s="120"/>
      <c r="AX20" s="120"/>
      <c r="AY20" s="120"/>
      <c r="AZ20" s="120"/>
      <c r="BB20" s="84"/>
      <c r="BC20" s="82"/>
    </row>
    <row r="21" spans="1:57" x14ac:dyDescent="0.35">
      <c r="B21" s="169"/>
      <c r="C21" s="84"/>
      <c r="D21" s="84"/>
      <c r="E21" s="84"/>
      <c r="F21" s="84"/>
      <c r="G21" s="84"/>
      <c r="H21" s="84"/>
      <c r="I21" s="84"/>
      <c r="J21" s="84"/>
      <c r="K21" s="94"/>
      <c r="M21" s="84"/>
      <c r="N21" s="84"/>
      <c r="Q21" s="82"/>
      <c r="R21" s="82"/>
      <c r="S21" s="82"/>
      <c r="U21" s="94"/>
      <c r="V21" s="94"/>
      <c r="W21" s="94"/>
      <c r="X21" s="94"/>
      <c r="Y21" s="94"/>
      <c r="Z21" s="94"/>
      <c r="AA21" s="94"/>
      <c r="AB21" s="94"/>
      <c r="AC21" s="94"/>
      <c r="AD21" s="94"/>
      <c r="AE21" s="94"/>
      <c r="AF21" s="94"/>
      <c r="AG21" s="94"/>
      <c r="AH21" s="94"/>
      <c r="AI21" s="94"/>
      <c r="AJ21" s="94"/>
      <c r="AK21" s="94"/>
      <c r="AL21" s="94"/>
      <c r="AM21" s="94"/>
      <c r="AN21" s="94"/>
      <c r="AO21" s="94"/>
      <c r="AP21" s="94"/>
      <c r="AQ21" s="94"/>
      <c r="AR21" s="94"/>
      <c r="AS21" s="94"/>
      <c r="AT21" s="94"/>
      <c r="AU21" s="94"/>
      <c r="AV21" s="94"/>
      <c r="AW21" s="94"/>
      <c r="AX21" s="94"/>
      <c r="AY21" s="94"/>
      <c r="AZ21" s="94"/>
      <c r="BB21" s="82"/>
      <c r="BC21" s="82"/>
    </row>
    <row r="22" spans="1:57" x14ac:dyDescent="0.35">
      <c r="C22" s="132"/>
      <c r="D22" s="132"/>
      <c r="E22" s="132"/>
      <c r="F22" s="132"/>
      <c r="G22" s="132"/>
      <c r="H22" s="132"/>
      <c r="I22" s="132"/>
      <c r="K22" s="94"/>
      <c r="BB22" s="82"/>
    </row>
    <row r="23" spans="1:57" x14ac:dyDescent="0.35">
      <c r="M23" s="86"/>
      <c r="O23" s="201"/>
    </row>
    <row r="24" spans="1:57" x14ac:dyDescent="0.35">
      <c r="C24" s="201"/>
      <c r="F24" s="201"/>
      <c r="I24" s="201"/>
      <c r="M24" s="201"/>
      <c r="N24" s="201"/>
    </row>
    <row r="25" spans="1:57" x14ac:dyDescent="0.35">
      <c r="F25" s="201">
        <f>+F24-F22</f>
        <v>0</v>
      </c>
    </row>
    <row r="27" spans="1:57" x14ac:dyDescent="0.35">
      <c r="AH27" s="164"/>
    </row>
    <row r="28" spans="1:57" x14ac:dyDescent="0.35">
      <c r="N28" s="123"/>
    </row>
    <row r="34" spans="1:57" s="82" customFormat="1" x14ac:dyDescent="0.35">
      <c r="A34" s="81"/>
      <c r="B34" s="173"/>
      <c r="J34" s="81"/>
      <c r="K34" s="81"/>
      <c r="L34" s="173"/>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c r="AY34" s="81"/>
      <c r="AZ34" s="81"/>
      <c r="BA34" s="81"/>
      <c r="BB34" s="81"/>
      <c r="BC34" s="81"/>
      <c r="BD34" s="81"/>
      <c r="BE34" s="81"/>
    </row>
    <row r="35" spans="1:57" x14ac:dyDescent="0.35">
      <c r="B35" s="173" t="s">
        <v>51</v>
      </c>
    </row>
  </sheetData>
  <mergeCells count="6">
    <mergeCell ref="Q1:BC1"/>
    <mergeCell ref="B2:D2"/>
    <mergeCell ref="Q2:R2"/>
    <mergeCell ref="BA2:BB2"/>
    <mergeCell ref="B3:D3"/>
    <mergeCell ref="BA3:BB3"/>
  </mergeCells>
  <pageMargins left="0.7" right="0.7" top="0.75" bottom="0.75" header="0.3" footer="0.3"/>
  <customProperties>
    <customPr name="EpmWorksheetKeyString_GUID" r:id="rId1"/>
  </customProperties>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BF38"/>
  <sheetViews>
    <sheetView zoomScale="90" zoomScaleNormal="90" workbookViewId="0">
      <selection activeCell="BA14" sqref="BA13:BB14"/>
    </sheetView>
  </sheetViews>
  <sheetFormatPr defaultColWidth="11.453125" defaultRowHeight="14.5" x14ac:dyDescent="0.35"/>
  <cols>
    <col min="1" max="1" width="3.453125" style="81" customWidth="1"/>
    <col min="2" max="2" width="18.81640625" style="173" bestFit="1" customWidth="1"/>
    <col min="3" max="3" width="10.81640625" style="82" customWidth="1"/>
    <col min="4" max="5" width="10.54296875" style="82" hidden="1" customWidth="1"/>
    <col min="6" max="6" width="11" style="82" customWidth="1"/>
    <col min="7" max="7" width="11.1796875" style="82" hidden="1" customWidth="1"/>
    <col min="8" max="8" width="11" style="82" hidden="1" customWidth="1"/>
    <col min="9" max="9" width="11.54296875" style="82" customWidth="1"/>
    <col min="10" max="10" width="8.54296875" style="81" hidden="1" customWidth="1"/>
    <col min="11" max="11" width="2.81640625" style="81" customWidth="1"/>
    <col min="12" max="12" width="20" style="173" customWidth="1"/>
    <col min="13" max="14" width="10.81640625" style="82" customWidth="1"/>
    <col min="15" max="15" width="10.81640625" style="82" hidden="1" customWidth="1"/>
    <col min="16" max="16" width="2.81640625" style="81" customWidth="1"/>
    <col min="17" max="17" width="29.1796875" style="81" customWidth="1"/>
    <col min="18" max="18" width="16.1796875" style="81" hidden="1" customWidth="1"/>
    <col min="19" max="19" width="17.54296875" style="81" hidden="1" customWidth="1"/>
    <col min="20" max="20" width="14.54296875" style="81" hidden="1" customWidth="1"/>
    <col min="21" max="21" width="16" style="81" hidden="1" customWidth="1"/>
    <col min="22" max="22" width="17.81640625" style="81" hidden="1" customWidth="1"/>
    <col min="23" max="23" width="17.1796875" style="81" hidden="1" customWidth="1"/>
    <col min="24" max="29" width="14.453125" style="81" hidden="1" customWidth="1"/>
    <col min="30" max="30" width="16.453125" style="81" hidden="1" customWidth="1"/>
    <col min="31" max="33" width="14.81640625" style="81" hidden="1" customWidth="1"/>
    <col min="34" max="34" width="16.54296875" style="81" hidden="1" customWidth="1"/>
    <col min="35" max="36" width="17.54296875" style="81" hidden="1" customWidth="1"/>
    <col min="37" max="40" width="15.1796875" style="81" hidden="1" customWidth="1"/>
    <col min="41" max="41" width="13.81640625" style="81" hidden="1" customWidth="1"/>
    <col min="42" max="42" width="14.453125" style="81" hidden="1" customWidth="1"/>
    <col min="43" max="44" width="16.54296875" style="81" hidden="1" customWidth="1"/>
    <col min="45" max="45" width="16.1796875" style="81" hidden="1" customWidth="1"/>
    <col min="46" max="46" width="15.81640625" style="81" hidden="1" customWidth="1"/>
    <col min="47" max="47" width="15" style="81" hidden="1" customWidth="1"/>
    <col min="48" max="49" width="15.54296875" style="81" hidden="1" customWidth="1"/>
    <col min="50" max="50" width="16.54296875" style="81" hidden="1" customWidth="1"/>
    <col min="51" max="51" width="16.1796875" style="81" hidden="1" customWidth="1"/>
    <col min="52" max="52" width="17.1796875" style="81" hidden="1" customWidth="1"/>
    <col min="53" max="53" width="17.1796875" style="81" customWidth="1"/>
    <col min="54" max="54" width="8.81640625" style="81" bestFit="1" customWidth="1"/>
    <col min="55" max="57" width="11.453125" style="81" customWidth="1"/>
    <col min="58" max="16384" width="11.453125" style="81"/>
  </cols>
  <sheetData>
    <row r="1" spans="2:57" x14ac:dyDescent="0.35">
      <c r="B1" s="122"/>
      <c r="C1" s="86"/>
      <c r="D1" s="86"/>
      <c r="E1" s="86"/>
      <c r="F1" s="87"/>
      <c r="G1" s="87"/>
      <c r="H1" s="87"/>
      <c r="I1" s="87"/>
      <c r="J1" s="87"/>
      <c r="K1" s="87"/>
      <c r="L1" s="122"/>
      <c r="M1" s="87"/>
      <c r="N1" s="87"/>
      <c r="O1" s="87"/>
      <c r="Q1" s="574"/>
      <c r="R1" s="574"/>
      <c r="S1" s="574"/>
      <c r="T1" s="574"/>
      <c r="U1" s="574"/>
      <c r="V1" s="574"/>
      <c r="W1" s="574"/>
      <c r="X1" s="574"/>
      <c r="Y1" s="574"/>
      <c r="Z1" s="574"/>
      <c r="AA1" s="574"/>
      <c r="AB1" s="574"/>
      <c r="AC1" s="574"/>
      <c r="AD1" s="574"/>
      <c r="AE1" s="574"/>
      <c r="AF1" s="574"/>
      <c r="AG1" s="574"/>
      <c r="AH1" s="574"/>
      <c r="AI1" s="574"/>
      <c r="AJ1" s="574"/>
      <c r="AK1" s="574"/>
      <c r="AL1" s="574"/>
      <c r="AM1" s="574"/>
      <c r="AN1" s="574"/>
      <c r="AO1" s="574"/>
      <c r="AP1" s="574"/>
      <c r="AQ1" s="574"/>
      <c r="AR1" s="574"/>
      <c r="AS1" s="574"/>
      <c r="AT1" s="574"/>
      <c r="AU1" s="574"/>
      <c r="AV1" s="574"/>
      <c r="AW1" s="574"/>
      <c r="AX1" s="574"/>
      <c r="AY1" s="574"/>
      <c r="AZ1" s="574"/>
      <c r="BA1" s="574"/>
      <c r="BB1" s="574"/>
      <c r="BC1" s="574"/>
      <c r="BD1" s="574"/>
    </row>
    <row r="2" spans="2:57" s="142" customFormat="1" ht="15" customHeight="1" x14ac:dyDescent="0.35">
      <c r="B2" s="576" t="s">
        <v>66</v>
      </c>
      <c r="C2" s="576"/>
      <c r="D2" s="576"/>
      <c r="F2" s="141" t="e">
        <f>+BA12</f>
        <v>#REF!</v>
      </c>
      <c r="H2" s="141"/>
      <c r="I2" s="141"/>
      <c r="J2" s="143">
        <v>0.05</v>
      </c>
      <c r="K2" s="144"/>
      <c r="L2" s="171"/>
      <c r="M2" s="141"/>
      <c r="N2" s="141"/>
      <c r="O2" s="141"/>
      <c r="Q2" s="576"/>
      <c r="R2" s="576"/>
      <c r="S2" s="141"/>
      <c r="T2" s="143"/>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4"/>
      <c r="AV2" s="144"/>
      <c r="AW2" s="144"/>
      <c r="AX2" s="144"/>
      <c r="AY2" s="144"/>
      <c r="AZ2" s="144"/>
      <c r="BA2" s="144"/>
      <c r="BB2" s="576"/>
      <c r="BC2" s="576"/>
      <c r="BD2" s="141"/>
    </row>
    <row r="3" spans="2:57" s="133" customFormat="1" x14ac:dyDescent="0.35">
      <c r="B3" s="576" t="s">
        <v>67</v>
      </c>
      <c r="C3" s="576"/>
      <c r="D3" s="576"/>
      <c r="F3" s="134" t="e">
        <f>+BA16</f>
        <v>#REF!</v>
      </c>
      <c r="G3" s="135"/>
      <c r="H3" s="134"/>
      <c r="I3" s="134"/>
      <c r="J3" s="137" t="e">
        <f>+F2*J2</f>
        <v>#REF!</v>
      </c>
      <c r="K3" s="136"/>
      <c r="L3" s="200"/>
      <c r="M3" s="200"/>
      <c r="N3" s="134"/>
      <c r="O3" s="134"/>
      <c r="Q3" s="138"/>
      <c r="R3" s="139"/>
      <c r="S3" s="140"/>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577"/>
      <c r="BC3" s="577"/>
      <c r="BD3" s="134"/>
    </row>
    <row r="4" spans="2:57" ht="23.5" hidden="1" x14ac:dyDescent="0.55000000000000004">
      <c r="B4" s="169"/>
      <c r="C4" s="92" t="e">
        <f>+(C10+C11)/C6*1000</f>
        <v>#REF!</v>
      </c>
      <c r="D4" s="92" t="e">
        <f>+(G10+G11)/G6*1000</f>
        <v>#REF!</v>
      </c>
      <c r="E4" s="92" t="e">
        <f>+(E10+E11)/E6*1000</f>
        <v>#REF!</v>
      </c>
      <c r="F4" s="92" t="e">
        <f>+(F10+F11)/F6*1000</f>
        <v>#REF!</v>
      </c>
      <c r="I4" s="92" t="e">
        <f>+(I10+I11)/I6*1000</f>
        <v>#REF!</v>
      </c>
      <c r="K4" s="88"/>
      <c r="L4" s="169"/>
      <c r="M4" s="92"/>
      <c r="N4" s="92"/>
      <c r="O4" s="92"/>
      <c r="Q4" s="93"/>
      <c r="R4" s="82"/>
      <c r="S4" s="90"/>
      <c r="T4" s="94"/>
      <c r="U4" s="88"/>
      <c r="V4" s="8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88"/>
      <c r="AW4" s="88"/>
      <c r="AX4" s="88"/>
      <c r="AY4" s="88"/>
      <c r="AZ4" s="88"/>
      <c r="BA4" s="88"/>
      <c r="BB4" s="91"/>
      <c r="BC4" s="91"/>
      <c r="BD4" s="78"/>
    </row>
    <row r="5" spans="2:57" s="95" customFormat="1" ht="33.75" customHeight="1" x14ac:dyDescent="0.35">
      <c r="B5" s="169" t="s">
        <v>5</v>
      </c>
      <c r="C5" s="85" t="s">
        <v>68</v>
      </c>
      <c r="D5" s="85" t="s">
        <v>69</v>
      </c>
      <c r="E5" s="85" t="s">
        <v>69</v>
      </c>
      <c r="F5" s="85" t="s">
        <v>69</v>
      </c>
      <c r="G5" s="85" t="s">
        <v>70</v>
      </c>
      <c r="H5" s="85" t="s">
        <v>70</v>
      </c>
      <c r="I5" s="85" t="s">
        <v>70</v>
      </c>
      <c r="J5" s="85"/>
      <c r="K5" s="88"/>
      <c r="L5" s="169" t="s">
        <v>71</v>
      </c>
      <c r="M5" s="96" t="s">
        <v>7</v>
      </c>
      <c r="N5" s="96" t="s">
        <v>8</v>
      </c>
      <c r="O5" s="96" t="s">
        <v>8</v>
      </c>
      <c r="Q5" s="147" t="s">
        <v>72</v>
      </c>
      <c r="R5" s="99" t="s">
        <v>54</v>
      </c>
      <c r="S5" s="99" t="s">
        <v>55</v>
      </c>
      <c r="T5" s="99" t="s">
        <v>56</v>
      </c>
      <c r="U5" s="99" t="s">
        <v>12</v>
      </c>
      <c r="V5" s="99" t="s">
        <v>57</v>
      </c>
      <c r="W5" s="99" t="s">
        <v>58</v>
      </c>
      <c r="X5" s="99" t="s">
        <v>59</v>
      </c>
      <c r="Y5" s="99" t="s">
        <v>60</v>
      </c>
      <c r="Z5" s="99" t="s">
        <v>62</v>
      </c>
      <c r="AA5" s="99" t="s">
        <v>64</v>
      </c>
      <c r="AB5" s="99" t="s">
        <v>65</v>
      </c>
      <c r="AC5" s="99" t="s">
        <v>73</v>
      </c>
      <c r="AD5" s="99" t="s">
        <v>53</v>
      </c>
      <c r="AE5" s="99" t="s">
        <v>77</v>
      </c>
      <c r="AF5" s="99" t="s">
        <v>78</v>
      </c>
      <c r="AG5" s="99" t="s">
        <v>79</v>
      </c>
      <c r="AH5" s="99" t="s">
        <v>90</v>
      </c>
      <c r="AI5" s="99" t="s">
        <v>91</v>
      </c>
      <c r="AJ5" s="99" t="s">
        <v>97</v>
      </c>
      <c r="AK5" s="99" t="s">
        <v>98</v>
      </c>
      <c r="AL5" s="99" t="s">
        <v>102</v>
      </c>
      <c r="AM5" s="99" t="s">
        <v>103</v>
      </c>
      <c r="AN5" s="99" t="s">
        <v>104</v>
      </c>
      <c r="AO5" s="99" t="s">
        <v>107</v>
      </c>
      <c r="AP5" s="99" t="s">
        <v>108</v>
      </c>
      <c r="AQ5" s="99" t="s">
        <v>114</v>
      </c>
      <c r="AR5" s="99" t="s">
        <v>121</v>
      </c>
      <c r="AS5" s="99" t="s">
        <v>122</v>
      </c>
      <c r="AT5" s="99" t="s">
        <v>123</v>
      </c>
      <c r="AU5" s="99" t="s">
        <v>124</v>
      </c>
      <c r="AV5" s="99" t="s">
        <v>125</v>
      </c>
      <c r="AW5" s="99" t="s">
        <v>126</v>
      </c>
      <c r="AX5" s="99" t="s">
        <v>142</v>
      </c>
      <c r="AY5" s="99" t="s">
        <v>143</v>
      </c>
      <c r="AZ5" s="99" t="s">
        <v>144</v>
      </c>
      <c r="BA5" s="99" t="s">
        <v>145</v>
      </c>
      <c r="BB5" s="100"/>
      <c r="BC5" s="97"/>
      <c r="BD5" s="97"/>
    </row>
    <row r="6" spans="2:57" x14ac:dyDescent="0.35">
      <c r="B6" s="169" t="s">
        <v>13</v>
      </c>
      <c r="C6" s="101">
        <v>16.7</v>
      </c>
      <c r="D6" s="101">
        <v>16.7</v>
      </c>
      <c r="E6" s="101">
        <v>20.5</v>
      </c>
      <c r="F6" s="101">
        <v>20.5</v>
      </c>
      <c r="G6" s="101">
        <v>30.6</v>
      </c>
      <c r="H6" s="101">
        <v>30.6</v>
      </c>
      <c r="I6" s="101">
        <v>38.6</v>
      </c>
      <c r="J6" s="101"/>
      <c r="L6" s="169" t="s">
        <v>13</v>
      </c>
      <c r="M6" s="101">
        <v>15</v>
      </c>
      <c r="N6" s="101">
        <v>20.5</v>
      </c>
      <c r="O6" s="101">
        <v>20.5</v>
      </c>
      <c r="Q6" s="102" t="s">
        <v>14</v>
      </c>
      <c r="R6" s="104">
        <v>938.13</v>
      </c>
      <c r="S6" s="105">
        <v>959</v>
      </c>
      <c r="T6" s="104">
        <v>1006.25</v>
      </c>
      <c r="U6" s="130">
        <v>993.75</v>
      </c>
      <c r="V6" s="131">
        <v>1015.5</v>
      </c>
      <c r="W6" s="131">
        <v>1045.5999999999999</v>
      </c>
      <c r="X6" s="43">
        <v>1103.75</v>
      </c>
      <c r="Y6" s="43">
        <v>1148.75</v>
      </c>
      <c r="Z6" s="43">
        <v>1167</v>
      </c>
      <c r="AA6" s="43">
        <v>1221.25</v>
      </c>
      <c r="AB6" s="43">
        <v>1330</v>
      </c>
      <c r="AC6" s="43">
        <f>+'IHS (Mod)'!I5</f>
        <v>1280</v>
      </c>
      <c r="AD6" s="43">
        <f>+'IHS (Mod)'!J5</f>
        <v>1279.380005</v>
      </c>
      <c r="AE6" s="43">
        <v>1275.5</v>
      </c>
      <c r="AF6" s="43" t="e">
        <f>+#REF!</f>
        <v>#REF!</v>
      </c>
      <c r="AG6" s="43" t="e">
        <f>+#REF!</f>
        <v>#REF!</v>
      </c>
      <c r="AH6" s="43" t="e">
        <f>+#REF!</f>
        <v>#REF!</v>
      </c>
      <c r="AI6" s="43" t="e">
        <f>+#REF!</f>
        <v>#REF!</v>
      </c>
      <c r="AJ6" s="43" t="e">
        <f>+#REF!</f>
        <v>#REF!</v>
      </c>
      <c r="AK6" s="43" t="e">
        <f>+#REF!</f>
        <v>#REF!</v>
      </c>
      <c r="AL6" s="43" t="e">
        <f>+#REF!</f>
        <v>#REF!</v>
      </c>
      <c r="AM6" s="43" t="e">
        <f>+#REF!</f>
        <v>#REF!</v>
      </c>
      <c r="AN6" s="43" t="e">
        <f>+#REF!</f>
        <v>#REF!</v>
      </c>
      <c r="AO6" s="43" t="e">
        <f>+#REF!</f>
        <v>#REF!</v>
      </c>
      <c r="AP6" s="43" t="e">
        <f>+#REF!</f>
        <v>#REF!</v>
      </c>
      <c r="AQ6" s="43" t="e">
        <f>+#REF!</f>
        <v>#REF!</v>
      </c>
      <c r="AR6" s="43" t="e">
        <f>+#REF!</f>
        <v>#REF!</v>
      </c>
      <c r="AS6" s="43" t="e">
        <f>+#REF!</f>
        <v>#REF!</v>
      </c>
      <c r="AT6" s="43" t="e">
        <f>+#REF!</f>
        <v>#REF!</v>
      </c>
      <c r="AU6" s="43" t="e">
        <f>+#REF!</f>
        <v>#REF!</v>
      </c>
      <c r="AV6" s="43" t="e">
        <f>+#REF!</f>
        <v>#REF!</v>
      </c>
      <c r="AW6" s="43" t="e">
        <f>+#REF!</f>
        <v>#REF!</v>
      </c>
      <c r="AX6" s="43" t="e">
        <f>+#REF!</f>
        <v>#REF!</v>
      </c>
      <c r="AY6" s="43" t="e">
        <f>+#REF!</f>
        <v>#REF!</v>
      </c>
      <c r="AZ6" s="43" t="e">
        <f>+#REF!</f>
        <v>#REF!</v>
      </c>
      <c r="BA6" s="43" t="e">
        <f>#REF!</f>
        <v>#REF!</v>
      </c>
      <c r="BB6" s="85"/>
      <c r="BC6" s="101"/>
      <c r="BD6" s="101"/>
    </row>
    <row r="7" spans="2:57" x14ac:dyDescent="0.35">
      <c r="B7" s="170" t="s">
        <v>16</v>
      </c>
      <c r="C7" s="91" t="s">
        <v>17</v>
      </c>
      <c r="D7" s="91" t="s">
        <v>17</v>
      </c>
      <c r="E7" s="91" t="s">
        <v>17</v>
      </c>
      <c r="F7" s="91" t="s">
        <v>17</v>
      </c>
      <c r="G7" s="91" t="s">
        <v>17</v>
      </c>
      <c r="H7" s="91" t="s">
        <v>17</v>
      </c>
      <c r="I7" s="91" t="s">
        <v>17</v>
      </c>
      <c r="J7" s="91"/>
      <c r="L7" s="170" t="s">
        <v>16</v>
      </c>
      <c r="M7" s="91" t="s">
        <v>17</v>
      </c>
      <c r="N7" s="91" t="s">
        <v>17</v>
      </c>
      <c r="O7" s="91" t="s">
        <v>17</v>
      </c>
      <c r="Q7" s="128" t="s">
        <v>99</v>
      </c>
      <c r="R7" s="129">
        <v>25.09</v>
      </c>
      <c r="S7" s="129">
        <v>25.09</v>
      </c>
      <c r="T7" s="129">
        <v>25.09</v>
      </c>
      <c r="U7" s="129">
        <v>25</v>
      </c>
      <c r="V7" s="129">
        <v>25</v>
      </c>
      <c r="W7" s="129">
        <v>25</v>
      </c>
      <c r="X7" s="129">
        <v>25</v>
      </c>
      <c r="Y7" s="129">
        <v>25</v>
      </c>
      <c r="Z7" s="129">
        <v>25</v>
      </c>
      <c r="AA7" s="129">
        <v>25</v>
      </c>
      <c r="AB7" s="129">
        <v>25</v>
      </c>
      <c r="AC7" s="129">
        <v>33.139726027397259</v>
      </c>
      <c r="AD7" s="129">
        <f>+Septiembre18!AD8</f>
        <v>33.1236741020548</v>
      </c>
      <c r="AE7" s="129">
        <v>33.023219178082194</v>
      </c>
      <c r="AF7" s="129">
        <v>33.023219178082194</v>
      </c>
      <c r="AG7" s="129">
        <v>32.783732876712328</v>
      </c>
      <c r="AH7" s="129">
        <v>29.126712328767123</v>
      </c>
      <c r="AI7" s="129">
        <v>27.395420677397254</v>
      </c>
      <c r="AJ7" s="129">
        <v>26.796575342465754</v>
      </c>
      <c r="AK7" s="129">
        <v>13.948458904109588</v>
      </c>
      <c r="AL7" s="129">
        <v>14.191181506849315</v>
      </c>
      <c r="AM7" s="129">
        <v>14.255907534246576</v>
      </c>
      <c r="AN7" s="129" t="e">
        <f t="shared" ref="AN7:AU7" si="0">((((AN6*4.5%)/365)*210))*50%</f>
        <v>#REF!</v>
      </c>
      <c r="AO7" s="129" t="e">
        <f t="shared" si="0"/>
        <v>#REF!</v>
      </c>
      <c r="AP7" s="129" t="e">
        <f t="shared" si="0"/>
        <v>#REF!</v>
      </c>
      <c r="AQ7" s="129" t="e">
        <f t="shared" si="0"/>
        <v>#REF!</v>
      </c>
      <c r="AR7" s="129" t="e">
        <f t="shared" si="0"/>
        <v>#REF!</v>
      </c>
      <c r="AS7" s="129" t="e">
        <f t="shared" si="0"/>
        <v>#REF!</v>
      </c>
      <c r="AT7" s="129" t="e">
        <f t="shared" si="0"/>
        <v>#REF!</v>
      </c>
      <c r="AU7" s="129" t="e">
        <f t="shared" si="0"/>
        <v>#REF!</v>
      </c>
      <c r="AV7" s="129" t="e">
        <f t="shared" ref="AV7:BA7" si="1">((((AV6*4.5%)/365)*210))*50%</f>
        <v>#REF!</v>
      </c>
      <c r="AW7" s="129" t="e">
        <f t="shared" si="1"/>
        <v>#REF!</v>
      </c>
      <c r="AX7" s="129" t="e">
        <f t="shared" si="1"/>
        <v>#REF!</v>
      </c>
      <c r="AY7" s="129" t="e">
        <f t="shared" si="1"/>
        <v>#REF!</v>
      </c>
      <c r="AZ7" s="129" t="e">
        <f t="shared" si="1"/>
        <v>#REF!</v>
      </c>
      <c r="BA7" s="129" t="e">
        <f t="shared" si="1"/>
        <v>#REF!</v>
      </c>
      <c r="BB7" s="85"/>
      <c r="BC7" s="91"/>
      <c r="BD7" s="91"/>
    </row>
    <row r="8" spans="2:57" x14ac:dyDescent="0.35">
      <c r="B8" s="170" t="s">
        <v>115</v>
      </c>
      <c r="C8" s="91" t="s">
        <v>116</v>
      </c>
      <c r="D8" s="91"/>
      <c r="E8" s="91"/>
      <c r="F8" s="91" t="s">
        <v>117</v>
      </c>
      <c r="G8" s="91"/>
      <c r="H8" s="91"/>
      <c r="I8" s="91" t="s">
        <v>118</v>
      </c>
      <c r="J8" s="91"/>
      <c r="L8" s="170"/>
      <c r="M8" s="91" t="s">
        <v>119</v>
      </c>
      <c r="N8" s="91" t="s">
        <v>120</v>
      </c>
      <c r="O8" s="91"/>
      <c r="Q8" s="128"/>
      <c r="R8" s="129"/>
      <c r="S8" s="129"/>
      <c r="T8" s="129"/>
      <c r="U8" s="129"/>
      <c r="V8" s="129"/>
      <c r="W8" s="129"/>
      <c r="X8" s="129"/>
      <c r="Y8" s="129"/>
      <c r="Z8" s="129"/>
      <c r="AA8" s="129"/>
      <c r="AB8" s="129"/>
      <c r="AC8" s="129"/>
      <c r="AD8" s="129"/>
      <c r="AE8" s="129"/>
      <c r="AF8" s="129"/>
      <c r="AG8" s="129"/>
      <c r="AH8" s="129"/>
      <c r="AI8" s="129"/>
      <c r="AJ8" s="129"/>
      <c r="AK8" s="129"/>
      <c r="AL8" s="129"/>
      <c r="AM8" s="129"/>
      <c r="AN8" s="129"/>
      <c r="AO8" s="129"/>
      <c r="AP8" s="129"/>
      <c r="AQ8" s="129"/>
      <c r="AR8" s="129"/>
      <c r="AS8" s="129"/>
      <c r="AT8" s="129"/>
      <c r="AU8" s="129"/>
      <c r="AV8" s="129"/>
      <c r="AW8" s="129"/>
      <c r="AX8" s="129"/>
      <c r="AY8" s="129"/>
      <c r="AZ8" s="129"/>
      <c r="BA8" s="129"/>
      <c r="BB8" s="85"/>
      <c r="BC8" s="91"/>
      <c r="BD8" s="91"/>
    </row>
    <row r="9" spans="2:57" s="95" customFormat="1" ht="29" x14ac:dyDescent="0.35">
      <c r="B9" s="175" t="s">
        <v>92</v>
      </c>
      <c r="C9" s="177" t="s">
        <v>93</v>
      </c>
      <c r="D9" s="177" t="s">
        <v>94</v>
      </c>
      <c r="E9" s="176">
        <v>1</v>
      </c>
      <c r="F9" s="177" t="s">
        <v>93</v>
      </c>
      <c r="G9" s="176">
        <v>1</v>
      </c>
      <c r="H9" s="177" t="s">
        <v>94</v>
      </c>
      <c r="I9" s="177" t="s">
        <v>93</v>
      </c>
      <c r="J9" s="162"/>
      <c r="L9" s="175" t="str">
        <f>+B9</f>
        <v>% Resina (Virgen/PCR)</v>
      </c>
      <c r="M9" s="177" t="s">
        <v>94</v>
      </c>
      <c r="N9" s="176">
        <v>1</v>
      </c>
      <c r="O9" s="177" t="s">
        <v>94</v>
      </c>
      <c r="Q9" s="166" t="s">
        <v>128</v>
      </c>
      <c r="R9" s="129">
        <v>65</v>
      </c>
      <c r="S9" s="167">
        <v>65</v>
      </c>
      <c r="T9" s="129">
        <v>65</v>
      </c>
      <c r="U9" s="129">
        <v>65</v>
      </c>
      <c r="V9" s="129">
        <v>65</v>
      </c>
      <c r="W9" s="129">
        <v>65</v>
      </c>
      <c r="X9" s="129">
        <v>65</v>
      </c>
      <c r="Y9" s="129">
        <v>65</v>
      </c>
      <c r="Z9" s="129">
        <v>65</v>
      </c>
      <c r="AA9" s="129">
        <v>65</v>
      </c>
      <c r="AB9" s="129">
        <v>65</v>
      </c>
      <c r="AC9" s="129">
        <v>70</v>
      </c>
      <c r="AD9" s="129">
        <v>70</v>
      </c>
      <c r="AE9" s="129">
        <v>70</v>
      </c>
      <c r="AF9" s="129">
        <v>70</v>
      </c>
      <c r="AG9" s="129">
        <v>70</v>
      </c>
      <c r="AH9" s="129">
        <v>70</v>
      </c>
      <c r="AI9" s="129">
        <v>70</v>
      </c>
      <c r="AJ9" s="129">
        <v>70</v>
      </c>
      <c r="AK9" s="129">
        <v>70</v>
      </c>
      <c r="AL9" s="129">
        <v>70</v>
      </c>
      <c r="AM9" s="129">
        <v>70</v>
      </c>
      <c r="AN9" s="129">
        <v>70</v>
      </c>
      <c r="AO9" s="129">
        <v>70</v>
      </c>
      <c r="AP9" s="129">
        <v>70</v>
      </c>
      <c r="AQ9" s="129">
        <v>70</v>
      </c>
      <c r="AR9" s="129">
        <v>70</v>
      </c>
      <c r="AS9" s="129">
        <v>70</v>
      </c>
      <c r="AT9" s="209">
        <v>70</v>
      </c>
      <c r="AU9" s="209">
        <v>90.46</v>
      </c>
      <c r="AV9" s="210">
        <v>78.56</v>
      </c>
      <c r="AW9" s="210">
        <v>78.56</v>
      </c>
      <c r="AX9" s="210">
        <v>78.56</v>
      </c>
      <c r="AY9" s="210">
        <v>78.56</v>
      </c>
      <c r="AZ9" s="210">
        <v>78.56</v>
      </c>
      <c r="BA9" s="210">
        <v>78.56</v>
      </c>
      <c r="BB9" s="208"/>
      <c r="BC9" s="165"/>
      <c r="BD9" s="165"/>
    </row>
    <row r="10" spans="2:57" x14ac:dyDescent="0.35">
      <c r="B10" s="170" t="s">
        <v>19</v>
      </c>
      <c r="C10" s="80" t="e">
        <f>+(C6*F2/1000)*1.01*50%</f>
        <v>#REF!</v>
      </c>
      <c r="D10" s="80" t="e">
        <f>+(D6*$F$2/1000)*1.01*75%</f>
        <v>#REF!</v>
      </c>
      <c r="E10" s="80" t="e">
        <f>+(E6*$F$2/1000)*1.01</f>
        <v>#REF!</v>
      </c>
      <c r="F10" s="80" t="e">
        <f>+(F6*$F$2/1000)*1.01*50%</f>
        <v>#REF!</v>
      </c>
      <c r="G10" s="80" t="e">
        <f>+(G6*F2/1000)*1.01</f>
        <v>#REF!</v>
      </c>
      <c r="H10" s="80" t="e">
        <f>+(H6*$F$2/1000)*1.01*75%</f>
        <v>#REF!</v>
      </c>
      <c r="I10" s="80" t="e">
        <f>+(I6*$F$2/1000)*1.01*50%</f>
        <v>#REF!</v>
      </c>
      <c r="J10" s="80"/>
      <c r="L10" s="170" t="s">
        <v>19</v>
      </c>
      <c r="M10" s="80" t="e">
        <f>+(M6*F2/1000)*1.005*75%</f>
        <v>#REF!</v>
      </c>
      <c r="N10" s="80" t="e">
        <f>+(N6*F2/1000)*1.005</f>
        <v>#REF!</v>
      </c>
      <c r="O10" s="80" t="e">
        <f>+(O6*F2/1000)*1.005*75%</f>
        <v>#REF!</v>
      </c>
      <c r="Q10" s="102"/>
      <c r="R10" s="104">
        <f>SUM(R6:R9)</f>
        <v>1028.22</v>
      </c>
      <c r="S10" s="104">
        <f>SUM(S6:S9)</f>
        <v>1049.0900000000001</v>
      </c>
      <c r="T10" s="104">
        <f>SUM(T6:T9)</f>
        <v>1096.3399999999999</v>
      </c>
      <c r="U10" s="104">
        <f>SUM(U6:U9)</f>
        <v>1083.75</v>
      </c>
      <c r="V10" s="104">
        <f t="shared" ref="V10:AZ10" si="2">SUM(V6:V9)</f>
        <v>1105.5</v>
      </c>
      <c r="W10" s="104">
        <f t="shared" si="2"/>
        <v>1135.5999999999999</v>
      </c>
      <c r="X10" s="104">
        <f t="shared" si="2"/>
        <v>1193.75</v>
      </c>
      <c r="Y10" s="104">
        <f t="shared" si="2"/>
        <v>1238.75</v>
      </c>
      <c r="Z10" s="104">
        <f t="shared" si="2"/>
        <v>1257</v>
      </c>
      <c r="AA10" s="104">
        <f t="shared" si="2"/>
        <v>1311.25</v>
      </c>
      <c r="AB10" s="104">
        <f t="shared" si="2"/>
        <v>1420</v>
      </c>
      <c r="AC10" s="104">
        <f t="shared" si="2"/>
        <v>1383.1397260273973</v>
      </c>
      <c r="AD10" s="104">
        <f t="shared" si="2"/>
        <v>1382.5036791020548</v>
      </c>
      <c r="AE10" s="104">
        <f t="shared" si="2"/>
        <v>1378.5232191780822</v>
      </c>
      <c r="AF10" s="104" t="e">
        <f t="shared" si="2"/>
        <v>#REF!</v>
      </c>
      <c r="AG10" s="104" t="e">
        <f t="shared" si="2"/>
        <v>#REF!</v>
      </c>
      <c r="AH10" s="104" t="e">
        <f t="shared" si="2"/>
        <v>#REF!</v>
      </c>
      <c r="AI10" s="104" t="e">
        <f t="shared" si="2"/>
        <v>#REF!</v>
      </c>
      <c r="AJ10" s="104" t="e">
        <f t="shared" si="2"/>
        <v>#REF!</v>
      </c>
      <c r="AK10" s="104" t="e">
        <f t="shared" si="2"/>
        <v>#REF!</v>
      </c>
      <c r="AL10" s="104" t="e">
        <f t="shared" si="2"/>
        <v>#REF!</v>
      </c>
      <c r="AM10" s="104" t="e">
        <f t="shared" si="2"/>
        <v>#REF!</v>
      </c>
      <c r="AN10" s="104" t="e">
        <f t="shared" si="2"/>
        <v>#REF!</v>
      </c>
      <c r="AO10" s="104" t="e">
        <f t="shared" si="2"/>
        <v>#REF!</v>
      </c>
      <c r="AP10" s="104" t="e">
        <f t="shared" si="2"/>
        <v>#REF!</v>
      </c>
      <c r="AQ10" s="104" t="e">
        <f t="shared" si="2"/>
        <v>#REF!</v>
      </c>
      <c r="AR10" s="104" t="e">
        <f t="shared" si="2"/>
        <v>#REF!</v>
      </c>
      <c r="AS10" s="104" t="e">
        <f t="shared" si="2"/>
        <v>#REF!</v>
      </c>
      <c r="AT10" s="104" t="e">
        <f t="shared" si="2"/>
        <v>#REF!</v>
      </c>
      <c r="AU10" s="104" t="e">
        <f t="shared" si="2"/>
        <v>#REF!</v>
      </c>
      <c r="AV10" s="104" t="e">
        <f t="shared" si="2"/>
        <v>#REF!</v>
      </c>
      <c r="AW10" s="104" t="e">
        <f t="shared" si="2"/>
        <v>#REF!</v>
      </c>
      <c r="AX10" s="104" t="e">
        <f t="shared" si="2"/>
        <v>#REF!</v>
      </c>
      <c r="AY10" s="104" t="e">
        <f t="shared" si="2"/>
        <v>#REF!</v>
      </c>
      <c r="AZ10" s="104" t="e">
        <f t="shared" si="2"/>
        <v>#REF!</v>
      </c>
      <c r="BA10" s="104" t="e">
        <f t="shared" ref="BA10" si="3">SUM(BA6:BA9)</f>
        <v>#REF!</v>
      </c>
      <c r="BB10" s="79"/>
      <c r="BC10" s="80"/>
      <c r="BD10" s="80"/>
    </row>
    <row r="11" spans="2:57" x14ac:dyDescent="0.35">
      <c r="B11" s="172" t="s">
        <v>23</v>
      </c>
      <c r="C11" s="76" t="e">
        <f>+(C6*$F$3/1000)*1.01*50%</f>
        <v>#REF!</v>
      </c>
      <c r="D11" s="76" t="e">
        <f>+(D6*$F$3/1000)*1.01*25%</f>
        <v>#REF!</v>
      </c>
      <c r="E11" s="76">
        <v>0</v>
      </c>
      <c r="F11" s="76" t="e">
        <f>+(F6*$F$3/1000)*1.01*50%</f>
        <v>#REF!</v>
      </c>
      <c r="G11" s="76">
        <v>0</v>
      </c>
      <c r="H11" s="76" t="e">
        <f>+(H6*$F$3/1000)*1.01*25%</f>
        <v>#REF!</v>
      </c>
      <c r="I11" s="76" t="e">
        <f>+(I6*$F$3/1000)*1.01*50%</f>
        <v>#REF!</v>
      </c>
      <c r="J11" s="76"/>
      <c r="K11" s="121"/>
      <c r="L11" s="172" t="s">
        <v>23</v>
      </c>
      <c r="M11" s="76" t="e">
        <f>+(M6*F3/1000)*1.005*25%</f>
        <v>#REF!</v>
      </c>
      <c r="N11" s="76">
        <v>0</v>
      </c>
      <c r="O11" s="76" t="e">
        <f>+(O6*F3/1000)*1.005*25%</f>
        <v>#REF!</v>
      </c>
      <c r="Q11" s="106" t="s">
        <v>27</v>
      </c>
      <c r="R11" s="108">
        <f>+R10*4%</f>
        <v>41.128800000000005</v>
      </c>
      <c r="S11" s="104">
        <f>+S10*4%</f>
        <v>41.963600000000007</v>
      </c>
      <c r="T11" s="108">
        <f>+T10*4%</f>
        <v>43.8536</v>
      </c>
      <c r="U11" s="108">
        <f>+U10*4%</f>
        <v>43.35</v>
      </c>
      <c r="V11" s="108">
        <f t="shared" ref="V11:AZ11" si="4">+V10*4%</f>
        <v>44.22</v>
      </c>
      <c r="W11" s="108">
        <f t="shared" si="4"/>
        <v>45.423999999999999</v>
      </c>
      <c r="X11" s="108">
        <f t="shared" si="4"/>
        <v>47.75</v>
      </c>
      <c r="Y11" s="108">
        <f t="shared" si="4"/>
        <v>49.550000000000004</v>
      </c>
      <c r="Z11" s="108">
        <f t="shared" si="4"/>
        <v>50.28</v>
      </c>
      <c r="AA11" s="108">
        <f t="shared" si="4"/>
        <v>52.45</v>
      </c>
      <c r="AB11" s="108">
        <f t="shared" si="4"/>
        <v>56.800000000000004</v>
      </c>
      <c r="AC11" s="108">
        <f t="shared" si="4"/>
        <v>55.325589041095895</v>
      </c>
      <c r="AD11" s="108">
        <f t="shared" si="4"/>
        <v>55.30014716408219</v>
      </c>
      <c r="AE11" s="108">
        <f t="shared" si="4"/>
        <v>55.140928767123285</v>
      </c>
      <c r="AF11" s="108" t="e">
        <f t="shared" si="4"/>
        <v>#REF!</v>
      </c>
      <c r="AG11" s="108" t="e">
        <f t="shared" si="4"/>
        <v>#REF!</v>
      </c>
      <c r="AH11" s="108" t="e">
        <f t="shared" si="4"/>
        <v>#REF!</v>
      </c>
      <c r="AI11" s="108" t="e">
        <f t="shared" si="4"/>
        <v>#REF!</v>
      </c>
      <c r="AJ11" s="108" t="e">
        <f t="shared" si="4"/>
        <v>#REF!</v>
      </c>
      <c r="AK11" s="108" t="e">
        <f t="shared" si="4"/>
        <v>#REF!</v>
      </c>
      <c r="AL11" s="108" t="e">
        <f t="shared" si="4"/>
        <v>#REF!</v>
      </c>
      <c r="AM11" s="108" t="e">
        <f t="shared" si="4"/>
        <v>#REF!</v>
      </c>
      <c r="AN11" s="108" t="e">
        <f t="shared" si="4"/>
        <v>#REF!</v>
      </c>
      <c r="AO11" s="108" t="e">
        <f t="shared" si="4"/>
        <v>#REF!</v>
      </c>
      <c r="AP11" s="108" t="e">
        <f t="shared" si="4"/>
        <v>#REF!</v>
      </c>
      <c r="AQ11" s="108" t="e">
        <f t="shared" si="4"/>
        <v>#REF!</v>
      </c>
      <c r="AR11" s="108" t="e">
        <f t="shared" si="4"/>
        <v>#REF!</v>
      </c>
      <c r="AS11" s="108" t="e">
        <f t="shared" si="4"/>
        <v>#REF!</v>
      </c>
      <c r="AT11" s="108" t="e">
        <f t="shared" si="4"/>
        <v>#REF!</v>
      </c>
      <c r="AU11" s="108" t="e">
        <f t="shared" si="4"/>
        <v>#REF!</v>
      </c>
      <c r="AV11" s="108" t="e">
        <f t="shared" si="4"/>
        <v>#REF!</v>
      </c>
      <c r="AW11" s="108" t="e">
        <f t="shared" si="4"/>
        <v>#REF!</v>
      </c>
      <c r="AX11" s="108" t="e">
        <f t="shared" si="4"/>
        <v>#REF!</v>
      </c>
      <c r="AY11" s="108" t="e">
        <f t="shared" si="4"/>
        <v>#REF!</v>
      </c>
      <c r="AZ11" s="108" t="e">
        <f t="shared" si="4"/>
        <v>#REF!</v>
      </c>
      <c r="BA11" s="108" t="e">
        <f t="shared" ref="BA11" si="5">+BA10*4%</f>
        <v>#REF!</v>
      </c>
      <c r="BB11" s="79"/>
      <c r="BC11" s="80"/>
      <c r="BD11" s="80"/>
    </row>
    <row r="12" spans="2:57" x14ac:dyDescent="0.35">
      <c r="B12" s="169" t="s">
        <v>95</v>
      </c>
      <c r="C12" s="84" t="e">
        <f>SUM(C10:C11)</f>
        <v>#REF!</v>
      </c>
      <c r="D12" s="84" t="e">
        <f t="shared" ref="D12:J12" si="6">SUM(D10:D11)</f>
        <v>#REF!</v>
      </c>
      <c r="E12" s="84" t="e">
        <f t="shared" si="6"/>
        <v>#REF!</v>
      </c>
      <c r="F12" s="84" t="e">
        <f t="shared" si="6"/>
        <v>#REF!</v>
      </c>
      <c r="G12" s="84" t="e">
        <f t="shared" si="6"/>
        <v>#REF!</v>
      </c>
      <c r="H12" s="84" t="e">
        <f t="shared" si="6"/>
        <v>#REF!</v>
      </c>
      <c r="I12" s="84" t="e">
        <f t="shared" si="6"/>
        <v>#REF!</v>
      </c>
      <c r="J12" s="80">
        <f t="shared" si="6"/>
        <v>0</v>
      </c>
      <c r="K12" s="80"/>
      <c r="L12" s="169" t="s">
        <v>95</v>
      </c>
      <c r="M12" s="84" t="e">
        <f t="shared" ref="M12:O12" si="7">SUM(M10:M11)</f>
        <v>#REF!</v>
      </c>
      <c r="N12" s="84" t="e">
        <f t="shared" si="7"/>
        <v>#REF!</v>
      </c>
      <c r="O12" s="84" t="e">
        <f t="shared" si="7"/>
        <v>#REF!</v>
      </c>
      <c r="Q12" s="157" t="s">
        <v>30</v>
      </c>
      <c r="R12" s="158">
        <f>+R11+R10</f>
        <v>1069.3488</v>
      </c>
      <c r="S12" s="159">
        <f>+S11+S10</f>
        <v>1091.0536000000002</v>
      </c>
      <c r="T12" s="158">
        <f>+T11+T10</f>
        <v>1140.1935999999998</v>
      </c>
      <c r="U12" s="158">
        <f>+U11+U10</f>
        <v>1127.0999999999999</v>
      </c>
      <c r="V12" s="158">
        <f t="shared" ref="V12:AZ12" si="8">+V11+V10</f>
        <v>1149.72</v>
      </c>
      <c r="W12" s="158">
        <f t="shared" si="8"/>
        <v>1181.0239999999999</v>
      </c>
      <c r="X12" s="158">
        <f t="shared" si="8"/>
        <v>1241.5</v>
      </c>
      <c r="Y12" s="158">
        <f t="shared" si="8"/>
        <v>1288.3</v>
      </c>
      <c r="Z12" s="158">
        <f t="shared" si="8"/>
        <v>1307.28</v>
      </c>
      <c r="AA12" s="158">
        <f t="shared" si="8"/>
        <v>1363.7</v>
      </c>
      <c r="AB12" s="158">
        <f t="shared" si="8"/>
        <v>1476.8</v>
      </c>
      <c r="AC12" s="158">
        <f t="shared" si="8"/>
        <v>1438.4653150684931</v>
      </c>
      <c r="AD12" s="158">
        <f t="shared" si="8"/>
        <v>1437.8038262661369</v>
      </c>
      <c r="AE12" s="158">
        <f t="shared" si="8"/>
        <v>1433.6641479452055</v>
      </c>
      <c r="AF12" s="158" t="e">
        <f t="shared" si="8"/>
        <v>#REF!</v>
      </c>
      <c r="AG12" s="158" t="e">
        <f t="shared" si="8"/>
        <v>#REF!</v>
      </c>
      <c r="AH12" s="158" t="e">
        <f t="shared" si="8"/>
        <v>#REF!</v>
      </c>
      <c r="AI12" s="158" t="e">
        <f t="shared" si="8"/>
        <v>#REF!</v>
      </c>
      <c r="AJ12" s="158" t="e">
        <f t="shared" si="8"/>
        <v>#REF!</v>
      </c>
      <c r="AK12" s="158" t="e">
        <f t="shared" si="8"/>
        <v>#REF!</v>
      </c>
      <c r="AL12" s="158" t="e">
        <f t="shared" si="8"/>
        <v>#REF!</v>
      </c>
      <c r="AM12" s="158" t="e">
        <f t="shared" si="8"/>
        <v>#REF!</v>
      </c>
      <c r="AN12" s="158" t="e">
        <f t="shared" si="8"/>
        <v>#REF!</v>
      </c>
      <c r="AO12" s="158" t="e">
        <f t="shared" si="8"/>
        <v>#REF!</v>
      </c>
      <c r="AP12" s="158" t="e">
        <f t="shared" si="8"/>
        <v>#REF!</v>
      </c>
      <c r="AQ12" s="158" t="e">
        <f t="shared" si="8"/>
        <v>#REF!</v>
      </c>
      <c r="AR12" s="158" t="e">
        <f t="shared" si="8"/>
        <v>#REF!</v>
      </c>
      <c r="AS12" s="158" t="e">
        <f t="shared" si="8"/>
        <v>#REF!</v>
      </c>
      <c r="AT12" s="158" t="e">
        <f t="shared" si="8"/>
        <v>#REF!</v>
      </c>
      <c r="AU12" s="158" t="e">
        <f t="shared" si="8"/>
        <v>#REF!</v>
      </c>
      <c r="AV12" s="158" t="e">
        <f t="shared" si="8"/>
        <v>#REF!</v>
      </c>
      <c r="AW12" s="158" t="e">
        <f t="shared" si="8"/>
        <v>#REF!</v>
      </c>
      <c r="AX12" s="158" t="e">
        <f t="shared" si="8"/>
        <v>#REF!</v>
      </c>
      <c r="AY12" s="158" t="e">
        <f t="shared" si="8"/>
        <v>#REF!</v>
      </c>
      <c r="AZ12" s="158" t="e">
        <f t="shared" si="8"/>
        <v>#REF!</v>
      </c>
      <c r="BA12" s="158" t="e">
        <f t="shared" ref="BA12" si="9">+BA11+BA10</f>
        <v>#REF!</v>
      </c>
      <c r="BB12" s="79"/>
      <c r="BC12" s="80"/>
      <c r="BD12" s="80"/>
    </row>
    <row r="13" spans="2:57" x14ac:dyDescent="0.35">
      <c r="B13" s="170" t="s">
        <v>129</v>
      </c>
      <c r="C13" s="80">
        <v>8.25</v>
      </c>
      <c r="D13" s="80">
        <v>8.2299999999999986</v>
      </c>
      <c r="E13" s="80">
        <f>8.2+0.03</f>
        <v>8.2299999999999986</v>
      </c>
      <c r="F13" s="80">
        <v>8.25</v>
      </c>
      <c r="G13" s="80">
        <v>11.200000000000001</v>
      </c>
      <c r="H13" s="80">
        <v>11.200000000000001</v>
      </c>
      <c r="I13" s="80">
        <v>11.23</v>
      </c>
      <c r="J13" s="80"/>
      <c r="L13" s="170" t="s">
        <v>129</v>
      </c>
      <c r="M13" s="80">
        <f>+C13</f>
        <v>8.25</v>
      </c>
      <c r="N13" s="80">
        <f>+F13</f>
        <v>8.25</v>
      </c>
      <c r="O13" s="80">
        <v>8.23</v>
      </c>
      <c r="Q13" s="160" t="s">
        <v>32</v>
      </c>
      <c r="R13" s="161">
        <f>+R12*(1-5%)</f>
        <v>1015.88136</v>
      </c>
      <c r="S13" s="161">
        <f t="shared" ref="S13:AM13" si="10">+S12*(1-5%)</f>
        <v>1036.5009200000002</v>
      </c>
      <c r="T13" s="161">
        <f t="shared" si="10"/>
        <v>1083.1839199999997</v>
      </c>
      <c r="U13" s="161">
        <f t="shared" si="10"/>
        <v>1070.7449999999999</v>
      </c>
      <c r="V13" s="161">
        <f t="shared" si="10"/>
        <v>1092.2339999999999</v>
      </c>
      <c r="W13" s="161">
        <f t="shared" si="10"/>
        <v>1121.9727999999998</v>
      </c>
      <c r="X13" s="161">
        <f t="shared" si="10"/>
        <v>1179.425</v>
      </c>
      <c r="Y13" s="161">
        <f t="shared" si="10"/>
        <v>1223.885</v>
      </c>
      <c r="Z13" s="161">
        <f t="shared" si="10"/>
        <v>1241.9159999999999</v>
      </c>
      <c r="AA13" s="161">
        <f t="shared" si="10"/>
        <v>1295.5149999999999</v>
      </c>
      <c r="AB13" s="161">
        <f t="shared" si="10"/>
        <v>1402.9599999999998</v>
      </c>
      <c r="AC13" s="161">
        <f t="shared" si="10"/>
        <v>1366.5420493150684</v>
      </c>
      <c r="AD13" s="161">
        <f t="shared" si="10"/>
        <v>1365.9136349528299</v>
      </c>
      <c r="AE13" s="161">
        <f t="shared" si="10"/>
        <v>1361.9809405479452</v>
      </c>
      <c r="AF13" s="161" t="e">
        <f t="shared" si="10"/>
        <v>#REF!</v>
      </c>
      <c r="AG13" s="161" t="e">
        <f t="shared" si="10"/>
        <v>#REF!</v>
      </c>
      <c r="AH13" s="161" t="e">
        <f t="shared" si="10"/>
        <v>#REF!</v>
      </c>
      <c r="AI13" s="161" t="e">
        <f t="shared" si="10"/>
        <v>#REF!</v>
      </c>
      <c r="AJ13" s="161" t="e">
        <f t="shared" si="10"/>
        <v>#REF!</v>
      </c>
      <c r="AK13" s="161" t="e">
        <f t="shared" si="10"/>
        <v>#REF!</v>
      </c>
      <c r="AL13" s="161" t="e">
        <f t="shared" si="10"/>
        <v>#REF!</v>
      </c>
      <c r="AM13" s="161" t="e">
        <f t="shared" si="10"/>
        <v>#REF!</v>
      </c>
      <c r="AN13" s="161">
        <v>1267</v>
      </c>
      <c r="AO13" s="161" t="e">
        <f t="shared" ref="AO13:AV13" si="11">+AO12*(1-5%)</f>
        <v>#REF!</v>
      </c>
      <c r="AP13" s="161" t="e">
        <f t="shared" si="11"/>
        <v>#REF!</v>
      </c>
      <c r="AQ13" s="161" t="e">
        <f t="shared" si="11"/>
        <v>#REF!</v>
      </c>
      <c r="AR13" s="161" t="e">
        <f t="shared" si="11"/>
        <v>#REF!</v>
      </c>
      <c r="AS13" s="161" t="e">
        <f t="shared" si="11"/>
        <v>#REF!</v>
      </c>
      <c r="AT13" s="161" t="e">
        <f t="shared" si="11"/>
        <v>#REF!</v>
      </c>
      <c r="AU13" s="161" t="e">
        <f t="shared" si="11"/>
        <v>#REF!</v>
      </c>
      <c r="AV13" s="161" t="e">
        <f t="shared" si="11"/>
        <v>#REF!</v>
      </c>
      <c r="AW13" s="161">
        <v>1327.5</v>
      </c>
      <c r="AX13" s="161">
        <v>1327.5</v>
      </c>
      <c r="AY13" s="161">
        <v>1327.5</v>
      </c>
      <c r="AZ13" s="161">
        <v>1327.5</v>
      </c>
      <c r="BA13" s="161" t="e">
        <f>+#REF!</f>
        <v>#REF!</v>
      </c>
      <c r="BB13" s="203"/>
      <c r="BC13" s="204"/>
      <c r="BD13" s="205"/>
      <c r="BE13" s="206"/>
    </row>
    <row r="14" spans="2:57" x14ac:dyDescent="0.35">
      <c r="B14" s="170" t="s">
        <v>131</v>
      </c>
      <c r="C14" s="80">
        <v>0</v>
      </c>
      <c r="D14" s="80"/>
      <c r="E14" s="80"/>
      <c r="F14" s="80">
        <v>0</v>
      </c>
      <c r="G14" s="80"/>
      <c r="H14" s="80"/>
      <c r="I14" s="80">
        <v>0</v>
      </c>
      <c r="J14" s="80"/>
      <c r="L14" s="170" t="s">
        <v>131</v>
      </c>
      <c r="M14" s="80">
        <f>(M15-M13)</f>
        <v>19.12</v>
      </c>
      <c r="N14" s="80">
        <f>(N15-N13)</f>
        <v>19.14</v>
      </c>
      <c r="O14" s="80">
        <v>19.09</v>
      </c>
      <c r="Q14" s="160"/>
      <c r="R14" s="161"/>
      <c r="S14" s="161"/>
      <c r="T14" s="161"/>
      <c r="U14" s="161"/>
      <c r="V14" s="161"/>
      <c r="W14" s="161"/>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1"/>
      <c r="AU14" s="161"/>
      <c r="AV14" s="161"/>
      <c r="AW14" s="161"/>
      <c r="AX14" s="161"/>
      <c r="AY14" s="161"/>
      <c r="AZ14" s="161"/>
      <c r="BA14" s="161"/>
    </row>
    <row r="15" spans="2:57" x14ac:dyDescent="0.35">
      <c r="B15" s="169" t="s">
        <v>132</v>
      </c>
      <c r="C15" s="80">
        <f>+C13+C14</f>
        <v>8.25</v>
      </c>
      <c r="D15" s="80">
        <f t="shared" ref="D15:I15" si="12">+D13+D14</f>
        <v>8.2299999999999986</v>
      </c>
      <c r="E15" s="80">
        <f t="shared" si="12"/>
        <v>8.2299999999999986</v>
      </c>
      <c r="F15" s="80">
        <f t="shared" si="12"/>
        <v>8.25</v>
      </c>
      <c r="G15" s="80">
        <f t="shared" si="12"/>
        <v>11.200000000000001</v>
      </c>
      <c r="H15" s="80">
        <f t="shared" si="12"/>
        <v>11.200000000000001</v>
      </c>
      <c r="I15" s="80">
        <f t="shared" si="12"/>
        <v>11.23</v>
      </c>
      <c r="J15" s="80"/>
      <c r="L15" s="169" t="s">
        <v>132</v>
      </c>
      <c r="M15" s="80">
        <v>27.37</v>
      </c>
      <c r="N15" s="80">
        <v>27.39</v>
      </c>
      <c r="O15" s="80">
        <v>2.1800000000000002</v>
      </c>
      <c r="Q15" s="128" t="s">
        <v>100</v>
      </c>
      <c r="R15" s="128" t="s">
        <v>18</v>
      </c>
      <c r="S15" s="128" t="s">
        <v>18</v>
      </c>
      <c r="T15" s="128" t="s">
        <v>18</v>
      </c>
      <c r="U15" s="128" t="s">
        <v>18</v>
      </c>
      <c r="V15" s="128" t="s">
        <v>18</v>
      </c>
      <c r="W15" s="128" t="s">
        <v>18</v>
      </c>
      <c r="X15" s="128" t="s">
        <v>18</v>
      </c>
      <c r="Y15" s="128" t="s">
        <v>18</v>
      </c>
      <c r="Z15" s="128" t="s">
        <v>18</v>
      </c>
      <c r="AA15" s="128" t="s">
        <v>18</v>
      </c>
      <c r="AB15" s="128" t="s">
        <v>18</v>
      </c>
      <c r="AC15" s="128" t="s">
        <v>18</v>
      </c>
      <c r="AD15" s="128" t="s">
        <v>18</v>
      </c>
      <c r="AE15" s="128" t="s">
        <v>18</v>
      </c>
      <c r="AF15" s="128" t="s">
        <v>18</v>
      </c>
      <c r="AG15" s="128" t="s">
        <v>18</v>
      </c>
      <c r="AH15" s="128" t="s">
        <v>18</v>
      </c>
      <c r="AI15" s="128" t="s">
        <v>18</v>
      </c>
      <c r="AJ15" s="129">
        <v>0</v>
      </c>
      <c r="AK15" s="129">
        <f>+BD15</f>
        <v>0</v>
      </c>
      <c r="AL15" s="129">
        <v>15.097681007201158</v>
      </c>
      <c r="AM15" s="129">
        <v>15.162458159293488</v>
      </c>
      <c r="AN15" s="129">
        <f t="shared" ref="AN15:AU15" si="13">((((AN13*4.5%)/365)*210))*50%</f>
        <v>16.401575342465755</v>
      </c>
      <c r="AO15" s="129" t="e">
        <f t="shared" si="13"/>
        <v>#REF!</v>
      </c>
      <c r="AP15" s="129" t="e">
        <f t="shared" si="13"/>
        <v>#REF!</v>
      </c>
      <c r="AQ15" s="129" t="e">
        <f t="shared" si="13"/>
        <v>#REF!</v>
      </c>
      <c r="AR15" s="129" t="e">
        <f t="shared" si="13"/>
        <v>#REF!</v>
      </c>
      <c r="AS15" s="129" t="e">
        <f t="shared" si="13"/>
        <v>#REF!</v>
      </c>
      <c r="AT15" s="129" t="e">
        <f t="shared" si="13"/>
        <v>#REF!</v>
      </c>
      <c r="AU15" s="129" t="e">
        <f t="shared" si="13"/>
        <v>#REF!</v>
      </c>
      <c r="AV15" s="129" t="e">
        <f t="shared" ref="AV15:BA15" si="14">((((AV13*4.5%)/365)*210))*50%</f>
        <v>#REF!</v>
      </c>
      <c r="AW15" s="129">
        <f t="shared" si="14"/>
        <v>17.184760273972604</v>
      </c>
      <c r="AX15" s="129">
        <f t="shared" si="14"/>
        <v>17.184760273972604</v>
      </c>
      <c r="AY15" s="129">
        <f t="shared" si="14"/>
        <v>17.184760273972604</v>
      </c>
      <c r="AZ15" s="129">
        <f t="shared" si="14"/>
        <v>17.184760273972604</v>
      </c>
      <c r="BA15" s="129" t="e">
        <f t="shared" si="14"/>
        <v>#REF!</v>
      </c>
      <c r="BB15" s="203"/>
      <c r="BC15" s="204"/>
      <c r="BD15" s="207"/>
      <c r="BE15" s="206"/>
    </row>
    <row r="16" spans="2:57" x14ac:dyDescent="0.35">
      <c r="B16" s="170" t="s">
        <v>31</v>
      </c>
      <c r="C16" s="80">
        <v>1.92</v>
      </c>
      <c r="D16" s="80">
        <v>1.5</v>
      </c>
      <c r="E16" s="80">
        <v>1.83</v>
      </c>
      <c r="F16" s="80">
        <v>2.2200000000000002</v>
      </c>
      <c r="G16" s="80">
        <v>3.45</v>
      </c>
      <c r="H16" s="80">
        <v>3.45</v>
      </c>
      <c r="I16" s="80">
        <v>4.13</v>
      </c>
      <c r="J16" s="80"/>
      <c r="L16" s="170" t="s">
        <v>31</v>
      </c>
      <c r="M16" s="80">
        <v>0.9</v>
      </c>
      <c r="N16" s="80">
        <v>2.1800000000000002</v>
      </c>
      <c r="O16" s="80">
        <v>4.3</v>
      </c>
      <c r="Q16" s="179" t="s">
        <v>101</v>
      </c>
      <c r="R16" s="179"/>
      <c r="S16" s="179"/>
      <c r="T16" s="179"/>
      <c r="U16" s="179"/>
      <c r="V16" s="179"/>
      <c r="W16" s="179"/>
      <c r="X16" s="179"/>
      <c r="Y16" s="179"/>
      <c r="Z16" s="179"/>
      <c r="AA16" s="179"/>
      <c r="AB16" s="179"/>
      <c r="AC16" s="179"/>
      <c r="AD16" s="179"/>
      <c r="AE16" s="179"/>
      <c r="AF16" s="179"/>
      <c r="AG16" s="179"/>
      <c r="AH16" s="179"/>
      <c r="AI16" s="179"/>
      <c r="AJ16" s="180"/>
      <c r="AK16" s="180" t="e">
        <f t="shared" ref="AK16:AZ16" si="15">+AK13+AK15</f>
        <v>#REF!</v>
      </c>
      <c r="AL16" s="180" t="e">
        <f t="shared" si="15"/>
        <v>#REF!</v>
      </c>
      <c r="AM16" s="180" t="e">
        <f t="shared" si="15"/>
        <v>#REF!</v>
      </c>
      <c r="AN16" s="180">
        <f t="shared" si="15"/>
        <v>1283.4015753424658</v>
      </c>
      <c r="AO16" s="180" t="e">
        <f t="shared" si="15"/>
        <v>#REF!</v>
      </c>
      <c r="AP16" s="180" t="e">
        <f t="shared" si="15"/>
        <v>#REF!</v>
      </c>
      <c r="AQ16" s="180" t="e">
        <f t="shared" si="15"/>
        <v>#REF!</v>
      </c>
      <c r="AR16" s="180" t="e">
        <f t="shared" si="15"/>
        <v>#REF!</v>
      </c>
      <c r="AS16" s="180" t="e">
        <f t="shared" si="15"/>
        <v>#REF!</v>
      </c>
      <c r="AT16" s="180" t="e">
        <f t="shared" si="15"/>
        <v>#REF!</v>
      </c>
      <c r="AU16" s="180" t="e">
        <f t="shared" si="15"/>
        <v>#REF!</v>
      </c>
      <c r="AV16" s="180" t="e">
        <f t="shared" si="15"/>
        <v>#REF!</v>
      </c>
      <c r="AW16" s="180">
        <f t="shared" si="15"/>
        <v>1344.6847602739726</v>
      </c>
      <c r="AX16" s="180">
        <f t="shared" si="15"/>
        <v>1344.6847602739726</v>
      </c>
      <c r="AY16" s="180">
        <f t="shared" si="15"/>
        <v>1344.6847602739726</v>
      </c>
      <c r="AZ16" s="180">
        <f t="shared" si="15"/>
        <v>1344.6847602739726</v>
      </c>
      <c r="BA16" s="180" t="e">
        <f t="shared" ref="BA16" si="16">+BA13+BA15</f>
        <v>#REF!</v>
      </c>
      <c r="BB16" s="203"/>
      <c r="BC16" s="204"/>
      <c r="BD16" s="205"/>
      <c r="BE16" s="206"/>
    </row>
    <row r="17" spans="1:58" x14ac:dyDescent="0.35">
      <c r="A17" s="81" t="s">
        <v>38</v>
      </c>
      <c r="B17" s="170" t="s">
        <v>34</v>
      </c>
      <c r="C17" s="80">
        <v>0.19</v>
      </c>
      <c r="D17" s="80">
        <v>0.19</v>
      </c>
      <c r="E17" s="80">
        <v>0.19</v>
      </c>
      <c r="F17" s="80">
        <v>0.19</v>
      </c>
      <c r="G17" s="80">
        <v>0.33</v>
      </c>
      <c r="H17" s="80">
        <v>0.33</v>
      </c>
      <c r="I17" s="80">
        <v>0.33</v>
      </c>
      <c r="J17" s="80"/>
      <c r="L17" s="170" t="s">
        <v>34</v>
      </c>
      <c r="M17" s="80">
        <v>4.3</v>
      </c>
      <c r="N17" s="80">
        <v>4.3</v>
      </c>
      <c r="O17" s="80">
        <v>8.36</v>
      </c>
      <c r="Q17" s="157" t="s">
        <v>96</v>
      </c>
      <c r="R17" s="158">
        <f t="shared" ref="R17:AH17" si="17">+R12*75%+R13*25%</f>
        <v>1055.9819400000001</v>
      </c>
      <c r="S17" s="158">
        <f t="shared" si="17"/>
        <v>1077.4154300000002</v>
      </c>
      <c r="T17" s="158">
        <f t="shared" si="17"/>
        <v>1125.9411799999998</v>
      </c>
      <c r="U17" s="158">
        <f t="shared" si="17"/>
        <v>1113.01125</v>
      </c>
      <c r="V17" s="158">
        <f t="shared" si="17"/>
        <v>1135.3485000000001</v>
      </c>
      <c r="W17" s="158">
        <f t="shared" si="17"/>
        <v>1166.2611999999999</v>
      </c>
      <c r="X17" s="158">
        <f t="shared" si="17"/>
        <v>1225.98125</v>
      </c>
      <c r="Y17" s="158">
        <f t="shared" si="17"/>
        <v>1272.19625</v>
      </c>
      <c r="Z17" s="158">
        <f t="shared" si="17"/>
        <v>1290.9390000000001</v>
      </c>
      <c r="AA17" s="158">
        <f t="shared" si="17"/>
        <v>1346.6537499999999</v>
      </c>
      <c r="AB17" s="158">
        <f t="shared" si="17"/>
        <v>1458.34</v>
      </c>
      <c r="AC17" s="158">
        <f t="shared" si="17"/>
        <v>1420.4844986301368</v>
      </c>
      <c r="AD17" s="158">
        <f t="shared" si="17"/>
        <v>1419.8312784378102</v>
      </c>
      <c r="AE17" s="158">
        <f t="shared" si="17"/>
        <v>1415.7433460958905</v>
      </c>
      <c r="AF17" s="158" t="e">
        <f t="shared" si="17"/>
        <v>#REF!</v>
      </c>
      <c r="AG17" s="158" t="e">
        <f t="shared" si="17"/>
        <v>#REF!</v>
      </c>
      <c r="AH17" s="158" t="e">
        <f t="shared" si="17"/>
        <v>#REF!</v>
      </c>
      <c r="AI17" s="158" t="e">
        <f>+AI12*50%+AI13*50%</f>
        <v>#REF!</v>
      </c>
      <c r="AJ17" s="158" t="e">
        <f>+AJ12*50%+AJ13*50%</f>
        <v>#REF!</v>
      </c>
      <c r="AK17" s="158" t="e">
        <f t="shared" ref="AK17:AZ17" si="18">+AK12*50%+AK16*50%</f>
        <v>#REF!</v>
      </c>
      <c r="AL17" s="158" t="e">
        <f t="shared" si="18"/>
        <v>#REF!</v>
      </c>
      <c r="AM17" s="158" t="e">
        <f t="shared" si="18"/>
        <v>#REF!</v>
      </c>
      <c r="AN17" s="158" t="e">
        <f t="shared" si="18"/>
        <v>#REF!</v>
      </c>
      <c r="AO17" s="158" t="e">
        <f t="shared" si="18"/>
        <v>#REF!</v>
      </c>
      <c r="AP17" s="158" t="e">
        <f t="shared" si="18"/>
        <v>#REF!</v>
      </c>
      <c r="AQ17" s="158" t="e">
        <f t="shared" si="18"/>
        <v>#REF!</v>
      </c>
      <c r="AR17" s="158" t="e">
        <f t="shared" si="18"/>
        <v>#REF!</v>
      </c>
      <c r="AS17" s="158" t="e">
        <f t="shared" si="18"/>
        <v>#REF!</v>
      </c>
      <c r="AT17" s="158" t="e">
        <f t="shared" si="18"/>
        <v>#REF!</v>
      </c>
      <c r="AU17" s="158" t="e">
        <f t="shared" si="18"/>
        <v>#REF!</v>
      </c>
      <c r="AV17" s="158" t="e">
        <f t="shared" si="18"/>
        <v>#REF!</v>
      </c>
      <c r="AW17" s="158" t="e">
        <f t="shared" si="18"/>
        <v>#REF!</v>
      </c>
      <c r="AX17" s="158" t="e">
        <f t="shared" si="18"/>
        <v>#REF!</v>
      </c>
      <c r="AY17" s="158" t="e">
        <f t="shared" si="18"/>
        <v>#REF!</v>
      </c>
      <c r="AZ17" s="158" t="e">
        <f t="shared" si="18"/>
        <v>#REF!</v>
      </c>
      <c r="BA17" s="158" t="e">
        <f t="shared" ref="BA17" si="19">+BA12*50%+BA16*50%</f>
        <v>#REF!</v>
      </c>
      <c r="BB17" s="80"/>
      <c r="BC17" s="80"/>
      <c r="BD17" s="80"/>
    </row>
    <row r="18" spans="1:58" x14ac:dyDescent="0.35">
      <c r="B18" s="170" t="s">
        <v>36</v>
      </c>
      <c r="C18" s="80">
        <v>0.16</v>
      </c>
      <c r="D18" s="80">
        <v>0.16</v>
      </c>
      <c r="E18" s="80">
        <v>0.16</v>
      </c>
      <c r="F18" s="80">
        <v>0.16</v>
      </c>
      <c r="G18" s="80">
        <v>0.28000000000000003</v>
      </c>
      <c r="H18" s="80">
        <v>0.28000000000000003</v>
      </c>
      <c r="I18" s="80">
        <v>0.28000000000000003</v>
      </c>
      <c r="J18" s="80"/>
      <c r="L18" s="170" t="s">
        <v>36</v>
      </c>
      <c r="M18" s="80">
        <v>8.36</v>
      </c>
      <c r="N18" s="80">
        <v>8.36</v>
      </c>
      <c r="O18" s="84" t="e">
        <f t="shared" ref="O18" si="20">+O12+O13+O15+O16+O17+O14</f>
        <v>#REF!</v>
      </c>
      <c r="Q18" s="113" t="s">
        <v>37</v>
      </c>
      <c r="R18" s="118">
        <f>+R17*1%</f>
        <v>10.559819400000002</v>
      </c>
      <c r="S18" s="118">
        <f t="shared" ref="S18:AZ18" si="21">+S17*1%</f>
        <v>10.774154300000003</v>
      </c>
      <c r="T18" s="118">
        <f t="shared" si="21"/>
        <v>11.259411799999999</v>
      </c>
      <c r="U18" s="118">
        <f t="shared" si="21"/>
        <v>11.130112500000001</v>
      </c>
      <c r="V18" s="118">
        <f t="shared" si="21"/>
        <v>11.353485000000001</v>
      </c>
      <c r="W18" s="118">
        <f t="shared" si="21"/>
        <v>11.662611999999999</v>
      </c>
      <c r="X18" s="118">
        <f t="shared" si="21"/>
        <v>12.259812500000001</v>
      </c>
      <c r="Y18" s="118">
        <f t="shared" si="21"/>
        <v>12.7219625</v>
      </c>
      <c r="Z18" s="118">
        <f t="shared" si="21"/>
        <v>12.909390000000002</v>
      </c>
      <c r="AA18" s="118">
        <f t="shared" si="21"/>
        <v>13.466537499999999</v>
      </c>
      <c r="AB18" s="118">
        <f t="shared" si="21"/>
        <v>14.583399999999999</v>
      </c>
      <c r="AC18" s="118">
        <f t="shared" si="21"/>
        <v>14.204844986301369</v>
      </c>
      <c r="AD18" s="118">
        <f t="shared" si="21"/>
        <v>14.198312784378102</v>
      </c>
      <c r="AE18" s="118">
        <f t="shared" si="21"/>
        <v>14.157433460958906</v>
      </c>
      <c r="AF18" s="118" t="e">
        <f t="shared" si="21"/>
        <v>#REF!</v>
      </c>
      <c r="AG18" s="118" t="e">
        <f t="shared" si="21"/>
        <v>#REF!</v>
      </c>
      <c r="AH18" s="118" t="e">
        <f t="shared" si="21"/>
        <v>#REF!</v>
      </c>
      <c r="AI18" s="118" t="e">
        <f t="shared" si="21"/>
        <v>#REF!</v>
      </c>
      <c r="AJ18" s="118" t="e">
        <f t="shared" si="21"/>
        <v>#REF!</v>
      </c>
      <c r="AK18" s="118" t="e">
        <f t="shared" si="21"/>
        <v>#REF!</v>
      </c>
      <c r="AL18" s="118" t="e">
        <f t="shared" si="21"/>
        <v>#REF!</v>
      </c>
      <c r="AM18" s="118" t="e">
        <f t="shared" si="21"/>
        <v>#REF!</v>
      </c>
      <c r="AN18" s="118" t="e">
        <f t="shared" si="21"/>
        <v>#REF!</v>
      </c>
      <c r="AO18" s="118" t="e">
        <f t="shared" si="21"/>
        <v>#REF!</v>
      </c>
      <c r="AP18" s="118" t="e">
        <f t="shared" si="21"/>
        <v>#REF!</v>
      </c>
      <c r="AQ18" s="118" t="e">
        <f t="shared" si="21"/>
        <v>#REF!</v>
      </c>
      <c r="AR18" s="118" t="e">
        <f t="shared" si="21"/>
        <v>#REF!</v>
      </c>
      <c r="AS18" s="118" t="e">
        <f t="shared" si="21"/>
        <v>#REF!</v>
      </c>
      <c r="AT18" s="118" t="e">
        <f t="shared" si="21"/>
        <v>#REF!</v>
      </c>
      <c r="AU18" s="118" t="e">
        <f t="shared" si="21"/>
        <v>#REF!</v>
      </c>
      <c r="AV18" s="118" t="e">
        <f t="shared" si="21"/>
        <v>#REF!</v>
      </c>
      <c r="AW18" s="118" t="e">
        <f t="shared" si="21"/>
        <v>#REF!</v>
      </c>
      <c r="AX18" s="118" t="e">
        <f t="shared" si="21"/>
        <v>#REF!</v>
      </c>
      <c r="AY18" s="118" t="e">
        <f t="shared" si="21"/>
        <v>#REF!</v>
      </c>
      <c r="AZ18" s="118" t="e">
        <f t="shared" si="21"/>
        <v>#REF!</v>
      </c>
      <c r="BA18" s="118" t="e">
        <f t="shared" ref="BA18" si="22">+BA17*1%</f>
        <v>#REF!</v>
      </c>
      <c r="BB18" s="79"/>
      <c r="BC18" s="80"/>
      <c r="BD18" s="84"/>
    </row>
    <row r="19" spans="1:58" x14ac:dyDescent="0.35">
      <c r="B19" s="169" t="s">
        <v>39</v>
      </c>
      <c r="C19" s="84" t="e">
        <f>+C12+C15+C16+C17+C18</f>
        <v>#REF!</v>
      </c>
      <c r="D19" s="84" t="e">
        <f t="shared" ref="D19:I19" si="23">+D12+D15+D16+D17+D18</f>
        <v>#REF!</v>
      </c>
      <c r="E19" s="84" t="e">
        <f t="shared" si="23"/>
        <v>#REF!</v>
      </c>
      <c r="F19" s="84" t="e">
        <f t="shared" si="23"/>
        <v>#REF!</v>
      </c>
      <c r="G19" s="84" t="e">
        <f t="shared" si="23"/>
        <v>#REF!</v>
      </c>
      <c r="H19" s="84" t="e">
        <f t="shared" si="23"/>
        <v>#REF!</v>
      </c>
      <c r="I19" s="84" t="e">
        <f t="shared" si="23"/>
        <v>#REF!</v>
      </c>
      <c r="J19" s="84"/>
      <c r="L19" s="169" t="s">
        <v>39</v>
      </c>
      <c r="M19" s="84" t="e">
        <f>+M12+M15+M16+M17+M18</f>
        <v>#REF!</v>
      </c>
      <c r="N19" s="84" t="e">
        <f t="shared" ref="N19" si="24">+N12+N15+N16+N17+N18</f>
        <v>#REF!</v>
      </c>
      <c r="Q19" s="113" t="s">
        <v>74</v>
      </c>
      <c r="R19" s="115">
        <f>+R18+R17</f>
        <v>1066.5417594</v>
      </c>
      <c r="S19" s="115">
        <f t="shared" ref="S19:AV19" si="25">+S18+S17</f>
        <v>1088.1895843000002</v>
      </c>
      <c r="T19" s="115">
        <f t="shared" si="25"/>
        <v>1137.2005917999998</v>
      </c>
      <c r="U19" s="115">
        <f t="shared" si="25"/>
        <v>1124.1413625</v>
      </c>
      <c r="V19" s="115">
        <f t="shared" si="25"/>
        <v>1146.7019850000001</v>
      </c>
      <c r="W19" s="115">
        <f t="shared" si="25"/>
        <v>1177.923812</v>
      </c>
      <c r="X19" s="115">
        <f t="shared" si="25"/>
        <v>1238.2410625</v>
      </c>
      <c r="Y19" s="115">
        <f t="shared" si="25"/>
        <v>1284.9182125</v>
      </c>
      <c r="Z19" s="115">
        <f t="shared" si="25"/>
        <v>1303.8483900000001</v>
      </c>
      <c r="AA19" s="115">
        <f t="shared" si="25"/>
        <v>1360.1202874999999</v>
      </c>
      <c r="AB19" s="115">
        <f t="shared" si="25"/>
        <v>1472.9233999999999</v>
      </c>
      <c r="AC19" s="115">
        <f t="shared" si="25"/>
        <v>1434.6893436164382</v>
      </c>
      <c r="AD19" s="115">
        <f t="shared" si="25"/>
        <v>1434.0295912221882</v>
      </c>
      <c r="AE19" s="115">
        <f t="shared" si="25"/>
        <v>1429.9007795568493</v>
      </c>
      <c r="AF19" s="115" t="e">
        <f t="shared" si="25"/>
        <v>#REF!</v>
      </c>
      <c r="AG19" s="115" t="e">
        <f t="shared" si="25"/>
        <v>#REF!</v>
      </c>
      <c r="AH19" s="115" t="e">
        <f t="shared" si="25"/>
        <v>#REF!</v>
      </c>
      <c r="AI19" s="115" t="e">
        <f t="shared" si="25"/>
        <v>#REF!</v>
      </c>
      <c r="AJ19" s="115" t="e">
        <f t="shared" si="25"/>
        <v>#REF!</v>
      </c>
      <c r="AK19" s="115" t="e">
        <f t="shared" si="25"/>
        <v>#REF!</v>
      </c>
      <c r="AL19" s="115" t="e">
        <f t="shared" si="25"/>
        <v>#REF!</v>
      </c>
      <c r="AM19" s="115" t="e">
        <f t="shared" si="25"/>
        <v>#REF!</v>
      </c>
      <c r="AN19" s="115" t="e">
        <f t="shared" si="25"/>
        <v>#REF!</v>
      </c>
      <c r="AO19" s="115" t="e">
        <f t="shared" si="25"/>
        <v>#REF!</v>
      </c>
      <c r="AP19" s="115" t="e">
        <f t="shared" si="25"/>
        <v>#REF!</v>
      </c>
      <c r="AQ19" s="115" t="e">
        <f t="shared" si="25"/>
        <v>#REF!</v>
      </c>
      <c r="AR19" s="115" t="e">
        <f t="shared" si="25"/>
        <v>#REF!</v>
      </c>
      <c r="AS19" s="115" t="e">
        <f t="shared" si="25"/>
        <v>#REF!</v>
      </c>
      <c r="AT19" s="115" t="e">
        <f t="shared" si="25"/>
        <v>#REF!</v>
      </c>
      <c r="AU19" s="115" t="e">
        <f t="shared" si="25"/>
        <v>#REF!</v>
      </c>
      <c r="AV19" s="115" t="e">
        <f t="shared" si="25"/>
        <v>#REF!</v>
      </c>
      <c r="AW19" s="115" t="e">
        <f>+AW18+AW17</f>
        <v>#REF!</v>
      </c>
      <c r="AX19" s="115" t="e">
        <f>+AX18+AX17</f>
        <v>#REF!</v>
      </c>
      <c r="AY19" s="115" t="e">
        <f>+AY18+AY17</f>
        <v>#REF!</v>
      </c>
      <c r="AZ19" s="115" t="e">
        <f>+AZ18+AZ17</f>
        <v>#REF!</v>
      </c>
      <c r="BA19" s="115" t="e">
        <f>+BA18+BA17</f>
        <v>#REF!</v>
      </c>
      <c r="BB19" s="181"/>
      <c r="BC19" s="84"/>
      <c r="BD19" s="84"/>
      <c r="BF19" s="182"/>
    </row>
    <row r="20" spans="1:58" x14ac:dyDescent="0.35">
      <c r="M20" s="84"/>
      <c r="N20" s="84"/>
      <c r="O20" s="84"/>
      <c r="Q20" s="85"/>
      <c r="R20" s="120" t="e">
        <f>+#REF!</f>
        <v>#REF!</v>
      </c>
      <c r="S20" s="120" t="e">
        <f>+R20</f>
        <v>#REF!</v>
      </c>
      <c r="T20" s="120" t="e">
        <f>+S20</f>
        <v>#REF!</v>
      </c>
      <c r="U20" s="120" t="e">
        <f>+T20</f>
        <v>#REF!</v>
      </c>
      <c r="V20" s="120" t="e">
        <f t="shared" ref="V20:AG20" si="26">+U20</f>
        <v>#REF!</v>
      </c>
      <c r="W20" s="120" t="e">
        <f t="shared" si="26"/>
        <v>#REF!</v>
      </c>
      <c r="X20" s="120" t="e">
        <f t="shared" si="26"/>
        <v>#REF!</v>
      </c>
      <c r="Y20" s="120" t="e">
        <f t="shared" si="26"/>
        <v>#REF!</v>
      </c>
      <c r="Z20" s="120" t="e">
        <f t="shared" si="26"/>
        <v>#REF!</v>
      </c>
      <c r="AA20" s="120" t="e">
        <f t="shared" si="26"/>
        <v>#REF!</v>
      </c>
      <c r="AB20" s="120" t="e">
        <f t="shared" si="26"/>
        <v>#REF!</v>
      </c>
      <c r="AC20" s="120" t="e">
        <f t="shared" si="26"/>
        <v>#REF!</v>
      </c>
      <c r="AD20" s="120" t="e">
        <f t="shared" si="26"/>
        <v>#REF!</v>
      </c>
      <c r="AE20" s="120" t="e">
        <f t="shared" si="26"/>
        <v>#REF!</v>
      </c>
      <c r="AF20" s="120" t="e">
        <f t="shared" si="26"/>
        <v>#REF!</v>
      </c>
      <c r="AG20" s="120" t="e">
        <f t="shared" si="26"/>
        <v>#REF!</v>
      </c>
      <c r="AH20" s="120"/>
      <c r="AI20" s="120"/>
      <c r="AJ20" s="120"/>
      <c r="AK20" s="120"/>
      <c r="AL20" s="120"/>
      <c r="AM20" s="120"/>
      <c r="AN20" s="120"/>
      <c r="AO20" s="120"/>
      <c r="AP20" s="120"/>
      <c r="AQ20" s="120"/>
      <c r="AR20" s="120"/>
      <c r="AS20" s="120"/>
      <c r="AT20" s="120"/>
      <c r="AU20" s="120"/>
      <c r="AV20" s="120"/>
      <c r="AW20" s="120"/>
      <c r="AX20" s="120"/>
      <c r="AY20" s="120"/>
      <c r="AZ20" s="120"/>
      <c r="BA20" s="120"/>
      <c r="BC20" s="84"/>
      <c r="BD20" s="82"/>
    </row>
    <row r="21" spans="1:58" x14ac:dyDescent="0.35">
      <c r="B21" s="169"/>
      <c r="C21" s="84"/>
      <c r="D21" s="84"/>
      <c r="E21" s="84"/>
      <c r="F21" s="84"/>
      <c r="G21" s="84"/>
      <c r="H21" s="84"/>
      <c r="I21" s="84"/>
      <c r="J21" s="84"/>
      <c r="K21" s="94"/>
      <c r="M21" s="84"/>
      <c r="N21" s="84"/>
      <c r="Q21" s="82"/>
      <c r="R21" s="82"/>
      <c r="S21" s="82"/>
      <c r="U21" s="94"/>
      <c r="V21" s="94"/>
      <c r="W21" s="94"/>
      <c r="X21" s="94"/>
      <c r="Y21" s="94"/>
      <c r="Z21" s="94"/>
      <c r="AA21" s="94"/>
      <c r="AB21" s="94"/>
      <c r="AC21" s="94"/>
      <c r="AD21" s="94"/>
      <c r="AE21" s="94"/>
      <c r="AF21" s="94"/>
      <c r="AG21" s="94"/>
      <c r="AH21" s="94"/>
      <c r="AI21" s="94"/>
      <c r="AJ21" s="94"/>
      <c r="AK21" s="94"/>
      <c r="AL21" s="94"/>
      <c r="AM21" s="94"/>
      <c r="AN21" s="94"/>
      <c r="AO21" s="94"/>
      <c r="AP21" s="94"/>
      <c r="AQ21" s="94"/>
      <c r="AR21" s="94"/>
      <c r="AS21" s="94"/>
      <c r="AT21" s="94"/>
      <c r="AU21" s="94"/>
      <c r="AV21" s="94"/>
      <c r="AW21" s="94"/>
      <c r="AX21" s="94"/>
      <c r="AY21" s="94"/>
      <c r="AZ21" s="94"/>
      <c r="BA21" s="94"/>
      <c r="BC21" s="82"/>
      <c r="BD21" s="82"/>
    </row>
    <row r="22" spans="1:58" x14ac:dyDescent="0.35">
      <c r="C22" s="132"/>
      <c r="D22" s="132"/>
      <c r="E22" s="132"/>
      <c r="F22" s="132"/>
      <c r="G22" s="132"/>
      <c r="H22" s="132"/>
      <c r="I22" s="132"/>
      <c r="K22" s="94"/>
      <c r="BC22" s="82"/>
    </row>
    <row r="23" spans="1:58" x14ac:dyDescent="0.35">
      <c r="M23" s="86"/>
      <c r="O23" s="201"/>
    </row>
    <row r="24" spans="1:58" x14ac:dyDescent="0.35">
      <c r="C24" s="201"/>
      <c r="F24" s="201"/>
      <c r="I24" s="201"/>
      <c r="M24" s="201"/>
      <c r="N24" s="201"/>
    </row>
    <row r="25" spans="1:58" x14ac:dyDescent="0.35">
      <c r="F25" s="201">
        <f>+F24-F22</f>
        <v>0</v>
      </c>
    </row>
    <row r="27" spans="1:58" x14ac:dyDescent="0.35">
      <c r="AH27" s="164"/>
    </row>
    <row r="28" spans="1:58" x14ac:dyDescent="0.35">
      <c r="N28" s="123"/>
    </row>
    <row r="34" spans="1:58" s="82" customFormat="1" x14ac:dyDescent="0.35">
      <c r="A34" s="81"/>
      <c r="B34" s="173"/>
      <c r="J34" s="81"/>
      <c r="K34" s="81"/>
      <c r="L34" s="173"/>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c r="AY34" s="81"/>
      <c r="AZ34" s="81"/>
      <c r="BA34" s="81"/>
      <c r="BB34" s="81"/>
      <c r="BC34" s="81"/>
      <c r="BD34" s="81"/>
      <c r="BE34" s="81"/>
      <c r="BF34" s="81"/>
    </row>
    <row r="35" spans="1:58" x14ac:dyDescent="0.35">
      <c r="C35" s="132"/>
      <c r="F35" s="132"/>
      <c r="I35" s="132"/>
    </row>
    <row r="37" spans="1:58" x14ac:dyDescent="0.35">
      <c r="C37" s="225"/>
      <c r="D37" s="225"/>
      <c r="E37" s="225"/>
      <c r="F37" s="225"/>
      <c r="G37" s="225"/>
      <c r="H37" s="225"/>
      <c r="I37" s="225"/>
    </row>
    <row r="38" spans="1:58" x14ac:dyDescent="0.35">
      <c r="C38" s="224"/>
      <c r="F38" s="224"/>
      <c r="I38" s="224"/>
    </row>
  </sheetData>
  <mergeCells count="6">
    <mergeCell ref="Q1:BD1"/>
    <mergeCell ref="B2:D2"/>
    <mergeCell ref="Q2:R2"/>
    <mergeCell ref="BB2:BC2"/>
    <mergeCell ref="B3:D3"/>
    <mergeCell ref="BB3:BC3"/>
  </mergeCells>
  <pageMargins left="0.7" right="0.7" top="0.75" bottom="0.75" header="0.3" footer="0.3"/>
  <pageSetup paperSize="9" orientation="portrait" r:id="rId1"/>
  <customProperties>
    <customPr name="EpmWorksheetKeyString_GUID" r:id="rId2"/>
  </customProperties>
  <drawing r:id="rId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60B07-61AC-4853-AFDC-5A72791BB22B}">
  <dimension ref="A1:BF38"/>
  <sheetViews>
    <sheetView zoomScale="90" zoomScaleNormal="90" workbookViewId="0">
      <selection activeCell="M34" sqref="M34"/>
    </sheetView>
  </sheetViews>
  <sheetFormatPr defaultColWidth="11.453125" defaultRowHeight="14.5" x14ac:dyDescent="0.35"/>
  <cols>
    <col min="1" max="1" width="3.453125" style="81" customWidth="1"/>
    <col min="2" max="2" width="18.81640625" style="173" bestFit="1" customWidth="1"/>
    <col min="3" max="3" width="10.81640625" style="82" customWidth="1"/>
    <col min="4" max="5" width="10.54296875" style="82" hidden="1" customWidth="1"/>
    <col min="6" max="6" width="11" style="82" customWidth="1"/>
    <col min="7" max="7" width="11.1796875" style="82" hidden="1" customWidth="1"/>
    <col min="8" max="8" width="11" style="82" hidden="1" customWidth="1"/>
    <col min="9" max="9" width="11.54296875" style="82" customWidth="1"/>
    <col min="10" max="10" width="8.54296875" style="81" hidden="1" customWidth="1"/>
    <col min="11" max="11" width="2.81640625" style="81" customWidth="1"/>
    <col min="12" max="12" width="20" style="173" customWidth="1"/>
    <col min="13" max="14" width="10.81640625" style="82" customWidth="1"/>
    <col min="15" max="15" width="10.81640625" style="82" hidden="1" customWidth="1"/>
    <col min="16" max="16" width="2.81640625" style="81" customWidth="1"/>
    <col min="17" max="17" width="29.1796875" style="81" customWidth="1"/>
    <col min="18" max="18" width="16.1796875" style="81" hidden="1" customWidth="1"/>
    <col min="19" max="19" width="17.54296875" style="81" hidden="1" customWidth="1"/>
    <col min="20" max="20" width="14.54296875" style="81" hidden="1" customWidth="1"/>
    <col min="21" max="21" width="16" style="81" hidden="1" customWidth="1"/>
    <col min="22" max="22" width="17.81640625" style="81" hidden="1" customWidth="1"/>
    <col min="23" max="23" width="17.1796875" style="81" hidden="1" customWidth="1"/>
    <col min="24" max="29" width="14.453125" style="81" hidden="1" customWidth="1"/>
    <col min="30" max="30" width="16.453125" style="81" hidden="1" customWidth="1"/>
    <col min="31" max="33" width="14.81640625" style="81" hidden="1" customWidth="1"/>
    <col min="34" max="34" width="16.54296875" style="81" hidden="1" customWidth="1"/>
    <col min="35" max="36" width="17.54296875" style="81" hidden="1" customWidth="1"/>
    <col min="37" max="40" width="15.1796875" style="81" hidden="1" customWidth="1"/>
    <col min="41" max="41" width="13.81640625" style="81" hidden="1" customWidth="1"/>
    <col min="42" max="42" width="14.453125" style="81" hidden="1" customWidth="1"/>
    <col min="43" max="44" width="16.54296875" style="81" hidden="1" customWidth="1"/>
    <col min="45" max="45" width="16.1796875" style="81" hidden="1" customWidth="1"/>
    <col min="46" max="46" width="15.81640625" style="81" hidden="1" customWidth="1"/>
    <col min="47" max="47" width="15" style="81" hidden="1" customWidth="1"/>
    <col min="48" max="49" width="15.54296875" style="81" hidden="1" customWidth="1"/>
    <col min="50" max="50" width="16.54296875" style="81" hidden="1" customWidth="1"/>
    <col min="51" max="51" width="16.1796875" style="81" hidden="1" customWidth="1"/>
    <col min="52" max="52" width="17.1796875" style="81" hidden="1" customWidth="1"/>
    <col min="53" max="53" width="17.1796875" style="81" customWidth="1"/>
    <col min="54" max="54" width="8.81640625" style="81" bestFit="1" customWidth="1"/>
    <col min="55" max="57" width="11.453125" style="81" customWidth="1"/>
    <col min="58" max="16384" width="11.453125" style="81"/>
  </cols>
  <sheetData>
    <row r="1" spans="2:57" x14ac:dyDescent="0.35">
      <c r="B1" s="122"/>
      <c r="C1" s="86"/>
      <c r="D1" s="86"/>
      <c r="E1" s="86"/>
      <c r="F1" s="87"/>
      <c r="G1" s="87"/>
      <c r="H1" s="87"/>
      <c r="I1" s="87"/>
      <c r="J1" s="87"/>
      <c r="K1" s="87"/>
      <c r="L1" s="122"/>
      <c r="M1" s="87"/>
      <c r="N1" s="87"/>
      <c r="O1" s="87"/>
      <c r="Q1" s="574"/>
      <c r="R1" s="574"/>
      <c r="S1" s="574"/>
      <c r="T1" s="574"/>
      <c r="U1" s="574"/>
      <c r="V1" s="574"/>
      <c r="W1" s="574"/>
      <c r="X1" s="574"/>
      <c r="Y1" s="574"/>
      <c r="Z1" s="574"/>
      <c r="AA1" s="574"/>
      <c r="AB1" s="574"/>
      <c r="AC1" s="574"/>
      <c r="AD1" s="574"/>
      <c r="AE1" s="574"/>
      <c r="AF1" s="574"/>
      <c r="AG1" s="574"/>
      <c r="AH1" s="574"/>
      <c r="AI1" s="574"/>
      <c r="AJ1" s="574"/>
      <c r="AK1" s="574"/>
      <c r="AL1" s="574"/>
      <c r="AM1" s="574"/>
      <c r="AN1" s="574"/>
      <c r="AO1" s="574"/>
      <c r="AP1" s="574"/>
      <c r="AQ1" s="574"/>
      <c r="AR1" s="574"/>
      <c r="AS1" s="574"/>
      <c r="AT1" s="574"/>
      <c r="AU1" s="574"/>
      <c r="AV1" s="574"/>
      <c r="AW1" s="574"/>
      <c r="AX1" s="574"/>
      <c r="AY1" s="574"/>
      <c r="AZ1" s="574"/>
      <c r="BA1" s="574"/>
      <c r="BB1" s="574"/>
      <c r="BC1" s="574"/>
      <c r="BD1" s="574"/>
    </row>
    <row r="2" spans="2:57" s="142" customFormat="1" ht="15" customHeight="1" x14ac:dyDescent="0.35">
      <c r="B2" s="576" t="s">
        <v>66</v>
      </c>
      <c r="C2" s="576"/>
      <c r="D2" s="576"/>
      <c r="F2" s="141" t="e">
        <f>+BA12</f>
        <v>#REF!</v>
      </c>
      <c r="H2" s="141"/>
      <c r="I2" s="141"/>
      <c r="J2" s="143">
        <v>0.05</v>
      </c>
      <c r="K2" s="144"/>
      <c r="L2" s="171"/>
      <c r="M2" s="141"/>
      <c r="N2" s="141"/>
      <c r="O2" s="141"/>
      <c r="Q2" s="576"/>
      <c r="R2" s="576"/>
      <c r="S2" s="141"/>
      <c r="T2" s="143"/>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4"/>
      <c r="AV2" s="144"/>
      <c r="AW2" s="144"/>
      <c r="AX2" s="144"/>
      <c r="AY2" s="144"/>
      <c r="AZ2" s="144"/>
      <c r="BA2" s="144"/>
      <c r="BB2" s="576"/>
      <c r="BC2" s="576"/>
      <c r="BD2" s="141"/>
    </row>
    <row r="3" spans="2:57" s="133" customFormat="1" x14ac:dyDescent="0.35">
      <c r="B3" s="576" t="s">
        <v>67</v>
      </c>
      <c r="C3" s="576"/>
      <c r="D3" s="576"/>
      <c r="F3" s="134" t="e">
        <f>+BA16</f>
        <v>#REF!</v>
      </c>
      <c r="G3" s="135"/>
      <c r="H3" s="134"/>
      <c r="I3" s="134"/>
      <c r="J3" s="137" t="e">
        <f>+F2*J2</f>
        <v>#REF!</v>
      </c>
      <c r="K3" s="136"/>
      <c r="L3" s="200"/>
      <c r="M3" s="200"/>
      <c r="N3" s="134"/>
      <c r="O3" s="134"/>
      <c r="Q3" s="138"/>
      <c r="R3" s="139"/>
      <c r="S3" s="140"/>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577"/>
      <c r="BC3" s="577"/>
      <c r="BD3" s="134"/>
    </row>
    <row r="4" spans="2:57" ht="23.5" hidden="1" x14ac:dyDescent="0.55000000000000004">
      <c r="B4" s="169"/>
      <c r="C4" s="92" t="e">
        <f>+(C10+C11)/C6*1000</f>
        <v>#REF!</v>
      </c>
      <c r="D4" s="92" t="e">
        <f>+(G10+G11)/G6*1000</f>
        <v>#REF!</v>
      </c>
      <c r="E4" s="92" t="e">
        <f>+(E10+E11)/E6*1000</f>
        <v>#REF!</v>
      </c>
      <c r="F4" s="92" t="e">
        <f>+(F10+F11)/F6*1000</f>
        <v>#REF!</v>
      </c>
      <c r="I4" s="92" t="e">
        <f>+(I10+I11)/I6*1000</f>
        <v>#REF!</v>
      </c>
      <c r="K4" s="88"/>
      <c r="L4" s="169"/>
      <c r="M4" s="92"/>
      <c r="N4" s="92"/>
      <c r="O4" s="92"/>
      <c r="Q4" s="93"/>
      <c r="R4" s="82"/>
      <c r="S4" s="90"/>
      <c r="T4" s="94"/>
      <c r="U4" s="88"/>
      <c r="V4" s="8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88"/>
      <c r="AW4" s="88"/>
      <c r="AX4" s="88"/>
      <c r="AY4" s="88"/>
      <c r="AZ4" s="88"/>
      <c r="BA4" s="88"/>
      <c r="BB4" s="91"/>
      <c r="BC4" s="91"/>
      <c r="BD4" s="78"/>
    </row>
    <row r="5" spans="2:57" s="95" customFormat="1" ht="33.75" customHeight="1" x14ac:dyDescent="0.35">
      <c r="B5" s="169" t="s">
        <v>5</v>
      </c>
      <c r="C5" s="85" t="s">
        <v>68</v>
      </c>
      <c r="D5" s="85" t="s">
        <v>69</v>
      </c>
      <c r="E5" s="85" t="s">
        <v>69</v>
      </c>
      <c r="F5" s="85" t="s">
        <v>69</v>
      </c>
      <c r="G5" s="85" t="s">
        <v>70</v>
      </c>
      <c r="H5" s="85" t="s">
        <v>70</v>
      </c>
      <c r="I5" s="85" t="s">
        <v>70</v>
      </c>
      <c r="J5" s="85"/>
      <c r="K5" s="88"/>
      <c r="L5" s="169" t="s">
        <v>71</v>
      </c>
      <c r="M5" s="96" t="s">
        <v>7</v>
      </c>
      <c r="N5" s="96" t="s">
        <v>8</v>
      </c>
      <c r="O5" s="96" t="s">
        <v>8</v>
      </c>
      <c r="Q5" s="147" t="s">
        <v>72</v>
      </c>
      <c r="R5" s="99" t="s">
        <v>54</v>
      </c>
      <c r="S5" s="99" t="s">
        <v>55</v>
      </c>
      <c r="T5" s="99" t="s">
        <v>56</v>
      </c>
      <c r="U5" s="99" t="s">
        <v>12</v>
      </c>
      <c r="V5" s="99" t="s">
        <v>57</v>
      </c>
      <c r="W5" s="99" t="s">
        <v>58</v>
      </c>
      <c r="X5" s="99" t="s">
        <v>59</v>
      </c>
      <c r="Y5" s="99" t="s">
        <v>60</v>
      </c>
      <c r="Z5" s="99" t="s">
        <v>62</v>
      </c>
      <c r="AA5" s="99" t="s">
        <v>64</v>
      </c>
      <c r="AB5" s="99" t="s">
        <v>65</v>
      </c>
      <c r="AC5" s="99" t="s">
        <v>73</v>
      </c>
      <c r="AD5" s="99" t="s">
        <v>53</v>
      </c>
      <c r="AE5" s="99" t="s">
        <v>77</v>
      </c>
      <c r="AF5" s="99" t="s">
        <v>78</v>
      </c>
      <c r="AG5" s="99" t="s">
        <v>79</v>
      </c>
      <c r="AH5" s="99" t="s">
        <v>90</v>
      </c>
      <c r="AI5" s="99" t="s">
        <v>91</v>
      </c>
      <c r="AJ5" s="99" t="s">
        <v>97</v>
      </c>
      <c r="AK5" s="99" t="s">
        <v>98</v>
      </c>
      <c r="AL5" s="99" t="s">
        <v>102</v>
      </c>
      <c r="AM5" s="99" t="s">
        <v>103</v>
      </c>
      <c r="AN5" s="99" t="s">
        <v>104</v>
      </c>
      <c r="AO5" s="99" t="s">
        <v>107</v>
      </c>
      <c r="AP5" s="99" t="s">
        <v>108</v>
      </c>
      <c r="AQ5" s="99" t="s">
        <v>114</v>
      </c>
      <c r="AR5" s="99" t="s">
        <v>121</v>
      </c>
      <c r="AS5" s="99" t="s">
        <v>122</v>
      </c>
      <c r="AT5" s="99" t="s">
        <v>123</v>
      </c>
      <c r="AU5" s="99" t="s">
        <v>124</v>
      </c>
      <c r="AV5" s="99" t="s">
        <v>125</v>
      </c>
      <c r="AW5" s="99" t="s">
        <v>126</v>
      </c>
      <c r="AX5" s="99" t="s">
        <v>142</v>
      </c>
      <c r="AY5" s="99" t="s">
        <v>143</v>
      </c>
      <c r="AZ5" s="99" t="s">
        <v>144</v>
      </c>
      <c r="BA5" s="99" t="s">
        <v>146</v>
      </c>
      <c r="BB5" s="100"/>
      <c r="BC5" s="97"/>
      <c r="BD5" s="97"/>
    </row>
    <row r="6" spans="2:57" x14ac:dyDescent="0.35">
      <c r="B6" s="169" t="s">
        <v>13</v>
      </c>
      <c r="C6" s="101">
        <v>16.7</v>
      </c>
      <c r="D6" s="101">
        <v>16.7</v>
      </c>
      <c r="E6" s="101">
        <v>20.5</v>
      </c>
      <c r="F6" s="101">
        <v>20.5</v>
      </c>
      <c r="G6" s="101">
        <v>30.6</v>
      </c>
      <c r="H6" s="101">
        <v>30.6</v>
      </c>
      <c r="I6" s="101">
        <v>38.6</v>
      </c>
      <c r="J6" s="101"/>
      <c r="L6" s="169" t="s">
        <v>13</v>
      </c>
      <c r="M6" s="101">
        <v>15</v>
      </c>
      <c r="N6" s="101">
        <v>20.5</v>
      </c>
      <c r="O6" s="101">
        <v>20.5</v>
      </c>
      <c r="Q6" s="102" t="s">
        <v>14</v>
      </c>
      <c r="R6" s="104">
        <v>938.13</v>
      </c>
      <c r="S6" s="105">
        <v>959</v>
      </c>
      <c r="T6" s="104">
        <v>1006.25</v>
      </c>
      <c r="U6" s="130">
        <v>993.75</v>
      </c>
      <c r="V6" s="131">
        <v>1015.5</v>
      </c>
      <c r="W6" s="131">
        <v>1045.5999999999999</v>
      </c>
      <c r="X6" s="43">
        <v>1103.75</v>
      </c>
      <c r="Y6" s="43">
        <v>1148.75</v>
      </c>
      <c r="Z6" s="43">
        <v>1167</v>
      </c>
      <c r="AA6" s="43">
        <v>1221.25</v>
      </c>
      <c r="AB6" s="43">
        <v>1330</v>
      </c>
      <c r="AC6" s="43">
        <f>+'IHS (Mod)'!I5</f>
        <v>1280</v>
      </c>
      <c r="AD6" s="43">
        <f>+'IHS (Mod)'!J5</f>
        <v>1279.380005</v>
      </c>
      <c r="AE6" s="43">
        <v>1275.5</v>
      </c>
      <c r="AF6" s="43" t="e">
        <f>+#REF!</f>
        <v>#REF!</v>
      </c>
      <c r="AG6" s="43" t="e">
        <f>+#REF!</f>
        <v>#REF!</v>
      </c>
      <c r="AH6" s="43" t="e">
        <f>+#REF!</f>
        <v>#REF!</v>
      </c>
      <c r="AI6" s="43" t="e">
        <f>+#REF!</f>
        <v>#REF!</v>
      </c>
      <c r="AJ6" s="43" t="e">
        <f>+#REF!</f>
        <v>#REF!</v>
      </c>
      <c r="AK6" s="43" t="e">
        <f>+#REF!</f>
        <v>#REF!</v>
      </c>
      <c r="AL6" s="43" t="e">
        <f>+#REF!</f>
        <v>#REF!</v>
      </c>
      <c r="AM6" s="43" t="e">
        <f>+#REF!</f>
        <v>#REF!</v>
      </c>
      <c r="AN6" s="43" t="e">
        <f>+#REF!</f>
        <v>#REF!</v>
      </c>
      <c r="AO6" s="43" t="e">
        <f>+#REF!</f>
        <v>#REF!</v>
      </c>
      <c r="AP6" s="43" t="e">
        <f>+#REF!</f>
        <v>#REF!</v>
      </c>
      <c r="AQ6" s="43" t="e">
        <f>+#REF!</f>
        <v>#REF!</v>
      </c>
      <c r="AR6" s="43" t="e">
        <f>+#REF!</f>
        <v>#REF!</v>
      </c>
      <c r="AS6" s="43" t="e">
        <f>+#REF!</f>
        <v>#REF!</v>
      </c>
      <c r="AT6" s="43" t="e">
        <f>+#REF!</f>
        <v>#REF!</v>
      </c>
      <c r="AU6" s="43" t="e">
        <f>+#REF!</f>
        <v>#REF!</v>
      </c>
      <c r="AV6" s="43" t="e">
        <f>+#REF!</f>
        <v>#REF!</v>
      </c>
      <c r="AW6" s="43" t="e">
        <f>+#REF!</f>
        <v>#REF!</v>
      </c>
      <c r="AX6" s="43" t="e">
        <f>+#REF!</f>
        <v>#REF!</v>
      </c>
      <c r="AY6" s="43" t="e">
        <f>+#REF!</f>
        <v>#REF!</v>
      </c>
      <c r="AZ6" s="43" t="e">
        <f>+#REF!</f>
        <v>#REF!</v>
      </c>
      <c r="BA6" s="43" t="e">
        <f>+#REF!</f>
        <v>#REF!</v>
      </c>
      <c r="BB6" s="85"/>
      <c r="BC6" s="101"/>
      <c r="BD6" s="101"/>
    </row>
    <row r="7" spans="2:57" x14ac:dyDescent="0.35">
      <c r="B7" s="170" t="s">
        <v>16</v>
      </c>
      <c r="C7" s="91" t="s">
        <v>17</v>
      </c>
      <c r="D7" s="91" t="s">
        <v>17</v>
      </c>
      <c r="E7" s="91" t="s">
        <v>17</v>
      </c>
      <c r="F7" s="91" t="s">
        <v>17</v>
      </c>
      <c r="G7" s="91" t="s">
        <v>17</v>
      </c>
      <c r="H7" s="91" t="s">
        <v>17</v>
      </c>
      <c r="I7" s="91" t="s">
        <v>17</v>
      </c>
      <c r="J7" s="91"/>
      <c r="L7" s="170" t="s">
        <v>16</v>
      </c>
      <c r="M7" s="91" t="s">
        <v>17</v>
      </c>
      <c r="N7" s="91" t="s">
        <v>17</v>
      </c>
      <c r="O7" s="91" t="s">
        <v>17</v>
      </c>
      <c r="Q7" s="128" t="s">
        <v>99</v>
      </c>
      <c r="R7" s="129">
        <v>25.09</v>
      </c>
      <c r="S7" s="129">
        <v>25.09</v>
      </c>
      <c r="T7" s="129">
        <v>25.09</v>
      </c>
      <c r="U7" s="129">
        <v>25</v>
      </c>
      <c r="V7" s="129">
        <v>25</v>
      </c>
      <c r="W7" s="129">
        <v>25</v>
      </c>
      <c r="X7" s="129">
        <v>25</v>
      </c>
      <c r="Y7" s="129">
        <v>25</v>
      </c>
      <c r="Z7" s="129">
        <v>25</v>
      </c>
      <c r="AA7" s="129">
        <v>25</v>
      </c>
      <c r="AB7" s="129">
        <v>25</v>
      </c>
      <c r="AC7" s="129">
        <v>33.139726027397259</v>
      </c>
      <c r="AD7" s="129">
        <f>+Septiembre18!AD8</f>
        <v>33.1236741020548</v>
      </c>
      <c r="AE7" s="129">
        <v>33.023219178082194</v>
      </c>
      <c r="AF7" s="129">
        <v>33.023219178082194</v>
      </c>
      <c r="AG7" s="129">
        <v>32.783732876712328</v>
      </c>
      <c r="AH7" s="129">
        <v>29.126712328767123</v>
      </c>
      <c r="AI7" s="129">
        <v>27.395420677397254</v>
      </c>
      <c r="AJ7" s="129">
        <v>26.796575342465754</v>
      </c>
      <c r="AK7" s="129">
        <v>13.948458904109588</v>
      </c>
      <c r="AL7" s="129">
        <v>14.191181506849315</v>
      </c>
      <c r="AM7" s="129">
        <v>14.255907534246576</v>
      </c>
      <c r="AN7" s="129" t="e">
        <f t="shared" ref="AN7:BA7" si="0">((((AN6*4.5%)/365)*210))*50%</f>
        <v>#REF!</v>
      </c>
      <c r="AO7" s="129" t="e">
        <f t="shared" si="0"/>
        <v>#REF!</v>
      </c>
      <c r="AP7" s="129" t="e">
        <f t="shared" si="0"/>
        <v>#REF!</v>
      </c>
      <c r="AQ7" s="129" t="e">
        <f t="shared" si="0"/>
        <v>#REF!</v>
      </c>
      <c r="AR7" s="129" t="e">
        <f t="shared" si="0"/>
        <v>#REF!</v>
      </c>
      <c r="AS7" s="129" t="e">
        <f t="shared" si="0"/>
        <v>#REF!</v>
      </c>
      <c r="AT7" s="129" t="e">
        <f t="shared" si="0"/>
        <v>#REF!</v>
      </c>
      <c r="AU7" s="129" t="e">
        <f t="shared" si="0"/>
        <v>#REF!</v>
      </c>
      <c r="AV7" s="129" t="e">
        <f t="shared" si="0"/>
        <v>#REF!</v>
      </c>
      <c r="AW7" s="129" t="e">
        <f t="shared" si="0"/>
        <v>#REF!</v>
      </c>
      <c r="AX7" s="129" t="e">
        <f t="shared" si="0"/>
        <v>#REF!</v>
      </c>
      <c r="AY7" s="129" t="e">
        <f t="shared" si="0"/>
        <v>#REF!</v>
      </c>
      <c r="AZ7" s="129" t="e">
        <f t="shared" si="0"/>
        <v>#REF!</v>
      </c>
      <c r="BA7" s="129" t="e">
        <f t="shared" si="0"/>
        <v>#REF!</v>
      </c>
      <c r="BB7" s="85"/>
      <c r="BC7" s="91"/>
      <c r="BD7" s="91"/>
    </row>
    <row r="8" spans="2:57" x14ac:dyDescent="0.35">
      <c r="B8" s="170" t="s">
        <v>115</v>
      </c>
      <c r="C8" s="91" t="s">
        <v>116</v>
      </c>
      <c r="D8" s="91"/>
      <c r="E8" s="91"/>
      <c r="F8" s="91" t="s">
        <v>117</v>
      </c>
      <c r="G8" s="91"/>
      <c r="H8" s="91"/>
      <c r="I8" s="91" t="s">
        <v>118</v>
      </c>
      <c r="J8" s="91"/>
      <c r="L8" s="170"/>
      <c r="M8" s="91" t="s">
        <v>119</v>
      </c>
      <c r="N8" s="91" t="s">
        <v>120</v>
      </c>
      <c r="O8" s="91"/>
      <c r="Q8" s="128"/>
      <c r="R8" s="129"/>
      <c r="S8" s="129"/>
      <c r="T8" s="129"/>
      <c r="U8" s="129"/>
      <c r="V8" s="129"/>
      <c r="W8" s="129"/>
      <c r="X8" s="129"/>
      <c r="Y8" s="129"/>
      <c r="Z8" s="129"/>
      <c r="AA8" s="129"/>
      <c r="AB8" s="129"/>
      <c r="AC8" s="129"/>
      <c r="AD8" s="129"/>
      <c r="AE8" s="129"/>
      <c r="AF8" s="129"/>
      <c r="AG8" s="129"/>
      <c r="AH8" s="129"/>
      <c r="AI8" s="129"/>
      <c r="AJ8" s="129"/>
      <c r="AK8" s="129"/>
      <c r="AL8" s="129"/>
      <c r="AM8" s="129"/>
      <c r="AN8" s="129"/>
      <c r="AO8" s="129"/>
      <c r="AP8" s="129"/>
      <c r="AQ8" s="129"/>
      <c r="AR8" s="129"/>
      <c r="AS8" s="129"/>
      <c r="AT8" s="129"/>
      <c r="AU8" s="129"/>
      <c r="AV8" s="129"/>
      <c r="AW8" s="129"/>
      <c r="AX8" s="129"/>
      <c r="AY8" s="129"/>
      <c r="AZ8" s="129"/>
      <c r="BA8" s="129"/>
      <c r="BB8" s="85"/>
      <c r="BC8" s="91"/>
      <c r="BD8" s="91"/>
    </row>
    <row r="9" spans="2:57" s="95" customFormat="1" ht="29" x14ac:dyDescent="0.35">
      <c r="B9" s="175" t="s">
        <v>92</v>
      </c>
      <c r="C9" s="177" t="s">
        <v>93</v>
      </c>
      <c r="D9" s="177" t="s">
        <v>94</v>
      </c>
      <c r="E9" s="176">
        <v>1</v>
      </c>
      <c r="F9" s="177" t="s">
        <v>93</v>
      </c>
      <c r="G9" s="176">
        <v>1</v>
      </c>
      <c r="H9" s="177" t="s">
        <v>94</v>
      </c>
      <c r="I9" s="177" t="s">
        <v>93</v>
      </c>
      <c r="J9" s="162"/>
      <c r="L9" s="175" t="str">
        <f>+B9</f>
        <v>% Resina (Virgen/PCR)</v>
      </c>
      <c r="M9" s="177" t="s">
        <v>94</v>
      </c>
      <c r="N9" s="176">
        <v>1</v>
      </c>
      <c r="O9" s="177" t="s">
        <v>94</v>
      </c>
      <c r="Q9" s="166" t="s">
        <v>128</v>
      </c>
      <c r="R9" s="129">
        <v>65</v>
      </c>
      <c r="S9" s="167">
        <v>65</v>
      </c>
      <c r="T9" s="129">
        <v>65</v>
      </c>
      <c r="U9" s="129">
        <v>65</v>
      </c>
      <c r="V9" s="129">
        <v>65</v>
      </c>
      <c r="W9" s="129">
        <v>65</v>
      </c>
      <c r="X9" s="129">
        <v>65</v>
      </c>
      <c r="Y9" s="129">
        <v>65</v>
      </c>
      <c r="Z9" s="129">
        <v>65</v>
      </c>
      <c r="AA9" s="129">
        <v>65</v>
      </c>
      <c r="AB9" s="129">
        <v>65</v>
      </c>
      <c r="AC9" s="129">
        <v>70</v>
      </c>
      <c r="AD9" s="129">
        <v>70</v>
      </c>
      <c r="AE9" s="129">
        <v>70</v>
      </c>
      <c r="AF9" s="129">
        <v>70</v>
      </c>
      <c r="AG9" s="129">
        <v>70</v>
      </c>
      <c r="AH9" s="129">
        <v>70</v>
      </c>
      <c r="AI9" s="129">
        <v>70</v>
      </c>
      <c r="AJ9" s="129">
        <v>70</v>
      </c>
      <c r="AK9" s="129">
        <v>70</v>
      </c>
      <c r="AL9" s="129">
        <v>70</v>
      </c>
      <c r="AM9" s="129">
        <v>70</v>
      </c>
      <c r="AN9" s="129">
        <v>70</v>
      </c>
      <c r="AO9" s="129">
        <v>70</v>
      </c>
      <c r="AP9" s="129">
        <v>70</v>
      </c>
      <c r="AQ9" s="129">
        <v>70</v>
      </c>
      <c r="AR9" s="129">
        <v>70</v>
      </c>
      <c r="AS9" s="129">
        <v>70</v>
      </c>
      <c r="AT9" s="209">
        <v>70</v>
      </c>
      <c r="AU9" s="209">
        <v>90.46</v>
      </c>
      <c r="AV9" s="210">
        <v>78.56</v>
      </c>
      <c r="AW9" s="210">
        <v>78.56</v>
      </c>
      <c r="AX9" s="210">
        <v>78.56</v>
      </c>
      <c r="AY9" s="210">
        <v>78.56</v>
      </c>
      <c r="AZ9" s="210">
        <v>78.56</v>
      </c>
      <c r="BA9" s="210">
        <v>78.56</v>
      </c>
      <c r="BB9" s="208"/>
      <c r="BC9" s="165"/>
      <c r="BD9" s="165"/>
    </row>
    <row r="10" spans="2:57" x14ac:dyDescent="0.35">
      <c r="B10" s="170" t="s">
        <v>19</v>
      </c>
      <c r="C10" s="80" t="e">
        <f>+(C6*F2/1000)*1.01*50%</f>
        <v>#REF!</v>
      </c>
      <c r="D10" s="80" t="e">
        <f>+(D6*$F$2/1000)*1.01*75%</f>
        <v>#REF!</v>
      </c>
      <c r="E10" s="80" t="e">
        <f>+(E6*$F$2/1000)*1.01</f>
        <v>#REF!</v>
      </c>
      <c r="F10" s="80" t="e">
        <f>+(F6*$F$2/1000)*1.01*50%</f>
        <v>#REF!</v>
      </c>
      <c r="G10" s="80" t="e">
        <f>+(G6*F2/1000)*1.01</f>
        <v>#REF!</v>
      </c>
      <c r="H10" s="80" t="e">
        <f>+(H6*$F$2/1000)*1.01*75%</f>
        <v>#REF!</v>
      </c>
      <c r="I10" s="80" t="e">
        <f>+(I6*$F$2/1000)*1.01*50%</f>
        <v>#REF!</v>
      </c>
      <c r="J10" s="80"/>
      <c r="L10" s="170" t="s">
        <v>19</v>
      </c>
      <c r="M10" s="80" t="e">
        <f>+(M6*F2/1000)*1.005*75%</f>
        <v>#REF!</v>
      </c>
      <c r="N10" s="80" t="e">
        <f>+(N6*F2/1000)*1.005</f>
        <v>#REF!</v>
      </c>
      <c r="O10" s="80" t="e">
        <f>+(O6*F2/1000)*1.005*75%</f>
        <v>#REF!</v>
      </c>
      <c r="Q10" s="102"/>
      <c r="R10" s="104">
        <f>SUM(R6:R9)</f>
        <v>1028.22</v>
      </c>
      <c r="S10" s="104">
        <f>SUM(S6:S9)</f>
        <v>1049.0900000000001</v>
      </c>
      <c r="T10" s="104">
        <f>SUM(T6:T9)</f>
        <v>1096.3399999999999</v>
      </c>
      <c r="U10" s="104">
        <f>SUM(U6:U9)</f>
        <v>1083.75</v>
      </c>
      <c r="V10" s="104">
        <f t="shared" ref="V10:BA10" si="1">SUM(V6:V9)</f>
        <v>1105.5</v>
      </c>
      <c r="W10" s="104">
        <f t="shared" si="1"/>
        <v>1135.5999999999999</v>
      </c>
      <c r="X10" s="104">
        <f t="shared" si="1"/>
        <v>1193.75</v>
      </c>
      <c r="Y10" s="104">
        <f t="shared" si="1"/>
        <v>1238.75</v>
      </c>
      <c r="Z10" s="104">
        <f t="shared" si="1"/>
        <v>1257</v>
      </c>
      <c r="AA10" s="104">
        <f t="shared" si="1"/>
        <v>1311.25</v>
      </c>
      <c r="AB10" s="104">
        <f t="shared" si="1"/>
        <v>1420</v>
      </c>
      <c r="AC10" s="104">
        <f t="shared" si="1"/>
        <v>1383.1397260273973</v>
      </c>
      <c r="AD10" s="104">
        <f t="shared" si="1"/>
        <v>1382.5036791020548</v>
      </c>
      <c r="AE10" s="104">
        <f t="shared" si="1"/>
        <v>1378.5232191780822</v>
      </c>
      <c r="AF10" s="104" t="e">
        <f t="shared" si="1"/>
        <v>#REF!</v>
      </c>
      <c r="AG10" s="104" t="e">
        <f t="shared" si="1"/>
        <v>#REF!</v>
      </c>
      <c r="AH10" s="104" t="e">
        <f t="shared" si="1"/>
        <v>#REF!</v>
      </c>
      <c r="AI10" s="104" t="e">
        <f t="shared" si="1"/>
        <v>#REF!</v>
      </c>
      <c r="AJ10" s="104" t="e">
        <f t="shared" si="1"/>
        <v>#REF!</v>
      </c>
      <c r="AK10" s="104" t="e">
        <f t="shared" si="1"/>
        <v>#REF!</v>
      </c>
      <c r="AL10" s="104" t="e">
        <f t="shared" si="1"/>
        <v>#REF!</v>
      </c>
      <c r="AM10" s="104" t="e">
        <f t="shared" si="1"/>
        <v>#REF!</v>
      </c>
      <c r="AN10" s="104" t="e">
        <f t="shared" si="1"/>
        <v>#REF!</v>
      </c>
      <c r="AO10" s="104" t="e">
        <f t="shared" si="1"/>
        <v>#REF!</v>
      </c>
      <c r="AP10" s="104" t="e">
        <f t="shared" si="1"/>
        <v>#REF!</v>
      </c>
      <c r="AQ10" s="104" t="e">
        <f t="shared" si="1"/>
        <v>#REF!</v>
      </c>
      <c r="AR10" s="104" t="e">
        <f t="shared" si="1"/>
        <v>#REF!</v>
      </c>
      <c r="AS10" s="104" t="e">
        <f t="shared" si="1"/>
        <v>#REF!</v>
      </c>
      <c r="AT10" s="104" t="e">
        <f t="shared" si="1"/>
        <v>#REF!</v>
      </c>
      <c r="AU10" s="104" t="e">
        <f t="shared" si="1"/>
        <v>#REF!</v>
      </c>
      <c r="AV10" s="104" t="e">
        <f t="shared" si="1"/>
        <v>#REF!</v>
      </c>
      <c r="AW10" s="104" t="e">
        <f t="shared" si="1"/>
        <v>#REF!</v>
      </c>
      <c r="AX10" s="104" t="e">
        <f t="shared" si="1"/>
        <v>#REF!</v>
      </c>
      <c r="AY10" s="104" t="e">
        <f t="shared" si="1"/>
        <v>#REF!</v>
      </c>
      <c r="AZ10" s="104" t="e">
        <f t="shared" si="1"/>
        <v>#REF!</v>
      </c>
      <c r="BA10" s="104" t="e">
        <f t="shared" si="1"/>
        <v>#REF!</v>
      </c>
      <c r="BB10" s="79"/>
      <c r="BC10" s="80"/>
      <c r="BD10" s="80"/>
    </row>
    <row r="11" spans="2:57" x14ac:dyDescent="0.35">
      <c r="B11" s="172" t="s">
        <v>23</v>
      </c>
      <c r="C11" s="76" t="e">
        <f>+(C6*$F$3/1000)*1.01*50%</f>
        <v>#REF!</v>
      </c>
      <c r="D11" s="76" t="e">
        <f>+(D6*$F$3/1000)*1.01*25%</f>
        <v>#REF!</v>
      </c>
      <c r="E11" s="76">
        <v>0</v>
      </c>
      <c r="F11" s="76" t="e">
        <f>+(F6*$F$3/1000)*1.01*50%</f>
        <v>#REF!</v>
      </c>
      <c r="G11" s="76">
        <v>0</v>
      </c>
      <c r="H11" s="76" t="e">
        <f>+(H6*$F$3/1000)*1.01*25%</f>
        <v>#REF!</v>
      </c>
      <c r="I11" s="76" t="e">
        <f>+(I6*$F$3/1000)*1.01*50%</f>
        <v>#REF!</v>
      </c>
      <c r="J11" s="76"/>
      <c r="K11" s="121"/>
      <c r="L11" s="172" t="s">
        <v>23</v>
      </c>
      <c r="M11" s="76" t="e">
        <f>+(M6*F3/1000)*1.005*25%</f>
        <v>#REF!</v>
      </c>
      <c r="N11" s="76">
        <v>0</v>
      </c>
      <c r="O11" s="76" t="e">
        <f>+(O6*F3/1000)*1.005*25%</f>
        <v>#REF!</v>
      </c>
      <c r="Q11" s="106" t="s">
        <v>27</v>
      </c>
      <c r="R11" s="108">
        <f>+R10*4%</f>
        <v>41.128800000000005</v>
      </c>
      <c r="S11" s="104">
        <f>+S10*4%</f>
        <v>41.963600000000007</v>
      </c>
      <c r="T11" s="108">
        <f>+T10*4%</f>
        <v>43.8536</v>
      </c>
      <c r="U11" s="108">
        <f>+U10*4%</f>
        <v>43.35</v>
      </c>
      <c r="V11" s="108">
        <f t="shared" ref="V11:BA11" si="2">+V10*4%</f>
        <v>44.22</v>
      </c>
      <c r="W11" s="108">
        <f t="shared" si="2"/>
        <v>45.423999999999999</v>
      </c>
      <c r="X11" s="108">
        <f t="shared" si="2"/>
        <v>47.75</v>
      </c>
      <c r="Y11" s="108">
        <f t="shared" si="2"/>
        <v>49.550000000000004</v>
      </c>
      <c r="Z11" s="108">
        <f t="shared" si="2"/>
        <v>50.28</v>
      </c>
      <c r="AA11" s="108">
        <f t="shared" si="2"/>
        <v>52.45</v>
      </c>
      <c r="AB11" s="108">
        <f t="shared" si="2"/>
        <v>56.800000000000004</v>
      </c>
      <c r="AC11" s="108">
        <f t="shared" si="2"/>
        <v>55.325589041095895</v>
      </c>
      <c r="AD11" s="108">
        <f t="shared" si="2"/>
        <v>55.30014716408219</v>
      </c>
      <c r="AE11" s="108">
        <f t="shared" si="2"/>
        <v>55.140928767123285</v>
      </c>
      <c r="AF11" s="108" t="e">
        <f t="shared" si="2"/>
        <v>#REF!</v>
      </c>
      <c r="AG11" s="108" t="e">
        <f t="shared" si="2"/>
        <v>#REF!</v>
      </c>
      <c r="AH11" s="108" t="e">
        <f t="shared" si="2"/>
        <v>#REF!</v>
      </c>
      <c r="AI11" s="108" t="e">
        <f t="shared" si="2"/>
        <v>#REF!</v>
      </c>
      <c r="AJ11" s="108" t="e">
        <f t="shared" si="2"/>
        <v>#REF!</v>
      </c>
      <c r="AK11" s="108" t="e">
        <f t="shared" si="2"/>
        <v>#REF!</v>
      </c>
      <c r="AL11" s="108" t="e">
        <f t="shared" si="2"/>
        <v>#REF!</v>
      </c>
      <c r="AM11" s="108" t="e">
        <f t="shared" si="2"/>
        <v>#REF!</v>
      </c>
      <c r="AN11" s="108" t="e">
        <f t="shared" si="2"/>
        <v>#REF!</v>
      </c>
      <c r="AO11" s="108" t="e">
        <f t="shared" si="2"/>
        <v>#REF!</v>
      </c>
      <c r="AP11" s="108" t="e">
        <f t="shared" si="2"/>
        <v>#REF!</v>
      </c>
      <c r="AQ11" s="108" t="e">
        <f t="shared" si="2"/>
        <v>#REF!</v>
      </c>
      <c r="AR11" s="108" t="e">
        <f t="shared" si="2"/>
        <v>#REF!</v>
      </c>
      <c r="AS11" s="108" t="e">
        <f t="shared" si="2"/>
        <v>#REF!</v>
      </c>
      <c r="AT11" s="108" t="e">
        <f t="shared" si="2"/>
        <v>#REF!</v>
      </c>
      <c r="AU11" s="108" t="e">
        <f t="shared" si="2"/>
        <v>#REF!</v>
      </c>
      <c r="AV11" s="108" t="e">
        <f t="shared" si="2"/>
        <v>#REF!</v>
      </c>
      <c r="AW11" s="108" t="e">
        <f t="shared" si="2"/>
        <v>#REF!</v>
      </c>
      <c r="AX11" s="108" t="e">
        <f t="shared" si="2"/>
        <v>#REF!</v>
      </c>
      <c r="AY11" s="108" t="e">
        <f t="shared" si="2"/>
        <v>#REF!</v>
      </c>
      <c r="AZ11" s="108" t="e">
        <f t="shared" si="2"/>
        <v>#REF!</v>
      </c>
      <c r="BA11" s="108" t="e">
        <f t="shared" si="2"/>
        <v>#REF!</v>
      </c>
      <c r="BB11" s="79"/>
      <c r="BC11" s="80"/>
      <c r="BD11" s="80"/>
    </row>
    <row r="12" spans="2:57" x14ac:dyDescent="0.35">
      <c r="B12" s="169" t="s">
        <v>95</v>
      </c>
      <c r="C12" s="84" t="e">
        <f>SUM(C10:C11)</f>
        <v>#REF!</v>
      </c>
      <c r="D12" s="84" t="e">
        <f t="shared" ref="D12:J12" si="3">SUM(D10:D11)</f>
        <v>#REF!</v>
      </c>
      <c r="E12" s="84" t="e">
        <f t="shared" si="3"/>
        <v>#REF!</v>
      </c>
      <c r="F12" s="84" t="e">
        <f t="shared" si="3"/>
        <v>#REF!</v>
      </c>
      <c r="G12" s="84" t="e">
        <f t="shared" si="3"/>
        <v>#REF!</v>
      </c>
      <c r="H12" s="84" t="e">
        <f t="shared" si="3"/>
        <v>#REF!</v>
      </c>
      <c r="I12" s="84" t="e">
        <f t="shared" si="3"/>
        <v>#REF!</v>
      </c>
      <c r="J12" s="80">
        <f t="shared" si="3"/>
        <v>0</v>
      </c>
      <c r="K12" s="80"/>
      <c r="L12" s="169" t="s">
        <v>95</v>
      </c>
      <c r="M12" s="84" t="e">
        <f t="shared" ref="M12:O12" si="4">SUM(M10:M11)</f>
        <v>#REF!</v>
      </c>
      <c r="N12" s="84" t="e">
        <f t="shared" si="4"/>
        <v>#REF!</v>
      </c>
      <c r="O12" s="84" t="e">
        <f t="shared" si="4"/>
        <v>#REF!</v>
      </c>
      <c r="Q12" s="157" t="s">
        <v>30</v>
      </c>
      <c r="R12" s="158">
        <f>+R11+R10</f>
        <v>1069.3488</v>
      </c>
      <c r="S12" s="159">
        <f>+S11+S10</f>
        <v>1091.0536000000002</v>
      </c>
      <c r="T12" s="158">
        <f>+T11+T10</f>
        <v>1140.1935999999998</v>
      </c>
      <c r="U12" s="158">
        <f>+U11+U10</f>
        <v>1127.0999999999999</v>
      </c>
      <c r="V12" s="158">
        <f t="shared" ref="V12:BA12" si="5">+V11+V10</f>
        <v>1149.72</v>
      </c>
      <c r="W12" s="158">
        <f t="shared" si="5"/>
        <v>1181.0239999999999</v>
      </c>
      <c r="X12" s="158">
        <f t="shared" si="5"/>
        <v>1241.5</v>
      </c>
      <c r="Y12" s="158">
        <f t="shared" si="5"/>
        <v>1288.3</v>
      </c>
      <c r="Z12" s="158">
        <f t="shared" si="5"/>
        <v>1307.28</v>
      </c>
      <c r="AA12" s="158">
        <f t="shared" si="5"/>
        <v>1363.7</v>
      </c>
      <c r="AB12" s="158">
        <f t="shared" si="5"/>
        <v>1476.8</v>
      </c>
      <c r="AC12" s="158">
        <f t="shared" si="5"/>
        <v>1438.4653150684931</v>
      </c>
      <c r="AD12" s="158">
        <f t="shared" si="5"/>
        <v>1437.8038262661369</v>
      </c>
      <c r="AE12" s="158">
        <f t="shared" si="5"/>
        <v>1433.6641479452055</v>
      </c>
      <c r="AF12" s="158" t="e">
        <f t="shared" si="5"/>
        <v>#REF!</v>
      </c>
      <c r="AG12" s="158" t="e">
        <f t="shared" si="5"/>
        <v>#REF!</v>
      </c>
      <c r="AH12" s="158" t="e">
        <f t="shared" si="5"/>
        <v>#REF!</v>
      </c>
      <c r="AI12" s="158" t="e">
        <f t="shared" si="5"/>
        <v>#REF!</v>
      </c>
      <c r="AJ12" s="158" t="e">
        <f t="shared" si="5"/>
        <v>#REF!</v>
      </c>
      <c r="AK12" s="158" t="e">
        <f t="shared" si="5"/>
        <v>#REF!</v>
      </c>
      <c r="AL12" s="158" t="e">
        <f t="shared" si="5"/>
        <v>#REF!</v>
      </c>
      <c r="AM12" s="158" t="e">
        <f t="shared" si="5"/>
        <v>#REF!</v>
      </c>
      <c r="AN12" s="158" t="e">
        <f t="shared" si="5"/>
        <v>#REF!</v>
      </c>
      <c r="AO12" s="158" t="e">
        <f t="shared" si="5"/>
        <v>#REF!</v>
      </c>
      <c r="AP12" s="158" t="e">
        <f t="shared" si="5"/>
        <v>#REF!</v>
      </c>
      <c r="AQ12" s="158" t="e">
        <f t="shared" si="5"/>
        <v>#REF!</v>
      </c>
      <c r="AR12" s="158" t="e">
        <f t="shared" si="5"/>
        <v>#REF!</v>
      </c>
      <c r="AS12" s="158" t="e">
        <f t="shared" si="5"/>
        <v>#REF!</v>
      </c>
      <c r="AT12" s="158" t="e">
        <f t="shared" si="5"/>
        <v>#REF!</v>
      </c>
      <c r="AU12" s="158" t="e">
        <f t="shared" si="5"/>
        <v>#REF!</v>
      </c>
      <c r="AV12" s="158" t="e">
        <f t="shared" si="5"/>
        <v>#REF!</v>
      </c>
      <c r="AW12" s="158" t="e">
        <f t="shared" si="5"/>
        <v>#REF!</v>
      </c>
      <c r="AX12" s="158" t="e">
        <f t="shared" si="5"/>
        <v>#REF!</v>
      </c>
      <c r="AY12" s="158" t="e">
        <f t="shared" si="5"/>
        <v>#REF!</v>
      </c>
      <c r="AZ12" s="158" t="e">
        <f t="shared" si="5"/>
        <v>#REF!</v>
      </c>
      <c r="BA12" s="158" t="e">
        <f t="shared" si="5"/>
        <v>#REF!</v>
      </c>
      <c r="BB12" s="79"/>
      <c r="BC12" s="80"/>
      <c r="BD12" s="80"/>
    </row>
    <row r="13" spans="2:57" x14ac:dyDescent="0.35">
      <c r="B13" s="170" t="s">
        <v>129</v>
      </c>
      <c r="C13" s="80">
        <v>8.25</v>
      </c>
      <c r="D13" s="80">
        <v>8.2299999999999986</v>
      </c>
      <c r="E13" s="80">
        <f>8.2+0.03</f>
        <v>8.2299999999999986</v>
      </c>
      <c r="F13" s="80">
        <v>8.25</v>
      </c>
      <c r="G13" s="80">
        <v>11.200000000000001</v>
      </c>
      <c r="H13" s="80">
        <v>11.200000000000001</v>
      </c>
      <c r="I13" s="80">
        <v>11.23</v>
      </c>
      <c r="J13" s="80"/>
      <c r="L13" s="170" t="s">
        <v>129</v>
      </c>
      <c r="M13" s="80">
        <f>+C13</f>
        <v>8.25</v>
      </c>
      <c r="N13" s="80">
        <f>+F13</f>
        <v>8.25</v>
      </c>
      <c r="O13" s="80">
        <v>8.23</v>
      </c>
      <c r="Q13" s="160" t="s">
        <v>32</v>
      </c>
      <c r="R13" s="161">
        <f>+R12*(1-5%)</f>
        <v>1015.88136</v>
      </c>
      <c r="S13" s="161">
        <f t="shared" ref="S13:AM13" si="6">+S12*(1-5%)</f>
        <v>1036.5009200000002</v>
      </c>
      <c r="T13" s="161">
        <f t="shared" si="6"/>
        <v>1083.1839199999997</v>
      </c>
      <c r="U13" s="161">
        <f t="shared" si="6"/>
        <v>1070.7449999999999</v>
      </c>
      <c r="V13" s="161">
        <f t="shared" si="6"/>
        <v>1092.2339999999999</v>
      </c>
      <c r="W13" s="161">
        <f t="shared" si="6"/>
        <v>1121.9727999999998</v>
      </c>
      <c r="X13" s="161">
        <f t="shared" si="6"/>
        <v>1179.425</v>
      </c>
      <c r="Y13" s="161">
        <f t="shared" si="6"/>
        <v>1223.885</v>
      </c>
      <c r="Z13" s="161">
        <f t="shared" si="6"/>
        <v>1241.9159999999999</v>
      </c>
      <c r="AA13" s="161">
        <f t="shared" si="6"/>
        <v>1295.5149999999999</v>
      </c>
      <c r="AB13" s="161">
        <f t="shared" si="6"/>
        <v>1402.9599999999998</v>
      </c>
      <c r="AC13" s="161">
        <f t="shared" si="6"/>
        <v>1366.5420493150684</v>
      </c>
      <c r="AD13" s="161">
        <f t="shared" si="6"/>
        <v>1365.9136349528299</v>
      </c>
      <c r="AE13" s="161">
        <f t="shared" si="6"/>
        <v>1361.9809405479452</v>
      </c>
      <c r="AF13" s="161" t="e">
        <f t="shared" si="6"/>
        <v>#REF!</v>
      </c>
      <c r="AG13" s="161" t="e">
        <f t="shared" si="6"/>
        <v>#REF!</v>
      </c>
      <c r="AH13" s="161" t="e">
        <f t="shared" si="6"/>
        <v>#REF!</v>
      </c>
      <c r="AI13" s="161" t="e">
        <f t="shared" si="6"/>
        <v>#REF!</v>
      </c>
      <c r="AJ13" s="161" t="e">
        <f t="shared" si="6"/>
        <v>#REF!</v>
      </c>
      <c r="AK13" s="161" t="e">
        <f t="shared" si="6"/>
        <v>#REF!</v>
      </c>
      <c r="AL13" s="161" t="e">
        <f t="shared" si="6"/>
        <v>#REF!</v>
      </c>
      <c r="AM13" s="161" t="e">
        <f t="shared" si="6"/>
        <v>#REF!</v>
      </c>
      <c r="AN13" s="161">
        <v>1267</v>
      </c>
      <c r="AO13" s="161" t="e">
        <f t="shared" ref="AO13:AV13" si="7">+AO12*(1-5%)</f>
        <v>#REF!</v>
      </c>
      <c r="AP13" s="161" t="e">
        <f t="shared" si="7"/>
        <v>#REF!</v>
      </c>
      <c r="AQ13" s="161" t="e">
        <f t="shared" si="7"/>
        <v>#REF!</v>
      </c>
      <c r="AR13" s="161" t="e">
        <f t="shared" si="7"/>
        <v>#REF!</v>
      </c>
      <c r="AS13" s="161" t="e">
        <f t="shared" si="7"/>
        <v>#REF!</v>
      </c>
      <c r="AT13" s="161" t="e">
        <f t="shared" si="7"/>
        <v>#REF!</v>
      </c>
      <c r="AU13" s="161" t="e">
        <f t="shared" si="7"/>
        <v>#REF!</v>
      </c>
      <c r="AV13" s="161" t="e">
        <f t="shared" si="7"/>
        <v>#REF!</v>
      </c>
      <c r="AW13" s="161">
        <v>1327.5</v>
      </c>
      <c r="AX13" s="161">
        <v>1327.5</v>
      </c>
      <c r="AY13" s="161">
        <v>1327.5</v>
      </c>
      <c r="AZ13" s="161">
        <v>1327.5</v>
      </c>
      <c r="BA13" s="161" t="e">
        <f>+#REF!</f>
        <v>#REF!</v>
      </c>
      <c r="BB13" s="203"/>
      <c r="BC13" s="204"/>
      <c r="BD13" s="205"/>
      <c r="BE13" s="206"/>
    </row>
    <row r="14" spans="2:57" x14ac:dyDescent="0.35">
      <c r="B14" s="170" t="s">
        <v>131</v>
      </c>
      <c r="C14" s="80">
        <v>0</v>
      </c>
      <c r="D14" s="80"/>
      <c r="E14" s="80"/>
      <c r="F14" s="80">
        <v>0</v>
      </c>
      <c r="G14" s="80"/>
      <c r="H14" s="80"/>
      <c r="I14" s="80">
        <v>0</v>
      </c>
      <c r="J14" s="80"/>
      <c r="L14" s="170" t="s">
        <v>131</v>
      </c>
      <c r="M14" s="80">
        <f>(M15-M13)</f>
        <v>19.12</v>
      </c>
      <c r="N14" s="80">
        <f>(N15-N13)</f>
        <v>19.14</v>
      </c>
      <c r="O14" s="80">
        <v>19.09</v>
      </c>
      <c r="Q14" s="160"/>
      <c r="R14" s="161"/>
      <c r="S14" s="161"/>
      <c r="T14" s="161"/>
      <c r="U14" s="161"/>
      <c r="V14" s="161"/>
      <c r="W14" s="161"/>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1"/>
      <c r="AU14" s="161"/>
      <c r="AV14" s="161"/>
      <c r="AW14" s="161"/>
      <c r="AX14" s="161"/>
      <c r="AY14" s="161"/>
      <c r="AZ14" s="161"/>
      <c r="BA14" s="161"/>
    </row>
    <row r="15" spans="2:57" x14ac:dyDescent="0.35">
      <c r="B15" s="169" t="s">
        <v>132</v>
      </c>
      <c r="C15" s="80">
        <f>+C13+C14</f>
        <v>8.25</v>
      </c>
      <c r="D15" s="80">
        <f t="shared" ref="D15:I15" si="8">+D13+D14</f>
        <v>8.2299999999999986</v>
      </c>
      <c r="E15" s="80">
        <f t="shared" si="8"/>
        <v>8.2299999999999986</v>
      </c>
      <c r="F15" s="80">
        <f t="shared" si="8"/>
        <v>8.25</v>
      </c>
      <c r="G15" s="80">
        <f t="shared" si="8"/>
        <v>11.200000000000001</v>
      </c>
      <c r="H15" s="80">
        <f t="shared" si="8"/>
        <v>11.200000000000001</v>
      </c>
      <c r="I15" s="80">
        <f t="shared" si="8"/>
        <v>11.23</v>
      </c>
      <c r="J15" s="80"/>
      <c r="L15" s="169" t="s">
        <v>132</v>
      </c>
      <c r="M15" s="80">
        <v>27.37</v>
      </c>
      <c r="N15" s="80">
        <v>27.39</v>
      </c>
      <c r="O15" s="80">
        <v>2.1800000000000002</v>
      </c>
      <c r="Q15" s="128" t="s">
        <v>100</v>
      </c>
      <c r="R15" s="128" t="s">
        <v>18</v>
      </c>
      <c r="S15" s="128" t="s">
        <v>18</v>
      </c>
      <c r="T15" s="128" t="s">
        <v>18</v>
      </c>
      <c r="U15" s="128" t="s">
        <v>18</v>
      </c>
      <c r="V15" s="128" t="s">
        <v>18</v>
      </c>
      <c r="W15" s="128" t="s">
        <v>18</v>
      </c>
      <c r="X15" s="128" t="s">
        <v>18</v>
      </c>
      <c r="Y15" s="128" t="s">
        <v>18</v>
      </c>
      <c r="Z15" s="128" t="s">
        <v>18</v>
      </c>
      <c r="AA15" s="128" t="s">
        <v>18</v>
      </c>
      <c r="AB15" s="128" t="s">
        <v>18</v>
      </c>
      <c r="AC15" s="128" t="s">
        <v>18</v>
      </c>
      <c r="AD15" s="128" t="s">
        <v>18</v>
      </c>
      <c r="AE15" s="128" t="s">
        <v>18</v>
      </c>
      <c r="AF15" s="128" t="s">
        <v>18</v>
      </c>
      <c r="AG15" s="128" t="s">
        <v>18</v>
      </c>
      <c r="AH15" s="128" t="s">
        <v>18</v>
      </c>
      <c r="AI15" s="128" t="s">
        <v>18</v>
      </c>
      <c r="AJ15" s="129">
        <v>0</v>
      </c>
      <c r="AK15" s="129">
        <f>+BD15</f>
        <v>0</v>
      </c>
      <c r="AL15" s="129">
        <v>15.097681007201158</v>
      </c>
      <c r="AM15" s="129">
        <v>15.162458159293488</v>
      </c>
      <c r="AN15" s="129">
        <f t="shared" ref="AN15:BA15" si="9">((((AN13*4.5%)/365)*210))*50%</f>
        <v>16.401575342465755</v>
      </c>
      <c r="AO15" s="129" t="e">
        <f t="shared" si="9"/>
        <v>#REF!</v>
      </c>
      <c r="AP15" s="129" t="e">
        <f t="shared" si="9"/>
        <v>#REF!</v>
      </c>
      <c r="AQ15" s="129" t="e">
        <f t="shared" si="9"/>
        <v>#REF!</v>
      </c>
      <c r="AR15" s="129" t="e">
        <f t="shared" si="9"/>
        <v>#REF!</v>
      </c>
      <c r="AS15" s="129" t="e">
        <f t="shared" si="9"/>
        <v>#REF!</v>
      </c>
      <c r="AT15" s="129" t="e">
        <f t="shared" si="9"/>
        <v>#REF!</v>
      </c>
      <c r="AU15" s="129" t="e">
        <f t="shared" si="9"/>
        <v>#REF!</v>
      </c>
      <c r="AV15" s="129" t="e">
        <f t="shared" si="9"/>
        <v>#REF!</v>
      </c>
      <c r="AW15" s="129">
        <f t="shared" si="9"/>
        <v>17.184760273972604</v>
      </c>
      <c r="AX15" s="129">
        <f t="shared" si="9"/>
        <v>17.184760273972604</v>
      </c>
      <c r="AY15" s="129">
        <f t="shared" si="9"/>
        <v>17.184760273972604</v>
      </c>
      <c r="AZ15" s="129">
        <f t="shared" si="9"/>
        <v>17.184760273972604</v>
      </c>
      <c r="BA15" s="129" t="e">
        <f t="shared" si="9"/>
        <v>#REF!</v>
      </c>
      <c r="BB15" s="203"/>
      <c r="BC15" s="204"/>
      <c r="BD15" s="207"/>
      <c r="BE15" s="206"/>
    </row>
    <row r="16" spans="2:57" x14ac:dyDescent="0.35">
      <c r="B16" s="170" t="s">
        <v>31</v>
      </c>
      <c r="C16" s="80">
        <v>1.92</v>
      </c>
      <c r="D16" s="80">
        <v>1.5</v>
      </c>
      <c r="E16" s="80">
        <v>1.83</v>
      </c>
      <c r="F16" s="80">
        <v>2.2200000000000002</v>
      </c>
      <c r="G16" s="80">
        <v>3.45</v>
      </c>
      <c r="H16" s="80">
        <v>3.45</v>
      </c>
      <c r="I16" s="80">
        <v>4.13</v>
      </c>
      <c r="J16" s="80"/>
      <c r="L16" s="170" t="s">
        <v>31</v>
      </c>
      <c r="M16" s="80">
        <v>0.9</v>
      </c>
      <c r="N16" s="80">
        <v>2.1800000000000002</v>
      </c>
      <c r="O16" s="80">
        <v>4.3</v>
      </c>
      <c r="Q16" s="179" t="s">
        <v>101</v>
      </c>
      <c r="R16" s="179"/>
      <c r="S16" s="179"/>
      <c r="T16" s="179"/>
      <c r="U16" s="179"/>
      <c r="V16" s="179"/>
      <c r="W16" s="179"/>
      <c r="X16" s="179"/>
      <c r="Y16" s="179"/>
      <c r="Z16" s="179"/>
      <c r="AA16" s="179"/>
      <c r="AB16" s="179"/>
      <c r="AC16" s="179"/>
      <c r="AD16" s="179"/>
      <c r="AE16" s="179"/>
      <c r="AF16" s="179"/>
      <c r="AG16" s="179"/>
      <c r="AH16" s="179"/>
      <c r="AI16" s="179"/>
      <c r="AJ16" s="180"/>
      <c r="AK16" s="180" t="e">
        <f t="shared" ref="AK16:BA16" si="10">+AK13+AK15</f>
        <v>#REF!</v>
      </c>
      <c r="AL16" s="180" t="e">
        <f t="shared" si="10"/>
        <v>#REF!</v>
      </c>
      <c r="AM16" s="180" t="e">
        <f t="shared" si="10"/>
        <v>#REF!</v>
      </c>
      <c r="AN16" s="180">
        <f t="shared" si="10"/>
        <v>1283.4015753424658</v>
      </c>
      <c r="AO16" s="180" t="e">
        <f t="shared" si="10"/>
        <v>#REF!</v>
      </c>
      <c r="AP16" s="180" t="e">
        <f t="shared" si="10"/>
        <v>#REF!</v>
      </c>
      <c r="AQ16" s="180" t="e">
        <f t="shared" si="10"/>
        <v>#REF!</v>
      </c>
      <c r="AR16" s="180" t="e">
        <f t="shared" si="10"/>
        <v>#REF!</v>
      </c>
      <c r="AS16" s="180" t="e">
        <f t="shared" si="10"/>
        <v>#REF!</v>
      </c>
      <c r="AT16" s="180" t="e">
        <f t="shared" si="10"/>
        <v>#REF!</v>
      </c>
      <c r="AU16" s="180" t="e">
        <f t="shared" si="10"/>
        <v>#REF!</v>
      </c>
      <c r="AV16" s="180" t="e">
        <f t="shared" si="10"/>
        <v>#REF!</v>
      </c>
      <c r="AW16" s="180">
        <f t="shared" si="10"/>
        <v>1344.6847602739726</v>
      </c>
      <c r="AX16" s="180">
        <f t="shared" si="10"/>
        <v>1344.6847602739726</v>
      </c>
      <c r="AY16" s="180">
        <f t="shared" si="10"/>
        <v>1344.6847602739726</v>
      </c>
      <c r="AZ16" s="180">
        <f t="shared" si="10"/>
        <v>1344.6847602739726</v>
      </c>
      <c r="BA16" s="180" t="e">
        <f t="shared" si="10"/>
        <v>#REF!</v>
      </c>
      <c r="BB16" s="203"/>
      <c r="BC16" s="204"/>
      <c r="BD16" s="205"/>
      <c r="BE16" s="206"/>
    </row>
    <row r="17" spans="1:58" x14ac:dyDescent="0.35">
      <c r="A17" s="81" t="s">
        <v>38</v>
      </c>
      <c r="B17" s="170" t="s">
        <v>34</v>
      </c>
      <c r="C17" s="80">
        <v>0.19</v>
      </c>
      <c r="D17" s="80">
        <v>0.19</v>
      </c>
      <c r="E17" s="80">
        <v>0.19</v>
      </c>
      <c r="F17" s="80">
        <v>0.19</v>
      </c>
      <c r="G17" s="80">
        <v>0.33</v>
      </c>
      <c r="H17" s="80">
        <v>0.33</v>
      </c>
      <c r="I17" s="80">
        <v>0.33</v>
      </c>
      <c r="J17" s="80"/>
      <c r="L17" s="170" t="s">
        <v>34</v>
      </c>
      <c r="M17" s="80">
        <v>4.3</v>
      </c>
      <c r="N17" s="80">
        <v>4.3</v>
      </c>
      <c r="O17" s="80">
        <v>8.36</v>
      </c>
      <c r="Q17" s="157" t="s">
        <v>96</v>
      </c>
      <c r="R17" s="158">
        <f t="shared" ref="R17:AH17" si="11">+R12*75%+R13*25%</f>
        <v>1055.9819400000001</v>
      </c>
      <c r="S17" s="158">
        <f t="shared" si="11"/>
        <v>1077.4154300000002</v>
      </c>
      <c r="T17" s="158">
        <f t="shared" si="11"/>
        <v>1125.9411799999998</v>
      </c>
      <c r="U17" s="158">
        <f t="shared" si="11"/>
        <v>1113.01125</v>
      </c>
      <c r="V17" s="158">
        <f t="shared" si="11"/>
        <v>1135.3485000000001</v>
      </c>
      <c r="W17" s="158">
        <f t="shared" si="11"/>
        <v>1166.2611999999999</v>
      </c>
      <c r="X17" s="158">
        <f t="shared" si="11"/>
        <v>1225.98125</v>
      </c>
      <c r="Y17" s="158">
        <f t="shared" si="11"/>
        <v>1272.19625</v>
      </c>
      <c r="Z17" s="158">
        <f t="shared" si="11"/>
        <v>1290.9390000000001</v>
      </c>
      <c r="AA17" s="158">
        <f t="shared" si="11"/>
        <v>1346.6537499999999</v>
      </c>
      <c r="AB17" s="158">
        <f t="shared" si="11"/>
        <v>1458.34</v>
      </c>
      <c r="AC17" s="158">
        <f t="shared" si="11"/>
        <v>1420.4844986301368</v>
      </c>
      <c r="AD17" s="158">
        <f t="shared" si="11"/>
        <v>1419.8312784378102</v>
      </c>
      <c r="AE17" s="158">
        <f t="shared" si="11"/>
        <v>1415.7433460958905</v>
      </c>
      <c r="AF17" s="158" t="e">
        <f t="shared" si="11"/>
        <v>#REF!</v>
      </c>
      <c r="AG17" s="158" t="e">
        <f t="shared" si="11"/>
        <v>#REF!</v>
      </c>
      <c r="AH17" s="158" t="e">
        <f t="shared" si="11"/>
        <v>#REF!</v>
      </c>
      <c r="AI17" s="158" t="e">
        <f>+AI12*50%+AI13*50%</f>
        <v>#REF!</v>
      </c>
      <c r="AJ17" s="158" t="e">
        <f>+AJ12*50%+AJ13*50%</f>
        <v>#REF!</v>
      </c>
      <c r="AK17" s="158" t="e">
        <f t="shared" ref="AK17:BA17" si="12">+AK12*50%+AK16*50%</f>
        <v>#REF!</v>
      </c>
      <c r="AL17" s="158" t="e">
        <f t="shared" si="12"/>
        <v>#REF!</v>
      </c>
      <c r="AM17" s="158" t="e">
        <f t="shared" si="12"/>
        <v>#REF!</v>
      </c>
      <c r="AN17" s="158" t="e">
        <f t="shared" si="12"/>
        <v>#REF!</v>
      </c>
      <c r="AO17" s="158" t="e">
        <f t="shared" si="12"/>
        <v>#REF!</v>
      </c>
      <c r="AP17" s="158" t="e">
        <f t="shared" si="12"/>
        <v>#REF!</v>
      </c>
      <c r="AQ17" s="158" t="e">
        <f t="shared" si="12"/>
        <v>#REF!</v>
      </c>
      <c r="AR17" s="158" t="e">
        <f t="shared" si="12"/>
        <v>#REF!</v>
      </c>
      <c r="AS17" s="158" t="e">
        <f t="shared" si="12"/>
        <v>#REF!</v>
      </c>
      <c r="AT17" s="158" t="e">
        <f t="shared" si="12"/>
        <v>#REF!</v>
      </c>
      <c r="AU17" s="158" t="e">
        <f t="shared" si="12"/>
        <v>#REF!</v>
      </c>
      <c r="AV17" s="158" t="e">
        <f t="shared" si="12"/>
        <v>#REF!</v>
      </c>
      <c r="AW17" s="158" t="e">
        <f t="shared" si="12"/>
        <v>#REF!</v>
      </c>
      <c r="AX17" s="158" t="e">
        <f t="shared" si="12"/>
        <v>#REF!</v>
      </c>
      <c r="AY17" s="158" t="e">
        <f t="shared" si="12"/>
        <v>#REF!</v>
      </c>
      <c r="AZ17" s="158" t="e">
        <f t="shared" si="12"/>
        <v>#REF!</v>
      </c>
      <c r="BA17" s="158" t="e">
        <f t="shared" si="12"/>
        <v>#REF!</v>
      </c>
      <c r="BB17" s="80"/>
      <c r="BC17" s="80"/>
      <c r="BD17" s="80"/>
    </row>
    <row r="18" spans="1:58" x14ac:dyDescent="0.35">
      <c r="B18" s="170" t="s">
        <v>36</v>
      </c>
      <c r="C18" s="80">
        <v>0.16</v>
      </c>
      <c r="D18" s="80">
        <v>0.16</v>
      </c>
      <c r="E18" s="80">
        <v>0.16</v>
      </c>
      <c r="F18" s="80">
        <v>0.16</v>
      </c>
      <c r="G18" s="80">
        <v>0.28000000000000003</v>
      </c>
      <c r="H18" s="80">
        <v>0.28000000000000003</v>
      </c>
      <c r="I18" s="80">
        <v>0.28000000000000003</v>
      </c>
      <c r="J18" s="80"/>
      <c r="L18" s="170" t="s">
        <v>36</v>
      </c>
      <c r="M18" s="80">
        <v>8.36</v>
      </c>
      <c r="N18" s="80">
        <v>8.36</v>
      </c>
      <c r="O18" s="84" t="e">
        <f t="shared" ref="O18" si="13">+O12+O13+O15+O16+O17+O14</f>
        <v>#REF!</v>
      </c>
      <c r="Q18" s="113" t="s">
        <v>37</v>
      </c>
      <c r="R18" s="118">
        <f>+R17*1%</f>
        <v>10.559819400000002</v>
      </c>
      <c r="S18" s="118">
        <f t="shared" ref="S18:BA18" si="14">+S17*1%</f>
        <v>10.774154300000003</v>
      </c>
      <c r="T18" s="118">
        <f t="shared" si="14"/>
        <v>11.259411799999999</v>
      </c>
      <c r="U18" s="118">
        <f t="shared" si="14"/>
        <v>11.130112500000001</v>
      </c>
      <c r="V18" s="118">
        <f t="shared" si="14"/>
        <v>11.353485000000001</v>
      </c>
      <c r="W18" s="118">
        <f t="shared" si="14"/>
        <v>11.662611999999999</v>
      </c>
      <c r="X18" s="118">
        <f t="shared" si="14"/>
        <v>12.259812500000001</v>
      </c>
      <c r="Y18" s="118">
        <f t="shared" si="14"/>
        <v>12.7219625</v>
      </c>
      <c r="Z18" s="118">
        <f t="shared" si="14"/>
        <v>12.909390000000002</v>
      </c>
      <c r="AA18" s="118">
        <f t="shared" si="14"/>
        <v>13.466537499999999</v>
      </c>
      <c r="AB18" s="118">
        <f t="shared" si="14"/>
        <v>14.583399999999999</v>
      </c>
      <c r="AC18" s="118">
        <f t="shared" si="14"/>
        <v>14.204844986301369</v>
      </c>
      <c r="AD18" s="118">
        <f t="shared" si="14"/>
        <v>14.198312784378102</v>
      </c>
      <c r="AE18" s="118">
        <f t="shared" si="14"/>
        <v>14.157433460958906</v>
      </c>
      <c r="AF18" s="118" t="e">
        <f t="shared" si="14"/>
        <v>#REF!</v>
      </c>
      <c r="AG18" s="118" t="e">
        <f t="shared" si="14"/>
        <v>#REF!</v>
      </c>
      <c r="AH18" s="118" t="e">
        <f t="shared" si="14"/>
        <v>#REF!</v>
      </c>
      <c r="AI18" s="118" t="e">
        <f t="shared" si="14"/>
        <v>#REF!</v>
      </c>
      <c r="AJ18" s="118" t="e">
        <f t="shared" si="14"/>
        <v>#REF!</v>
      </c>
      <c r="AK18" s="118" t="e">
        <f t="shared" si="14"/>
        <v>#REF!</v>
      </c>
      <c r="AL18" s="118" t="e">
        <f t="shared" si="14"/>
        <v>#REF!</v>
      </c>
      <c r="AM18" s="118" t="e">
        <f t="shared" si="14"/>
        <v>#REF!</v>
      </c>
      <c r="AN18" s="118" t="e">
        <f t="shared" si="14"/>
        <v>#REF!</v>
      </c>
      <c r="AO18" s="118" t="e">
        <f t="shared" si="14"/>
        <v>#REF!</v>
      </c>
      <c r="AP18" s="118" t="e">
        <f t="shared" si="14"/>
        <v>#REF!</v>
      </c>
      <c r="AQ18" s="118" t="e">
        <f t="shared" si="14"/>
        <v>#REF!</v>
      </c>
      <c r="AR18" s="118" t="e">
        <f t="shared" si="14"/>
        <v>#REF!</v>
      </c>
      <c r="AS18" s="118" t="e">
        <f t="shared" si="14"/>
        <v>#REF!</v>
      </c>
      <c r="AT18" s="118" t="e">
        <f t="shared" si="14"/>
        <v>#REF!</v>
      </c>
      <c r="AU18" s="118" t="e">
        <f t="shared" si="14"/>
        <v>#REF!</v>
      </c>
      <c r="AV18" s="118" t="e">
        <f t="shared" si="14"/>
        <v>#REF!</v>
      </c>
      <c r="AW18" s="118" t="e">
        <f t="shared" si="14"/>
        <v>#REF!</v>
      </c>
      <c r="AX18" s="118" t="e">
        <f t="shared" si="14"/>
        <v>#REF!</v>
      </c>
      <c r="AY18" s="118" t="e">
        <f t="shared" si="14"/>
        <v>#REF!</v>
      </c>
      <c r="AZ18" s="118" t="e">
        <f t="shared" si="14"/>
        <v>#REF!</v>
      </c>
      <c r="BA18" s="118" t="e">
        <f t="shared" si="14"/>
        <v>#REF!</v>
      </c>
      <c r="BB18" s="79"/>
      <c r="BC18" s="80"/>
      <c r="BD18" s="84"/>
    </row>
    <row r="19" spans="1:58" x14ac:dyDescent="0.35">
      <c r="B19" s="169" t="s">
        <v>39</v>
      </c>
      <c r="C19" s="84" t="e">
        <f>+C12+C15+C16+C17+C18</f>
        <v>#REF!</v>
      </c>
      <c r="D19" s="84" t="e">
        <f t="shared" ref="D19:I19" si="15">+D12+D15+D16+D17+D18</f>
        <v>#REF!</v>
      </c>
      <c r="E19" s="84" t="e">
        <f t="shared" si="15"/>
        <v>#REF!</v>
      </c>
      <c r="F19" s="84" t="e">
        <f t="shared" si="15"/>
        <v>#REF!</v>
      </c>
      <c r="G19" s="84" t="e">
        <f t="shared" si="15"/>
        <v>#REF!</v>
      </c>
      <c r="H19" s="84" t="e">
        <f t="shared" si="15"/>
        <v>#REF!</v>
      </c>
      <c r="I19" s="84" t="e">
        <f t="shared" si="15"/>
        <v>#REF!</v>
      </c>
      <c r="J19" s="84"/>
      <c r="L19" s="169" t="s">
        <v>39</v>
      </c>
      <c r="M19" s="84" t="e">
        <f>+M12+M15+M16+M17+M18</f>
        <v>#REF!</v>
      </c>
      <c r="N19" s="84" t="e">
        <f t="shared" ref="N19" si="16">+N12+N15+N16+N17+N18</f>
        <v>#REF!</v>
      </c>
      <c r="Q19" s="113" t="s">
        <v>74</v>
      </c>
      <c r="R19" s="115">
        <f>+R18+R17</f>
        <v>1066.5417594</v>
      </c>
      <c r="S19" s="115">
        <f t="shared" ref="S19:AV19" si="17">+S18+S17</f>
        <v>1088.1895843000002</v>
      </c>
      <c r="T19" s="115">
        <f t="shared" si="17"/>
        <v>1137.2005917999998</v>
      </c>
      <c r="U19" s="115">
        <f t="shared" si="17"/>
        <v>1124.1413625</v>
      </c>
      <c r="V19" s="115">
        <f t="shared" si="17"/>
        <v>1146.7019850000001</v>
      </c>
      <c r="W19" s="115">
        <f t="shared" si="17"/>
        <v>1177.923812</v>
      </c>
      <c r="X19" s="115">
        <f t="shared" si="17"/>
        <v>1238.2410625</v>
      </c>
      <c r="Y19" s="115">
        <f t="shared" si="17"/>
        <v>1284.9182125</v>
      </c>
      <c r="Z19" s="115">
        <f t="shared" si="17"/>
        <v>1303.8483900000001</v>
      </c>
      <c r="AA19" s="115">
        <f t="shared" si="17"/>
        <v>1360.1202874999999</v>
      </c>
      <c r="AB19" s="115">
        <f t="shared" si="17"/>
        <v>1472.9233999999999</v>
      </c>
      <c r="AC19" s="115">
        <f t="shared" si="17"/>
        <v>1434.6893436164382</v>
      </c>
      <c r="AD19" s="115">
        <f t="shared" si="17"/>
        <v>1434.0295912221882</v>
      </c>
      <c r="AE19" s="115">
        <f t="shared" si="17"/>
        <v>1429.9007795568493</v>
      </c>
      <c r="AF19" s="115" t="e">
        <f t="shared" si="17"/>
        <v>#REF!</v>
      </c>
      <c r="AG19" s="115" t="e">
        <f t="shared" si="17"/>
        <v>#REF!</v>
      </c>
      <c r="AH19" s="115" t="e">
        <f t="shared" si="17"/>
        <v>#REF!</v>
      </c>
      <c r="AI19" s="115" t="e">
        <f t="shared" si="17"/>
        <v>#REF!</v>
      </c>
      <c r="AJ19" s="115" t="e">
        <f t="shared" si="17"/>
        <v>#REF!</v>
      </c>
      <c r="AK19" s="115" t="e">
        <f t="shared" si="17"/>
        <v>#REF!</v>
      </c>
      <c r="AL19" s="115" t="e">
        <f t="shared" si="17"/>
        <v>#REF!</v>
      </c>
      <c r="AM19" s="115" t="e">
        <f t="shared" si="17"/>
        <v>#REF!</v>
      </c>
      <c r="AN19" s="115" t="e">
        <f t="shared" si="17"/>
        <v>#REF!</v>
      </c>
      <c r="AO19" s="115" t="e">
        <f t="shared" si="17"/>
        <v>#REF!</v>
      </c>
      <c r="AP19" s="115" t="e">
        <f t="shared" si="17"/>
        <v>#REF!</v>
      </c>
      <c r="AQ19" s="115" t="e">
        <f t="shared" si="17"/>
        <v>#REF!</v>
      </c>
      <c r="AR19" s="115" t="e">
        <f t="shared" si="17"/>
        <v>#REF!</v>
      </c>
      <c r="AS19" s="115" t="e">
        <f t="shared" si="17"/>
        <v>#REF!</v>
      </c>
      <c r="AT19" s="115" t="e">
        <f t="shared" si="17"/>
        <v>#REF!</v>
      </c>
      <c r="AU19" s="115" t="e">
        <f t="shared" si="17"/>
        <v>#REF!</v>
      </c>
      <c r="AV19" s="115" t="e">
        <f t="shared" si="17"/>
        <v>#REF!</v>
      </c>
      <c r="AW19" s="115" t="e">
        <f>+AW18+AW17</f>
        <v>#REF!</v>
      </c>
      <c r="AX19" s="115" t="e">
        <f>+AX18+AX17</f>
        <v>#REF!</v>
      </c>
      <c r="AY19" s="115" t="e">
        <f>+AY18+AY17</f>
        <v>#REF!</v>
      </c>
      <c r="AZ19" s="115" t="e">
        <f>+AZ18+AZ17</f>
        <v>#REF!</v>
      </c>
      <c r="BA19" s="115" t="e">
        <f>+BA18+BA17</f>
        <v>#REF!</v>
      </c>
      <c r="BB19" s="181"/>
      <c r="BC19" s="84"/>
      <c r="BD19" s="84"/>
      <c r="BF19" s="182"/>
    </row>
    <row r="20" spans="1:58" x14ac:dyDescent="0.35">
      <c r="C20" s="235"/>
      <c r="F20" s="235"/>
      <c r="I20" s="235"/>
      <c r="M20" s="84"/>
      <c r="N20" s="84"/>
      <c r="O20" s="84"/>
      <c r="Q20" s="85"/>
      <c r="R20" s="120" t="e">
        <f>+#REF!</f>
        <v>#REF!</v>
      </c>
      <c r="S20" s="120" t="e">
        <f>+R20</f>
        <v>#REF!</v>
      </c>
      <c r="T20" s="120" t="e">
        <f>+S20</f>
        <v>#REF!</v>
      </c>
      <c r="U20" s="120" t="e">
        <f>+T20</f>
        <v>#REF!</v>
      </c>
      <c r="V20" s="120" t="e">
        <f t="shared" ref="V20:AG20" si="18">+U20</f>
        <v>#REF!</v>
      </c>
      <c r="W20" s="120" t="e">
        <f t="shared" si="18"/>
        <v>#REF!</v>
      </c>
      <c r="X20" s="120" t="e">
        <f t="shared" si="18"/>
        <v>#REF!</v>
      </c>
      <c r="Y20" s="120" t="e">
        <f t="shared" si="18"/>
        <v>#REF!</v>
      </c>
      <c r="Z20" s="120" t="e">
        <f t="shared" si="18"/>
        <v>#REF!</v>
      </c>
      <c r="AA20" s="120" t="e">
        <f t="shared" si="18"/>
        <v>#REF!</v>
      </c>
      <c r="AB20" s="120" t="e">
        <f t="shared" si="18"/>
        <v>#REF!</v>
      </c>
      <c r="AC20" s="120" t="e">
        <f t="shared" si="18"/>
        <v>#REF!</v>
      </c>
      <c r="AD20" s="120" t="e">
        <f t="shared" si="18"/>
        <v>#REF!</v>
      </c>
      <c r="AE20" s="120" t="e">
        <f t="shared" si="18"/>
        <v>#REF!</v>
      </c>
      <c r="AF20" s="120" t="e">
        <f t="shared" si="18"/>
        <v>#REF!</v>
      </c>
      <c r="AG20" s="120" t="e">
        <f t="shared" si="18"/>
        <v>#REF!</v>
      </c>
      <c r="AH20" s="120"/>
      <c r="AI20" s="120"/>
      <c r="AJ20" s="120"/>
      <c r="AK20" s="120"/>
      <c r="AL20" s="120"/>
      <c r="AM20" s="120"/>
      <c r="AN20" s="120"/>
      <c r="AO20" s="120"/>
      <c r="AP20" s="120"/>
      <c r="AQ20" s="120"/>
      <c r="AR20" s="120"/>
      <c r="AS20" s="120"/>
      <c r="AT20" s="120"/>
      <c r="AU20" s="120"/>
      <c r="AV20" s="120"/>
      <c r="AW20" s="120"/>
      <c r="AX20" s="120"/>
      <c r="AY20" s="120"/>
      <c r="AZ20" s="120"/>
      <c r="BA20" s="120"/>
      <c r="BC20" s="84"/>
      <c r="BD20" s="82"/>
    </row>
    <row r="21" spans="1:58" x14ac:dyDescent="0.35">
      <c r="B21" s="169"/>
      <c r="C21" s="84"/>
      <c r="D21" s="84"/>
      <c r="E21" s="84"/>
      <c r="F21" s="84"/>
      <c r="G21" s="84"/>
      <c r="H21" s="84"/>
      <c r="I21" s="84"/>
      <c r="J21" s="84"/>
      <c r="K21" s="94"/>
      <c r="M21" s="84"/>
      <c r="N21" s="84"/>
      <c r="Q21" s="82"/>
      <c r="R21" s="82"/>
      <c r="S21" s="82"/>
      <c r="U21" s="94"/>
      <c r="V21" s="94"/>
      <c r="W21" s="94"/>
      <c r="X21" s="94"/>
      <c r="Y21" s="94"/>
      <c r="Z21" s="94"/>
      <c r="AA21" s="94"/>
      <c r="AB21" s="94"/>
      <c r="AC21" s="94"/>
      <c r="AD21" s="94"/>
      <c r="AE21" s="94"/>
      <c r="AF21" s="94"/>
      <c r="AG21" s="94"/>
      <c r="AH21" s="94"/>
      <c r="AI21" s="94"/>
      <c r="AJ21" s="94"/>
      <c r="AK21" s="94"/>
      <c r="AL21" s="94"/>
      <c r="AM21" s="94"/>
      <c r="AN21" s="94"/>
      <c r="AO21" s="94"/>
      <c r="AP21" s="94"/>
      <c r="AQ21" s="94"/>
      <c r="AR21" s="94"/>
      <c r="AS21" s="94"/>
      <c r="AT21" s="94"/>
      <c r="AU21" s="94"/>
      <c r="AV21" s="94"/>
      <c r="AW21" s="94"/>
      <c r="AX21" s="94"/>
      <c r="AY21" s="94"/>
      <c r="AZ21" s="94"/>
      <c r="BA21" s="94"/>
      <c r="BC21" s="82"/>
      <c r="BD21" s="82"/>
    </row>
    <row r="22" spans="1:58" x14ac:dyDescent="0.35">
      <c r="C22" s="132"/>
      <c r="D22" s="132"/>
      <c r="E22" s="132"/>
      <c r="F22" s="132"/>
      <c r="G22" s="132"/>
      <c r="H22" s="132"/>
      <c r="I22" s="132"/>
      <c r="K22" s="94"/>
      <c r="BC22" s="82"/>
    </row>
    <row r="23" spans="1:58" x14ac:dyDescent="0.35">
      <c r="M23" s="86"/>
      <c r="O23" s="201"/>
    </row>
    <row r="24" spans="1:58" x14ac:dyDescent="0.35">
      <c r="C24" s="201"/>
      <c r="F24" s="201"/>
      <c r="I24" s="201"/>
      <c r="M24" s="201"/>
      <c r="N24" s="201"/>
    </row>
    <row r="25" spans="1:58" x14ac:dyDescent="0.35">
      <c r="F25" s="201">
        <f>+F24-F22</f>
        <v>0</v>
      </c>
    </row>
    <row r="27" spans="1:58" x14ac:dyDescent="0.35">
      <c r="AH27" s="164"/>
    </row>
    <row r="28" spans="1:58" x14ac:dyDescent="0.35">
      <c r="N28" s="123"/>
    </row>
    <row r="34" spans="1:58" s="82" customFormat="1" x14ac:dyDescent="0.35">
      <c r="A34" s="81"/>
      <c r="B34" s="173"/>
      <c r="J34" s="81"/>
      <c r="K34" s="81"/>
      <c r="L34" s="173"/>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c r="AY34" s="81"/>
      <c r="AZ34" s="81"/>
      <c r="BA34" s="81"/>
      <c r="BB34" s="81"/>
      <c r="BC34" s="81"/>
      <c r="BD34" s="81"/>
      <c r="BE34" s="81"/>
      <c r="BF34" s="81"/>
    </row>
    <row r="35" spans="1:58" x14ac:dyDescent="0.35">
      <c r="C35" s="132"/>
      <c r="F35" s="132"/>
      <c r="I35" s="132"/>
    </row>
    <row r="37" spans="1:58" x14ac:dyDescent="0.35">
      <c r="C37" s="225"/>
      <c r="D37" s="225"/>
      <c r="E37" s="225"/>
      <c r="F37" s="225"/>
      <c r="G37" s="225"/>
      <c r="H37" s="225"/>
      <c r="I37" s="225"/>
    </row>
    <row r="38" spans="1:58" x14ac:dyDescent="0.35">
      <c r="C38" s="224"/>
      <c r="F38" s="224"/>
      <c r="I38" s="224"/>
    </row>
  </sheetData>
  <mergeCells count="6">
    <mergeCell ref="Q1:BD1"/>
    <mergeCell ref="B2:D2"/>
    <mergeCell ref="Q2:R2"/>
    <mergeCell ref="BB2:BC2"/>
    <mergeCell ref="B3:D3"/>
    <mergeCell ref="BB3:BC3"/>
  </mergeCells>
  <pageMargins left="0.7" right="0.7" top="0.75" bottom="0.75" header="0.3" footer="0.3"/>
  <pageSetup paperSize="9" orientation="portrait" r:id="rId1"/>
  <customProperties>
    <customPr name="EpmWorksheetKeyString_GUID" r:id="rId2"/>
  </customProperties>
  <drawing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B8DAA-CA37-47A4-98A1-ADB7E2494080}">
  <sheetPr>
    <tabColor theme="7"/>
  </sheetPr>
  <dimension ref="D3:N19"/>
  <sheetViews>
    <sheetView showGridLines="0" workbookViewId="0">
      <selection activeCell="J7" sqref="J7"/>
    </sheetView>
  </sheetViews>
  <sheetFormatPr defaultRowHeight="14.5" x14ac:dyDescent="0.35"/>
  <cols>
    <col min="3" max="3" width="10.81640625" customWidth="1"/>
    <col min="5" max="5" width="13.26953125" bestFit="1" customWidth="1"/>
    <col min="6" max="6" width="20.1796875" bestFit="1" customWidth="1"/>
    <col min="7" max="7" width="15.1796875" bestFit="1" customWidth="1"/>
    <col min="8" max="8" width="17.08984375" customWidth="1"/>
    <col min="9" max="9" width="16.90625" customWidth="1"/>
    <col min="10" max="10" width="23.81640625" bestFit="1" customWidth="1"/>
    <col min="11" max="11" width="23.81640625" customWidth="1"/>
    <col min="12" max="12" width="20.26953125" customWidth="1"/>
    <col min="13" max="13" width="16.54296875" customWidth="1"/>
    <col min="14" max="14" width="47.453125" bestFit="1" customWidth="1"/>
    <col min="15" max="15" width="18" customWidth="1"/>
  </cols>
  <sheetData>
    <row r="3" spans="4:14" x14ac:dyDescent="0.35">
      <c r="D3" s="71" t="s">
        <v>477</v>
      </c>
    </row>
    <row r="4" spans="4:14" x14ac:dyDescent="0.35">
      <c r="I4" s="71"/>
    </row>
    <row r="9" spans="4:14" ht="15" thickBot="1" x14ac:dyDescent="0.4">
      <c r="H9" t="s">
        <v>478</v>
      </c>
      <c r="L9" s="71" t="s">
        <v>479</v>
      </c>
    </row>
    <row r="10" spans="4:14" x14ac:dyDescent="0.35">
      <c r="L10" s="537" t="s">
        <v>480</v>
      </c>
      <c r="M10" s="538" t="s">
        <v>481</v>
      </c>
      <c r="N10" s="539" t="s">
        <v>482</v>
      </c>
    </row>
    <row r="11" spans="4:14" x14ac:dyDescent="0.35">
      <c r="H11" t="s">
        <v>483</v>
      </c>
      <c r="I11" t="s">
        <v>484</v>
      </c>
      <c r="J11" s="579" t="s">
        <v>485</v>
      </c>
      <c r="L11" s="418" t="s">
        <v>486</v>
      </c>
      <c r="M11" s="263" t="s">
        <v>487</v>
      </c>
      <c r="N11" s="540">
        <v>821</v>
      </c>
    </row>
    <row r="12" spans="4:14" x14ac:dyDescent="0.35">
      <c r="H12" t="s">
        <v>488</v>
      </c>
      <c r="I12" t="s">
        <v>489</v>
      </c>
      <c r="J12" s="579"/>
      <c r="L12" s="418" t="s">
        <v>490</v>
      </c>
      <c r="M12" s="263"/>
      <c r="N12" s="540">
        <v>225</v>
      </c>
    </row>
    <row r="13" spans="4:14" x14ac:dyDescent="0.35">
      <c r="I13" t="s">
        <v>491</v>
      </c>
      <c r="J13" s="579"/>
      <c r="L13" s="418" t="s">
        <v>492</v>
      </c>
      <c r="M13" s="263" t="s">
        <v>18</v>
      </c>
      <c r="N13" s="540">
        <v>0</v>
      </c>
    </row>
    <row r="14" spans="4:14" ht="15" thickBot="1" x14ac:dyDescent="0.4">
      <c r="H14" t="s">
        <v>493</v>
      </c>
      <c r="J14" s="579"/>
      <c r="L14" s="541" t="s">
        <v>494</v>
      </c>
      <c r="M14" s="542" t="s">
        <v>495</v>
      </c>
      <c r="N14" s="543">
        <f>SUM(N11:N13)</f>
        <v>1046</v>
      </c>
    </row>
    <row r="15" spans="4:14" x14ac:dyDescent="0.35">
      <c r="H15" t="s">
        <v>496</v>
      </c>
      <c r="J15" s="579"/>
    </row>
    <row r="16" spans="4:14" x14ac:dyDescent="0.35">
      <c r="H16" t="s">
        <v>497</v>
      </c>
      <c r="J16" s="579"/>
      <c r="L16" t="s">
        <v>498</v>
      </c>
    </row>
    <row r="17" spans="8:14" x14ac:dyDescent="0.35">
      <c r="J17" s="579"/>
      <c r="N17">
        <v>1167</v>
      </c>
    </row>
    <row r="18" spans="8:14" x14ac:dyDescent="0.35">
      <c r="H18" t="s">
        <v>499</v>
      </c>
      <c r="J18" s="579"/>
    </row>
    <row r="19" spans="8:14" x14ac:dyDescent="0.35">
      <c r="H19" t="s">
        <v>500</v>
      </c>
      <c r="I19" s="71"/>
      <c r="J19" s="579"/>
    </row>
  </sheetData>
  <mergeCells count="1">
    <mergeCell ref="J11:J19"/>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CE31C-BBCA-4A45-B79C-AD0FB918DFDF}">
  <sheetPr>
    <tabColor theme="7"/>
  </sheetPr>
  <dimension ref="A1:BB26"/>
  <sheetViews>
    <sheetView showGridLines="0" tabSelected="1" topLeftCell="AU1" zoomScale="120" zoomScaleNormal="120" workbookViewId="0">
      <selection activeCell="BA11" sqref="BA11"/>
    </sheetView>
  </sheetViews>
  <sheetFormatPr defaultColWidth="11.453125" defaultRowHeight="14.5" x14ac:dyDescent="0.35"/>
  <cols>
    <col min="1" max="1" width="21.08984375" customWidth="1"/>
    <col min="2" max="2" width="28.7265625" customWidth="1"/>
    <col min="3" max="5" width="6.81640625" customWidth="1"/>
    <col min="6" max="14" width="4.81640625" customWidth="1"/>
    <col min="15" max="15" width="10.81640625" style="280" hidden="1" customWidth="1"/>
    <col min="16" max="24" width="11.453125" hidden="1" customWidth="1"/>
    <col min="25" max="25" width="13.54296875" hidden="1" customWidth="1"/>
    <col min="26" max="29" width="11.453125" hidden="1" customWidth="1"/>
    <col min="30" max="30" width="13.1796875" hidden="1" customWidth="1"/>
    <col min="31" max="31" width="11.81640625" hidden="1" customWidth="1"/>
    <col min="32" max="32" width="12.7265625" hidden="1" customWidth="1"/>
    <col min="33" max="33" width="11.81640625" hidden="1" customWidth="1"/>
    <col min="34" max="38" width="9.81640625" hidden="1" customWidth="1"/>
    <col min="39" max="39" width="9.7265625" hidden="1" customWidth="1"/>
    <col min="40" max="41" width="11.7265625" hidden="1" customWidth="1"/>
    <col min="42" max="42" width="12.81640625" hidden="1" customWidth="1"/>
    <col min="43" max="43" width="11.54296875" hidden="1" customWidth="1"/>
    <col min="44" max="44" width="12.453125" hidden="1" customWidth="1"/>
    <col min="45" max="45" width="11.54296875" hidden="1" customWidth="1"/>
    <col min="46" max="46" width="9.1796875" hidden="1" customWidth="1"/>
    <col min="47" max="47" width="9.453125" bestFit="1" customWidth="1"/>
    <col min="48" max="48" width="9.453125" customWidth="1"/>
    <col min="54" max="54" width="79" bestFit="1" customWidth="1"/>
  </cols>
  <sheetData>
    <row r="1" spans="1:54" x14ac:dyDescent="0.35">
      <c r="AF1">
        <v>1</v>
      </c>
    </row>
    <row r="2" spans="1:54" x14ac:dyDescent="0.35">
      <c r="N2" t="s">
        <v>306</v>
      </c>
      <c r="O2" s="315" t="s">
        <v>307</v>
      </c>
      <c r="P2" s="315" t="s">
        <v>308</v>
      </c>
      <c r="Q2" s="315" t="s">
        <v>309</v>
      </c>
      <c r="R2" s="315" t="s">
        <v>310</v>
      </c>
      <c r="S2" s="315" t="s">
        <v>311</v>
      </c>
      <c r="T2" s="315" t="s">
        <v>312</v>
      </c>
      <c r="U2" s="315" t="s">
        <v>313</v>
      </c>
      <c r="V2" s="315" t="s">
        <v>314</v>
      </c>
      <c r="W2" s="315" t="s">
        <v>315</v>
      </c>
      <c r="X2" s="315" t="s">
        <v>316</v>
      </c>
      <c r="Y2" s="315" t="s">
        <v>317</v>
      </c>
      <c r="Z2" s="315" t="s">
        <v>318</v>
      </c>
      <c r="AA2" s="315" t="s">
        <v>319</v>
      </c>
      <c r="AB2" s="315" t="s">
        <v>309</v>
      </c>
      <c r="AC2" s="315" t="s">
        <v>310</v>
      </c>
      <c r="AD2" s="315" t="s">
        <v>311</v>
      </c>
      <c r="AE2" s="315" t="s">
        <v>312</v>
      </c>
      <c r="AF2" s="315" t="s">
        <v>313</v>
      </c>
      <c r="AG2" s="315" t="s">
        <v>314</v>
      </c>
      <c r="AH2" s="315" t="s">
        <v>315</v>
      </c>
      <c r="AI2" s="315" t="s">
        <v>316</v>
      </c>
      <c r="AJ2" s="315" t="s">
        <v>320</v>
      </c>
      <c r="AK2" s="315" t="s">
        <v>317</v>
      </c>
      <c r="AL2" s="315" t="s">
        <v>318</v>
      </c>
      <c r="AM2" s="315" t="s">
        <v>308</v>
      </c>
      <c r="AN2" s="315" t="s">
        <v>309</v>
      </c>
      <c r="AO2" s="315" t="s">
        <v>310</v>
      </c>
      <c r="AP2" s="315" t="s">
        <v>311</v>
      </c>
      <c r="AQ2" s="315" t="s">
        <v>312</v>
      </c>
      <c r="AR2" s="315" t="s">
        <v>313</v>
      </c>
      <c r="AS2" s="315" t="s">
        <v>314</v>
      </c>
      <c r="AT2" s="315" t="s">
        <v>315</v>
      </c>
      <c r="AU2" s="315" t="s">
        <v>316</v>
      </c>
      <c r="AV2" s="315" t="s">
        <v>629</v>
      </c>
    </row>
    <row r="3" spans="1:54" x14ac:dyDescent="0.35">
      <c r="A3" s="544" t="s">
        <v>513</v>
      </c>
      <c r="C3" s="588" t="s">
        <v>297</v>
      </c>
      <c r="D3" s="588"/>
      <c r="E3" s="588"/>
      <c r="F3" s="588" t="s">
        <v>153</v>
      </c>
      <c r="G3" s="588"/>
      <c r="H3" s="588"/>
      <c r="I3" s="588"/>
      <c r="J3" s="588"/>
      <c r="K3" s="588"/>
      <c r="L3" s="588"/>
      <c r="M3" s="588"/>
      <c r="N3" s="588"/>
      <c r="O3" s="316" t="s">
        <v>321</v>
      </c>
      <c r="P3" s="316" t="s">
        <v>310</v>
      </c>
      <c r="Q3" s="316" t="s">
        <v>311</v>
      </c>
      <c r="R3" s="316" t="s">
        <v>312</v>
      </c>
      <c r="S3" s="316" t="s">
        <v>313</v>
      </c>
      <c r="T3" s="316" t="s">
        <v>314</v>
      </c>
      <c r="U3" s="316" t="s">
        <v>315</v>
      </c>
      <c r="V3" s="316" t="s">
        <v>322</v>
      </c>
      <c r="W3" s="316" t="s">
        <v>320</v>
      </c>
      <c r="X3" s="316" t="s">
        <v>317</v>
      </c>
      <c r="Y3" s="316" t="s">
        <v>308</v>
      </c>
      <c r="Z3" s="316" t="s">
        <v>309</v>
      </c>
      <c r="AA3" s="316" t="s">
        <v>310</v>
      </c>
      <c r="AB3" s="316" t="s">
        <v>311</v>
      </c>
      <c r="AC3" s="316" t="s">
        <v>312</v>
      </c>
      <c r="AD3" s="316" t="s">
        <v>313</v>
      </c>
      <c r="AE3" s="316" t="s">
        <v>314</v>
      </c>
      <c r="AF3" s="316" t="s">
        <v>315</v>
      </c>
      <c r="AG3" s="316" t="s">
        <v>316</v>
      </c>
      <c r="AH3" s="316" t="s">
        <v>320</v>
      </c>
      <c r="AI3" s="316" t="s">
        <v>317</v>
      </c>
      <c r="AJ3" s="316" t="s">
        <v>318</v>
      </c>
      <c r="AK3" s="316" t="s">
        <v>308</v>
      </c>
      <c r="AL3" s="316" t="s">
        <v>309</v>
      </c>
      <c r="AM3" s="316" t="s">
        <v>310</v>
      </c>
      <c r="AN3" s="316" t="s">
        <v>311</v>
      </c>
      <c r="AO3" s="316" t="s">
        <v>312</v>
      </c>
      <c r="AP3" s="316" t="s">
        <v>313</v>
      </c>
      <c r="AQ3" s="316" t="s">
        <v>314</v>
      </c>
      <c r="AR3" s="316" t="s">
        <v>315</v>
      </c>
      <c r="AS3" s="316" t="s">
        <v>316</v>
      </c>
      <c r="AT3" s="316" t="s">
        <v>320</v>
      </c>
      <c r="AU3" s="316" t="s">
        <v>317</v>
      </c>
      <c r="AV3" s="316" t="s">
        <v>628</v>
      </c>
      <c r="AW3" s="316" t="s">
        <v>630</v>
      </c>
      <c r="AY3" s="547"/>
      <c r="AZ3" s="547"/>
      <c r="BB3" s="316" t="s">
        <v>640</v>
      </c>
    </row>
    <row r="4" spans="1:54" x14ac:dyDescent="0.35">
      <c r="A4" s="545" t="s">
        <v>501</v>
      </c>
      <c r="C4" s="584" t="s">
        <v>323</v>
      </c>
      <c r="D4" s="584"/>
      <c r="E4" s="584"/>
      <c r="F4" s="581" t="s">
        <v>324</v>
      </c>
      <c r="G4" s="581"/>
      <c r="H4" s="581"/>
      <c r="I4" s="581"/>
      <c r="J4" s="581"/>
      <c r="K4" s="581"/>
      <c r="L4" s="581"/>
      <c r="M4" s="581"/>
      <c r="N4" s="581"/>
      <c r="O4" s="280">
        <v>1152.5</v>
      </c>
      <c r="P4" s="280">
        <v>1125</v>
      </c>
      <c r="Q4" s="280">
        <v>1118.75</v>
      </c>
      <c r="R4" s="280">
        <v>1095</v>
      </c>
      <c r="S4" s="280">
        <v>1075.625</v>
      </c>
      <c r="T4" s="280">
        <v>1056.25</v>
      </c>
      <c r="U4" s="280">
        <v>1057.5</v>
      </c>
      <c r="V4" s="280">
        <v>1076.25</v>
      </c>
      <c r="W4" s="280">
        <v>1076.25</v>
      </c>
      <c r="X4" s="280">
        <v>1082.5</v>
      </c>
      <c r="Y4" s="280">
        <v>1082.5</v>
      </c>
      <c r="Z4" s="280">
        <v>1082.5</v>
      </c>
      <c r="AA4" s="280">
        <v>1073</v>
      </c>
      <c r="AB4" s="280">
        <v>1076.875</v>
      </c>
      <c r="AC4" s="280">
        <v>1076.875</v>
      </c>
      <c r="AD4" s="280">
        <v>1060</v>
      </c>
      <c r="AE4" s="280">
        <v>806</v>
      </c>
      <c r="AF4" s="280">
        <v>806</v>
      </c>
      <c r="AG4" s="280">
        <v>796.66666666666663</v>
      </c>
      <c r="AH4" s="280">
        <v>799.5</v>
      </c>
      <c r="AI4" s="280">
        <v>803.125</v>
      </c>
      <c r="AJ4" s="280">
        <v>786.25</v>
      </c>
      <c r="AK4" s="280">
        <v>745.625</v>
      </c>
      <c r="AL4" s="280">
        <v>775</v>
      </c>
      <c r="AM4" s="280">
        <v>793.125</v>
      </c>
      <c r="AN4" s="280">
        <v>781.875</v>
      </c>
      <c r="AO4" s="280">
        <f>+'ICIS -1'!C16</f>
        <v>774</v>
      </c>
      <c r="AP4" s="280">
        <f>+'ICIS -1'!C17</f>
        <v>765</v>
      </c>
      <c r="AQ4" s="280">
        <f>+'ICIS -1'!C18</f>
        <v>752</v>
      </c>
      <c r="AR4" s="280">
        <f>+'ICIS -1'!C19</f>
        <v>748.75</v>
      </c>
      <c r="AS4" s="280">
        <f>+'ICIS -1'!C20</f>
        <v>753.3</v>
      </c>
      <c r="AT4" s="280">
        <f>+'ICIS -1'!C21</f>
        <v>821.07500000000005</v>
      </c>
      <c r="AU4" s="280">
        <f>+'ICIS -1'!C22</f>
        <v>838.33333333333337</v>
      </c>
      <c r="AV4" s="280">
        <f>AVERAGE('ICIS Price Forecast'!D58:D61)</f>
        <v>1111.25</v>
      </c>
      <c r="AW4" s="562" t="s">
        <v>631</v>
      </c>
      <c r="AX4" s="427"/>
      <c r="AY4" s="546"/>
      <c r="AZ4" s="546"/>
      <c r="BB4" s="546" t="s">
        <v>641</v>
      </c>
    </row>
    <row r="5" spans="1:54" x14ac:dyDescent="0.35">
      <c r="A5" s="545" t="s">
        <v>512</v>
      </c>
      <c r="C5" s="585" t="s">
        <v>36</v>
      </c>
      <c r="D5" s="585"/>
      <c r="E5" s="585"/>
      <c r="F5" s="581" t="s">
        <v>325</v>
      </c>
      <c r="G5" s="581"/>
      <c r="H5" s="581"/>
      <c r="I5" s="581"/>
      <c r="J5" s="581"/>
      <c r="K5" s="581"/>
      <c r="L5" s="581"/>
      <c r="M5" s="581"/>
      <c r="N5" s="581"/>
      <c r="O5" s="280">
        <v>130</v>
      </c>
      <c r="P5" s="280">
        <v>130</v>
      </c>
      <c r="Q5" s="280">
        <v>130</v>
      </c>
      <c r="R5" s="280">
        <v>130</v>
      </c>
      <c r="S5" s="280">
        <v>130</v>
      </c>
      <c r="T5" s="280">
        <v>130</v>
      </c>
      <c r="U5" s="280">
        <v>130</v>
      </c>
      <c r="V5" s="280">
        <v>130</v>
      </c>
      <c r="W5" s="280">
        <v>130</v>
      </c>
      <c r="X5" s="280">
        <v>130</v>
      </c>
      <c r="Y5" s="280">
        <v>130</v>
      </c>
      <c r="Z5" s="280">
        <v>130</v>
      </c>
      <c r="AA5" s="280">
        <v>390</v>
      </c>
      <c r="AB5" s="280">
        <v>390</v>
      </c>
      <c r="AC5" s="280">
        <v>390</v>
      </c>
      <c r="AD5" s="280">
        <v>264</v>
      </c>
      <c r="AE5" s="280">
        <v>157</v>
      </c>
      <c r="AF5" s="280">
        <f>(2530+420)/22</f>
        <v>134.09090909090909</v>
      </c>
      <c r="AG5" s="280">
        <f>(1915+420)/22</f>
        <v>106.13636363636364</v>
      </c>
      <c r="AH5" s="280">
        <f>(1915+420)/22</f>
        <v>106.13636363636364</v>
      </c>
      <c r="AI5" s="403">
        <f>2127/22</f>
        <v>96.681818181818187</v>
      </c>
      <c r="AJ5" s="403">
        <f>2127/22</f>
        <v>96.681818181818187</v>
      </c>
      <c r="AK5" s="403">
        <f>2127/22</f>
        <v>96.681818181818187</v>
      </c>
      <c r="AL5" s="403">
        <f>2127/22</f>
        <v>96.681818181818187</v>
      </c>
      <c r="AM5" s="403">
        <f>2127/22</f>
        <v>96.681818181818187</v>
      </c>
      <c r="AN5" s="403">
        <f>4210/22</f>
        <v>191.36363636363637</v>
      </c>
      <c r="AO5" s="403">
        <f t="shared" ref="AO5:AU5" si="0">4950/22</f>
        <v>225</v>
      </c>
      <c r="AP5" s="403">
        <f t="shared" si="0"/>
        <v>225</v>
      </c>
      <c r="AQ5" s="403">
        <f t="shared" si="0"/>
        <v>225</v>
      </c>
      <c r="AR5" s="403">
        <f t="shared" si="0"/>
        <v>225</v>
      </c>
      <c r="AS5" s="403">
        <f t="shared" si="0"/>
        <v>225</v>
      </c>
      <c r="AT5" s="403">
        <f t="shared" si="0"/>
        <v>225</v>
      </c>
      <c r="AU5" s="403">
        <f t="shared" si="0"/>
        <v>225</v>
      </c>
      <c r="AV5" s="403">
        <f>AU5</f>
        <v>225</v>
      </c>
      <c r="AW5" s="563" t="s">
        <v>632</v>
      </c>
      <c r="AX5" s="427"/>
      <c r="AY5" s="647" t="s">
        <v>646</v>
      </c>
      <c r="AZ5" s="546"/>
      <c r="BB5" s="546" t="s">
        <v>514</v>
      </c>
    </row>
    <row r="6" spans="1:54" x14ac:dyDescent="0.35">
      <c r="A6" s="545" t="s">
        <v>502</v>
      </c>
      <c r="C6" s="584" t="s">
        <v>301</v>
      </c>
      <c r="D6" s="584"/>
      <c r="E6" s="584"/>
      <c r="F6" s="586" t="s">
        <v>464</v>
      </c>
      <c r="G6" s="586"/>
      <c r="H6" s="586"/>
      <c r="I6" s="586"/>
      <c r="J6" s="586"/>
      <c r="K6" s="586"/>
      <c r="L6" s="586"/>
      <c r="M6" s="586"/>
      <c r="N6" s="586"/>
      <c r="O6" s="280">
        <f>+SUM(O4:O5)*SORF!$D$4</f>
        <v>45.364783253424655</v>
      </c>
      <c r="P6" s="280">
        <f>+SUM(P4:P5)*SORF!$D$4</f>
        <v>44.392049109589038</v>
      </c>
      <c r="Q6" s="280">
        <f>+SUM(Q4:Q5)*SORF!$D$4</f>
        <v>44.170973167808221</v>
      </c>
      <c r="R6" s="280">
        <f>+SUM(R4:R5)*SORF!$D$4</f>
        <v>43.330884589041091</v>
      </c>
      <c r="S6" s="280">
        <f>+SUM(S4:S5)*SORF!$D$4</f>
        <v>42.64554916952055</v>
      </c>
      <c r="T6" s="280">
        <f>+SUM(T4:T5)*SORF!$D$4</f>
        <v>41.960213750000001</v>
      </c>
      <c r="U6" s="280">
        <f>+SUM(U4:U5)*SORF!$D$4</f>
        <v>42.004428938356163</v>
      </c>
      <c r="V6" s="280">
        <f>+SUM(V4:V5)*SORF!$D$4</f>
        <v>42.667656763698631</v>
      </c>
      <c r="W6" s="280">
        <f>+SUM(W4:W5)*SORF!$D$4</f>
        <v>42.667656763698631</v>
      </c>
      <c r="X6" s="280">
        <f>+SUM(X4:X5)*SORF!$D$4</f>
        <v>42.888732705479448</v>
      </c>
      <c r="Y6" s="280">
        <f>+SUM(Y4:Y5)*SORF!$D$4</f>
        <v>42.888732705479448</v>
      </c>
      <c r="Z6" s="280">
        <f>+SUM(Z4:Z5)*SORF!$D$4</f>
        <v>42.888732705479448</v>
      </c>
      <c r="AA6" s="280">
        <f>+SUM(AA4:AA5)*SORF!$D$4</f>
        <v>51.749456452054794</v>
      </c>
      <c r="AB6" s="280">
        <f>+SUM(AB4:AB5)*SORF!$D$4</f>
        <v>51.886523535958901</v>
      </c>
      <c r="AC6" s="280">
        <f>+SUM(AC4:AC5)*SORF!$D$4</f>
        <v>51.886523535958901</v>
      </c>
      <c r="AD6" s="280">
        <f>+SUM(AD4:AD5)*SORF!$D$4</f>
        <v>46.832727506849317</v>
      </c>
      <c r="AE6" s="280">
        <v>37.111513561643839</v>
      </c>
      <c r="AF6" s="280">
        <v>36.228656824408475</v>
      </c>
      <c r="AG6" s="280">
        <v>34.791679026567046</v>
      </c>
      <c r="AH6" s="280">
        <v>34.900868318804484</v>
      </c>
      <c r="AI6" s="280">
        <v>34.676212809775848</v>
      </c>
      <c r="AJ6" s="280">
        <v>34.025894231008721</v>
      </c>
      <c r="AK6" s="280">
        <v>32.460312467310096</v>
      </c>
      <c r="AL6" s="280">
        <v>33.592348511830643</v>
      </c>
      <c r="AM6" s="487">
        <v>0</v>
      </c>
      <c r="AN6" s="487">
        <v>0</v>
      </c>
      <c r="AO6" s="487">
        <v>0</v>
      </c>
      <c r="AP6" s="487">
        <v>0</v>
      </c>
      <c r="AQ6" s="487">
        <v>0</v>
      </c>
      <c r="AR6" s="487">
        <v>0</v>
      </c>
      <c r="AS6" s="487">
        <v>0</v>
      </c>
      <c r="AT6" s="487">
        <v>0</v>
      </c>
      <c r="AU6" s="487">
        <v>0</v>
      </c>
      <c r="AV6" s="487"/>
      <c r="AW6" s="564" t="s">
        <v>643</v>
      </c>
      <c r="AY6" s="546"/>
      <c r="AZ6" s="546"/>
      <c r="BB6" s="546" t="s">
        <v>515</v>
      </c>
    </row>
    <row r="7" spans="1:54" x14ac:dyDescent="0.35">
      <c r="A7" s="545"/>
      <c r="C7" s="587" t="s">
        <v>326</v>
      </c>
      <c r="D7" s="587"/>
      <c r="E7" s="587"/>
      <c r="F7" s="587"/>
      <c r="G7" s="587"/>
      <c r="H7" s="587"/>
      <c r="I7" s="587"/>
      <c r="J7" s="587"/>
      <c r="K7" s="587"/>
      <c r="L7" s="587"/>
      <c r="M7" s="587"/>
      <c r="N7" s="587"/>
      <c r="O7" s="281">
        <f t="shared" ref="O7:AV7" si="1">+SUM(O4:O6)</f>
        <v>1327.8647832534245</v>
      </c>
      <c r="P7" s="281">
        <f t="shared" si="1"/>
        <v>1299.3920491095892</v>
      </c>
      <c r="Q7" s="281">
        <f t="shared" si="1"/>
        <v>1292.9209731678081</v>
      </c>
      <c r="R7" s="281">
        <f t="shared" si="1"/>
        <v>1268.330884589041</v>
      </c>
      <c r="S7" s="281">
        <f t="shared" si="1"/>
        <v>1248.2705491695206</v>
      </c>
      <c r="T7" s="281">
        <f t="shared" si="1"/>
        <v>1228.2102137500001</v>
      </c>
      <c r="U7" s="281">
        <f t="shared" si="1"/>
        <v>1229.5044289383561</v>
      </c>
      <c r="V7" s="281">
        <f t="shared" si="1"/>
        <v>1248.9176567636987</v>
      </c>
      <c r="W7" s="281">
        <f t="shared" si="1"/>
        <v>1248.9176567636987</v>
      </c>
      <c r="X7" s="281">
        <f t="shared" si="1"/>
        <v>1255.3887327054795</v>
      </c>
      <c r="Y7" s="281">
        <f t="shared" si="1"/>
        <v>1255.3887327054795</v>
      </c>
      <c r="Z7" s="281">
        <f t="shared" si="1"/>
        <v>1255.3887327054795</v>
      </c>
      <c r="AA7" s="281">
        <f t="shared" si="1"/>
        <v>1514.7494564520548</v>
      </c>
      <c r="AB7" s="281">
        <f t="shared" si="1"/>
        <v>1518.761523535959</v>
      </c>
      <c r="AC7" s="281">
        <f t="shared" si="1"/>
        <v>1518.761523535959</v>
      </c>
      <c r="AD7" s="281">
        <f t="shared" si="1"/>
        <v>1370.8327275068493</v>
      </c>
      <c r="AE7" s="281">
        <f t="shared" si="1"/>
        <v>1000.1115135616438</v>
      </c>
      <c r="AF7" s="281">
        <f t="shared" si="1"/>
        <v>976.31956591531764</v>
      </c>
      <c r="AG7" s="281">
        <f t="shared" si="1"/>
        <v>937.59470932959732</v>
      </c>
      <c r="AH7" s="281">
        <f t="shared" si="1"/>
        <v>940.53723195516807</v>
      </c>
      <c r="AI7" s="281">
        <f t="shared" si="1"/>
        <v>934.48303099159409</v>
      </c>
      <c r="AJ7" s="281">
        <f t="shared" si="1"/>
        <v>916.95771241282694</v>
      </c>
      <c r="AK7" s="281">
        <f t="shared" si="1"/>
        <v>874.76713064912838</v>
      </c>
      <c r="AL7" s="281">
        <f t="shared" si="1"/>
        <v>905.27416669364891</v>
      </c>
      <c r="AM7" s="281">
        <f t="shared" si="1"/>
        <v>889.80681818181824</v>
      </c>
      <c r="AN7" s="281">
        <f t="shared" si="1"/>
        <v>973.23863636363637</v>
      </c>
      <c r="AO7" s="281">
        <f t="shared" si="1"/>
        <v>999</v>
      </c>
      <c r="AP7" s="281">
        <f t="shared" si="1"/>
        <v>990</v>
      </c>
      <c r="AQ7" s="281">
        <f t="shared" si="1"/>
        <v>977</v>
      </c>
      <c r="AR7" s="281">
        <f t="shared" si="1"/>
        <v>973.75</v>
      </c>
      <c r="AS7" s="281">
        <f t="shared" si="1"/>
        <v>978.3</v>
      </c>
      <c r="AT7" s="281">
        <f t="shared" si="1"/>
        <v>1046.075</v>
      </c>
      <c r="AU7" s="281">
        <f t="shared" si="1"/>
        <v>1063.3333333333335</v>
      </c>
      <c r="AV7" s="281">
        <f t="shared" si="1"/>
        <v>1336.25</v>
      </c>
      <c r="AW7" s="427"/>
      <c r="AX7" s="546"/>
      <c r="AY7" s="546"/>
      <c r="AZ7" s="546"/>
      <c r="BB7" s="546" t="s">
        <v>642</v>
      </c>
    </row>
    <row r="8" spans="1:54" x14ac:dyDescent="0.35">
      <c r="A8" s="545" t="s">
        <v>503</v>
      </c>
      <c r="C8" s="584" t="s">
        <v>327</v>
      </c>
      <c r="D8" s="584"/>
      <c r="E8" s="584"/>
      <c r="F8" s="581" t="s">
        <v>328</v>
      </c>
      <c r="G8" s="581"/>
      <c r="H8" s="581"/>
      <c r="I8" s="581"/>
      <c r="J8" s="581"/>
      <c r="K8" s="581"/>
      <c r="L8" s="581"/>
      <c r="M8" s="581"/>
      <c r="N8" s="581"/>
      <c r="O8" s="280">
        <f>+O7*0.1%</f>
        <v>1.3278647832534245</v>
      </c>
      <c r="P8" s="280">
        <f t="shared" ref="P8:AT8" si="2">+P7*0.1%</f>
        <v>1.2993920491095892</v>
      </c>
      <c r="Q8" s="280">
        <f t="shared" si="2"/>
        <v>1.2929209731678082</v>
      </c>
      <c r="R8" s="280">
        <f t="shared" si="2"/>
        <v>1.2683308845890411</v>
      </c>
      <c r="S8" s="280">
        <f t="shared" si="2"/>
        <v>1.2482705491695205</v>
      </c>
      <c r="T8" s="280">
        <f t="shared" si="2"/>
        <v>1.2282102137500002</v>
      </c>
      <c r="U8" s="280">
        <f t="shared" si="2"/>
        <v>1.2295044289383561</v>
      </c>
      <c r="V8" s="280">
        <f t="shared" si="2"/>
        <v>1.2489176567636988</v>
      </c>
      <c r="W8" s="280">
        <f t="shared" si="2"/>
        <v>1.2489176567636988</v>
      </c>
      <c r="X8" s="280">
        <f t="shared" si="2"/>
        <v>1.2553887327054796</v>
      </c>
      <c r="Y8" s="280">
        <f t="shared" si="2"/>
        <v>1.2553887327054796</v>
      </c>
      <c r="Z8" s="280">
        <f t="shared" si="2"/>
        <v>1.2553887327054796</v>
      </c>
      <c r="AA8" s="280">
        <f t="shared" si="2"/>
        <v>1.5147494564520549</v>
      </c>
      <c r="AB8" s="280">
        <f t="shared" si="2"/>
        <v>1.5187615235359591</v>
      </c>
      <c r="AC8" s="280">
        <f t="shared" si="2"/>
        <v>1.5187615235359591</v>
      </c>
      <c r="AD8" s="280">
        <f t="shared" si="2"/>
        <v>1.3708327275068493</v>
      </c>
      <c r="AE8" s="280">
        <f t="shared" si="2"/>
        <v>1.0001115135616439</v>
      </c>
      <c r="AF8" s="280">
        <f t="shared" si="2"/>
        <v>0.97631956591531766</v>
      </c>
      <c r="AG8" s="280">
        <f t="shared" si="2"/>
        <v>0.93759470932959732</v>
      </c>
      <c r="AH8" s="280">
        <f t="shared" si="2"/>
        <v>0.94053723195516814</v>
      </c>
      <c r="AI8" s="280">
        <f t="shared" si="2"/>
        <v>0.93448303099159413</v>
      </c>
      <c r="AJ8" s="280">
        <f t="shared" si="2"/>
        <v>0.91695771241282698</v>
      </c>
      <c r="AK8" s="280">
        <f t="shared" si="2"/>
        <v>0.87476713064912837</v>
      </c>
      <c r="AL8" s="362">
        <f t="shared" si="2"/>
        <v>0.90527416669364891</v>
      </c>
      <c r="AM8" s="362">
        <f t="shared" si="2"/>
        <v>0.88980681818181828</v>
      </c>
      <c r="AN8" s="362">
        <f t="shared" si="2"/>
        <v>0.97323863636363639</v>
      </c>
      <c r="AO8" s="362">
        <f t="shared" si="2"/>
        <v>0.999</v>
      </c>
      <c r="AP8" s="362">
        <f t="shared" si="2"/>
        <v>0.99</v>
      </c>
      <c r="AQ8" s="362">
        <f t="shared" si="2"/>
        <v>0.97699999999999998</v>
      </c>
      <c r="AR8" s="362">
        <f t="shared" si="2"/>
        <v>0.97375</v>
      </c>
      <c r="AS8" s="362">
        <f t="shared" si="2"/>
        <v>0.97829999999999995</v>
      </c>
      <c r="AT8" s="362">
        <f t="shared" si="2"/>
        <v>1.0460750000000001</v>
      </c>
      <c r="AU8" s="362">
        <f>+AU7*0.1%</f>
        <v>1.0633333333333335</v>
      </c>
      <c r="AV8" s="362">
        <f>+AV7*0.1%</f>
        <v>1.3362499999999999</v>
      </c>
      <c r="AW8" t="s">
        <v>633</v>
      </c>
      <c r="AY8" s="547"/>
      <c r="AZ8" s="547"/>
      <c r="BB8" s="547" t="s">
        <v>516</v>
      </c>
    </row>
    <row r="9" spans="1:54" x14ac:dyDescent="0.35">
      <c r="A9" s="545" t="s">
        <v>504</v>
      </c>
      <c r="C9" s="584" t="s">
        <v>329</v>
      </c>
      <c r="D9" s="584"/>
      <c r="E9" s="584"/>
      <c r="F9" s="581" t="s">
        <v>330</v>
      </c>
      <c r="G9" s="581"/>
      <c r="H9" s="581"/>
      <c r="I9" s="581"/>
      <c r="J9" s="581"/>
      <c r="K9" s="581"/>
      <c r="L9" s="581"/>
      <c r="M9" s="581"/>
      <c r="N9" s="581"/>
      <c r="O9" s="280">
        <f>+O7*4%</f>
        <v>53.114591330136982</v>
      </c>
      <c r="P9" s="280">
        <f t="shared" ref="P9:AV9" si="3">+P7*4%</f>
        <v>51.975681964383568</v>
      </c>
      <c r="Q9" s="280">
        <f t="shared" si="3"/>
        <v>51.716838926712327</v>
      </c>
      <c r="R9" s="280">
        <f t="shared" si="3"/>
        <v>50.733235383561642</v>
      </c>
      <c r="S9" s="280">
        <f t="shared" si="3"/>
        <v>49.930821966780826</v>
      </c>
      <c r="T9" s="280">
        <f t="shared" si="3"/>
        <v>49.128408550000003</v>
      </c>
      <c r="U9" s="280">
        <f t="shared" si="3"/>
        <v>49.180177157534246</v>
      </c>
      <c r="V9" s="280">
        <f t="shared" si="3"/>
        <v>49.956706270547947</v>
      </c>
      <c r="W9" s="280">
        <f t="shared" si="3"/>
        <v>49.956706270547947</v>
      </c>
      <c r="X9" s="280">
        <f t="shared" si="3"/>
        <v>50.215549308219181</v>
      </c>
      <c r="Y9" s="280">
        <f t="shared" si="3"/>
        <v>50.215549308219181</v>
      </c>
      <c r="Z9" s="280">
        <f t="shared" si="3"/>
        <v>50.215549308219181</v>
      </c>
      <c r="AA9" s="280">
        <f t="shared" si="3"/>
        <v>60.589978258082191</v>
      </c>
      <c r="AB9" s="280">
        <f t="shared" si="3"/>
        <v>60.750460941438362</v>
      </c>
      <c r="AC9" s="280">
        <f t="shared" si="3"/>
        <v>60.750460941438362</v>
      </c>
      <c r="AD9" s="280">
        <f t="shared" si="3"/>
        <v>54.833309100273972</v>
      </c>
      <c r="AE9" s="280">
        <f t="shared" si="3"/>
        <v>40.004460542465758</v>
      </c>
      <c r="AF9" s="280">
        <f t="shared" si="3"/>
        <v>39.052782636612704</v>
      </c>
      <c r="AG9" s="280">
        <f t="shared" si="3"/>
        <v>37.503788373183895</v>
      </c>
      <c r="AH9" s="280">
        <f t="shared" si="3"/>
        <v>37.621489278206724</v>
      </c>
      <c r="AI9" s="280">
        <f t="shared" si="3"/>
        <v>37.379321239663767</v>
      </c>
      <c r="AJ9" s="280">
        <f t="shared" si="3"/>
        <v>36.678308496513075</v>
      </c>
      <c r="AK9" s="280">
        <f t="shared" si="3"/>
        <v>34.990685225965137</v>
      </c>
      <c r="AL9" s="362">
        <f t="shared" si="3"/>
        <v>36.210966667745957</v>
      </c>
      <c r="AM9" s="362">
        <f t="shared" si="3"/>
        <v>35.592272727272729</v>
      </c>
      <c r="AN9" s="362">
        <f t="shared" si="3"/>
        <v>38.929545454545455</v>
      </c>
      <c r="AO9" s="362">
        <f t="shared" si="3"/>
        <v>39.96</v>
      </c>
      <c r="AP9" s="362">
        <f t="shared" si="3"/>
        <v>39.6</v>
      </c>
      <c r="AQ9" s="362">
        <f t="shared" si="3"/>
        <v>39.08</v>
      </c>
      <c r="AR9" s="362">
        <f t="shared" si="3"/>
        <v>38.950000000000003</v>
      </c>
      <c r="AS9" s="362">
        <f t="shared" si="3"/>
        <v>39.131999999999998</v>
      </c>
      <c r="AT9" s="362">
        <f t="shared" si="3"/>
        <v>41.843000000000004</v>
      </c>
      <c r="AU9" s="362">
        <f t="shared" si="3"/>
        <v>42.533333333333339</v>
      </c>
      <c r="AV9" s="362">
        <f t="shared" si="3"/>
        <v>53.45</v>
      </c>
      <c r="AW9" s="545" t="s">
        <v>635</v>
      </c>
      <c r="AY9" s="547"/>
      <c r="AZ9" s="547"/>
      <c r="BB9" s="547" t="s">
        <v>517</v>
      </c>
    </row>
    <row r="10" spans="1:54" x14ac:dyDescent="0.35">
      <c r="A10" s="545" t="s">
        <v>505</v>
      </c>
      <c r="C10" s="585" t="s">
        <v>331</v>
      </c>
      <c r="D10" s="585"/>
      <c r="E10" s="585"/>
      <c r="F10" s="581" t="s">
        <v>332</v>
      </c>
      <c r="G10" s="581"/>
      <c r="H10" s="581"/>
      <c r="I10" s="581"/>
      <c r="J10" s="581"/>
      <c r="K10" s="581"/>
      <c r="L10" s="581"/>
      <c r="M10" s="581"/>
      <c r="N10" s="581"/>
      <c r="O10" s="280">
        <f>+O7*0.5%</f>
        <v>6.6393239162671227</v>
      </c>
      <c r="P10" s="280">
        <f t="shared" ref="P10:AV10" si="4">+P7*0.5%</f>
        <v>6.496960245547946</v>
      </c>
      <c r="Q10" s="280">
        <f t="shared" si="4"/>
        <v>6.4646048658390409</v>
      </c>
      <c r="R10" s="280">
        <f t="shared" si="4"/>
        <v>6.3416544229452052</v>
      </c>
      <c r="S10" s="280">
        <f t="shared" si="4"/>
        <v>6.2413527458476032</v>
      </c>
      <c r="T10" s="280">
        <f t="shared" si="4"/>
        <v>6.1410510687500004</v>
      </c>
      <c r="U10" s="280">
        <f t="shared" si="4"/>
        <v>6.1475221446917807</v>
      </c>
      <c r="V10" s="280">
        <f t="shared" si="4"/>
        <v>6.2445882838184934</v>
      </c>
      <c r="W10" s="280">
        <f t="shared" si="4"/>
        <v>6.2445882838184934</v>
      </c>
      <c r="X10" s="280">
        <f t="shared" si="4"/>
        <v>6.2769436635273976</v>
      </c>
      <c r="Y10" s="280">
        <f t="shared" si="4"/>
        <v>6.2769436635273976</v>
      </c>
      <c r="Z10" s="280">
        <f t="shared" si="4"/>
        <v>6.2769436635273976</v>
      </c>
      <c r="AA10" s="280">
        <f t="shared" si="4"/>
        <v>7.5737472822602738</v>
      </c>
      <c r="AB10" s="280">
        <f t="shared" si="4"/>
        <v>7.5938076176797953</v>
      </c>
      <c r="AC10" s="280">
        <f t="shared" si="4"/>
        <v>7.5938076176797953</v>
      </c>
      <c r="AD10" s="280">
        <f t="shared" si="4"/>
        <v>6.8541636375342465</v>
      </c>
      <c r="AE10" s="280">
        <f t="shared" si="4"/>
        <v>5.0005575678082197</v>
      </c>
      <c r="AF10" s="280">
        <f t="shared" si="4"/>
        <v>4.8815978295765881</v>
      </c>
      <c r="AG10" s="280">
        <f t="shared" si="4"/>
        <v>4.6879735466479868</v>
      </c>
      <c r="AH10" s="280">
        <f t="shared" si="4"/>
        <v>4.7026861597758405</v>
      </c>
      <c r="AI10" s="280">
        <f t="shared" si="4"/>
        <v>4.6724151549579709</v>
      </c>
      <c r="AJ10" s="280">
        <f t="shared" si="4"/>
        <v>4.5847885620641344</v>
      </c>
      <c r="AK10" s="280">
        <f t="shared" si="4"/>
        <v>4.3738356532456422</v>
      </c>
      <c r="AL10" s="362">
        <f t="shared" si="4"/>
        <v>4.5263708334682446</v>
      </c>
      <c r="AM10" s="362">
        <f t="shared" si="4"/>
        <v>4.4490340909090911</v>
      </c>
      <c r="AN10" s="362">
        <f t="shared" si="4"/>
        <v>4.8661931818181818</v>
      </c>
      <c r="AO10" s="362">
        <f t="shared" si="4"/>
        <v>4.9950000000000001</v>
      </c>
      <c r="AP10" s="362">
        <f t="shared" si="4"/>
        <v>4.95</v>
      </c>
      <c r="AQ10" s="362">
        <f t="shared" si="4"/>
        <v>4.8849999999999998</v>
      </c>
      <c r="AR10" s="362">
        <f t="shared" si="4"/>
        <v>4.8687500000000004</v>
      </c>
      <c r="AS10" s="362">
        <f t="shared" si="4"/>
        <v>4.8914999999999997</v>
      </c>
      <c r="AT10" s="362">
        <f t="shared" si="4"/>
        <v>5.2303750000000004</v>
      </c>
      <c r="AU10" s="362">
        <f t="shared" si="4"/>
        <v>5.3166666666666673</v>
      </c>
      <c r="AV10" s="362">
        <f t="shared" si="4"/>
        <v>6.6812500000000004</v>
      </c>
      <c r="AW10" s="545" t="s">
        <v>634</v>
      </c>
      <c r="AY10" s="547"/>
      <c r="AZ10" s="547"/>
      <c r="BB10" s="547" t="s">
        <v>518</v>
      </c>
    </row>
    <row r="11" spans="1:54" x14ac:dyDescent="0.35">
      <c r="A11" s="545" t="s">
        <v>506</v>
      </c>
      <c r="C11" s="585"/>
      <c r="D11" s="585"/>
      <c r="E11" s="585"/>
      <c r="F11" s="581" t="s">
        <v>431</v>
      </c>
      <c r="G11" s="581"/>
      <c r="H11" s="581"/>
      <c r="I11" s="581"/>
      <c r="J11" s="581"/>
      <c r="K11" s="581"/>
      <c r="L11" s="581"/>
      <c r="M11" s="581"/>
      <c r="N11" s="581"/>
      <c r="O11" s="403"/>
      <c r="P11" s="403"/>
      <c r="Q11" s="403"/>
      <c r="R11" s="403"/>
      <c r="S11" s="403"/>
      <c r="T11" s="403"/>
      <c r="U11" s="403"/>
      <c r="V11" s="403"/>
      <c r="W11" s="403"/>
      <c r="X11" s="403"/>
      <c r="Y11" s="403"/>
      <c r="Z11" s="403"/>
      <c r="AA11" s="403"/>
      <c r="AB11" s="403"/>
      <c r="AC11" s="403"/>
      <c r="AD11" s="403"/>
      <c r="AE11" s="403"/>
      <c r="AF11" s="403"/>
      <c r="AG11" s="403"/>
      <c r="AH11" s="403"/>
      <c r="AI11" s="403"/>
      <c r="AJ11" s="403"/>
      <c r="AK11" s="403"/>
      <c r="AL11" s="443"/>
      <c r="AM11" s="443"/>
      <c r="AN11" s="487">
        <f>12.7272727272727*0</f>
        <v>0</v>
      </c>
      <c r="AO11" s="487">
        <f>12.7272727272727*0</f>
        <v>0</v>
      </c>
      <c r="AP11" s="487">
        <f>12.7272727272727*0</f>
        <v>0</v>
      </c>
      <c r="AQ11" s="487">
        <v>0</v>
      </c>
      <c r="AR11" s="487">
        <v>0</v>
      </c>
      <c r="AS11" s="487">
        <v>0</v>
      </c>
      <c r="AT11" s="487">
        <v>0</v>
      </c>
      <c r="AU11" s="487">
        <v>0</v>
      </c>
      <c r="AV11" s="487">
        <v>0</v>
      </c>
      <c r="AY11" s="547"/>
      <c r="AZ11" s="547"/>
      <c r="BB11" s="547" t="s">
        <v>519</v>
      </c>
    </row>
    <row r="12" spans="1:54" x14ac:dyDescent="0.35">
      <c r="A12" s="545" t="s">
        <v>507</v>
      </c>
      <c r="C12" s="584" t="s">
        <v>333</v>
      </c>
      <c r="D12" s="584"/>
      <c r="E12" s="584"/>
      <c r="F12" s="581" t="s">
        <v>334</v>
      </c>
      <c r="G12" s="581"/>
      <c r="H12" s="581"/>
      <c r="I12" s="581"/>
      <c r="J12" s="581"/>
      <c r="K12" s="581"/>
      <c r="L12" s="581"/>
      <c r="M12" s="581"/>
      <c r="N12" s="581"/>
      <c r="O12" s="443">
        <v>2.5</v>
      </c>
      <c r="P12" s="443">
        <v>2.5</v>
      </c>
      <c r="Q12" s="443">
        <v>2.5</v>
      </c>
      <c r="R12" s="443">
        <v>2.5</v>
      </c>
      <c r="S12" s="443">
        <v>2.5</v>
      </c>
      <c r="T12" s="443">
        <v>2.5</v>
      </c>
      <c r="U12" s="443">
        <v>2.5</v>
      </c>
      <c r="V12" s="443">
        <v>2.5</v>
      </c>
      <c r="W12" s="443">
        <v>2.5</v>
      </c>
      <c r="X12" s="443">
        <v>2.5</v>
      </c>
      <c r="Y12" s="443">
        <v>2.5</v>
      </c>
      <c r="Z12" s="443">
        <v>2.5</v>
      </c>
      <c r="AA12" s="443">
        <v>2.5</v>
      </c>
      <c r="AB12" s="443">
        <v>2.5</v>
      </c>
      <c r="AC12" s="443">
        <v>2.5</v>
      </c>
      <c r="AD12" s="403">
        <v>2.5</v>
      </c>
      <c r="AE12" s="403">
        <v>2.5</v>
      </c>
      <c r="AF12" s="403">
        <v>3.5</v>
      </c>
      <c r="AG12" s="403">
        <v>4.5</v>
      </c>
      <c r="AH12" s="403">
        <v>4.5</v>
      </c>
      <c r="AI12" s="403">
        <v>4.5</v>
      </c>
      <c r="AJ12" s="403">
        <v>4.5</v>
      </c>
      <c r="AK12" s="403">
        <v>4.5</v>
      </c>
      <c r="AL12" s="443">
        <v>4.5</v>
      </c>
      <c r="AM12" s="456">
        <v>4.5</v>
      </c>
      <c r="AN12" s="487">
        <v>0</v>
      </c>
      <c r="AO12" s="487">
        <v>0</v>
      </c>
      <c r="AP12" s="487">
        <v>0</v>
      </c>
      <c r="AQ12" s="487">
        <v>0</v>
      </c>
      <c r="AR12" s="487">
        <v>0</v>
      </c>
      <c r="AS12" s="487">
        <v>0</v>
      </c>
      <c r="AT12" s="487">
        <v>0</v>
      </c>
      <c r="AU12" s="487">
        <v>0</v>
      </c>
      <c r="AV12" s="487">
        <v>0</v>
      </c>
      <c r="AW12" s="443" t="s">
        <v>493</v>
      </c>
      <c r="AY12" s="547"/>
      <c r="AZ12" s="547"/>
      <c r="BB12" s="547" t="s">
        <v>520</v>
      </c>
    </row>
    <row r="13" spans="1:54" x14ac:dyDescent="0.35">
      <c r="A13" s="545" t="s">
        <v>508</v>
      </c>
      <c r="C13" s="584" t="s">
        <v>335</v>
      </c>
      <c r="D13" s="584"/>
      <c r="E13" s="584"/>
      <c r="F13" s="581" t="s">
        <v>465</v>
      </c>
      <c r="G13" s="581"/>
      <c r="H13" s="581"/>
      <c r="I13" s="581"/>
      <c r="J13" s="581"/>
      <c r="K13" s="581"/>
      <c r="L13" s="581"/>
      <c r="M13" s="581"/>
      <c r="N13" s="581"/>
      <c r="O13" s="403">
        <f>650/22</f>
        <v>29.545454545454547</v>
      </c>
      <c r="P13" s="403">
        <f t="shared" ref="P13:AM13" si="5">650/22</f>
        <v>29.545454545454547</v>
      </c>
      <c r="Q13" s="403">
        <f t="shared" si="5"/>
        <v>29.545454545454547</v>
      </c>
      <c r="R13" s="403">
        <f t="shared" si="5"/>
        <v>29.545454545454547</v>
      </c>
      <c r="S13" s="403">
        <f t="shared" si="5"/>
        <v>29.545454545454547</v>
      </c>
      <c r="T13" s="403">
        <f t="shared" si="5"/>
        <v>29.545454545454547</v>
      </c>
      <c r="U13" s="403">
        <f t="shared" si="5"/>
        <v>29.545454545454547</v>
      </c>
      <c r="V13" s="403">
        <f t="shared" si="5"/>
        <v>29.545454545454547</v>
      </c>
      <c r="W13" s="403">
        <f t="shared" si="5"/>
        <v>29.545454545454547</v>
      </c>
      <c r="X13" s="403">
        <f t="shared" si="5"/>
        <v>29.545454545454547</v>
      </c>
      <c r="Y13" s="403">
        <f t="shared" si="5"/>
        <v>29.545454545454547</v>
      </c>
      <c r="Z13" s="403">
        <f t="shared" si="5"/>
        <v>29.545454545454547</v>
      </c>
      <c r="AA13" s="403">
        <f t="shared" si="5"/>
        <v>29.545454545454547</v>
      </c>
      <c r="AB13" s="403">
        <f t="shared" si="5"/>
        <v>29.545454545454547</v>
      </c>
      <c r="AC13" s="403">
        <f t="shared" si="5"/>
        <v>29.545454545454547</v>
      </c>
      <c r="AD13" s="403">
        <f t="shared" si="5"/>
        <v>29.545454545454547</v>
      </c>
      <c r="AE13" s="403">
        <f t="shared" si="5"/>
        <v>29.545454545454547</v>
      </c>
      <c r="AF13" s="403">
        <f t="shared" si="5"/>
        <v>29.545454545454547</v>
      </c>
      <c r="AG13" s="403">
        <f t="shared" si="5"/>
        <v>29.545454545454547</v>
      </c>
      <c r="AH13" s="403">
        <f t="shared" si="5"/>
        <v>29.545454545454547</v>
      </c>
      <c r="AI13" s="403">
        <f t="shared" si="5"/>
        <v>29.545454545454547</v>
      </c>
      <c r="AJ13" s="403">
        <f t="shared" si="5"/>
        <v>29.545454545454547</v>
      </c>
      <c r="AK13" s="403">
        <f t="shared" si="5"/>
        <v>29.545454545454547</v>
      </c>
      <c r="AL13" s="403">
        <f t="shared" si="5"/>
        <v>29.545454545454547</v>
      </c>
      <c r="AM13" s="403">
        <f t="shared" si="5"/>
        <v>29.545454545454547</v>
      </c>
      <c r="AN13" s="443">
        <f t="shared" ref="AN13:AV13" si="6">671.22/22</f>
        <v>30.51</v>
      </c>
      <c r="AO13" s="443">
        <f t="shared" si="6"/>
        <v>30.51</v>
      </c>
      <c r="AP13" s="443">
        <f t="shared" si="6"/>
        <v>30.51</v>
      </c>
      <c r="AQ13" s="443">
        <f t="shared" si="6"/>
        <v>30.51</v>
      </c>
      <c r="AR13" s="443">
        <f t="shared" si="6"/>
        <v>30.51</v>
      </c>
      <c r="AS13" s="443">
        <f t="shared" si="6"/>
        <v>30.51</v>
      </c>
      <c r="AT13" s="443">
        <f t="shared" si="6"/>
        <v>30.51</v>
      </c>
      <c r="AU13" s="443">
        <f t="shared" si="6"/>
        <v>30.51</v>
      </c>
      <c r="AV13" s="443">
        <f t="shared" si="6"/>
        <v>30.51</v>
      </c>
      <c r="AW13" s="561" t="s">
        <v>636</v>
      </c>
      <c r="AY13" s="547"/>
      <c r="AZ13" s="547"/>
      <c r="BB13" s="547" t="s">
        <v>644</v>
      </c>
    </row>
    <row r="14" spans="1:54" x14ac:dyDescent="0.35">
      <c r="A14" s="545" t="s">
        <v>509</v>
      </c>
      <c r="C14" s="584" t="s">
        <v>336</v>
      </c>
      <c r="D14" s="584"/>
      <c r="E14" s="584"/>
      <c r="F14" s="581" t="s">
        <v>337</v>
      </c>
      <c r="G14" s="581"/>
      <c r="H14" s="581"/>
      <c r="I14" s="581"/>
      <c r="J14" s="581"/>
      <c r="K14" s="581"/>
      <c r="L14" s="581"/>
      <c r="M14" s="581"/>
      <c r="N14" s="581"/>
      <c r="O14" s="403">
        <v>16</v>
      </c>
      <c r="P14" s="403">
        <v>16</v>
      </c>
      <c r="Q14" s="403">
        <v>16</v>
      </c>
      <c r="R14" s="403">
        <v>16</v>
      </c>
      <c r="S14" s="403">
        <v>16</v>
      </c>
      <c r="T14" s="403">
        <v>16</v>
      </c>
      <c r="U14" s="403">
        <v>16</v>
      </c>
      <c r="V14" s="403">
        <v>16</v>
      </c>
      <c r="W14" s="403">
        <v>16</v>
      </c>
      <c r="X14" s="403">
        <v>16</v>
      </c>
      <c r="Y14" s="403">
        <v>16</v>
      </c>
      <c r="Z14" s="403">
        <v>16</v>
      </c>
      <c r="AA14" s="403">
        <v>16</v>
      </c>
      <c r="AB14" s="403">
        <v>16</v>
      </c>
      <c r="AC14" s="403">
        <v>16</v>
      </c>
      <c r="AD14" s="403">
        <v>16</v>
      </c>
      <c r="AE14" s="403">
        <v>16</v>
      </c>
      <c r="AF14" s="403">
        <v>16</v>
      </c>
      <c r="AG14" s="403">
        <v>16</v>
      </c>
      <c r="AH14" s="403">
        <v>16</v>
      </c>
      <c r="AI14" s="403">
        <v>16</v>
      </c>
      <c r="AJ14" s="403">
        <v>16</v>
      </c>
      <c r="AK14" s="403">
        <v>16</v>
      </c>
      <c r="AL14" s="443">
        <v>16</v>
      </c>
      <c r="AM14" s="456">
        <v>16</v>
      </c>
      <c r="AN14" s="487">
        <v>0</v>
      </c>
      <c r="AO14" s="487">
        <v>0</v>
      </c>
      <c r="AP14" s="487">
        <v>0</v>
      </c>
      <c r="AQ14" s="487">
        <v>0</v>
      </c>
      <c r="AR14" s="487">
        <v>0</v>
      </c>
      <c r="AS14" s="487">
        <v>0</v>
      </c>
      <c r="AT14" s="487">
        <v>0</v>
      </c>
      <c r="AU14" s="487">
        <v>0</v>
      </c>
      <c r="AV14" s="487"/>
      <c r="AW14" t="s">
        <v>637</v>
      </c>
      <c r="AY14" s="547"/>
      <c r="AZ14" s="547"/>
      <c r="BB14" s="547" t="s">
        <v>645</v>
      </c>
    </row>
    <row r="15" spans="1:54" x14ac:dyDescent="0.35">
      <c r="A15" s="545" t="s">
        <v>510</v>
      </c>
      <c r="C15" s="584" t="s">
        <v>338</v>
      </c>
      <c r="D15" s="584"/>
      <c r="E15" s="584"/>
      <c r="F15" s="581" t="s">
        <v>450</v>
      </c>
      <c r="G15" s="581"/>
      <c r="H15" s="581"/>
      <c r="I15" s="581"/>
      <c r="J15" s="581"/>
      <c r="K15" s="581"/>
      <c r="L15" s="581"/>
      <c r="M15" s="581"/>
      <c r="N15" s="581"/>
      <c r="O15" s="280">
        <f>90/22</f>
        <v>4.0909090909090908</v>
      </c>
      <c r="P15" s="280">
        <f t="shared" ref="P15:AM15" si="7">90/22</f>
        <v>4.0909090909090908</v>
      </c>
      <c r="Q15" s="280">
        <f t="shared" si="7"/>
        <v>4.0909090909090908</v>
      </c>
      <c r="R15" s="280">
        <f t="shared" si="7"/>
        <v>4.0909090909090908</v>
      </c>
      <c r="S15" s="280">
        <f t="shared" si="7"/>
        <v>4.0909090909090908</v>
      </c>
      <c r="T15" s="280">
        <f t="shared" si="7"/>
        <v>4.0909090909090908</v>
      </c>
      <c r="U15" s="280">
        <f t="shared" si="7"/>
        <v>4.0909090909090908</v>
      </c>
      <c r="V15" s="280">
        <f t="shared" si="7"/>
        <v>4.0909090909090908</v>
      </c>
      <c r="W15" s="280">
        <f t="shared" si="7"/>
        <v>4.0909090909090908</v>
      </c>
      <c r="X15" s="280">
        <f t="shared" si="7"/>
        <v>4.0909090909090908</v>
      </c>
      <c r="Y15" s="280">
        <f t="shared" si="7"/>
        <v>4.0909090909090908</v>
      </c>
      <c r="Z15" s="280">
        <f t="shared" si="7"/>
        <v>4.0909090909090908</v>
      </c>
      <c r="AA15" s="280">
        <f t="shared" si="7"/>
        <v>4.0909090909090908</v>
      </c>
      <c r="AB15" s="280">
        <f t="shared" si="7"/>
        <v>4.0909090909090908</v>
      </c>
      <c r="AC15" s="280">
        <f t="shared" si="7"/>
        <v>4.0909090909090908</v>
      </c>
      <c r="AD15" s="280">
        <f t="shared" si="7"/>
        <v>4.0909090909090908</v>
      </c>
      <c r="AE15" s="280">
        <f t="shared" si="7"/>
        <v>4.0909090909090908</v>
      </c>
      <c r="AF15" s="280">
        <f t="shared" si="7"/>
        <v>4.0909090909090908</v>
      </c>
      <c r="AG15" s="280">
        <f t="shared" si="7"/>
        <v>4.0909090909090908</v>
      </c>
      <c r="AH15" s="280">
        <f t="shared" si="7"/>
        <v>4.0909090909090908</v>
      </c>
      <c r="AI15" s="280">
        <f t="shared" si="7"/>
        <v>4.0909090909090908</v>
      </c>
      <c r="AJ15" s="280">
        <f t="shared" si="7"/>
        <v>4.0909090909090908</v>
      </c>
      <c r="AK15" s="280">
        <f t="shared" si="7"/>
        <v>4.0909090909090908</v>
      </c>
      <c r="AL15" s="362">
        <f t="shared" si="7"/>
        <v>4.0909090909090908</v>
      </c>
      <c r="AM15" s="455">
        <f t="shared" si="7"/>
        <v>4.0909090909090908</v>
      </c>
      <c r="AN15" s="487">
        <v>0</v>
      </c>
      <c r="AO15" s="487">
        <v>0</v>
      </c>
      <c r="AP15" s="487">
        <v>0</v>
      </c>
      <c r="AQ15" s="487">
        <v>0</v>
      </c>
      <c r="AR15" s="487">
        <v>0</v>
      </c>
      <c r="AS15" s="487">
        <v>0</v>
      </c>
      <c r="AT15" s="487">
        <v>0</v>
      </c>
      <c r="AU15" s="487">
        <v>0</v>
      </c>
      <c r="AV15" s="487"/>
      <c r="AW15" t="s">
        <v>638</v>
      </c>
      <c r="AY15" s="547"/>
      <c r="AZ15" s="547"/>
      <c r="BB15" s="547" t="s">
        <v>521</v>
      </c>
    </row>
    <row r="16" spans="1:54" x14ac:dyDescent="0.35">
      <c r="A16" s="545" t="s">
        <v>432</v>
      </c>
      <c r="C16" s="1"/>
      <c r="D16" s="1"/>
      <c r="E16" s="1"/>
      <c r="F16" s="581" t="s">
        <v>432</v>
      </c>
      <c r="G16" s="581"/>
      <c r="H16" s="581"/>
      <c r="I16" s="581"/>
      <c r="J16" s="581"/>
      <c r="K16" s="581"/>
      <c r="L16" s="581"/>
      <c r="M16" s="581"/>
      <c r="N16" s="581"/>
      <c r="P16" s="280"/>
      <c r="Q16" s="280"/>
      <c r="R16" s="280"/>
      <c r="S16" s="280"/>
      <c r="T16" s="280"/>
      <c r="U16" s="280"/>
      <c r="V16" s="280"/>
      <c r="W16" s="280"/>
      <c r="X16" s="280"/>
      <c r="Y16" s="280"/>
      <c r="Z16" s="280"/>
      <c r="AA16" s="280"/>
      <c r="AB16" s="280"/>
      <c r="AC16" s="280"/>
      <c r="AD16" s="280"/>
      <c r="AE16" s="280"/>
      <c r="AF16" s="280"/>
      <c r="AG16" s="280"/>
      <c r="AH16" s="280"/>
      <c r="AI16" s="280"/>
      <c r="AJ16" s="280"/>
      <c r="AK16" s="280"/>
      <c r="AL16" s="362"/>
      <c r="AM16" s="362"/>
      <c r="AN16" s="455">
        <v>36.020000000000003</v>
      </c>
      <c r="AO16" s="455">
        <v>36.020000000000003</v>
      </c>
      <c r="AP16" s="520">
        <v>36.020000000000003</v>
      </c>
      <c r="AQ16" s="520">
        <v>36.020000000000003</v>
      </c>
      <c r="AR16" s="520">
        <v>36.020000000000003</v>
      </c>
      <c r="AS16" s="520">
        <v>36.020000000000003</v>
      </c>
      <c r="AT16" s="520">
        <v>36.020000000000003</v>
      </c>
      <c r="AU16" s="520">
        <v>36.020000000000003</v>
      </c>
      <c r="AV16" s="520"/>
      <c r="AW16" t="s">
        <v>639</v>
      </c>
      <c r="AY16" s="547"/>
      <c r="AZ16" s="547"/>
      <c r="BB16" s="547" t="s">
        <v>522</v>
      </c>
    </row>
    <row r="17" spans="1:52" x14ac:dyDescent="0.35">
      <c r="A17" s="545" t="s">
        <v>511</v>
      </c>
      <c r="C17" s="1"/>
      <c r="D17" s="1"/>
      <c r="E17" s="1"/>
      <c r="F17" s="581" t="s">
        <v>451</v>
      </c>
      <c r="G17" s="581"/>
      <c r="H17" s="581"/>
      <c r="I17" s="581"/>
      <c r="J17" s="581"/>
      <c r="K17" s="581"/>
      <c r="L17" s="581"/>
      <c r="M17" s="581"/>
      <c r="N17" s="581"/>
      <c r="P17" s="280"/>
      <c r="Q17" s="280"/>
      <c r="R17" s="280"/>
      <c r="S17" s="280"/>
      <c r="T17" s="280"/>
      <c r="U17" s="280"/>
      <c r="V17" s="280"/>
      <c r="W17" s="280"/>
      <c r="X17" s="280"/>
      <c r="Y17" s="280"/>
      <c r="Z17" s="280"/>
      <c r="AA17" s="280"/>
      <c r="AB17" s="280"/>
      <c r="AC17" s="280"/>
      <c r="AD17" s="280"/>
      <c r="AE17" s="280"/>
      <c r="AF17" s="280"/>
      <c r="AG17" s="280"/>
      <c r="AH17" s="280"/>
      <c r="AI17" s="280"/>
      <c r="AJ17" s="280"/>
      <c r="AK17" s="280"/>
      <c r="AL17" s="362"/>
      <c r="AM17" s="362"/>
      <c r="AN17" s="455">
        <f t="shared" ref="AN17:AU17" si="8">+AN13*23%</f>
        <v>7.0173000000000005</v>
      </c>
      <c r="AO17" s="455">
        <f t="shared" si="8"/>
        <v>7.0173000000000005</v>
      </c>
      <c r="AP17" s="519">
        <f t="shared" si="8"/>
        <v>7.0173000000000005</v>
      </c>
      <c r="AQ17" s="519">
        <f t="shared" si="8"/>
        <v>7.0173000000000005</v>
      </c>
      <c r="AR17" s="519">
        <f t="shared" si="8"/>
        <v>7.0173000000000005</v>
      </c>
      <c r="AS17" s="519">
        <f t="shared" si="8"/>
        <v>7.0173000000000005</v>
      </c>
      <c r="AT17" s="519">
        <f t="shared" si="8"/>
        <v>7.0173000000000005</v>
      </c>
      <c r="AU17" s="519">
        <f t="shared" si="8"/>
        <v>7.0173000000000005</v>
      </c>
      <c r="AV17" s="519"/>
      <c r="AW17" s="545" t="s">
        <v>511</v>
      </c>
      <c r="AY17" s="547"/>
      <c r="AZ17" s="547"/>
    </row>
    <row r="18" spans="1:52" x14ac:dyDescent="0.35">
      <c r="C18" s="580" t="s">
        <v>305</v>
      </c>
      <c r="D18" s="580"/>
      <c r="E18" s="580"/>
      <c r="F18" s="580"/>
      <c r="G18" s="580"/>
      <c r="H18" s="580"/>
      <c r="I18" s="580"/>
      <c r="J18" s="580"/>
      <c r="K18" s="580"/>
      <c r="L18" s="580"/>
      <c r="M18" s="580"/>
      <c r="N18" s="580"/>
      <c r="O18" s="282">
        <f t="shared" ref="O18:AM18" si="9">+SUM(O7:O15)</f>
        <v>1441.0829269194458</v>
      </c>
      <c r="P18" s="282">
        <f t="shared" si="9"/>
        <v>1411.3004470049939</v>
      </c>
      <c r="Q18" s="282">
        <f t="shared" si="9"/>
        <v>1404.5317015698909</v>
      </c>
      <c r="R18" s="282">
        <f t="shared" si="9"/>
        <v>1378.8104689165002</v>
      </c>
      <c r="S18" s="282">
        <f t="shared" si="9"/>
        <v>1357.8273580676819</v>
      </c>
      <c r="T18" s="282">
        <f t="shared" si="9"/>
        <v>1336.8442472188633</v>
      </c>
      <c r="U18" s="282">
        <f t="shared" si="9"/>
        <v>1338.1979963058839</v>
      </c>
      <c r="V18" s="282">
        <f t="shared" si="9"/>
        <v>1358.5042326111925</v>
      </c>
      <c r="W18" s="282">
        <f t="shared" si="9"/>
        <v>1358.5042326111925</v>
      </c>
      <c r="X18" s="282">
        <f t="shared" si="9"/>
        <v>1365.2729780462951</v>
      </c>
      <c r="Y18" s="282">
        <f t="shared" si="9"/>
        <v>1365.2729780462951</v>
      </c>
      <c r="Z18" s="282">
        <f t="shared" si="9"/>
        <v>1365.2729780462951</v>
      </c>
      <c r="AA18" s="282">
        <f t="shared" si="9"/>
        <v>1636.564295085213</v>
      </c>
      <c r="AB18" s="282">
        <f t="shared" si="9"/>
        <v>1640.7609172549767</v>
      </c>
      <c r="AC18" s="282">
        <f t="shared" si="9"/>
        <v>1640.7609172549767</v>
      </c>
      <c r="AD18" s="282">
        <f t="shared" si="9"/>
        <v>1486.0273966085279</v>
      </c>
      <c r="AE18" s="282">
        <f t="shared" si="9"/>
        <v>1098.253006821843</v>
      </c>
      <c r="AF18" s="282">
        <f t="shared" si="9"/>
        <v>1074.3666295837857</v>
      </c>
      <c r="AG18" s="282">
        <f t="shared" si="9"/>
        <v>1034.8604295951222</v>
      </c>
      <c r="AH18" s="282">
        <f t="shared" si="9"/>
        <v>1037.9383082614693</v>
      </c>
      <c r="AI18" s="282">
        <f t="shared" si="9"/>
        <v>1031.6056140535711</v>
      </c>
      <c r="AJ18" s="282">
        <f t="shared" si="9"/>
        <v>1013.2741308201805</v>
      </c>
      <c r="AK18" s="282">
        <f t="shared" si="9"/>
        <v>969.14278229535194</v>
      </c>
      <c r="AL18" s="449">
        <f t="shared" si="9"/>
        <v>1001.0531419979204</v>
      </c>
      <c r="AM18" s="449">
        <f t="shared" si="9"/>
        <v>984.87429545454552</v>
      </c>
      <c r="AN18" s="449">
        <f>+SUM(AN7:AN17)</f>
        <v>1091.5549136363636</v>
      </c>
      <c r="AO18" s="449">
        <f>+SUM(AO7:AO17)</f>
        <v>1118.5012999999999</v>
      </c>
      <c r="AP18" s="449">
        <f t="shared" ref="AP18:AV18" si="10">+SUM(AP7:AP17)</f>
        <v>1109.0872999999999</v>
      </c>
      <c r="AQ18" s="449">
        <f t="shared" si="10"/>
        <v>1095.4893</v>
      </c>
      <c r="AR18" s="449">
        <f t="shared" si="10"/>
        <v>1092.0898</v>
      </c>
      <c r="AS18" s="449">
        <f t="shared" si="10"/>
        <v>1096.8490999999999</v>
      </c>
      <c r="AT18" s="449">
        <f t="shared" si="10"/>
        <v>1167.7417500000001</v>
      </c>
      <c r="AU18" s="449">
        <f t="shared" si="10"/>
        <v>1185.7939666666666</v>
      </c>
      <c r="AV18" s="449">
        <f t="shared" si="10"/>
        <v>1428.2275000000002</v>
      </c>
      <c r="AW18" s="450"/>
      <c r="AX18" s="450"/>
    </row>
    <row r="19" spans="1:52" ht="39.75" customHeight="1" x14ac:dyDescent="0.35">
      <c r="F19" s="581"/>
      <c r="G19" s="581"/>
      <c r="H19" s="581"/>
      <c r="I19" s="581"/>
      <c r="J19" s="581"/>
      <c r="K19" s="581"/>
      <c r="L19" s="581"/>
      <c r="M19" s="581"/>
      <c r="N19" s="581"/>
      <c r="AN19" s="458"/>
      <c r="AO19" s="458"/>
      <c r="AP19" s="458"/>
      <c r="AQ19" s="458"/>
      <c r="AR19" s="458"/>
      <c r="AS19" s="458"/>
      <c r="AT19" s="458"/>
      <c r="AU19" s="458"/>
      <c r="AV19" s="458"/>
      <c r="AX19" s="458"/>
    </row>
    <row r="20" spans="1:52" x14ac:dyDescent="0.35">
      <c r="F20" s="582" t="s">
        <v>339</v>
      </c>
      <c r="G20" s="582"/>
      <c r="H20" s="582"/>
      <c r="I20" s="582"/>
      <c r="J20" s="582"/>
      <c r="K20" s="582"/>
      <c r="L20" s="582"/>
      <c r="M20" s="582"/>
      <c r="N20" s="582"/>
      <c r="O20" s="372"/>
      <c r="P20" s="373"/>
      <c r="Q20" s="373"/>
      <c r="R20" s="373"/>
      <c r="S20" s="373"/>
      <c r="T20" s="373"/>
      <c r="U20" s="373"/>
      <c r="V20" s="373"/>
      <c r="W20" s="373"/>
      <c r="X20" s="373"/>
      <c r="Y20" s="373"/>
      <c r="Z20" s="373">
        <v>130</v>
      </c>
      <c r="AA20" s="373">
        <v>390</v>
      </c>
      <c r="AB20" s="373">
        <v>390</v>
      </c>
      <c r="AC20" s="373">
        <v>390</v>
      </c>
      <c r="AD20" s="374">
        <v>263.66603118472091</v>
      </c>
      <c r="AE20" s="374">
        <f>+(3030+420)/22</f>
        <v>156.81818181818181</v>
      </c>
      <c r="AF20" s="361"/>
      <c r="AM20" s="458"/>
      <c r="AN20" s="427"/>
    </row>
    <row r="21" spans="1:52" x14ac:dyDescent="0.35">
      <c r="F21" s="582" t="s">
        <v>340</v>
      </c>
      <c r="G21" s="582"/>
      <c r="H21" s="582"/>
      <c r="I21" s="582"/>
      <c r="J21" s="582"/>
      <c r="K21" s="582"/>
      <c r="L21" s="582"/>
      <c r="M21" s="582"/>
      <c r="N21" s="582"/>
      <c r="O21" s="582"/>
      <c r="P21" s="373"/>
      <c r="Q21" s="373"/>
      <c r="R21" s="373"/>
      <c r="S21" s="373"/>
      <c r="T21" s="373"/>
      <c r="U21" s="373"/>
      <c r="V21" s="373"/>
      <c r="W21" s="373"/>
      <c r="X21" s="373"/>
      <c r="Y21" s="373"/>
      <c r="Z21" s="375">
        <f t="shared" ref="Z21:AE21" si="11">+Z20-Z5</f>
        <v>0</v>
      </c>
      <c r="AA21" s="375">
        <f t="shared" si="11"/>
        <v>0</v>
      </c>
      <c r="AB21" s="375">
        <f t="shared" si="11"/>
        <v>0</v>
      </c>
      <c r="AC21" s="375">
        <f t="shared" si="11"/>
        <v>0</v>
      </c>
      <c r="AD21" s="375">
        <f t="shared" si="11"/>
        <v>-0.33396881527909272</v>
      </c>
      <c r="AE21" s="375">
        <f t="shared" si="11"/>
        <v>-0.18181818181818699</v>
      </c>
      <c r="AM21" s="450"/>
      <c r="AN21" s="427"/>
    </row>
    <row r="22" spans="1:52" x14ac:dyDescent="0.35">
      <c r="F22" s="582" t="s">
        <v>341</v>
      </c>
      <c r="G22" s="582"/>
      <c r="H22" s="582"/>
      <c r="I22" s="582"/>
      <c r="J22" s="582"/>
      <c r="K22" s="582"/>
      <c r="L22" s="582"/>
      <c r="M22" s="582"/>
      <c r="N22" s="582"/>
      <c r="O22" s="372"/>
      <c r="P22" s="373"/>
      <c r="Q22" s="373"/>
      <c r="R22" s="373"/>
      <c r="S22" s="373"/>
      <c r="T22" s="373"/>
      <c r="U22" s="373"/>
      <c r="V22" s="373"/>
      <c r="W22" s="373"/>
      <c r="X22" s="373"/>
      <c r="Y22" s="373"/>
      <c r="Z22" s="374" t="e">
        <f>+#REF!</f>
        <v>#REF!</v>
      </c>
      <c r="AA22" s="374" t="e">
        <f>+#REF!</f>
        <v>#REF!</v>
      </c>
      <c r="AB22" s="374" t="e">
        <f>+#REF!</f>
        <v>#REF!</v>
      </c>
      <c r="AC22" s="374" t="e">
        <f>+#REF!</f>
        <v>#REF!</v>
      </c>
      <c r="AD22" s="374" t="e">
        <f>+#REF!</f>
        <v>#REF!</v>
      </c>
      <c r="AE22" s="374" t="e">
        <f>+#REF!</f>
        <v>#REF!</v>
      </c>
      <c r="AN22" s="458"/>
    </row>
    <row r="23" spans="1:52" x14ac:dyDescent="0.35">
      <c r="F23" s="583" t="s">
        <v>342</v>
      </c>
      <c r="G23" s="583"/>
      <c r="H23" s="583"/>
      <c r="I23" s="583"/>
      <c r="J23" s="583"/>
      <c r="K23" s="583"/>
      <c r="L23" s="583"/>
      <c r="M23" s="583"/>
      <c r="N23" s="583"/>
      <c r="O23" s="376"/>
      <c r="P23" s="377"/>
      <c r="Q23" s="377"/>
      <c r="R23" s="377"/>
      <c r="S23" s="377"/>
      <c r="T23" s="377"/>
      <c r="U23" s="377"/>
      <c r="V23" s="377"/>
      <c r="W23" s="377"/>
      <c r="X23" s="377"/>
      <c r="Y23" s="377"/>
      <c r="Z23" s="378" t="e">
        <f t="shared" ref="Z23:AC23" si="12">+Z22*Z21</f>
        <v>#REF!</v>
      </c>
      <c r="AA23" s="378" t="e">
        <f t="shared" si="12"/>
        <v>#REF!</v>
      </c>
      <c r="AB23" s="378" t="e">
        <f t="shared" si="12"/>
        <v>#REF!</v>
      </c>
      <c r="AC23" s="378" t="e">
        <f t="shared" si="12"/>
        <v>#REF!</v>
      </c>
      <c r="AD23" s="378" t="e">
        <f>+AD22*AD21</f>
        <v>#REF!</v>
      </c>
      <c r="AE23" s="378" t="e">
        <f>+AE22*AE21</f>
        <v>#REF!</v>
      </c>
      <c r="AF23" s="362"/>
      <c r="AN23" s="4"/>
      <c r="AO23" s="460"/>
      <c r="AP23" s="460"/>
      <c r="AQ23" s="460"/>
      <c r="AR23" s="460"/>
      <c r="AS23" s="460"/>
      <c r="AT23" s="460"/>
      <c r="AU23" s="460"/>
      <c r="AV23" s="460"/>
    </row>
    <row r="24" spans="1:52" x14ac:dyDescent="0.35">
      <c r="AK24" s="459"/>
      <c r="AN24" s="4"/>
    </row>
    <row r="26" spans="1:52" x14ac:dyDescent="0.35">
      <c r="AN26" s="458"/>
      <c r="AO26" s="458"/>
      <c r="AP26" s="458"/>
      <c r="AQ26" s="458"/>
      <c r="AR26" s="458"/>
      <c r="AS26" s="458"/>
      <c r="AT26" s="458"/>
      <c r="AU26" s="458"/>
      <c r="AV26" s="458"/>
    </row>
  </sheetData>
  <mergeCells count="32">
    <mergeCell ref="C3:E3"/>
    <mergeCell ref="F3:N3"/>
    <mergeCell ref="C4:E4"/>
    <mergeCell ref="F4:N4"/>
    <mergeCell ref="C5:E5"/>
    <mergeCell ref="F5:N5"/>
    <mergeCell ref="C13:E13"/>
    <mergeCell ref="F13:N13"/>
    <mergeCell ref="C6:E6"/>
    <mergeCell ref="F6:N6"/>
    <mergeCell ref="C7:N7"/>
    <mergeCell ref="C8:E8"/>
    <mergeCell ref="F8:N8"/>
    <mergeCell ref="C9:E9"/>
    <mergeCell ref="F9:N9"/>
    <mergeCell ref="C10:E11"/>
    <mergeCell ref="F10:N10"/>
    <mergeCell ref="F11:N11"/>
    <mergeCell ref="C12:E12"/>
    <mergeCell ref="F12:N12"/>
    <mergeCell ref="F23:N23"/>
    <mergeCell ref="C14:E14"/>
    <mergeCell ref="F14:N14"/>
    <mergeCell ref="C15:E15"/>
    <mergeCell ref="F15:N15"/>
    <mergeCell ref="F16:N16"/>
    <mergeCell ref="F17:N17"/>
    <mergeCell ref="C18:N18"/>
    <mergeCell ref="F19:N19"/>
    <mergeCell ref="F20:N20"/>
    <mergeCell ref="F21:O21"/>
    <mergeCell ref="F22:N22"/>
  </mergeCells>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7F677-FDA4-46B2-944C-45379BA853D6}">
  <dimension ref="A1:AX26"/>
  <sheetViews>
    <sheetView showGridLines="0" topLeftCell="AL1" zoomScale="120" zoomScaleNormal="120" workbookViewId="0">
      <selection activeCell="AU5" sqref="AR5:AU5"/>
    </sheetView>
  </sheetViews>
  <sheetFormatPr defaultColWidth="11.453125" defaultRowHeight="14.5" x14ac:dyDescent="0.35"/>
  <cols>
    <col min="1" max="1" width="21.08984375" customWidth="1"/>
    <col min="2" max="2" width="28.7265625" customWidth="1"/>
    <col min="3" max="5" width="6.81640625" customWidth="1"/>
    <col min="6" max="14" width="4.81640625" customWidth="1"/>
    <col min="15" max="15" width="10.81640625" style="280" customWidth="1"/>
    <col min="16" max="24" width="11.453125" customWidth="1"/>
    <col min="25" max="25" width="13.54296875" customWidth="1"/>
    <col min="26" max="29" width="11.453125" customWidth="1"/>
    <col min="30" max="30" width="13.1796875" customWidth="1"/>
    <col min="31" max="31" width="11.81640625" customWidth="1"/>
    <col min="32" max="32" width="12.7265625" customWidth="1"/>
    <col min="33" max="33" width="11.81640625" customWidth="1"/>
    <col min="34" max="38" width="9.81640625" customWidth="1"/>
    <col min="39" max="39" width="9.7265625" customWidth="1"/>
    <col min="40" max="41" width="11.7265625" customWidth="1"/>
    <col min="42" max="42" width="12.81640625" customWidth="1"/>
    <col min="43" max="43" width="11.54296875" customWidth="1"/>
    <col min="44" max="44" width="12.453125" customWidth="1"/>
    <col min="45" max="45" width="11.54296875" customWidth="1"/>
    <col min="46" max="46" width="9.1796875" customWidth="1"/>
    <col min="47" max="47" width="9.453125" bestFit="1" customWidth="1"/>
  </cols>
  <sheetData>
    <row r="1" spans="1:50" x14ac:dyDescent="0.35">
      <c r="AF1">
        <v>1</v>
      </c>
    </row>
    <row r="2" spans="1:50" x14ac:dyDescent="0.35">
      <c r="N2" t="s">
        <v>306</v>
      </c>
      <c r="O2" s="315" t="s">
        <v>307</v>
      </c>
      <c r="P2" s="315" t="s">
        <v>308</v>
      </c>
      <c r="Q2" s="315" t="s">
        <v>309</v>
      </c>
      <c r="R2" s="315" t="s">
        <v>310</v>
      </c>
      <c r="S2" s="315" t="s">
        <v>311</v>
      </c>
      <c r="T2" s="315" t="s">
        <v>312</v>
      </c>
      <c r="U2" s="315" t="s">
        <v>313</v>
      </c>
      <c r="V2" s="315" t="s">
        <v>314</v>
      </c>
      <c r="W2" s="315" t="s">
        <v>315</v>
      </c>
      <c r="X2" s="315" t="s">
        <v>316</v>
      </c>
      <c r="Y2" s="315" t="s">
        <v>317</v>
      </c>
      <c r="Z2" s="315" t="s">
        <v>318</v>
      </c>
      <c r="AA2" s="315" t="s">
        <v>319</v>
      </c>
      <c r="AB2" s="315" t="s">
        <v>309</v>
      </c>
      <c r="AC2" s="315" t="s">
        <v>310</v>
      </c>
      <c r="AD2" s="315" t="s">
        <v>311</v>
      </c>
      <c r="AE2" s="315" t="s">
        <v>312</v>
      </c>
      <c r="AF2" s="315" t="s">
        <v>313</v>
      </c>
      <c r="AG2" s="315" t="s">
        <v>314</v>
      </c>
      <c r="AH2" s="315" t="s">
        <v>315</v>
      </c>
      <c r="AI2" s="315" t="s">
        <v>316</v>
      </c>
      <c r="AJ2" s="315" t="s">
        <v>320</v>
      </c>
      <c r="AK2" s="315" t="s">
        <v>317</v>
      </c>
      <c r="AL2" s="315" t="s">
        <v>318</v>
      </c>
      <c r="AM2" s="315" t="s">
        <v>308</v>
      </c>
      <c r="AN2" s="315" t="s">
        <v>309</v>
      </c>
      <c r="AO2" s="315" t="s">
        <v>310</v>
      </c>
      <c r="AP2" s="315" t="s">
        <v>311</v>
      </c>
      <c r="AQ2" s="315" t="s">
        <v>312</v>
      </c>
      <c r="AR2" s="315" t="s">
        <v>313</v>
      </c>
      <c r="AS2" s="315" t="s">
        <v>314</v>
      </c>
      <c r="AT2" s="315" t="s">
        <v>315</v>
      </c>
      <c r="AU2" s="315" t="s">
        <v>316</v>
      </c>
    </row>
    <row r="3" spans="1:50" x14ac:dyDescent="0.35">
      <c r="A3" s="544" t="s">
        <v>513</v>
      </c>
      <c r="C3" s="588" t="s">
        <v>297</v>
      </c>
      <c r="D3" s="588"/>
      <c r="E3" s="588"/>
      <c r="F3" s="588" t="s">
        <v>153</v>
      </c>
      <c r="G3" s="588"/>
      <c r="H3" s="588"/>
      <c r="I3" s="588"/>
      <c r="J3" s="588"/>
      <c r="K3" s="588"/>
      <c r="L3" s="588"/>
      <c r="M3" s="588"/>
      <c r="N3" s="588"/>
      <c r="O3" s="316" t="s">
        <v>321</v>
      </c>
      <c r="P3" s="316" t="s">
        <v>310</v>
      </c>
      <c r="Q3" s="316" t="s">
        <v>311</v>
      </c>
      <c r="R3" s="316" t="s">
        <v>312</v>
      </c>
      <c r="S3" s="316" t="s">
        <v>313</v>
      </c>
      <c r="T3" s="316" t="s">
        <v>314</v>
      </c>
      <c r="U3" s="316" t="s">
        <v>315</v>
      </c>
      <c r="V3" s="316" t="s">
        <v>322</v>
      </c>
      <c r="W3" s="316" t="s">
        <v>320</v>
      </c>
      <c r="X3" s="316" t="s">
        <v>317</v>
      </c>
      <c r="Y3" s="316" t="s">
        <v>308</v>
      </c>
      <c r="Z3" s="316" t="s">
        <v>309</v>
      </c>
      <c r="AA3" s="316" t="s">
        <v>310</v>
      </c>
      <c r="AB3" s="316" t="s">
        <v>311</v>
      </c>
      <c r="AC3" s="316" t="s">
        <v>312</v>
      </c>
      <c r="AD3" s="316" t="s">
        <v>313</v>
      </c>
      <c r="AE3" s="316" t="s">
        <v>314</v>
      </c>
      <c r="AF3" s="316" t="s">
        <v>315</v>
      </c>
      <c r="AG3" s="316" t="s">
        <v>316</v>
      </c>
      <c r="AH3" s="316" t="s">
        <v>320</v>
      </c>
      <c r="AI3" s="316" t="s">
        <v>317</v>
      </c>
      <c r="AJ3" s="316" t="s">
        <v>318</v>
      </c>
      <c r="AK3" s="316" t="s">
        <v>308</v>
      </c>
      <c r="AL3" s="316" t="s">
        <v>309</v>
      </c>
      <c r="AM3" s="316" t="s">
        <v>310</v>
      </c>
      <c r="AN3" s="316" t="s">
        <v>311</v>
      </c>
      <c r="AO3" s="316" t="s">
        <v>312</v>
      </c>
      <c r="AP3" s="316" t="s">
        <v>313</v>
      </c>
      <c r="AQ3" s="316" t="s">
        <v>314</v>
      </c>
      <c r="AR3" s="316" t="s">
        <v>315</v>
      </c>
      <c r="AS3" s="316" t="s">
        <v>316</v>
      </c>
      <c r="AT3" s="316" t="s">
        <v>320</v>
      </c>
      <c r="AU3" s="316" t="s">
        <v>317</v>
      </c>
      <c r="AX3" s="547"/>
    </row>
    <row r="4" spans="1:50" x14ac:dyDescent="0.35">
      <c r="A4" s="545" t="s">
        <v>501</v>
      </c>
      <c r="C4" s="584" t="s">
        <v>323</v>
      </c>
      <c r="D4" s="584"/>
      <c r="E4" s="584"/>
      <c r="F4" s="581" t="s">
        <v>324</v>
      </c>
      <c r="G4" s="581"/>
      <c r="H4" s="581"/>
      <c r="I4" s="581"/>
      <c r="J4" s="581"/>
      <c r="K4" s="581"/>
      <c r="L4" s="581"/>
      <c r="M4" s="581"/>
      <c r="N4" s="581"/>
      <c r="O4" s="280">
        <v>1152.5</v>
      </c>
      <c r="P4" s="280">
        <v>1125</v>
      </c>
      <c r="Q4" s="280">
        <v>1118.75</v>
      </c>
      <c r="R4" s="280">
        <v>1095</v>
      </c>
      <c r="S4" s="280">
        <v>1075.625</v>
      </c>
      <c r="T4" s="280">
        <v>1056.25</v>
      </c>
      <c r="U4" s="280">
        <v>1057.5</v>
      </c>
      <c r="V4" s="280">
        <v>1076.25</v>
      </c>
      <c r="W4" s="280">
        <v>1076.25</v>
      </c>
      <c r="X4" s="280">
        <v>1082.5</v>
      </c>
      <c r="Y4" s="280">
        <v>1082.5</v>
      </c>
      <c r="Z4" s="280">
        <v>1082.5</v>
      </c>
      <c r="AA4" s="280">
        <v>1073</v>
      </c>
      <c r="AB4" s="280">
        <v>1076.875</v>
      </c>
      <c r="AC4" s="280">
        <v>1076.875</v>
      </c>
      <c r="AD4" s="280">
        <v>1060</v>
      </c>
      <c r="AE4" s="280">
        <v>806</v>
      </c>
      <c r="AF4" s="280">
        <v>806</v>
      </c>
      <c r="AG4" s="280">
        <v>796.66666666666663</v>
      </c>
      <c r="AH4" s="280">
        <v>799.5</v>
      </c>
      <c r="AI4" s="280">
        <v>803.125</v>
      </c>
      <c r="AJ4" s="280">
        <v>786.25</v>
      </c>
      <c r="AK4" s="280">
        <v>745.625</v>
      </c>
      <c r="AL4" s="280">
        <v>775</v>
      </c>
      <c r="AM4" s="280">
        <v>793.125</v>
      </c>
      <c r="AN4" s="280">
        <v>781.875</v>
      </c>
      <c r="AO4" s="280">
        <f>+'ICIS -1'!C16</f>
        <v>774</v>
      </c>
      <c r="AP4" s="280">
        <f>+'ICIS -1'!C17</f>
        <v>765</v>
      </c>
      <c r="AQ4" s="280">
        <f>+'ICIS -1'!C18</f>
        <v>752</v>
      </c>
      <c r="AR4" s="280">
        <f>+'ICIS -1'!C19</f>
        <v>748.75</v>
      </c>
      <c r="AS4" s="280">
        <f>+'ICIS -1'!C20</f>
        <v>753.3</v>
      </c>
      <c r="AT4" s="280">
        <f>+'ICIS -1'!C21</f>
        <v>821.07500000000005</v>
      </c>
      <c r="AU4" s="280">
        <f>+'ICIS -1'!C22</f>
        <v>838.33333333333337</v>
      </c>
      <c r="AV4" s="427" t="s">
        <v>523</v>
      </c>
      <c r="AW4" s="427"/>
    </row>
    <row r="5" spans="1:50" x14ac:dyDescent="0.35">
      <c r="A5" s="545" t="s">
        <v>512</v>
      </c>
      <c r="C5" s="585" t="s">
        <v>36</v>
      </c>
      <c r="D5" s="585"/>
      <c r="E5" s="585"/>
      <c r="F5" s="581" t="s">
        <v>325</v>
      </c>
      <c r="G5" s="581"/>
      <c r="H5" s="581"/>
      <c r="I5" s="581"/>
      <c r="J5" s="581"/>
      <c r="K5" s="581"/>
      <c r="L5" s="581"/>
      <c r="M5" s="581"/>
      <c r="N5" s="581"/>
      <c r="O5" s="280">
        <v>130</v>
      </c>
      <c r="P5" s="280">
        <v>130</v>
      </c>
      <c r="Q5" s="280">
        <v>130</v>
      </c>
      <c r="R5" s="280">
        <v>130</v>
      </c>
      <c r="S5" s="280">
        <v>130</v>
      </c>
      <c r="T5" s="280">
        <v>130</v>
      </c>
      <c r="U5" s="280">
        <v>130</v>
      </c>
      <c r="V5" s="280">
        <v>130</v>
      </c>
      <c r="W5" s="280">
        <v>130</v>
      </c>
      <c r="X5" s="280">
        <v>130</v>
      </c>
      <c r="Y5" s="280">
        <v>130</v>
      </c>
      <c r="Z5" s="280">
        <v>130</v>
      </c>
      <c r="AA5" s="280">
        <v>390</v>
      </c>
      <c r="AB5" s="280">
        <v>390</v>
      </c>
      <c r="AC5" s="280">
        <v>390</v>
      </c>
      <c r="AD5" s="280">
        <v>264</v>
      </c>
      <c r="AE5" s="280">
        <v>157</v>
      </c>
      <c r="AF5" s="280">
        <f>(2530+420)/22</f>
        <v>134.09090909090909</v>
      </c>
      <c r="AG5" s="280">
        <f>(1915+420)/22</f>
        <v>106.13636363636364</v>
      </c>
      <c r="AH5" s="280">
        <f>(1915+420)/22</f>
        <v>106.13636363636364</v>
      </c>
      <c r="AI5" s="403">
        <f>2127/22</f>
        <v>96.681818181818187</v>
      </c>
      <c r="AJ5" s="403">
        <f>2127/22</f>
        <v>96.681818181818187</v>
      </c>
      <c r="AK5" s="403">
        <f>2127/22</f>
        <v>96.681818181818187</v>
      </c>
      <c r="AL5" s="403">
        <f>2127/22</f>
        <v>96.681818181818187</v>
      </c>
      <c r="AM5" s="403">
        <f>2127/22</f>
        <v>96.681818181818187</v>
      </c>
      <c r="AN5" s="403">
        <f>4210/22</f>
        <v>191.36363636363637</v>
      </c>
      <c r="AO5" s="403">
        <f t="shared" ref="AO5:AU5" si="0">4950/22</f>
        <v>225</v>
      </c>
      <c r="AP5" s="403">
        <f t="shared" si="0"/>
        <v>225</v>
      </c>
      <c r="AQ5" s="403">
        <f t="shared" si="0"/>
        <v>225</v>
      </c>
      <c r="AR5" s="403">
        <f t="shared" si="0"/>
        <v>225</v>
      </c>
      <c r="AS5" s="403">
        <f t="shared" si="0"/>
        <v>225</v>
      </c>
      <c r="AT5" s="403">
        <f t="shared" si="0"/>
        <v>225</v>
      </c>
      <c r="AU5" s="403">
        <f t="shared" si="0"/>
        <v>225</v>
      </c>
      <c r="AV5" s="427" t="s">
        <v>512</v>
      </c>
      <c r="AW5" s="427"/>
    </row>
    <row r="6" spans="1:50" x14ac:dyDescent="0.35">
      <c r="A6" s="545" t="s">
        <v>502</v>
      </c>
      <c r="C6" s="584" t="s">
        <v>301</v>
      </c>
      <c r="D6" s="584"/>
      <c r="E6" s="584"/>
      <c r="F6" s="586" t="s">
        <v>464</v>
      </c>
      <c r="G6" s="586"/>
      <c r="H6" s="586"/>
      <c r="I6" s="586"/>
      <c r="J6" s="586"/>
      <c r="K6" s="586"/>
      <c r="L6" s="586"/>
      <c r="M6" s="586"/>
      <c r="N6" s="586"/>
      <c r="O6" s="280">
        <f>+SUM(O4:O5)*SORF!$D$4</f>
        <v>45.364783253424655</v>
      </c>
      <c r="P6" s="280">
        <f>+SUM(P4:P5)*SORF!$D$4</f>
        <v>44.392049109589038</v>
      </c>
      <c r="Q6" s="280">
        <f>+SUM(Q4:Q5)*SORF!$D$4</f>
        <v>44.170973167808221</v>
      </c>
      <c r="R6" s="280">
        <f>+SUM(R4:R5)*SORF!$D$4</f>
        <v>43.330884589041091</v>
      </c>
      <c r="S6" s="280">
        <f>+SUM(S4:S5)*SORF!$D$4</f>
        <v>42.64554916952055</v>
      </c>
      <c r="T6" s="280">
        <f>+SUM(T4:T5)*SORF!$D$4</f>
        <v>41.960213750000001</v>
      </c>
      <c r="U6" s="280">
        <f>+SUM(U4:U5)*SORF!$D$4</f>
        <v>42.004428938356163</v>
      </c>
      <c r="V6" s="280">
        <f>+SUM(V4:V5)*SORF!$D$4</f>
        <v>42.667656763698631</v>
      </c>
      <c r="W6" s="280">
        <f>+SUM(W4:W5)*SORF!$D$4</f>
        <v>42.667656763698631</v>
      </c>
      <c r="X6" s="280">
        <f>+SUM(X4:X5)*SORF!$D$4</f>
        <v>42.888732705479448</v>
      </c>
      <c r="Y6" s="280">
        <f>+SUM(Y4:Y5)*SORF!$D$4</f>
        <v>42.888732705479448</v>
      </c>
      <c r="Z6" s="280">
        <f>+SUM(Z4:Z5)*SORF!$D$4</f>
        <v>42.888732705479448</v>
      </c>
      <c r="AA6" s="280">
        <f>+SUM(AA4:AA5)*SORF!$D$4</f>
        <v>51.749456452054794</v>
      </c>
      <c r="AB6" s="280">
        <f>+SUM(AB4:AB5)*SORF!$D$4</f>
        <v>51.886523535958901</v>
      </c>
      <c r="AC6" s="280">
        <f>+SUM(AC4:AC5)*SORF!$D$4</f>
        <v>51.886523535958901</v>
      </c>
      <c r="AD6" s="280">
        <f>+SUM(AD4:AD5)*SORF!$D$4</f>
        <v>46.832727506849317</v>
      </c>
      <c r="AE6" s="280">
        <v>37.111513561643839</v>
      </c>
      <c r="AF6" s="280">
        <v>36.228656824408475</v>
      </c>
      <c r="AG6" s="280">
        <v>34.791679026567046</v>
      </c>
      <c r="AH6" s="280">
        <v>34.900868318804484</v>
      </c>
      <c r="AI6" s="280">
        <v>34.676212809775848</v>
      </c>
      <c r="AJ6" s="280">
        <v>34.025894231008721</v>
      </c>
      <c r="AK6" s="280">
        <v>32.460312467310096</v>
      </c>
      <c r="AL6" s="280">
        <v>33.592348511830643</v>
      </c>
      <c r="AM6" s="487">
        <v>0</v>
      </c>
      <c r="AN6" s="487">
        <v>0</v>
      </c>
      <c r="AO6" s="487">
        <v>0</v>
      </c>
      <c r="AP6" s="487">
        <v>0</v>
      </c>
      <c r="AQ6" s="487">
        <v>0</v>
      </c>
      <c r="AR6" s="487">
        <v>0</v>
      </c>
      <c r="AS6" s="487">
        <v>0</v>
      </c>
      <c r="AT6" s="487">
        <v>0</v>
      </c>
      <c r="AU6" s="487">
        <v>0</v>
      </c>
      <c r="AV6" t="s">
        <v>483</v>
      </c>
    </row>
    <row r="7" spans="1:50" x14ac:dyDescent="0.35">
      <c r="A7" s="545"/>
      <c r="C7" s="587" t="s">
        <v>326</v>
      </c>
      <c r="D7" s="587"/>
      <c r="E7" s="587"/>
      <c r="F7" s="587"/>
      <c r="G7" s="587"/>
      <c r="H7" s="587"/>
      <c r="I7" s="587"/>
      <c r="J7" s="587"/>
      <c r="K7" s="587"/>
      <c r="L7" s="587"/>
      <c r="M7" s="587"/>
      <c r="N7" s="587"/>
      <c r="O7" s="281">
        <f t="shared" ref="O7:AN7" si="1">+SUM(O4:O6)</f>
        <v>1327.8647832534245</v>
      </c>
      <c r="P7" s="281">
        <f t="shared" si="1"/>
        <v>1299.3920491095892</v>
      </c>
      <c r="Q7" s="281">
        <f t="shared" si="1"/>
        <v>1292.9209731678081</v>
      </c>
      <c r="R7" s="281">
        <f t="shared" si="1"/>
        <v>1268.330884589041</v>
      </c>
      <c r="S7" s="281">
        <f t="shared" si="1"/>
        <v>1248.2705491695206</v>
      </c>
      <c r="T7" s="281">
        <f t="shared" si="1"/>
        <v>1228.2102137500001</v>
      </c>
      <c r="U7" s="281">
        <f t="shared" si="1"/>
        <v>1229.5044289383561</v>
      </c>
      <c r="V7" s="281">
        <f t="shared" si="1"/>
        <v>1248.9176567636987</v>
      </c>
      <c r="W7" s="281">
        <f t="shared" si="1"/>
        <v>1248.9176567636987</v>
      </c>
      <c r="X7" s="281">
        <f t="shared" si="1"/>
        <v>1255.3887327054795</v>
      </c>
      <c r="Y7" s="281">
        <f t="shared" si="1"/>
        <v>1255.3887327054795</v>
      </c>
      <c r="Z7" s="281">
        <f t="shared" si="1"/>
        <v>1255.3887327054795</v>
      </c>
      <c r="AA7" s="281">
        <f t="shared" si="1"/>
        <v>1514.7494564520548</v>
      </c>
      <c r="AB7" s="281">
        <f t="shared" si="1"/>
        <v>1518.761523535959</v>
      </c>
      <c r="AC7" s="281">
        <f t="shared" si="1"/>
        <v>1518.761523535959</v>
      </c>
      <c r="AD7" s="281">
        <f t="shared" si="1"/>
        <v>1370.8327275068493</v>
      </c>
      <c r="AE7" s="281">
        <f t="shared" si="1"/>
        <v>1000.1115135616438</v>
      </c>
      <c r="AF7" s="281">
        <f t="shared" si="1"/>
        <v>976.31956591531764</v>
      </c>
      <c r="AG7" s="281">
        <f t="shared" si="1"/>
        <v>937.59470932959732</v>
      </c>
      <c r="AH7" s="281">
        <f t="shared" si="1"/>
        <v>940.53723195516807</v>
      </c>
      <c r="AI7" s="281">
        <f t="shared" si="1"/>
        <v>934.48303099159409</v>
      </c>
      <c r="AJ7" s="281">
        <f t="shared" si="1"/>
        <v>916.95771241282694</v>
      </c>
      <c r="AK7" s="281">
        <f t="shared" si="1"/>
        <v>874.76713064912838</v>
      </c>
      <c r="AL7" s="281">
        <f t="shared" si="1"/>
        <v>905.27416669364891</v>
      </c>
      <c r="AM7" s="281">
        <f t="shared" si="1"/>
        <v>889.80681818181824</v>
      </c>
      <c r="AN7" s="281">
        <f t="shared" si="1"/>
        <v>973.23863636363637</v>
      </c>
      <c r="AO7" s="281">
        <f t="shared" ref="AO7:AP7" si="2">+SUM(AO4:AO6)</f>
        <v>999</v>
      </c>
      <c r="AP7" s="281">
        <f t="shared" si="2"/>
        <v>990</v>
      </c>
      <c r="AQ7" s="281">
        <f t="shared" ref="AQ7:AR7" si="3">+SUM(AQ4:AQ6)</f>
        <v>977</v>
      </c>
      <c r="AR7" s="281">
        <f t="shared" si="3"/>
        <v>973.75</v>
      </c>
      <c r="AS7" s="281">
        <f t="shared" ref="AS7:AT7" si="4">+SUM(AS4:AS6)</f>
        <v>978.3</v>
      </c>
      <c r="AT7" s="281">
        <f t="shared" si="4"/>
        <v>1046.075</v>
      </c>
      <c r="AU7" s="281">
        <f t="shared" ref="AU7" si="5">+SUM(AU4:AU6)</f>
        <v>1063.3333333333335</v>
      </c>
      <c r="AV7" s="427"/>
      <c r="AW7" s="546"/>
    </row>
    <row r="8" spans="1:50" x14ac:dyDescent="0.35">
      <c r="A8" s="545" t="s">
        <v>503</v>
      </c>
      <c r="C8" s="584" t="s">
        <v>327</v>
      </c>
      <c r="D8" s="584"/>
      <c r="E8" s="584"/>
      <c r="F8" s="581" t="s">
        <v>328</v>
      </c>
      <c r="G8" s="581"/>
      <c r="H8" s="581"/>
      <c r="I8" s="581"/>
      <c r="J8" s="581"/>
      <c r="K8" s="581"/>
      <c r="L8" s="581"/>
      <c r="M8" s="581"/>
      <c r="N8" s="581"/>
      <c r="O8" s="280">
        <f>+O7*0.1%</f>
        <v>1.3278647832534245</v>
      </c>
      <c r="P8" s="280">
        <f t="shared" ref="P8:Q8" si="6">+P7*0.1%</f>
        <v>1.2993920491095892</v>
      </c>
      <c r="Q8" s="280">
        <f t="shared" si="6"/>
        <v>1.2929209731678082</v>
      </c>
      <c r="R8" s="280">
        <f t="shared" ref="R8:S8" si="7">+R7*0.1%</f>
        <v>1.2683308845890411</v>
      </c>
      <c r="S8" s="280">
        <f t="shared" si="7"/>
        <v>1.2482705491695205</v>
      </c>
      <c r="T8" s="280">
        <f t="shared" ref="T8:U8" si="8">+T7*0.1%</f>
        <v>1.2282102137500002</v>
      </c>
      <c r="U8" s="280">
        <f t="shared" si="8"/>
        <v>1.2295044289383561</v>
      </c>
      <c r="V8" s="280">
        <f t="shared" ref="V8:W8" si="9">+V7*0.1%</f>
        <v>1.2489176567636988</v>
      </c>
      <c r="W8" s="280">
        <f t="shared" si="9"/>
        <v>1.2489176567636988</v>
      </c>
      <c r="X8" s="280">
        <f t="shared" ref="X8" si="10">+X7*0.1%</f>
        <v>1.2553887327054796</v>
      </c>
      <c r="Y8" s="280">
        <f t="shared" ref="Y8:AD8" si="11">+Y7*0.1%</f>
        <v>1.2553887327054796</v>
      </c>
      <c r="Z8" s="280">
        <f t="shared" si="11"/>
        <v>1.2553887327054796</v>
      </c>
      <c r="AA8" s="280">
        <f t="shared" si="11"/>
        <v>1.5147494564520549</v>
      </c>
      <c r="AB8" s="280">
        <f t="shared" si="11"/>
        <v>1.5187615235359591</v>
      </c>
      <c r="AC8" s="280">
        <f t="shared" si="11"/>
        <v>1.5187615235359591</v>
      </c>
      <c r="AD8" s="280">
        <f t="shared" si="11"/>
        <v>1.3708327275068493</v>
      </c>
      <c r="AE8" s="280">
        <f t="shared" ref="AE8:AG8" si="12">+AE7*0.1%</f>
        <v>1.0001115135616439</v>
      </c>
      <c r="AF8" s="280">
        <f t="shared" si="12"/>
        <v>0.97631956591531766</v>
      </c>
      <c r="AG8" s="280">
        <f t="shared" si="12"/>
        <v>0.93759470932959732</v>
      </c>
      <c r="AH8" s="280">
        <f t="shared" ref="AH8:AI8" si="13">+AH7*0.1%</f>
        <v>0.94053723195516814</v>
      </c>
      <c r="AI8" s="280">
        <f t="shared" si="13"/>
        <v>0.93448303099159413</v>
      </c>
      <c r="AJ8" s="280">
        <f t="shared" ref="AJ8:AK8" si="14">+AJ7*0.1%</f>
        <v>0.91695771241282698</v>
      </c>
      <c r="AK8" s="280">
        <f t="shared" si="14"/>
        <v>0.87476713064912837</v>
      </c>
      <c r="AL8" s="362">
        <f t="shared" ref="AL8:AM8" si="15">+AL7*0.1%</f>
        <v>0.90527416669364891</v>
      </c>
      <c r="AM8" s="362">
        <f t="shared" si="15"/>
        <v>0.88980681818181828</v>
      </c>
      <c r="AN8" s="362">
        <f t="shared" ref="AN8:AO8" si="16">+AN7*0.1%</f>
        <v>0.97323863636363639</v>
      </c>
      <c r="AO8" s="362">
        <f t="shared" si="16"/>
        <v>0.999</v>
      </c>
      <c r="AP8" s="362">
        <f t="shared" ref="AP8:AQ8" si="17">+AP7*0.1%</f>
        <v>0.99</v>
      </c>
      <c r="AQ8" s="362">
        <f t="shared" si="17"/>
        <v>0.97699999999999998</v>
      </c>
      <c r="AR8" s="362">
        <f t="shared" ref="AR8:AS8" si="18">+AR7*0.1%</f>
        <v>0.97375</v>
      </c>
      <c r="AS8" s="362">
        <f t="shared" si="18"/>
        <v>0.97829999999999995</v>
      </c>
      <c r="AT8" s="362">
        <f t="shared" ref="AT8:AU8" si="19">+AT7*0.1%</f>
        <v>1.0460750000000001</v>
      </c>
      <c r="AU8" s="362">
        <f t="shared" si="19"/>
        <v>1.0633333333333335</v>
      </c>
    </row>
    <row r="9" spans="1:50" x14ac:dyDescent="0.35">
      <c r="A9" s="545" t="s">
        <v>504</v>
      </c>
      <c r="C9" s="584" t="s">
        <v>329</v>
      </c>
      <c r="D9" s="584"/>
      <c r="E9" s="584"/>
      <c r="F9" s="581" t="s">
        <v>330</v>
      </c>
      <c r="G9" s="581"/>
      <c r="H9" s="581"/>
      <c r="I9" s="581"/>
      <c r="J9" s="581"/>
      <c r="K9" s="581"/>
      <c r="L9" s="581"/>
      <c r="M9" s="581"/>
      <c r="N9" s="581"/>
      <c r="O9" s="280">
        <f>+O7*4%</f>
        <v>53.114591330136982</v>
      </c>
      <c r="P9" s="280">
        <f t="shared" ref="P9:Q9" si="20">+P7*4%</f>
        <v>51.975681964383568</v>
      </c>
      <c r="Q9" s="280">
        <f t="shared" si="20"/>
        <v>51.716838926712327</v>
      </c>
      <c r="R9" s="280">
        <f t="shared" ref="R9:S9" si="21">+R7*4%</f>
        <v>50.733235383561642</v>
      </c>
      <c r="S9" s="280">
        <f t="shared" si="21"/>
        <v>49.930821966780826</v>
      </c>
      <c r="T9" s="280">
        <f t="shared" ref="T9:U9" si="22">+T7*4%</f>
        <v>49.128408550000003</v>
      </c>
      <c r="U9" s="280">
        <f t="shared" si="22"/>
        <v>49.180177157534246</v>
      </c>
      <c r="V9" s="280">
        <f t="shared" ref="V9:W9" si="23">+V7*4%</f>
        <v>49.956706270547947</v>
      </c>
      <c r="W9" s="280">
        <f t="shared" si="23"/>
        <v>49.956706270547947</v>
      </c>
      <c r="X9" s="280">
        <f t="shared" ref="X9:AC9" si="24">+X7*4%</f>
        <v>50.215549308219181</v>
      </c>
      <c r="Y9" s="280">
        <f t="shared" si="24"/>
        <v>50.215549308219181</v>
      </c>
      <c r="Z9" s="280">
        <f t="shared" si="24"/>
        <v>50.215549308219181</v>
      </c>
      <c r="AA9" s="280">
        <f t="shared" si="24"/>
        <v>60.589978258082191</v>
      </c>
      <c r="AB9" s="280">
        <f t="shared" si="24"/>
        <v>60.750460941438362</v>
      </c>
      <c r="AC9" s="280">
        <f t="shared" si="24"/>
        <v>60.750460941438362</v>
      </c>
      <c r="AD9" s="280">
        <f t="shared" ref="AD9:AE9" si="25">+AD7*4%</f>
        <v>54.833309100273972</v>
      </c>
      <c r="AE9" s="280">
        <f t="shared" si="25"/>
        <v>40.004460542465758</v>
      </c>
      <c r="AF9" s="280">
        <f t="shared" ref="AF9:AG9" si="26">+AF7*4%</f>
        <v>39.052782636612704</v>
      </c>
      <c r="AG9" s="280">
        <f t="shared" si="26"/>
        <v>37.503788373183895</v>
      </c>
      <c r="AH9" s="280">
        <f t="shared" ref="AH9:AI9" si="27">+AH7*4%</f>
        <v>37.621489278206724</v>
      </c>
      <c r="AI9" s="280">
        <f t="shared" si="27"/>
        <v>37.379321239663767</v>
      </c>
      <c r="AJ9" s="280">
        <f t="shared" ref="AJ9:AK9" si="28">+AJ7*4%</f>
        <v>36.678308496513075</v>
      </c>
      <c r="AK9" s="280">
        <f t="shared" si="28"/>
        <v>34.990685225965137</v>
      </c>
      <c r="AL9" s="362">
        <f t="shared" ref="AL9:AM9" si="29">+AL7*4%</f>
        <v>36.210966667745957</v>
      </c>
      <c r="AM9" s="362">
        <f t="shared" si="29"/>
        <v>35.592272727272729</v>
      </c>
      <c r="AN9" s="362">
        <f t="shared" ref="AN9:AO9" si="30">+AN7*4%</f>
        <v>38.929545454545455</v>
      </c>
      <c r="AO9" s="362">
        <f t="shared" si="30"/>
        <v>39.96</v>
      </c>
      <c r="AP9" s="362">
        <f t="shared" ref="AP9:AQ9" si="31">+AP7*4%</f>
        <v>39.6</v>
      </c>
      <c r="AQ9" s="362">
        <f t="shared" si="31"/>
        <v>39.08</v>
      </c>
      <c r="AR9" s="362">
        <f t="shared" ref="AR9:AS9" si="32">+AR7*4%</f>
        <v>38.950000000000003</v>
      </c>
      <c r="AS9" s="362">
        <f t="shared" si="32"/>
        <v>39.131999999999998</v>
      </c>
      <c r="AT9" s="362">
        <f t="shared" ref="AT9:AU9" si="33">+AT7*4%</f>
        <v>41.843000000000004</v>
      </c>
      <c r="AU9" s="362">
        <f t="shared" si="33"/>
        <v>42.533333333333339</v>
      </c>
    </row>
    <row r="10" spans="1:50" x14ac:dyDescent="0.35">
      <c r="A10" s="545" t="s">
        <v>505</v>
      </c>
      <c r="C10" s="585" t="s">
        <v>331</v>
      </c>
      <c r="D10" s="585"/>
      <c r="E10" s="585"/>
      <c r="F10" s="581" t="s">
        <v>332</v>
      </c>
      <c r="G10" s="581"/>
      <c r="H10" s="581"/>
      <c r="I10" s="581"/>
      <c r="J10" s="581"/>
      <c r="K10" s="581"/>
      <c r="L10" s="581"/>
      <c r="M10" s="581"/>
      <c r="N10" s="581"/>
      <c r="O10" s="280">
        <f>+O7*0.5%</f>
        <v>6.6393239162671227</v>
      </c>
      <c r="P10" s="280">
        <f t="shared" ref="P10:Q10" si="34">+P7*0.5%</f>
        <v>6.496960245547946</v>
      </c>
      <c r="Q10" s="280">
        <f t="shared" si="34"/>
        <v>6.4646048658390409</v>
      </c>
      <c r="R10" s="280">
        <f t="shared" ref="R10:S10" si="35">+R7*0.5%</f>
        <v>6.3416544229452052</v>
      </c>
      <c r="S10" s="280">
        <f t="shared" si="35"/>
        <v>6.2413527458476032</v>
      </c>
      <c r="T10" s="280">
        <f t="shared" ref="T10:U10" si="36">+T7*0.5%</f>
        <v>6.1410510687500004</v>
      </c>
      <c r="U10" s="280">
        <f t="shared" si="36"/>
        <v>6.1475221446917807</v>
      </c>
      <c r="V10" s="280">
        <f t="shared" ref="V10:W10" si="37">+V7*0.5%</f>
        <v>6.2445882838184934</v>
      </c>
      <c r="W10" s="280">
        <f t="shared" si="37"/>
        <v>6.2445882838184934</v>
      </c>
      <c r="X10" s="280">
        <f t="shared" ref="X10:AC10" si="38">+X7*0.5%</f>
        <v>6.2769436635273976</v>
      </c>
      <c r="Y10" s="280">
        <f t="shared" si="38"/>
        <v>6.2769436635273976</v>
      </c>
      <c r="Z10" s="280">
        <f t="shared" si="38"/>
        <v>6.2769436635273976</v>
      </c>
      <c r="AA10" s="280">
        <f t="shared" si="38"/>
        <v>7.5737472822602738</v>
      </c>
      <c r="AB10" s="280">
        <f t="shared" si="38"/>
        <v>7.5938076176797953</v>
      </c>
      <c r="AC10" s="280">
        <f t="shared" si="38"/>
        <v>7.5938076176797953</v>
      </c>
      <c r="AD10" s="280">
        <f t="shared" ref="AD10:AE10" si="39">+AD7*0.5%</f>
        <v>6.8541636375342465</v>
      </c>
      <c r="AE10" s="280">
        <f t="shared" si="39"/>
        <v>5.0005575678082197</v>
      </c>
      <c r="AF10" s="280">
        <f t="shared" ref="AF10:AG10" si="40">+AF7*0.5%</f>
        <v>4.8815978295765881</v>
      </c>
      <c r="AG10" s="280">
        <f t="shared" si="40"/>
        <v>4.6879735466479868</v>
      </c>
      <c r="AH10" s="280">
        <f t="shared" ref="AH10:AI10" si="41">+AH7*0.5%</f>
        <v>4.7026861597758405</v>
      </c>
      <c r="AI10" s="280">
        <f t="shared" si="41"/>
        <v>4.6724151549579709</v>
      </c>
      <c r="AJ10" s="280">
        <f t="shared" ref="AJ10:AK10" si="42">+AJ7*0.5%</f>
        <v>4.5847885620641344</v>
      </c>
      <c r="AK10" s="280">
        <f t="shared" si="42"/>
        <v>4.3738356532456422</v>
      </c>
      <c r="AL10" s="362">
        <f t="shared" ref="AL10:AM10" si="43">+AL7*0.5%</f>
        <v>4.5263708334682446</v>
      </c>
      <c r="AM10" s="362">
        <f t="shared" si="43"/>
        <v>4.4490340909090911</v>
      </c>
      <c r="AN10" s="362">
        <f t="shared" ref="AN10:AO10" si="44">+AN7*0.5%</f>
        <v>4.8661931818181818</v>
      </c>
      <c r="AO10" s="362">
        <f t="shared" si="44"/>
        <v>4.9950000000000001</v>
      </c>
      <c r="AP10" s="362">
        <f t="shared" ref="AP10:AQ10" si="45">+AP7*0.5%</f>
        <v>4.95</v>
      </c>
      <c r="AQ10" s="362">
        <f t="shared" si="45"/>
        <v>4.8849999999999998</v>
      </c>
      <c r="AR10" s="362">
        <f t="shared" ref="AR10:AS10" si="46">+AR7*0.5%</f>
        <v>4.8687500000000004</v>
      </c>
      <c r="AS10" s="362">
        <f t="shared" si="46"/>
        <v>4.8914999999999997</v>
      </c>
      <c r="AT10" s="362">
        <f t="shared" ref="AT10:AU10" si="47">+AT7*0.5%</f>
        <v>5.2303750000000004</v>
      </c>
      <c r="AU10" s="362">
        <f t="shared" si="47"/>
        <v>5.3166666666666673</v>
      </c>
    </row>
    <row r="11" spans="1:50" x14ac:dyDescent="0.35">
      <c r="A11" s="545" t="s">
        <v>506</v>
      </c>
      <c r="C11" s="585"/>
      <c r="D11" s="585"/>
      <c r="E11" s="585"/>
      <c r="F11" s="581" t="s">
        <v>431</v>
      </c>
      <c r="G11" s="581"/>
      <c r="H11" s="581"/>
      <c r="I11" s="581"/>
      <c r="J11" s="581"/>
      <c r="K11" s="581"/>
      <c r="L11" s="581"/>
      <c r="M11" s="581"/>
      <c r="N11" s="581"/>
      <c r="O11" s="403"/>
      <c r="P11" s="403"/>
      <c r="Q11" s="403"/>
      <c r="R11" s="403"/>
      <c r="S11" s="403"/>
      <c r="T11" s="403"/>
      <c r="U11" s="403"/>
      <c r="V11" s="403"/>
      <c r="W11" s="403"/>
      <c r="X11" s="403"/>
      <c r="Y11" s="403"/>
      <c r="Z11" s="403"/>
      <c r="AA11" s="403"/>
      <c r="AB11" s="403"/>
      <c r="AC11" s="403"/>
      <c r="AD11" s="403"/>
      <c r="AE11" s="403"/>
      <c r="AF11" s="403"/>
      <c r="AG11" s="403"/>
      <c r="AH11" s="403"/>
      <c r="AI11" s="403"/>
      <c r="AJ11" s="403"/>
      <c r="AK11" s="403"/>
      <c r="AL11" s="443"/>
      <c r="AM11" s="443"/>
      <c r="AN11" s="487">
        <f>12.7272727272727*0</f>
        <v>0</v>
      </c>
      <c r="AO11" s="487">
        <f>12.7272727272727*0</f>
        <v>0</v>
      </c>
      <c r="AP11" s="487">
        <f>12.7272727272727*0</f>
        <v>0</v>
      </c>
      <c r="AQ11" s="487">
        <v>0</v>
      </c>
      <c r="AR11" s="487">
        <v>0</v>
      </c>
      <c r="AS11" s="487">
        <v>0</v>
      </c>
      <c r="AT11" s="487">
        <v>0</v>
      </c>
      <c r="AU11" s="487">
        <v>0</v>
      </c>
      <c r="AV11" s="443"/>
    </row>
    <row r="12" spans="1:50" x14ac:dyDescent="0.35">
      <c r="A12" s="545" t="s">
        <v>507</v>
      </c>
      <c r="C12" s="584" t="s">
        <v>333</v>
      </c>
      <c r="D12" s="584"/>
      <c r="E12" s="584"/>
      <c r="F12" s="581" t="s">
        <v>334</v>
      </c>
      <c r="G12" s="581"/>
      <c r="H12" s="581"/>
      <c r="I12" s="581"/>
      <c r="J12" s="581"/>
      <c r="K12" s="581"/>
      <c r="L12" s="581"/>
      <c r="M12" s="581"/>
      <c r="N12" s="581"/>
      <c r="O12" s="443">
        <v>2.5</v>
      </c>
      <c r="P12" s="443">
        <v>2.5</v>
      </c>
      <c r="Q12" s="443">
        <v>2.5</v>
      </c>
      <c r="R12" s="443">
        <v>2.5</v>
      </c>
      <c r="S12" s="443">
        <v>2.5</v>
      </c>
      <c r="T12" s="443">
        <v>2.5</v>
      </c>
      <c r="U12" s="443">
        <v>2.5</v>
      </c>
      <c r="V12" s="443">
        <v>2.5</v>
      </c>
      <c r="W12" s="443">
        <v>2.5</v>
      </c>
      <c r="X12" s="443">
        <v>2.5</v>
      </c>
      <c r="Y12" s="443">
        <v>2.5</v>
      </c>
      <c r="Z12" s="443">
        <v>2.5</v>
      </c>
      <c r="AA12" s="443">
        <v>2.5</v>
      </c>
      <c r="AB12" s="443">
        <v>2.5</v>
      </c>
      <c r="AC12" s="443">
        <v>2.5</v>
      </c>
      <c r="AD12" s="403">
        <v>2.5</v>
      </c>
      <c r="AE12" s="403">
        <v>2.5</v>
      </c>
      <c r="AF12" s="403">
        <v>3.5</v>
      </c>
      <c r="AG12" s="403">
        <v>4.5</v>
      </c>
      <c r="AH12" s="403">
        <v>4.5</v>
      </c>
      <c r="AI12" s="403">
        <v>4.5</v>
      </c>
      <c r="AJ12" s="403">
        <v>4.5</v>
      </c>
      <c r="AK12" s="403">
        <v>4.5</v>
      </c>
      <c r="AL12" s="443">
        <v>4.5</v>
      </c>
      <c r="AM12" s="456">
        <v>4.5</v>
      </c>
      <c r="AN12" s="487">
        <v>0</v>
      </c>
      <c r="AO12" s="487">
        <v>0</v>
      </c>
      <c r="AP12" s="487">
        <v>0</v>
      </c>
      <c r="AQ12" s="487">
        <v>0</v>
      </c>
      <c r="AR12" s="487">
        <v>0</v>
      </c>
      <c r="AS12" s="487">
        <v>0</v>
      </c>
      <c r="AT12" s="487">
        <v>0</v>
      </c>
      <c r="AU12" s="487">
        <v>0</v>
      </c>
    </row>
    <row r="13" spans="1:50" x14ac:dyDescent="0.35">
      <c r="A13" s="545" t="s">
        <v>508</v>
      </c>
      <c r="C13" s="584" t="s">
        <v>335</v>
      </c>
      <c r="D13" s="584"/>
      <c r="E13" s="584"/>
      <c r="F13" s="581" t="s">
        <v>465</v>
      </c>
      <c r="G13" s="581"/>
      <c r="H13" s="581"/>
      <c r="I13" s="581"/>
      <c r="J13" s="581"/>
      <c r="K13" s="581"/>
      <c r="L13" s="581"/>
      <c r="M13" s="581"/>
      <c r="N13" s="581"/>
      <c r="O13" s="403">
        <f>650/22</f>
        <v>29.545454545454547</v>
      </c>
      <c r="P13" s="403">
        <f t="shared" ref="P13:X13" si="48">650/22</f>
        <v>29.545454545454547</v>
      </c>
      <c r="Q13" s="403">
        <f t="shared" si="48"/>
        <v>29.545454545454547</v>
      </c>
      <c r="R13" s="403">
        <f t="shared" si="48"/>
        <v>29.545454545454547</v>
      </c>
      <c r="S13" s="403">
        <f t="shared" si="48"/>
        <v>29.545454545454547</v>
      </c>
      <c r="T13" s="403">
        <f t="shared" si="48"/>
        <v>29.545454545454547</v>
      </c>
      <c r="U13" s="403">
        <f t="shared" si="48"/>
        <v>29.545454545454547</v>
      </c>
      <c r="V13" s="403">
        <f t="shared" si="48"/>
        <v>29.545454545454547</v>
      </c>
      <c r="W13" s="403">
        <f t="shared" si="48"/>
        <v>29.545454545454547</v>
      </c>
      <c r="X13" s="403">
        <f t="shared" si="48"/>
        <v>29.545454545454547</v>
      </c>
      <c r="Y13" s="403">
        <f t="shared" ref="Y13:AM13" si="49">650/22</f>
        <v>29.545454545454547</v>
      </c>
      <c r="Z13" s="403">
        <f t="shared" si="49"/>
        <v>29.545454545454547</v>
      </c>
      <c r="AA13" s="403">
        <f t="shared" si="49"/>
        <v>29.545454545454547</v>
      </c>
      <c r="AB13" s="403">
        <f t="shared" si="49"/>
        <v>29.545454545454547</v>
      </c>
      <c r="AC13" s="403">
        <f t="shared" si="49"/>
        <v>29.545454545454547</v>
      </c>
      <c r="AD13" s="403">
        <f t="shared" si="49"/>
        <v>29.545454545454547</v>
      </c>
      <c r="AE13" s="403">
        <f t="shared" si="49"/>
        <v>29.545454545454547</v>
      </c>
      <c r="AF13" s="403">
        <f t="shared" si="49"/>
        <v>29.545454545454547</v>
      </c>
      <c r="AG13" s="403">
        <f t="shared" si="49"/>
        <v>29.545454545454547</v>
      </c>
      <c r="AH13" s="403">
        <f t="shared" si="49"/>
        <v>29.545454545454547</v>
      </c>
      <c r="AI13" s="403">
        <f t="shared" si="49"/>
        <v>29.545454545454547</v>
      </c>
      <c r="AJ13" s="403">
        <f t="shared" si="49"/>
        <v>29.545454545454547</v>
      </c>
      <c r="AK13" s="403">
        <f t="shared" si="49"/>
        <v>29.545454545454547</v>
      </c>
      <c r="AL13" s="403">
        <f t="shared" si="49"/>
        <v>29.545454545454547</v>
      </c>
      <c r="AM13" s="403">
        <f t="shared" si="49"/>
        <v>29.545454545454547</v>
      </c>
      <c r="AN13" s="443">
        <f t="shared" ref="AN13:AU13" si="50">671.22/22</f>
        <v>30.51</v>
      </c>
      <c r="AO13" s="443">
        <f t="shared" si="50"/>
        <v>30.51</v>
      </c>
      <c r="AP13" s="443">
        <f t="shared" si="50"/>
        <v>30.51</v>
      </c>
      <c r="AQ13" s="443">
        <f t="shared" si="50"/>
        <v>30.51</v>
      </c>
      <c r="AR13" s="443">
        <f t="shared" si="50"/>
        <v>30.51</v>
      </c>
      <c r="AS13" s="443">
        <f t="shared" si="50"/>
        <v>30.51</v>
      </c>
      <c r="AT13" s="443">
        <f t="shared" si="50"/>
        <v>30.51</v>
      </c>
      <c r="AU13" s="443">
        <f t="shared" si="50"/>
        <v>30.51</v>
      </c>
    </row>
    <row r="14" spans="1:50" x14ac:dyDescent="0.35">
      <c r="A14" s="545" t="s">
        <v>509</v>
      </c>
      <c r="C14" s="584" t="s">
        <v>336</v>
      </c>
      <c r="D14" s="584"/>
      <c r="E14" s="584"/>
      <c r="F14" s="581" t="s">
        <v>337</v>
      </c>
      <c r="G14" s="581"/>
      <c r="H14" s="581"/>
      <c r="I14" s="581"/>
      <c r="J14" s="581"/>
      <c r="K14" s="581"/>
      <c r="L14" s="581"/>
      <c r="M14" s="581"/>
      <c r="N14" s="581"/>
      <c r="O14" s="403">
        <v>16</v>
      </c>
      <c r="P14" s="403">
        <v>16</v>
      </c>
      <c r="Q14" s="403">
        <v>16</v>
      </c>
      <c r="R14" s="403">
        <v>16</v>
      </c>
      <c r="S14" s="403">
        <v>16</v>
      </c>
      <c r="T14" s="403">
        <v>16</v>
      </c>
      <c r="U14" s="403">
        <v>16</v>
      </c>
      <c r="V14" s="403">
        <v>16</v>
      </c>
      <c r="W14" s="403">
        <v>16</v>
      </c>
      <c r="X14" s="403">
        <v>16</v>
      </c>
      <c r="Y14" s="403">
        <v>16</v>
      </c>
      <c r="Z14" s="403">
        <v>16</v>
      </c>
      <c r="AA14" s="403">
        <v>16</v>
      </c>
      <c r="AB14" s="403">
        <v>16</v>
      </c>
      <c r="AC14" s="403">
        <v>16</v>
      </c>
      <c r="AD14" s="403">
        <v>16</v>
      </c>
      <c r="AE14" s="403">
        <v>16</v>
      </c>
      <c r="AF14" s="403">
        <v>16</v>
      </c>
      <c r="AG14" s="403">
        <v>16</v>
      </c>
      <c r="AH14" s="403">
        <v>16</v>
      </c>
      <c r="AI14" s="403">
        <v>16</v>
      </c>
      <c r="AJ14" s="403">
        <v>16</v>
      </c>
      <c r="AK14" s="403">
        <v>16</v>
      </c>
      <c r="AL14" s="443">
        <v>16</v>
      </c>
      <c r="AM14" s="456">
        <v>16</v>
      </c>
      <c r="AN14" s="487">
        <v>0</v>
      </c>
      <c r="AO14" s="487">
        <v>0</v>
      </c>
      <c r="AP14" s="487">
        <v>0</v>
      </c>
      <c r="AQ14" s="487">
        <v>0</v>
      </c>
      <c r="AR14" s="487">
        <v>0</v>
      </c>
      <c r="AS14" s="487">
        <v>0</v>
      </c>
      <c r="AT14" s="487">
        <v>0</v>
      </c>
      <c r="AU14" s="487">
        <v>0</v>
      </c>
    </row>
    <row r="15" spans="1:50" x14ac:dyDescent="0.35">
      <c r="A15" s="545" t="s">
        <v>510</v>
      </c>
      <c r="C15" s="584" t="s">
        <v>338</v>
      </c>
      <c r="D15" s="584"/>
      <c r="E15" s="584"/>
      <c r="F15" s="581" t="s">
        <v>450</v>
      </c>
      <c r="G15" s="581"/>
      <c r="H15" s="581"/>
      <c r="I15" s="581"/>
      <c r="J15" s="581"/>
      <c r="K15" s="581"/>
      <c r="L15" s="581"/>
      <c r="M15" s="581"/>
      <c r="N15" s="581"/>
      <c r="O15" s="280">
        <f>90/22</f>
        <v>4.0909090909090908</v>
      </c>
      <c r="P15" s="280">
        <f t="shared" ref="P15:X15" si="51">90/22</f>
        <v>4.0909090909090908</v>
      </c>
      <c r="Q15" s="280">
        <f t="shared" si="51"/>
        <v>4.0909090909090908</v>
      </c>
      <c r="R15" s="280">
        <f t="shared" si="51"/>
        <v>4.0909090909090908</v>
      </c>
      <c r="S15" s="280">
        <f t="shared" si="51"/>
        <v>4.0909090909090908</v>
      </c>
      <c r="T15" s="280">
        <f t="shared" si="51"/>
        <v>4.0909090909090908</v>
      </c>
      <c r="U15" s="280">
        <f t="shared" si="51"/>
        <v>4.0909090909090908</v>
      </c>
      <c r="V15" s="280">
        <f t="shared" si="51"/>
        <v>4.0909090909090908</v>
      </c>
      <c r="W15" s="280">
        <f t="shared" si="51"/>
        <v>4.0909090909090908</v>
      </c>
      <c r="X15" s="280">
        <f t="shared" si="51"/>
        <v>4.0909090909090908</v>
      </c>
      <c r="Y15" s="280">
        <f t="shared" ref="Y15:AM15" si="52">90/22</f>
        <v>4.0909090909090908</v>
      </c>
      <c r="Z15" s="280">
        <f t="shared" si="52"/>
        <v>4.0909090909090908</v>
      </c>
      <c r="AA15" s="280">
        <f t="shared" si="52"/>
        <v>4.0909090909090908</v>
      </c>
      <c r="AB15" s="280">
        <f t="shared" si="52"/>
        <v>4.0909090909090908</v>
      </c>
      <c r="AC15" s="280">
        <f t="shared" si="52"/>
        <v>4.0909090909090908</v>
      </c>
      <c r="AD15" s="280">
        <f t="shared" si="52"/>
        <v>4.0909090909090908</v>
      </c>
      <c r="AE15" s="280">
        <f t="shared" si="52"/>
        <v>4.0909090909090908</v>
      </c>
      <c r="AF15" s="280">
        <f t="shared" si="52"/>
        <v>4.0909090909090908</v>
      </c>
      <c r="AG15" s="280">
        <f t="shared" si="52"/>
        <v>4.0909090909090908</v>
      </c>
      <c r="AH15" s="280">
        <f t="shared" si="52"/>
        <v>4.0909090909090908</v>
      </c>
      <c r="AI15" s="280">
        <f t="shared" si="52"/>
        <v>4.0909090909090908</v>
      </c>
      <c r="AJ15" s="280">
        <f t="shared" si="52"/>
        <v>4.0909090909090908</v>
      </c>
      <c r="AK15" s="280">
        <f t="shared" si="52"/>
        <v>4.0909090909090908</v>
      </c>
      <c r="AL15" s="362">
        <f t="shared" si="52"/>
        <v>4.0909090909090908</v>
      </c>
      <c r="AM15" s="455">
        <f t="shared" si="52"/>
        <v>4.0909090909090908</v>
      </c>
      <c r="AN15" s="487">
        <v>0</v>
      </c>
      <c r="AO15" s="487">
        <v>0</v>
      </c>
      <c r="AP15" s="487">
        <v>0</v>
      </c>
      <c r="AQ15" s="487">
        <v>0</v>
      </c>
      <c r="AR15" s="487">
        <v>0</v>
      </c>
      <c r="AS15" s="487">
        <v>0</v>
      </c>
      <c r="AT15" s="487">
        <v>0</v>
      </c>
      <c r="AU15" s="487">
        <v>0</v>
      </c>
    </row>
    <row r="16" spans="1:50" x14ac:dyDescent="0.35">
      <c r="A16" s="545" t="s">
        <v>432</v>
      </c>
      <c r="C16" s="1"/>
      <c r="D16" s="1"/>
      <c r="E16" s="1"/>
      <c r="F16" s="581" t="s">
        <v>432</v>
      </c>
      <c r="G16" s="581"/>
      <c r="H16" s="581"/>
      <c r="I16" s="581"/>
      <c r="J16" s="581"/>
      <c r="K16" s="581"/>
      <c r="L16" s="581"/>
      <c r="M16" s="581"/>
      <c r="N16" s="581"/>
      <c r="P16" s="280"/>
      <c r="Q16" s="280"/>
      <c r="R16" s="280"/>
      <c r="S16" s="280"/>
      <c r="T16" s="280"/>
      <c r="U16" s="280"/>
      <c r="V16" s="280"/>
      <c r="W16" s="280"/>
      <c r="X16" s="280"/>
      <c r="Y16" s="280"/>
      <c r="Z16" s="280"/>
      <c r="AA16" s="280"/>
      <c r="AB16" s="280"/>
      <c r="AC16" s="280"/>
      <c r="AD16" s="280"/>
      <c r="AE16" s="280"/>
      <c r="AF16" s="280"/>
      <c r="AG16" s="280"/>
      <c r="AH16" s="280"/>
      <c r="AI16" s="280"/>
      <c r="AJ16" s="280"/>
      <c r="AK16" s="280"/>
      <c r="AL16" s="362"/>
      <c r="AM16" s="362"/>
      <c r="AN16" s="455">
        <v>36.020000000000003</v>
      </c>
      <c r="AO16" s="455">
        <v>36.020000000000003</v>
      </c>
      <c r="AP16" s="520">
        <v>36.020000000000003</v>
      </c>
      <c r="AQ16" s="520">
        <v>36.020000000000003</v>
      </c>
      <c r="AR16" s="520">
        <v>36.020000000000003</v>
      </c>
      <c r="AS16" s="520">
        <v>36.020000000000003</v>
      </c>
      <c r="AT16" s="520">
        <v>36.020000000000003</v>
      </c>
      <c r="AU16" s="520">
        <v>36.020000000000003</v>
      </c>
    </row>
    <row r="17" spans="1:49" x14ac:dyDescent="0.35">
      <c r="A17" s="545" t="s">
        <v>511</v>
      </c>
      <c r="C17" s="1"/>
      <c r="D17" s="1"/>
      <c r="E17" s="1"/>
      <c r="F17" s="581" t="s">
        <v>451</v>
      </c>
      <c r="G17" s="581"/>
      <c r="H17" s="581"/>
      <c r="I17" s="581"/>
      <c r="J17" s="581"/>
      <c r="K17" s="581"/>
      <c r="L17" s="581"/>
      <c r="M17" s="581"/>
      <c r="N17" s="581"/>
      <c r="P17" s="280"/>
      <c r="Q17" s="280"/>
      <c r="R17" s="280"/>
      <c r="S17" s="280"/>
      <c r="T17" s="280"/>
      <c r="U17" s="280"/>
      <c r="V17" s="280"/>
      <c r="W17" s="280"/>
      <c r="X17" s="280"/>
      <c r="Y17" s="280"/>
      <c r="Z17" s="280"/>
      <c r="AA17" s="280"/>
      <c r="AB17" s="280"/>
      <c r="AC17" s="280"/>
      <c r="AD17" s="280"/>
      <c r="AE17" s="280"/>
      <c r="AF17" s="280"/>
      <c r="AG17" s="280"/>
      <c r="AH17" s="280"/>
      <c r="AI17" s="280"/>
      <c r="AJ17" s="280"/>
      <c r="AK17" s="280"/>
      <c r="AL17" s="362"/>
      <c r="AM17" s="362"/>
      <c r="AN17" s="455">
        <f t="shared" ref="AN17:AS17" si="53">+AN13*23%</f>
        <v>7.0173000000000005</v>
      </c>
      <c r="AO17" s="455">
        <f t="shared" si="53"/>
        <v>7.0173000000000005</v>
      </c>
      <c r="AP17" s="519">
        <f t="shared" si="53"/>
        <v>7.0173000000000005</v>
      </c>
      <c r="AQ17" s="519">
        <f t="shared" si="53"/>
        <v>7.0173000000000005</v>
      </c>
      <c r="AR17" s="519">
        <f t="shared" si="53"/>
        <v>7.0173000000000005</v>
      </c>
      <c r="AS17" s="519">
        <f t="shared" si="53"/>
        <v>7.0173000000000005</v>
      </c>
      <c r="AT17" s="519">
        <f t="shared" ref="AT17:AU17" si="54">+AT13*23%</f>
        <v>7.0173000000000005</v>
      </c>
      <c r="AU17" s="519">
        <f t="shared" si="54"/>
        <v>7.0173000000000005</v>
      </c>
    </row>
    <row r="18" spans="1:49" x14ac:dyDescent="0.35">
      <c r="C18" s="580" t="s">
        <v>305</v>
      </c>
      <c r="D18" s="580"/>
      <c r="E18" s="580"/>
      <c r="F18" s="580"/>
      <c r="G18" s="580"/>
      <c r="H18" s="580"/>
      <c r="I18" s="580"/>
      <c r="J18" s="580"/>
      <c r="K18" s="580"/>
      <c r="L18" s="580"/>
      <c r="M18" s="580"/>
      <c r="N18" s="580"/>
      <c r="O18" s="282">
        <f t="shared" ref="O18:AM18" si="55">+SUM(O7:O15)</f>
        <v>1441.0829269194458</v>
      </c>
      <c r="P18" s="282">
        <f t="shared" si="55"/>
        <v>1411.3004470049939</v>
      </c>
      <c r="Q18" s="282">
        <f t="shared" si="55"/>
        <v>1404.5317015698909</v>
      </c>
      <c r="R18" s="282">
        <f t="shared" si="55"/>
        <v>1378.8104689165002</v>
      </c>
      <c r="S18" s="282">
        <f t="shared" si="55"/>
        <v>1357.8273580676819</v>
      </c>
      <c r="T18" s="282">
        <f t="shared" si="55"/>
        <v>1336.8442472188633</v>
      </c>
      <c r="U18" s="282">
        <f t="shared" si="55"/>
        <v>1338.1979963058839</v>
      </c>
      <c r="V18" s="282">
        <f t="shared" si="55"/>
        <v>1358.5042326111925</v>
      </c>
      <c r="W18" s="282">
        <f t="shared" si="55"/>
        <v>1358.5042326111925</v>
      </c>
      <c r="X18" s="282">
        <f t="shared" si="55"/>
        <v>1365.2729780462951</v>
      </c>
      <c r="Y18" s="282">
        <f t="shared" si="55"/>
        <v>1365.2729780462951</v>
      </c>
      <c r="Z18" s="282">
        <f t="shared" si="55"/>
        <v>1365.2729780462951</v>
      </c>
      <c r="AA18" s="282">
        <f t="shared" si="55"/>
        <v>1636.564295085213</v>
      </c>
      <c r="AB18" s="282">
        <f t="shared" si="55"/>
        <v>1640.7609172549767</v>
      </c>
      <c r="AC18" s="282">
        <f t="shared" si="55"/>
        <v>1640.7609172549767</v>
      </c>
      <c r="AD18" s="282">
        <f t="shared" si="55"/>
        <v>1486.0273966085279</v>
      </c>
      <c r="AE18" s="282">
        <f t="shared" si="55"/>
        <v>1098.253006821843</v>
      </c>
      <c r="AF18" s="282">
        <f t="shared" si="55"/>
        <v>1074.3666295837857</v>
      </c>
      <c r="AG18" s="282">
        <f t="shared" si="55"/>
        <v>1034.8604295951222</v>
      </c>
      <c r="AH18" s="282">
        <f t="shared" si="55"/>
        <v>1037.9383082614693</v>
      </c>
      <c r="AI18" s="282">
        <f t="shared" si="55"/>
        <v>1031.6056140535711</v>
      </c>
      <c r="AJ18" s="282">
        <f t="shared" si="55"/>
        <v>1013.2741308201805</v>
      </c>
      <c r="AK18" s="282">
        <f t="shared" si="55"/>
        <v>969.14278229535194</v>
      </c>
      <c r="AL18" s="449">
        <f t="shared" si="55"/>
        <v>1001.0531419979204</v>
      </c>
      <c r="AM18" s="449">
        <f t="shared" si="55"/>
        <v>984.87429545454552</v>
      </c>
      <c r="AN18" s="449">
        <f>+SUM(AN7:AN17)</f>
        <v>1091.5549136363636</v>
      </c>
      <c r="AO18" s="449">
        <f>+SUM(AO7:AO17)</f>
        <v>1118.5012999999999</v>
      </c>
      <c r="AP18" s="449">
        <f t="shared" ref="AP18:AQ18" si="56">+SUM(AP7:AP17)</f>
        <v>1109.0872999999999</v>
      </c>
      <c r="AQ18" s="449">
        <f t="shared" si="56"/>
        <v>1095.4893</v>
      </c>
      <c r="AR18" s="449">
        <f t="shared" ref="AR18:AS18" si="57">+SUM(AR7:AR17)</f>
        <v>1092.0898</v>
      </c>
      <c r="AS18" s="449">
        <f t="shared" si="57"/>
        <v>1096.8490999999999</v>
      </c>
      <c r="AT18" s="449">
        <f t="shared" ref="AT18:AU18" si="58">+SUM(AT7:AT17)</f>
        <v>1167.7417500000001</v>
      </c>
      <c r="AU18" s="449">
        <f t="shared" si="58"/>
        <v>1185.7939666666666</v>
      </c>
      <c r="AV18" s="450"/>
      <c r="AW18" s="450"/>
    </row>
    <row r="19" spans="1:49" ht="39.75" customHeight="1" x14ac:dyDescent="0.35">
      <c r="F19" s="581"/>
      <c r="G19" s="581"/>
      <c r="H19" s="581"/>
      <c r="I19" s="581"/>
      <c r="J19" s="581"/>
      <c r="K19" s="581"/>
      <c r="L19" s="581"/>
      <c r="M19" s="581"/>
      <c r="N19" s="581"/>
      <c r="AN19" s="458"/>
      <c r="AO19" s="458"/>
      <c r="AP19" s="458"/>
      <c r="AQ19" s="458"/>
      <c r="AR19" s="458"/>
      <c r="AS19" s="458"/>
      <c r="AT19" s="458"/>
      <c r="AU19" s="458"/>
      <c r="AW19" s="458"/>
    </row>
    <row r="20" spans="1:49" x14ac:dyDescent="0.35">
      <c r="F20" s="582" t="s">
        <v>339</v>
      </c>
      <c r="G20" s="582"/>
      <c r="H20" s="582"/>
      <c r="I20" s="582"/>
      <c r="J20" s="582"/>
      <c r="K20" s="582"/>
      <c r="L20" s="582"/>
      <c r="M20" s="582"/>
      <c r="N20" s="582"/>
      <c r="O20" s="372"/>
      <c r="P20" s="373"/>
      <c r="Q20" s="373"/>
      <c r="R20" s="373"/>
      <c r="S20" s="373"/>
      <c r="T20" s="373"/>
      <c r="U20" s="373"/>
      <c r="V20" s="373"/>
      <c r="W20" s="373"/>
      <c r="X20" s="373"/>
      <c r="Y20" s="373"/>
      <c r="Z20" s="373">
        <v>130</v>
      </c>
      <c r="AA20" s="373">
        <v>390</v>
      </c>
      <c r="AB20" s="373">
        <v>390</v>
      </c>
      <c r="AC20" s="373">
        <v>390</v>
      </c>
      <c r="AD20" s="374">
        <v>263.66603118472091</v>
      </c>
      <c r="AE20" s="374">
        <f>+(3030+420)/22</f>
        <v>156.81818181818181</v>
      </c>
      <c r="AF20" s="361"/>
      <c r="AM20" s="458"/>
      <c r="AN20" s="427"/>
    </row>
    <row r="21" spans="1:49" x14ac:dyDescent="0.35">
      <c r="F21" s="582" t="s">
        <v>340</v>
      </c>
      <c r="G21" s="582"/>
      <c r="H21" s="582"/>
      <c r="I21" s="582"/>
      <c r="J21" s="582"/>
      <c r="K21" s="582"/>
      <c r="L21" s="582"/>
      <c r="M21" s="582"/>
      <c r="N21" s="582"/>
      <c r="O21" s="582"/>
      <c r="P21" s="373"/>
      <c r="Q21" s="373"/>
      <c r="R21" s="373"/>
      <c r="S21" s="373"/>
      <c r="T21" s="373"/>
      <c r="U21" s="373"/>
      <c r="V21" s="373"/>
      <c r="W21" s="373"/>
      <c r="X21" s="373"/>
      <c r="Y21" s="373"/>
      <c r="Z21" s="375">
        <f t="shared" ref="Z21:AE21" si="59">+Z20-Z5</f>
        <v>0</v>
      </c>
      <c r="AA21" s="375">
        <f t="shared" si="59"/>
        <v>0</v>
      </c>
      <c r="AB21" s="375">
        <f t="shared" si="59"/>
        <v>0</v>
      </c>
      <c r="AC21" s="375">
        <f t="shared" si="59"/>
        <v>0</v>
      </c>
      <c r="AD21" s="375">
        <f t="shared" si="59"/>
        <v>-0.33396881527909272</v>
      </c>
      <c r="AE21" s="375">
        <f t="shared" si="59"/>
        <v>-0.18181818181818699</v>
      </c>
      <c r="AM21" s="450"/>
      <c r="AN21" s="427"/>
    </row>
    <row r="22" spans="1:49" x14ac:dyDescent="0.35">
      <c r="F22" s="582" t="s">
        <v>341</v>
      </c>
      <c r="G22" s="582"/>
      <c r="H22" s="582"/>
      <c r="I22" s="582"/>
      <c r="J22" s="582"/>
      <c r="K22" s="582"/>
      <c r="L22" s="582"/>
      <c r="M22" s="582"/>
      <c r="N22" s="582"/>
      <c r="O22" s="372"/>
      <c r="P22" s="373"/>
      <c r="Q22" s="373"/>
      <c r="R22" s="373"/>
      <c r="S22" s="373"/>
      <c r="T22" s="373"/>
      <c r="U22" s="373"/>
      <c r="V22" s="373"/>
      <c r="W22" s="373"/>
      <c r="X22" s="373"/>
      <c r="Y22" s="373"/>
      <c r="Z22" s="374" t="e">
        <f>+#REF!</f>
        <v>#REF!</v>
      </c>
      <c r="AA22" s="374" t="e">
        <f>+#REF!</f>
        <v>#REF!</v>
      </c>
      <c r="AB22" s="374" t="e">
        <f>+#REF!</f>
        <v>#REF!</v>
      </c>
      <c r="AC22" s="374" t="e">
        <f>+#REF!</f>
        <v>#REF!</v>
      </c>
      <c r="AD22" s="374" t="e">
        <f>+#REF!</f>
        <v>#REF!</v>
      </c>
      <c r="AE22" s="374" t="e">
        <f>+#REF!</f>
        <v>#REF!</v>
      </c>
      <c r="AN22" s="458"/>
    </row>
    <row r="23" spans="1:49" x14ac:dyDescent="0.35">
      <c r="F23" s="583" t="s">
        <v>342</v>
      </c>
      <c r="G23" s="583"/>
      <c r="H23" s="583"/>
      <c r="I23" s="583"/>
      <c r="J23" s="583"/>
      <c r="K23" s="583"/>
      <c r="L23" s="583"/>
      <c r="M23" s="583"/>
      <c r="N23" s="583"/>
      <c r="O23" s="376"/>
      <c r="P23" s="377"/>
      <c r="Q23" s="377"/>
      <c r="R23" s="377"/>
      <c r="S23" s="377"/>
      <c r="T23" s="377"/>
      <c r="U23" s="377"/>
      <c r="V23" s="377"/>
      <c r="W23" s="377"/>
      <c r="X23" s="377"/>
      <c r="Y23" s="377"/>
      <c r="Z23" s="378" t="e">
        <f t="shared" ref="Z23:AC23" si="60">+Z22*Z21</f>
        <v>#REF!</v>
      </c>
      <c r="AA23" s="378" t="e">
        <f t="shared" si="60"/>
        <v>#REF!</v>
      </c>
      <c r="AB23" s="378" t="e">
        <f t="shared" si="60"/>
        <v>#REF!</v>
      </c>
      <c r="AC23" s="378" t="e">
        <f t="shared" si="60"/>
        <v>#REF!</v>
      </c>
      <c r="AD23" s="378" t="e">
        <f>+AD22*AD21</f>
        <v>#REF!</v>
      </c>
      <c r="AE23" s="378" t="e">
        <f>+AE22*AE21</f>
        <v>#REF!</v>
      </c>
      <c r="AF23" s="362"/>
      <c r="AN23" s="4"/>
      <c r="AO23" s="460"/>
      <c r="AP23" s="460"/>
      <c r="AQ23" s="460"/>
      <c r="AR23" s="460"/>
      <c r="AS23" s="460"/>
      <c r="AT23" s="460"/>
      <c r="AU23" s="460"/>
    </row>
    <row r="24" spans="1:49" x14ac:dyDescent="0.35">
      <c r="AK24" s="459"/>
      <c r="AN24" s="4"/>
    </row>
    <row r="26" spans="1:49" x14ac:dyDescent="0.35">
      <c r="AN26" s="458"/>
      <c r="AO26" s="458"/>
      <c r="AP26" s="458"/>
      <c r="AQ26" s="458"/>
      <c r="AR26" s="458"/>
      <c r="AS26" s="458"/>
      <c r="AT26" s="458"/>
      <c r="AU26" s="458"/>
    </row>
  </sheetData>
  <mergeCells count="32">
    <mergeCell ref="F21:O21"/>
    <mergeCell ref="F22:N22"/>
    <mergeCell ref="F23:N23"/>
    <mergeCell ref="F19:N19"/>
    <mergeCell ref="F20:N20"/>
    <mergeCell ref="C8:E8"/>
    <mergeCell ref="F8:N8"/>
    <mergeCell ref="C3:E3"/>
    <mergeCell ref="F3:N3"/>
    <mergeCell ref="C4:E4"/>
    <mergeCell ref="F4:N4"/>
    <mergeCell ref="C5:E5"/>
    <mergeCell ref="F5:N5"/>
    <mergeCell ref="C6:E6"/>
    <mergeCell ref="F6:N6"/>
    <mergeCell ref="C7:N7"/>
    <mergeCell ref="C9:E9"/>
    <mergeCell ref="F9:N9"/>
    <mergeCell ref="F10:N10"/>
    <mergeCell ref="C12:E12"/>
    <mergeCell ref="F12:N12"/>
    <mergeCell ref="F11:N11"/>
    <mergeCell ref="C10:E11"/>
    <mergeCell ref="C18:N18"/>
    <mergeCell ref="C13:E13"/>
    <mergeCell ref="F13:N13"/>
    <mergeCell ref="C14:E14"/>
    <mergeCell ref="F14:N14"/>
    <mergeCell ref="C15:E15"/>
    <mergeCell ref="F15:N15"/>
    <mergeCell ref="F16:N16"/>
    <mergeCell ref="F17:N17"/>
  </mergeCells>
  <phoneticPr fontId="27" type="noConversion"/>
  <pageMargins left="0.7" right="0.7" top="0.75" bottom="0.75" header="0.3" footer="0.3"/>
  <pageSetup orientation="portrait" r:id="rId1"/>
  <customProperties>
    <customPr name="EpmWorksheetKeyString_GUID" r:id="rId2"/>
  </customPropertie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A5D49-9DB7-4085-B399-4BE50C043C71}">
  <dimension ref="B1:S29"/>
  <sheetViews>
    <sheetView showGridLines="0" zoomScale="85" zoomScaleNormal="85" workbookViewId="0">
      <selection activeCell="D12" sqref="D12"/>
    </sheetView>
  </sheetViews>
  <sheetFormatPr defaultColWidth="11.453125" defaultRowHeight="14.5" x14ac:dyDescent="0.35"/>
  <cols>
    <col min="1" max="1" width="1.54296875" style="81" customWidth="1"/>
    <col min="2" max="2" width="19.1796875" style="173" customWidth="1"/>
    <col min="3" max="3" width="1.7265625" style="82" customWidth="1"/>
    <col min="4" max="4" width="9.81640625" style="81" customWidth="1"/>
    <col min="5" max="5" width="9.54296875" style="81" customWidth="1"/>
    <col min="6" max="6" width="10.1796875" style="81" customWidth="1"/>
    <col min="7" max="7" width="1.26953125" style="81" customWidth="1"/>
    <col min="8" max="8" width="8.453125" style="81" customWidth="1"/>
    <col min="9" max="10" width="10.1796875" style="81" customWidth="1"/>
    <col min="11" max="11" width="1.1796875" style="81" customWidth="1"/>
    <col min="12" max="12" width="13.81640625" style="81" bestFit="1" customWidth="1"/>
    <col min="13" max="13" width="1" style="81" customWidth="1"/>
    <col min="14" max="14" width="11.1796875" style="173" customWidth="1"/>
    <col min="15" max="20" width="11.1796875" style="81" customWidth="1"/>
    <col min="21" max="16384" width="11.453125" style="81"/>
  </cols>
  <sheetData>
    <row r="1" spans="2:19" ht="7.5" customHeight="1" x14ac:dyDescent="0.35">
      <c r="B1" s="122"/>
      <c r="C1" s="87"/>
      <c r="D1" s="275"/>
    </row>
    <row r="2" spans="2:19" s="142" customFormat="1" ht="15" customHeight="1" x14ac:dyDescent="0.35">
      <c r="C2" s="141"/>
      <c r="D2" s="598" t="s">
        <v>66</v>
      </c>
      <c r="E2" s="598"/>
      <c r="F2" s="598"/>
      <c r="G2" s="598"/>
      <c r="H2" s="598"/>
      <c r="I2" s="598"/>
      <c r="J2" s="243">
        <f>+'Formula Virgen'!AU18</f>
        <v>1185.7939666666666</v>
      </c>
      <c r="N2" s="526"/>
    </row>
    <row r="3" spans="2:19" s="133" customFormat="1" ht="28" customHeight="1" x14ac:dyDescent="0.35">
      <c r="C3" s="134"/>
      <c r="D3" s="599" t="s">
        <v>67</v>
      </c>
      <c r="E3" s="599"/>
      <c r="F3" s="599"/>
      <c r="G3" s="599"/>
      <c r="H3" s="599"/>
      <c r="I3" s="599"/>
      <c r="J3" s="244">
        <f>+'Formula PCR'!AU11</f>
        <v>1507.4442424242425</v>
      </c>
      <c r="N3" s="527"/>
    </row>
    <row r="4" spans="2:19" ht="15" thickBot="1" x14ac:dyDescent="0.4">
      <c r="B4" s="169"/>
      <c r="C4" s="92"/>
      <c r="D4" s="78"/>
      <c r="M4"/>
      <c r="N4" s="528"/>
      <c r="O4"/>
      <c r="P4"/>
      <c r="Q4"/>
      <c r="R4"/>
      <c r="S4"/>
    </row>
    <row r="5" spans="2:19" ht="15" thickBot="1" x14ac:dyDescent="0.4">
      <c r="B5" s="169"/>
      <c r="C5" s="92"/>
      <c r="D5" s="592" t="s">
        <v>433</v>
      </c>
      <c r="E5" s="593"/>
      <c r="F5" s="594"/>
      <c r="G5" s="488"/>
      <c r="H5" s="595" t="s">
        <v>434</v>
      </c>
      <c r="I5" s="596"/>
      <c r="J5" s="597"/>
      <c r="M5"/>
      <c r="N5" s="528"/>
      <c r="O5"/>
      <c r="P5"/>
      <c r="Q5"/>
      <c r="R5"/>
      <c r="S5"/>
    </row>
    <row r="6" spans="2:19" s="95" customFormat="1" ht="29.5" thickBot="1" x14ac:dyDescent="0.4">
      <c r="B6" s="162" t="s">
        <v>5</v>
      </c>
      <c r="C6" s="162"/>
      <c r="D6" s="497" t="s">
        <v>68</v>
      </c>
      <c r="E6" s="498" t="s">
        <v>69</v>
      </c>
      <c r="F6" s="499" t="s">
        <v>70</v>
      </c>
      <c r="G6" s="489"/>
      <c r="H6" s="317" t="s">
        <v>68</v>
      </c>
      <c r="I6" s="318" t="s">
        <v>69</v>
      </c>
      <c r="J6" s="319" t="s">
        <v>70</v>
      </c>
      <c r="K6" s="25"/>
      <c r="L6" s="532" t="s">
        <v>475</v>
      </c>
      <c r="M6" s="500"/>
      <c r="N6" s="533"/>
      <c r="O6" s="25"/>
      <c r="P6" s="25"/>
      <c r="Q6" s="25"/>
      <c r="R6" s="25"/>
    </row>
    <row r="7" spans="2:19" s="95" customFormat="1" ht="27.75" customHeight="1" thickBot="1" x14ac:dyDescent="0.4">
      <c r="B7" s="162"/>
      <c r="C7" s="260"/>
      <c r="D7" s="589" t="s">
        <v>448</v>
      </c>
      <c r="E7" s="590"/>
      <c r="F7" s="591"/>
      <c r="G7" s="490"/>
      <c r="H7" s="589" t="s">
        <v>448</v>
      </c>
      <c r="I7" s="590"/>
      <c r="J7" s="591"/>
      <c r="K7" s="442"/>
      <c r="L7" s="536" t="s">
        <v>476</v>
      </c>
      <c r="M7" s="534"/>
      <c r="N7" s="534"/>
      <c r="O7" s="442"/>
      <c r="P7" s="25"/>
      <c r="Q7" s="25"/>
      <c r="R7" s="25"/>
    </row>
    <row r="8" spans="2:19" x14ac:dyDescent="0.35">
      <c r="B8" s="284" t="s">
        <v>13</v>
      </c>
      <c r="C8" s="10"/>
      <c r="D8" s="292">
        <v>16.7</v>
      </c>
      <c r="E8" s="293">
        <v>20.6</v>
      </c>
      <c r="F8" s="294">
        <v>38.6</v>
      </c>
      <c r="G8" s="496"/>
      <c r="H8" s="292">
        <v>16.7</v>
      </c>
      <c r="I8" s="293">
        <v>20.6</v>
      </c>
      <c r="J8" s="294">
        <v>38.6</v>
      </c>
      <c r="K8"/>
      <c r="L8" s="522">
        <v>20.6</v>
      </c>
      <c r="M8" s="2"/>
      <c r="N8" s="528"/>
      <c r="O8"/>
      <c r="P8"/>
      <c r="Q8"/>
      <c r="R8"/>
    </row>
    <row r="9" spans="2:19" x14ac:dyDescent="0.35">
      <c r="B9" s="285" t="s">
        <v>16</v>
      </c>
      <c r="C9" s="7"/>
      <c r="D9" s="245" t="s">
        <v>17</v>
      </c>
      <c r="E9" s="91" t="s">
        <v>17</v>
      </c>
      <c r="F9" s="246" t="s">
        <v>17</v>
      </c>
      <c r="G9" s="496"/>
      <c r="H9" s="245" t="s">
        <v>17</v>
      </c>
      <c r="I9" s="91" t="s">
        <v>17</v>
      </c>
      <c r="J9" s="246" t="s">
        <v>17</v>
      </c>
      <c r="K9"/>
      <c r="L9" s="289" t="s">
        <v>17</v>
      </c>
      <c r="M9"/>
      <c r="N9" s="528"/>
      <c r="O9"/>
      <c r="P9"/>
      <c r="Q9"/>
      <c r="R9"/>
    </row>
    <row r="10" spans="2:19" hidden="1" x14ac:dyDescent="0.35">
      <c r="B10" s="285" t="s">
        <v>115</v>
      </c>
      <c r="C10" s="7"/>
      <c r="D10" s="245" t="s">
        <v>116</v>
      </c>
      <c r="E10" s="91" t="s">
        <v>117</v>
      </c>
      <c r="F10" s="246" t="s">
        <v>118</v>
      </c>
      <c r="G10" s="101"/>
      <c r="H10" s="245" t="s">
        <v>116</v>
      </c>
      <c r="I10" s="91" t="s">
        <v>117</v>
      </c>
      <c r="J10" s="246" t="s">
        <v>118</v>
      </c>
      <c r="K10"/>
      <c r="L10" s="289" t="s">
        <v>117</v>
      </c>
      <c r="M10"/>
      <c r="N10" s="528"/>
      <c r="O10"/>
      <c r="P10"/>
      <c r="Q10"/>
      <c r="R10"/>
    </row>
    <row r="11" spans="2:19" s="95" customFormat="1" ht="29" x14ac:dyDescent="0.35">
      <c r="B11" s="286" t="s">
        <v>147</v>
      </c>
      <c r="C11" s="323"/>
      <c r="D11" s="320" t="s">
        <v>94</v>
      </c>
      <c r="E11" s="321" t="s">
        <v>94</v>
      </c>
      <c r="F11" s="322" t="s">
        <v>94</v>
      </c>
      <c r="G11" s="505"/>
      <c r="H11" s="320" t="s">
        <v>148</v>
      </c>
      <c r="I11" s="321" t="s">
        <v>148</v>
      </c>
      <c r="J11" s="322" t="s">
        <v>148</v>
      </c>
      <c r="K11"/>
      <c r="L11" s="286" t="s">
        <v>473</v>
      </c>
      <c r="M11" s="25"/>
      <c r="N11" s="535"/>
      <c r="O11"/>
      <c r="P11" s="25"/>
      <c r="Q11" s="25"/>
      <c r="R11" s="25"/>
    </row>
    <row r="12" spans="2:19" x14ac:dyDescent="0.35">
      <c r="B12" s="287" t="s">
        <v>19</v>
      </c>
      <c r="C12" s="6"/>
      <c r="D12" s="247">
        <f>+(D8*$J$2/1000)*1.01*25%</f>
        <v>5.0001967089416661</v>
      </c>
      <c r="E12" s="248">
        <f>+(E8*$J$2/1000)*1.01*25%</f>
        <v>6.1679073176166668</v>
      </c>
      <c r="F12" s="257">
        <f>+(F8*$J$2/1000)*1.01*25%</f>
        <v>11.557340896116665</v>
      </c>
      <c r="G12" s="80"/>
      <c r="H12" s="247">
        <f>+(H8*$J$2/1000)*1.01*75%</f>
        <v>15.000590126824999</v>
      </c>
      <c r="I12" s="248">
        <f>+(I8*$J$2/1000)*1.01*75%</f>
        <v>18.50372195285</v>
      </c>
      <c r="J12" s="257">
        <f>+(J8*$J$2/1000)*1.01*75%</f>
        <v>34.672022688349998</v>
      </c>
      <c r="K12" s="447"/>
      <c r="L12" s="491">
        <f>+(L8*$J$2/1000)*1.01*100%</f>
        <v>24.671629270466667</v>
      </c>
      <c r="N12" s="528"/>
      <c r="O12"/>
      <c r="P12"/>
      <c r="Q12"/>
      <c r="R12"/>
    </row>
    <row r="13" spans="2:19" x14ac:dyDescent="0.35">
      <c r="B13" s="288" t="s">
        <v>23</v>
      </c>
      <c r="C13" s="6"/>
      <c r="D13" s="249">
        <f>+(D8*$J$3/1000)*1.01*75%</f>
        <v>19.069546527727272</v>
      </c>
      <c r="E13" s="250">
        <f>+(E8*$J$3/1000)*1.01*75%</f>
        <v>23.522913680909092</v>
      </c>
      <c r="F13" s="251">
        <f>+(F8*$J$3/1000)*1.01*75%</f>
        <v>44.07691592636364</v>
      </c>
      <c r="G13" s="78"/>
      <c r="H13" s="249">
        <f>+(H8*$J$3/1000)*1.01*25%</f>
        <v>6.3565155092424241</v>
      </c>
      <c r="I13" s="250">
        <f>+(I8*$J$3/1000)*1.01*25%</f>
        <v>7.8409712269696978</v>
      </c>
      <c r="J13" s="251">
        <f>+(J8*$J$3/1000)*1.01*25%</f>
        <v>14.69230530878788</v>
      </c>
      <c r="K13"/>
      <c r="L13" s="492">
        <f>+(L8*$J$3/1000)*1.01*0%</f>
        <v>0</v>
      </c>
      <c r="M13"/>
      <c r="N13" s="528"/>
      <c r="O13"/>
      <c r="P13"/>
      <c r="Q13"/>
      <c r="R13"/>
    </row>
    <row r="14" spans="2:19" x14ac:dyDescent="0.35">
      <c r="B14" s="289" t="s">
        <v>95</v>
      </c>
      <c r="C14" s="12"/>
      <c r="D14" s="252">
        <f>SUM(D12:D13)</f>
        <v>24.069743236668938</v>
      </c>
      <c r="E14" s="84">
        <f>SUM(E12:E13)</f>
        <v>29.690820998525759</v>
      </c>
      <c r="F14" s="258">
        <f>SUM(F12:F13)</f>
        <v>55.634256822480303</v>
      </c>
      <c r="G14" s="80"/>
      <c r="H14" s="252">
        <f>SUM(H12:H13)</f>
        <v>21.357105636067423</v>
      </c>
      <c r="I14" s="84">
        <f>SUM(I12:I13)</f>
        <v>26.3446931798197</v>
      </c>
      <c r="J14" s="258">
        <f>SUM(J12:J13)</f>
        <v>49.364327997137877</v>
      </c>
      <c r="K14" s="11"/>
      <c r="L14" s="493">
        <f>SUM(L12:L13)</f>
        <v>24.671629270466667</v>
      </c>
      <c r="M14" s="451"/>
      <c r="N14" s="529"/>
      <c r="O14" s="444"/>
      <c r="P14"/>
      <c r="Q14"/>
      <c r="R14"/>
    </row>
    <row r="15" spans="2:19" x14ac:dyDescent="0.35">
      <c r="B15" s="285" t="s">
        <v>149</v>
      </c>
      <c r="C15" s="6"/>
      <c r="D15" s="254">
        <v>3.2429999999999999</v>
      </c>
      <c r="E15" s="80">
        <v>3.48</v>
      </c>
      <c r="F15" s="253">
        <v>5.4210000000000003</v>
      </c>
      <c r="G15" s="80"/>
      <c r="H15" s="254">
        <f>+D15</f>
        <v>3.2429999999999999</v>
      </c>
      <c r="I15" s="80">
        <f t="shared" ref="I15:J15" si="0">+E15</f>
        <v>3.48</v>
      </c>
      <c r="J15" s="253">
        <f t="shared" si="0"/>
        <v>5.4210000000000003</v>
      </c>
      <c r="K15" s="11"/>
      <c r="L15" s="494">
        <f>+I15</f>
        <v>3.48</v>
      </c>
      <c r="M15" s="11"/>
      <c r="N15" s="528"/>
      <c r="O15"/>
      <c r="P15"/>
      <c r="Q15"/>
      <c r="R15"/>
    </row>
    <row r="16" spans="2:19" x14ac:dyDescent="0.35">
      <c r="B16" s="285" t="s">
        <v>428</v>
      </c>
      <c r="C16" s="6"/>
      <c r="D16" s="254">
        <v>2.1620000000000004</v>
      </c>
      <c r="E16" s="80">
        <v>2.3199999999999998</v>
      </c>
      <c r="F16" s="253">
        <v>3.6140000000000003</v>
      </c>
      <c r="G16" s="80"/>
      <c r="H16" s="254">
        <f t="shared" ref="H16" si="1">+D16</f>
        <v>2.1620000000000004</v>
      </c>
      <c r="I16" s="80">
        <f t="shared" ref="I16" si="2">+E16</f>
        <v>2.3199999999999998</v>
      </c>
      <c r="J16" s="253">
        <f t="shared" ref="J16" si="3">+F16</f>
        <v>3.6140000000000003</v>
      </c>
      <c r="K16" s="11"/>
      <c r="L16" s="494">
        <v>3.54</v>
      </c>
      <c r="M16" s="11"/>
      <c r="N16"/>
      <c r="O16"/>
      <c r="P16"/>
      <c r="Q16"/>
      <c r="R16"/>
    </row>
    <row r="17" spans="2:19" x14ac:dyDescent="0.35">
      <c r="B17" s="285" t="s">
        <v>150</v>
      </c>
      <c r="C17" s="6"/>
      <c r="D17" s="254">
        <f>5.405+(5.405*0.4*0.23*0.5)</f>
        <v>5.6536300000000006</v>
      </c>
      <c r="E17" s="80">
        <f>5.8+(5.8*0.4*0.23*0.5)</f>
        <v>6.0667999999999997</v>
      </c>
      <c r="F17" s="253">
        <f>9.035+(9.035*0.4*0.23*0.5)</f>
        <v>9.4506100000000011</v>
      </c>
      <c r="G17" s="80"/>
      <c r="H17" s="254">
        <v>5.6536300000000006</v>
      </c>
      <c r="I17" s="80">
        <v>6.0667999999999997</v>
      </c>
      <c r="J17" s="253">
        <v>9.4506100000000011</v>
      </c>
      <c r="K17" s="484"/>
      <c r="L17" s="494">
        <v>7.348006013511295</v>
      </c>
      <c r="M17" s="445"/>
      <c r="N17" s="445"/>
      <c r="O17" s="445"/>
      <c r="P17"/>
      <c r="Q17"/>
      <c r="R17"/>
    </row>
    <row r="18" spans="2:19" ht="15" thickBot="1" x14ac:dyDescent="0.4">
      <c r="B18" s="289" t="s">
        <v>132</v>
      </c>
      <c r="C18" s="6"/>
      <c r="D18" s="255">
        <f>+D15+D16+D17</f>
        <v>11.058630000000001</v>
      </c>
      <c r="E18" s="256">
        <f>+E15+E16+E17</f>
        <v>11.8668</v>
      </c>
      <c r="F18" s="259">
        <f>+F15+F16+F17</f>
        <v>18.485610000000001</v>
      </c>
      <c r="G18" s="80"/>
      <c r="H18" s="255">
        <f>+H15+H16+H17</f>
        <v>11.058630000000001</v>
      </c>
      <c r="I18" s="256">
        <f>+I15+I16+I17</f>
        <v>11.8668</v>
      </c>
      <c r="J18" s="259">
        <f>+J15+J16+J17</f>
        <v>18.485610000000001</v>
      </c>
      <c r="K18"/>
      <c r="L18" s="495">
        <f>+L15+L16+L17</f>
        <v>14.368006013511295</v>
      </c>
      <c r="M18"/>
      <c r="N18"/>
      <c r="O18"/>
      <c r="P18"/>
      <c r="Q18"/>
      <c r="R18"/>
    </row>
    <row r="19" spans="2:19" ht="15.75" customHeight="1" thickBot="1" x14ac:dyDescent="0.4">
      <c r="B19" s="380" t="s">
        <v>39</v>
      </c>
      <c r="C19" s="12"/>
      <c r="D19" s="502">
        <f>+D14+D18</f>
        <v>35.128373236668935</v>
      </c>
      <c r="E19" s="503">
        <f>+E14+E18</f>
        <v>41.557620998525756</v>
      </c>
      <c r="F19" s="504">
        <f>+F14+F18</f>
        <v>74.119866822480304</v>
      </c>
      <c r="G19" s="84"/>
      <c r="H19" s="502">
        <f>+H14+H18</f>
        <v>32.415735636067424</v>
      </c>
      <c r="I19" s="503">
        <f>+I14+I18</f>
        <v>38.211493179819698</v>
      </c>
      <c r="J19" s="504">
        <f>+J14+J18</f>
        <v>67.849937997137886</v>
      </c>
      <c r="K19"/>
      <c r="L19" s="523">
        <f>+L14+L18</f>
        <v>39.039635283977958</v>
      </c>
      <c r="M19" s="445"/>
      <c r="N19" s="445"/>
      <c r="O19" s="445"/>
      <c r="P19"/>
      <c r="Q19"/>
      <c r="R19"/>
    </row>
    <row r="20" spans="2:19" ht="4.5" customHeight="1" x14ac:dyDescent="0.35">
      <c r="C20" s="235"/>
      <c r="D20" s="132"/>
      <c r="E20" s="132"/>
      <c r="F20" s="132"/>
      <c r="G20" s="132"/>
      <c r="M20"/>
      <c r="N20"/>
      <c r="O20"/>
      <c r="P20"/>
      <c r="Q20"/>
      <c r="R20"/>
      <c r="S20"/>
    </row>
    <row r="21" spans="2:19" ht="6" customHeight="1" x14ac:dyDescent="0.35">
      <c r="C21" s="132"/>
      <c r="D21" s="164"/>
      <c r="E21" s="164"/>
      <c r="F21" s="164"/>
      <c r="I21" s="164"/>
      <c r="L21" s="164"/>
      <c r="N21" s="81"/>
    </row>
    <row r="22" spans="2:19" x14ac:dyDescent="0.35">
      <c r="D22" s="164"/>
      <c r="E22" s="164"/>
      <c r="F22" s="164"/>
      <c r="I22" s="164"/>
      <c r="L22" s="164"/>
      <c r="N22" s="81"/>
    </row>
    <row r="23" spans="2:19" x14ac:dyDescent="0.35">
      <c r="C23" s="225"/>
      <c r="D23" s="94"/>
      <c r="E23" s="94"/>
      <c r="F23" s="94"/>
      <c r="H23" s="83"/>
      <c r="I23" s="164"/>
      <c r="L23" s="164"/>
      <c r="N23" s="530"/>
    </row>
    <row r="24" spans="2:19" x14ac:dyDescent="0.35">
      <c r="C24" s="224"/>
      <c r="D24" s="94"/>
      <c r="E24" s="94"/>
      <c r="F24" s="94"/>
      <c r="H24" s="83"/>
      <c r="I24" s="164"/>
      <c r="L24" s="164"/>
      <c r="N24" s="81"/>
    </row>
    <row r="25" spans="2:19" x14ac:dyDescent="0.35">
      <c r="B25" s="524"/>
      <c r="D25" s="94"/>
      <c r="E25" s="94"/>
      <c r="F25" s="94"/>
      <c r="H25" s="83"/>
      <c r="I25" s="164"/>
      <c r="J25" s="525"/>
      <c r="L25" s="164"/>
    </row>
    <row r="26" spans="2:19" x14ac:dyDescent="0.35">
      <c r="D26" s="457"/>
      <c r="E26" s="457"/>
      <c r="F26" s="457"/>
      <c r="G26" s="457"/>
      <c r="I26" s="521"/>
      <c r="J26" s="521"/>
      <c r="L26" s="521"/>
    </row>
    <row r="27" spans="2:19" x14ac:dyDescent="0.35">
      <c r="D27" s="94"/>
      <c r="E27" s="94"/>
      <c r="F27" s="94"/>
      <c r="I27" s="164"/>
      <c r="L27" s="164"/>
    </row>
    <row r="28" spans="2:19" x14ac:dyDescent="0.35">
      <c r="L28" s="94"/>
    </row>
    <row r="29" spans="2:19" x14ac:dyDescent="0.35">
      <c r="D29" s="94"/>
      <c r="L29" s="521"/>
    </row>
  </sheetData>
  <mergeCells count="6">
    <mergeCell ref="D7:F7"/>
    <mergeCell ref="H7:J7"/>
    <mergeCell ref="D5:F5"/>
    <mergeCell ref="H5:J5"/>
    <mergeCell ref="D2:I2"/>
    <mergeCell ref="D3:I3"/>
  </mergeCells>
  <pageMargins left="0.7" right="0.7" top="0.75" bottom="0.75" header="0.3" footer="0.3"/>
  <pageSetup paperSize="9" orientation="portrait" r:id="rId1"/>
  <customProperties>
    <customPr name="EpmWorksheetKeyString_GUID" r:id="rId2"/>
  </customProperties>
  <ignoredErrors>
    <ignoredError sqref="C10 D10" numberStoredAsText="1"/>
  </ignoredError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4FF3A-4DD5-4EDE-A3B6-441438CCC581}">
  <dimension ref="B1:I33"/>
  <sheetViews>
    <sheetView showGridLines="0" workbookViewId="0">
      <selection activeCell="H33" sqref="H33"/>
    </sheetView>
  </sheetViews>
  <sheetFormatPr defaultColWidth="11.453125" defaultRowHeight="14.5" x14ac:dyDescent="0.35"/>
  <cols>
    <col min="1" max="16384" width="11.453125" style="1"/>
  </cols>
  <sheetData>
    <row r="1" spans="2:9" ht="15" thickBot="1" x14ac:dyDescent="0.4"/>
    <row r="2" spans="2:9" ht="15" thickBot="1" x14ac:dyDescent="0.4">
      <c r="D2" s="608" t="s">
        <v>151</v>
      </c>
      <c r="E2" s="609"/>
      <c r="F2" s="609"/>
      <c r="G2" s="609"/>
      <c r="H2" s="609"/>
      <c r="I2" s="610"/>
    </row>
    <row r="3" spans="2:9" x14ac:dyDescent="0.35">
      <c r="B3" s="611" t="s">
        <v>152</v>
      </c>
      <c r="C3" s="612"/>
      <c r="D3" s="613">
        <v>16.7</v>
      </c>
      <c r="E3" s="614"/>
      <c r="F3" s="614">
        <v>20.6</v>
      </c>
      <c r="G3" s="614"/>
      <c r="H3" s="614">
        <v>38.6</v>
      </c>
      <c r="I3" s="615"/>
    </row>
    <row r="4" spans="2:9" x14ac:dyDescent="0.35">
      <c r="B4" s="600" t="s">
        <v>153</v>
      </c>
      <c r="C4" s="601"/>
      <c r="D4" s="415" t="s">
        <v>154</v>
      </c>
      <c r="E4" s="416" t="s">
        <v>155</v>
      </c>
      <c r="F4" s="416" t="s">
        <v>154</v>
      </c>
      <c r="G4" s="416" t="s">
        <v>155</v>
      </c>
      <c r="H4" s="416" t="s">
        <v>154</v>
      </c>
      <c r="I4" s="417" t="s">
        <v>155</v>
      </c>
    </row>
    <row r="5" spans="2:9" x14ac:dyDescent="0.35">
      <c r="B5" s="418" t="s">
        <v>149</v>
      </c>
      <c r="C5" s="419"/>
      <c r="D5" s="420">
        <v>2.81</v>
      </c>
      <c r="E5" s="430">
        <f>+D5/D13</f>
        <v>0.39381504802364181</v>
      </c>
      <c r="F5" s="421">
        <v>2.96</v>
      </c>
      <c r="G5" s="430">
        <f>+F5/F13</f>
        <v>0.40648348904590831</v>
      </c>
      <c r="H5" s="421">
        <v>4.47</v>
      </c>
      <c r="I5" s="436">
        <f>+H5/H13</f>
        <v>0.44173432502433918</v>
      </c>
    </row>
    <row r="6" spans="2:9" x14ac:dyDescent="0.35">
      <c r="B6" s="418" t="s">
        <v>156</v>
      </c>
      <c r="C6" s="419"/>
      <c r="D6" s="420">
        <v>1.1730926302864104</v>
      </c>
      <c r="E6" s="430">
        <f>+D6/D13</f>
        <v>0.16440623862363807</v>
      </c>
      <c r="F6" s="421">
        <v>1.2821777364015767</v>
      </c>
      <c r="G6" s="430">
        <f>+F6/F13</f>
        <v>0.17607570265861411</v>
      </c>
      <c r="H6" s="421">
        <v>2.2236483944822032</v>
      </c>
      <c r="I6" s="436">
        <f>+H6/H13</f>
        <v>0.21974537418972073</v>
      </c>
    </row>
    <row r="7" spans="2:9" x14ac:dyDescent="0.35">
      <c r="B7" s="418" t="s">
        <v>157</v>
      </c>
      <c r="C7" s="419"/>
      <c r="D7" s="420">
        <v>0.98046733679025699</v>
      </c>
      <c r="E7" s="430">
        <f>+D7/D13</f>
        <v>0.13741024602265739</v>
      </c>
      <c r="F7" s="421">
        <v>1.0046628230094077</v>
      </c>
      <c r="G7" s="430">
        <f>+F7/F13</f>
        <v>0.13796582757147832</v>
      </c>
      <c r="H7" s="421">
        <v>1.7921430560437601</v>
      </c>
      <c r="I7" s="436">
        <f>+H7/H13</f>
        <v>0.17710315508021185</v>
      </c>
    </row>
    <row r="8" spans="2:9" x14ac:dyDescent="0.35">
      <c r="B8" s="418" t="s">
        <v>150</v>
      </c>
      <c r="C8" s="419"/>
      <c r="D8" s="420">
        <f>3.71176920356312-1.54</f>
        <v>2.17176920356312</v>
      </c>
      <c r="E8" s="430">
        <f>+D8/D13</f>
        <v>0.30436846733006279</v>
      </c>
      <c r="F8" s="421">
        <f>3.87512803160772-1.84</f>
        <v>2.0351280316077203</v>
      </c>
      <c r="G8" s="430">
        <f>+F8/F13</f>
        <v>0.27947498072399923</v>
      </c>
      <c r="H8" s="421">
        <f>3.78341311831461-2.15</f>
        <v>1.6334131183146101</v>
      </c>
      <c r="I8" s="436">
        <f>+H8/H13</f>
        <v>0.16141714570572829</v>
      </c>
    </row>
    <row r="9" spans="2:9" x14ac:dyDescent="0.35">
      <c r="B9" s="437" t="s">
        <v>31</v>
      </c>
      <c r="C9" s="438"/>
      <c r="D9" s="433">
        <v>1.92</v>
      </c>
      <c r="E9" s="439"/>
      <c r="F9" s="432">
        <v>2.2200000000000002</v>
      </c>
      <c r="G9" s="439"/>
      <c r="H9" s="432">
        <v>4.13</v>
      </c>
      <c r="I9" s="440"/>
    </row>
    <row r="10" spans="2:9" x14ac:dyDescent="0.35">
      <c r="B10" s="437" t="s">
        <v>34</v>
      </c>
      <c r="C10" s="438"/>
      <c r="D10" s="433">
        <v>0.19</v>
      </c>
      <c r="E10" s="439"/>
      <c r="F10" s="432">
        <v>0.19</v>
      </c>
      <c r="G10" s="439"/>
      <c r="H10" s="432">
        <v>0.33</v>
      </c>
      <c r="I10" s="440"/>
    </row>
    <row r="11" spans="2:9" x14ac:dyDescent="0.35">
      <c r="B11" s="437" t="s">
        <v>36</v>
      </c>
      <c r="C11" s="438"/>
      <c r="D11" s="433">
        <v>0.16</v>
      </c>
      <c r="E11" s="439"/>
      <c r="F11" s="432">
        <v>0.16</v>
      </c>
      <c r="G11" s="439"/>
      <c r="H11" s="432">
        <v>0.28000000000000003</v>
      </c>
      <c r="I11" s="440"/>
    </row>
    <row r="12" spans="2:9" x14ac:dyDescent="0.35">
      <c r="B12" s="437"/>
      <c r="C12" s="438"/>
      <c r="D12" s="433"/>
      <c r="E12" s="439"/>
      <c r="F12" s="432"/>
      <c r="G12" s="439"/>
      <c r="H12" s="432"/>
      <c r="I12" s="440"/>
    </row>
    <row r="13" spans="2:9" ht="15" thickBot="1" x14ac:dyDescent="0.4">
      <c r="B13" s="602" t="s">
        <v>158</v>
      </c>
      <c r="C13" s="603"/>
      <c r="D13" s="423">
        <f>SUM(D5:D8)</f>
        <v>7.1353291706397872</v>
      </c>
      <c r="E13" s="441">
        <f>SUM(E5:E12)</f>
        <v>1</v>
      </c>
      <c r="F13" s="424">
        <f>SUM(F5:F8)</f>
        <v>7.2819685910187051</v>
      </c>
      <c r="G13" s="441">
        <f>SUM(G5:G12)</f>
        <v>1</v>
      </c>
      <c r="H13" s="424">
        <f>SUM(H5:H8)</f>
        <v>10.119204568840573</v>
      </c>
      <c r="I13" s="441">
        <f>SUM(I5:I12)</f>
        <v>1</v>
      </c>
    </row>
    <row r="14" spans="2:9" hidden="1" x14ac:dyDescent="0.35"/>
    <row r="15" spans="2:9" hidden="1" x14ac:dyDescent="0.35"/>
    <row r="16" spans="2:9" hidden="1" x14ac:dyDescent="0.35">
      <c r="B16" s="606" t="s">
        <v>153</v>
      </c>
      <c r="C16" s="607"/>
      <c r="D16" s="435" t="s">
        <v>154</v>
      </c>
      <c r="E16" s="416" t="s">
        <v>155</v>
      </c>
      <c r="F16" s="435" t="s">
        <v>154</v>
      </c>
      <c r="G16" s="416" t="s">
        <v>155</v>
      </c>
      <c r="H16" s="435" t="s">
        <v>154</v>
      </c>
      <c r="I16" s="416" t="s">
        <v>155</v>
      </c>
    </row>
    <row r="17" spans="2:9" hidden="1" x14ac:dyDescent="0.35">
      <c r="B17" s="604" t="s">
        <v>149</v>
      </c>
      <c r="C17" s="605"/>
      <c r="D17" s="434">
        <f>+$D$21*E17</f>
        <v>2.1871353680428487</v>
      </c>
      <c r="E17" s="264">
        <v>0.3</v>
      </c>
      <c r="F17" s="434">
        <f>+$F$21*G17</f>
        <v>2.2320835764562359</v>
      </c>
      <c r="G17" s="264">
        <v>0.3</v>
      </c>
      <c r="H17" s="434">
        <f>+$H$21*I17</f>
        <v>3.1017588228501505</v>
      </c>
      <c r="I17" s="264">
        <v>0.3</v>
      </c>
    </row>
    <row r="18" spans="2:9" hidden="1" x14ac:dyDescent="0.35">
      <c r="B18" s="604" t="s">
        <v>156</v>
      </c>
      <c r="C18" s="605"/>
      <c r="D18" s="434">
        <f t="shared" ref="D18:D20" si="0">+$D$21*E18</f>
        <v>1.7008622712146555</v>
      </c>
      <c r="E18" s="264">
        <v>0.23330000000000001</v>
      </c>
      <c r="F18" s="434">
        <f t="shared" ref="F18:F20" si="1">+$F$21*G18</f>
        <v>1.7358169946241329</v>
      </c>
      <c r="G18" s="264">
        <v>0.23330000000000001</v>
      </c>
      <c r="H18" s="434">
        <f t="shared" ref="H18:H20" si="2">+$H$21*I18</f>
        <v>2.4121344445698005</v>
      </c>
      <c r="I18" s="264">
        <v>0.23330000000000001</v>
      </c>
    </row>
    <row r="19" spans="2:9" hidden="1" x14ac:dyDescent="0.35">
      <c r="B19" s="604" t="s">
        <v>157</v>
      </c>
      <c r="C19" s="605"/>
      <c r="D19" s="434">
        <f t="shared" si="0"/>
        <v>1.7008622712146555</v>
      </c>
      <c r="E19" s="264">
        <v>0.23330000000000001</v>
      </c>
      <c r="F19" s="434">
        <f t="shared" si="1"/>
        <v>1.7358169946241329</v>
      </c>
      <c r="G19" s="264">
        <v>0.23330000000000001</v>
      </c>
      <c r="H19" s="434">
        <f t="shared" si="2"/>
        <v>2.4121344445698005</v>
      </c>
      <c r="I19" s="264">
        <v>0.23330000000000001</v>
      </c>
    </row>
    <row r="20" spans="2:9" hidden="1" x14ac:dyDescent="0.35">
      <c r="B20" s="604" t="s">
        <v>150</v>
      </c>
      <c r="C20" s="605"/>
      <c r="D20" s="434">
        <f t="shared" si="0"/>
        <v>1.7008622712146555</v>
      </c>
      <c r="E20" s="264">
        <v>0.23330000000000001</v>
      </c>
      <c r="F20" s="434">
        <f t="shared" si="1"/>
        <v>1.7358169946241329</v>
      </c>
      <c r="G20" s="264">
        <v>0.23330000000000001</v>
      </c>
      <c r="H20" s="434">
        <f t="shared" si="2"/>
        <v>2.4121344445698005</v>
      </c>
      <c r="I20" s="264">
        <v>0.23330000000000001</v>
      </c>
    </row>
    <row r="21" spans="2:9" hidden="1" x14ac:dyDescent="0.35">
      <c r="B21" s="601" t="s">
        <v>159</v>
      </c>
      <c r="C21" s="618"/>
      <c r="D21" s="425">
        <f>+D13*(1+'Soportes 2024'!$L$4)</f>
        <v>7.2904512268094965</v>
      </c>
      <c r="E21" s="263"/>
      <c r="F21" s="425">
        <f>+F13*(1+'Soportes 2024'!$L$4)</f>
        <v>7.4402785881874527</v>
      </c>
      <c r="G21" s="263"/>
      <c r="H21" s="425">
        <f>+H13*(1+'Soportes 2024'!$L$4)</f>
        <v>10.339196076167168</v>
      </c>
      <c r="I21" s="263"/>
    </row>
    <row r="23" spans="2:9" x14ac:dyDescent="0.35">
      <c r="B23" s="584" t="s">
        <v>160</v>
      </c>
      <c r="C23" s="584"/>
    </row>
    <row r="24" spans="2:9" x14ac:dyDescent="0.35">
      <c r="B24" s="616">
        <v>0.33</v>
      </c>
      <c r="C24" s="584"/>
    </row>
    <row r="25" spans="2:9" x14ac:dyDescent="0.35">
      <c r="B25" s="606" t="s">
        <v>153</v>
      </c>
      <c r="C25" s="607"/>
      <c r="D25" s="435" t="s">
        <v>154</v>
      </c>
      <c r="E25" s="416" t="s">
        <v>155</v>
      </c>
      <c r="F25" s="435" t="s">
        <v>154</v>
      </c>
      <c r="G25" s="416" t="s">
        <v>155</v>
      </c>
      <c r="H25" s="435" t="s">
        <v>154</v>
      </c>
      <c r="I25" s="416" t="s">
        <v>155</v>
      </c>
    </row>
    <row r="26" spans="2:9" x14ac:dyDescent="0.35">
      <c r="B26" s="263" t="s">
        <v>149</v>
      </c>
      <c r="C26" s="263"/>
      <c r="D26" s="422">
        <f>+D5*(1+$B$24)</f>
        <v>3.7373000000000003</v>
      </c>
      <c r="E26" s="264">
        <v>0.3</v>
      </c>
      <c r="F26" s="422">
        <f>+F5*(1+$B$24)</f>
        <v>3.9368000000000003</v>
      </c>
      <c r="G26" s="264">
        <v>0.3</v>
      </c>
      <c r="H26" s="422">
        <f>+H5*(1+$B$24)</f>
        <v>5.9451000000000001</v>
      </c>
      <c r="I26" s="264">
        <v>0.3</v>
      </c>
    </row>
    <row r="27" spans="2:9" x14ac:dyDescent="0.35">
      <c r="B27" s="263" t="s">
        <v>150</v>
      </c>
      <c r="C27" s="263"/>
      <c r="D27" s="422">
        <f>+SUM(D6:D11)*(1+'Soportes 2024'!C4)</f>
        <v>6.6128067929419831</v>
      </c>
      <c r="E27" s="264">
        <v>0.7</v>
      </c>
      <c r="F27" s="422">
        <f>+SUM(F6:F11)*(1+'Soportes 2024'!F4)</f>
        <v>6.8919685910187054</v>
      </c>
      <c r="G27" s="264">
        <v>0.23330000000000001</v>
      </c>
      <c r="H27" s="422">
        <f>+SUM(H6:H11)*(1+'Soportes 2024'!I4)</f>
        <v>10.389204568840572</v>
      </c>
      <c r="I27" s="264">
        <v>0.23330000000000001</v>
      </c>
    </row>
    <row r="28" spans="2:9" x14ac:dyDescent="0.35">
      <c r="B28" s="263" t="s">
        <v>157</v>
      </c>
      <c r="C28" s="263"/>
      <c r="D28" s="422"/>
      <c r="E28" s="264"/>
      <c r="F28" s="422"/>
      <c r="G28" s="264"/>
      <c r="H28" s="422"/>
      <c r="I28" s="264"/>
    </row>
    <row r="29" spans="2:9" x14ac:dyDescent="0.35">
      <c r="B29" s="263" t="s">
        <v>150</v>
      </c>
      <c r="C29" s="263"/>
      <c r="D29" s="422"/>
      <c r="E29" s="264"/>
      <c r="F29" s="422"/>
      <c r="G29" s="264"/>
      <c r="H29" s="422"/>
      <c r="I29" s="264"/>
    </row>
    <row r="30" spans="2:9" x14ac:dyDescent="0.35">
      <c r="B30" s="263" t="s">
        <v>31</v>
      </c>
      <c r="C30" s="263"/>
      <c r="D30" s="422"/>
      <c r="E30" s="264"/>
      <c r="F30" s="422"/>
      <c r="G30" s="264"/>
      <c r="H30" s="422"/>
      <c r="I30" s="264"/>
    </row>
    <row r="31" spans="2:9" x14ac:dyDescent="0.35">
      <c r="B31" s="263" t="s">
        <v>34</v>
      </c>
      <c r="C31" s="263"/>
      <c r="D31" s="422"/>
      <c r="E31" s="264"/>
      <c r="F31" s="422"/>
      <c r="G31" s="264"/>
      <c r="H31" s="422"/>
      <c r="I31" s="264"/>
    </row>
    <row r="32" spans="2:9" x14ac:dyDescent="0.35">
      <c r="B32" s="263" t="s">
        <v>36</v>
      </c>
      <c r="C32" s="263"/>
      <c r="D32" s="422"/>
      <c r="E32" s="264"/>
      <c r="F32" s="422"/>
      <c r="G32" s="264"/>
      <c r="H32" s="422"/>
      <c r="I32" s="264"/>
    </row>
    <row r="33" spans="2:9" x14ac:dyDescent="0.35">
      <c r="B33" s="617" t="s">
        <v>159</v>
      </c>
      <c r="C33" s="617"/>
      <c r="D33" s="425">
        <f>+SUM(D26:D29)</f>
        <v>10.350106792941983</v>
      </c>
      <c r="E33" s="263"/>
      <c r="F33" s="425">
        <f>+SUM(F26:F29)</f>
        <v>10.828768591018706</v>
      </c>
      <c r="G33" s="263"/>
      <c r="H33" s="425">
        <f>+SUM(H26:H29)</f>
        <v>16.334304568840572</v>
      </c>
      <c r="I33" s="263"/>
    </row>
  </sheetData>
  <mergeCells count="17">
    <mergeCell ref="B24:C24"/>
    <mergeCell ref="B33:C33"/>
    <mergeCell ref="B21:C21"/>
    <mergeCell ref="B25:C25"/>
    <mergeCell ref="B20:C20"/>
    <mergeCell ref="B23:C23"/>
    <mergeCell ref="D2:I2"/>
    <mergeCell ref="B3:C3"/>
    <mergeCell ref="D3:E3"/>
    <mergeCell ref="F3:G3"/>
    <mergeCell ref="H3:I3"/>
    <mergeCell ref="B4:C4"/>
    <mergeCell ref="B13:C13"/>
    <mergeCell ref="B18:C18"/>
    <mergeCell ref="B19:C19"/>
    <mergeCell ref="B16:C16"/>
    <mergeCell ref="B17:C17"/>
  </mergeCells>
  <pageMargins left="0.7" right="0.7" top="0.75" bottom="0.75" header="0.3" footer="0.3"/>
  <customProperties>
    <customPr name="EpmWorksheetKeyString_GUID" r:id="rId1"/>
  </customPropertie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4EFA0-13C3-4AC3-976A-7F6EFFDFF2EC}">
  <dimension ref="A1:T32"/>
  <sheetViews>
    <sheetView showGridLines="0" topLeftCell="A7" zoomScale="115" zoomScaleNormal="115" workbookViewId="0">
      <selection activeCell="C21" sqref="C21:E21"/>
    </sheetView>
  </sheetViews>
  <sheetFormatPr defaultColWidth="11.453125" defaultRowHeight="14.5" x14ac:dyDescent="0.35"/>
  <cols>
    <col min="1" max="1" width="2.1796875" style="81" customWidth="1"/>
    <col min="2" max="2" width="20" style="173" bestFit="1" customWidth="1"/>
    <col min="3" max="4" width="9.453125" style="82" customWidth="1"/>
    <col min="5" max="5" width="9.1796875" style="82" customWidth="1"/>
    <col min="6" max="6" width="1.1796875" style="82" customWidth="1"/>
    <col min="7" max="7" width="9" style="82" hidden="1" customWidth="1"/>
    <col min="8" max="8" width="8.81640625" style="82" hidden="1" customWidth="1"/>
    <col min="9" max="9" width="9.81640625" style="82" hidden="1" customWidth="1"/>
    <col min="10" max="10" width="1.81640625" hidden="1" customWidth="1"/>
    <col min="11" max="13" width="9.1796875" style="81" customWidth="1"/>
    <col min="14" max="14" width="2.26953125" style="81" customWidth="1"/>
    <col min="15" max="16384" width="11.453125" style="81"/>
  </cols>
  <sheetData>
    <row r="1" spans="2:20" x14ac:dyDescent="0.35">
      <c r="B1" s="122"/>
      <c r="C1" s="86"/>
      <c r="D1" s="87"/>
      <c r="E1" s="87"/>
      <c r="F1" s="87"/>
      <c r="G1" s="87"/>
      <c r="H1" s="87"/>
      <c r="I1" s="87"/>
      <c r="J1" s="71"/>
      <c r="K1" s="275"/>
    </row>
    <row r="2" spans="2:20" s="142" customFormat="1" ht="15" customHeight="1" x14ac:dyDescent="0.35">
      <c r="E2" s="141"/>
      <c r="F2" s="141"/>
      <c r="G2" s="141"/>
      <c r="H2" s="141"/>
      <c r="I2" s="141"/>
      <c r="J2" s="261"/>
      <c r="K2" s="598" t="s">
        <v>66</v>
      </c>
      <c r="L2" s="598"/>
      <c r="M2" s="243">
        <f>+'Formula Virgen'!AE18</f>
        <v>1098.253006821843</v>
      </c>
    </row>
    <row r="3" spans="2:20" s="133" customFormat="1" x14ac:dyDescent="0.35">
      <c r="E3" s="134"/>
      <c r="F3" s="134"/>
      <c r="G3" s="134"/>
      <c r="H3" s="134"/>
      <c r="I3" s="134"/>
      <c r="J3" s="262"/>
      <c r="K3" s="599" t="s">
        <v>67</v>
      </c>
      <c r="L3" s="599"/>
      <c r="M3" s="244" t="e">
        <f>+'Formula PCR'!AE11</f>
        <v>#REF!</v>
      </c>
    </row>
    <row r="4" spans="2:20" ht="15" thickBot="1" x14ac:dyDescent="0.4">
      <c r="B4" s="169"/>
      <c r="C4" s="92"/>
      <c r="D4" s="92"/>
      <c r="E4" s="92"/>
      <c r="F4" s="92"/>
      <c r="G4" s="92"/>
      <c r="H4" s="92"/>
      <c r="I4" s="92"/>
      <c r="J4" s="2"/>
      <c r="K4" s="78"/>
    </row>
    <row r="5" spans="2:20" s="95" customFormat="1" ht="33.75" customHeight="1" thickBot="1" x14ac:dyDescent="0.4">
      <c r="B5" s="162" t="s">
        <v>5</v>
      </c>
      <c r="C5" s="317" t="s">
        <v>68</v>
      </c>
      <c r="D5" s="318" t="s">
        <v>69</v>
      </c>
      <c r="E5" s="319" t="s">
        <v>70</v>
      </c>
      <c r="F5" s="162"/>
      <c r="G5" s="317" t="s">
        <v>68</v>
      </c>
      <c r="H5" s="318" t="s">
        <v>69</v>
      </c>
      <c r="I5" s="319" t="s">
        <v>70</v>
      </c>
      <c r="J5" s="2"/>
      <c r="K5" s="317" t="s">
        <v>68</v>
      </c>
      <c r="L5" s="318" t="s">
        <v>69</v>
      </c>
      <c r="M5" s="319" t="s">
        <v>70</v>
      </c>
      <c r="N5" s="97"/>
    </row>
    <row r="6" spans="2:20" s="95" customFormat="1" ht="33.75" customHeight="1" thickBot="1" x14ac:dyDescent="0.4">
      <c r="B6" s="162"/>
      <c r="C6" s="619" t="s">
        <v>161</v>
      </c>
      <c r="D6" s="620"/>
      <c r="E6" s="621"/>
      <c r="F6" s="260"/>
      <c r="G6" s="622" t="s">
        <v>162</v>
      </c>
      <c r="H6" s="623"/>
      <c r="I6" s="624"/>
      <c r="J6" s="260"/>
      <c r="K6" s="625" t="s">
        <v>163</v>
      </c>
      <c r="L6" s="626"/>
      <c r="M6" s="627"/>
      <c r="N6" s="272"/>
    </row>
    <row r="7" spans="2:20" x14ac:dyDescent="0.35">
      <c r="B7" s="284" t="s">
        <v>13</v>
      </c>
      <c r="C7" s="292">
        <v>16.7</v>
      </c>
      <c r="D7" s="293">
        <v>20.6</v>
      </c>
      <c r="E7" s="294">
        <v>38.6</v>
      </c>
      <c r="F7" s="10"/>
      <c r="G7" s="292">
        <v>16.7</v>
      </c>
      <c r="H7" s="293">
        <v>20.6</v>
      </c>
      <c r="I7" s="294">
        <v>38.6</v>
      </c>
      <c r="J7" s="10"/>
      <c r="K7" s="292">
        <v>16.7</v>
      </c>
      <c r="L7" s="293">
        <v>20.6</v>
      </c>
      <c r="M7" s="294">
        <v>38.6</v>
      </c>
      <c r="N7" s="101"/>
      <c r="T7" s="81">
        <f>8+6+1</f>
        <v>15</v>
      </c>
    </row>
    <row r="8" spans="2:20" x14ac:dyDescent="0.35">
      <c r="B8" s="285" t="s">
        <v>16</v>
      </c>
      <c r="C8" s="245" t="s">
        <v>17</v>
      </c>
      <c r="D8" s="91" t="s">
        <v>17</v>
      </c>
      <c r="E8" s="246" t="s">
        <v>17</v>
      </c>
      <c r="F8" s="7"/>
      <c r="G8" s="245" t="s">
        <v>17</v>
      </c>
      <c r="H8" s="91" t="s">
        <v>17</v>
      </c>
      <c r="I8" s="246" t="s">
        <v>17</v>
      </c>
      <c r="J8" s="7"/>
      <c r="K8" s="245" t="s">
        <v>17</v>
      </c>
      <c r="L8" s="91" t="s">
        <v>17</v>
      </c>
      <c r="M8" s="246" t="s">
        <v>17</v>
      </c>
      <c r="N8" s="101"/>
      <c r="P8" s="241"/>
    </row>
    <row r="9" spans="2:20" x14ac:dyDescent="0.35">
      <c r="B9" s="285" t="s">
        <v>115</v>
      </c>
      <c r="C9" s="245" t="s">
        <v>116</v>
      </c>
      <c r="D9" s="91" t="s">
        <v>117</v>
      </c>
      <c r="E9" s="246" t="s">
        <v>118</v>
      </c>
      <c r="F9" s="7"/>
      <c r="G9" s="245" t="s">
        <v>116</v>
      </c>
      <c r="H9" s="91" t="s">
        <v>117</v>
      </c>
      <c r="I9" s="246" t="s">
        <v>117</v>
      </c>
      <c r="J9" s="7"/>
      <c r="K9" s="245" t="s">
        <v>116</v>
      </c>
      <c r="L9" s="91" t="s">
        <v>117</v>
      </c>
      <c r="M9" s="246" t="s">
        <v>118</v>
      </c>
      <c r="N9" s="101"/>
    </row>
    <row r="10" spans="2:20" s="95" customFormat="1" ht="29" x14ac:dyDescent="0.35">
      <c r="B10" s="286" t="s">
        <v>147</v>
      </c>
      <c r="C10" s="320" t="s">
        <v>94</v>
      </c>
      <c r="D10" s="321" t="s">
        <v>94</v>
      </c>
      <c r="E10" s="322" t="s">
        <v>94</v>
      </c>
      <c r="F10" s="323"/>
      <c r="G10" s="320" t="s">
        <v>94</v>
      </c>
      <c r="H10" s="321" t="s">
        <v>93</v>
      </c>
      <c r="I10" s="322" t="s">
        <v>94</v>
      </c>
      <c r="J10" s="323"/>
      <c r="K10" s="320" t="s">
        <v>148</v>
      </c>
      <c r="L10" s="321" t="s">
        <v>148</v>
      </c>
      <c r="M10" s="322" t="s">
        <v>148</v>
      </c>
      <c r="N10" s="165"/>
      <c r="P10" s="242"/>
    </row>
    <row r="11" spans="2:20" x14ac:dyDescent="0.35">
      <c r="B11" s="287" t="s">
        <v>19</v>
      </c>
      <c r="C11" s="247">
        <f>+(C7*$M$2/1000)*1.01*25%</f>
        <v>4.6310583665160063</v>
      </c>
      <c r="D11" s="248">
        <f>+(D7*$M$2/1000)*1.01*0.25</f>
        <v>5.7125630149838171</v>
      </c>
      <c r="E11" s="257">
        <f>+(E7*$M$2/1000)*1.01*25%</f>
        <v>10.704122930989092</v>
      </c>
      <c r="F11" s="6"/>
      <c r="G11" s="247">
        <f>+(G7*$M$2/1000)*1.01*25%</f>
        <v>4.6310583665160063</v>
      </c>
      <c r="H11" s="248">
        <f>+(H7*$M$2/1000)*1.01*25%</f>
        <v>5.7125630149838171</v>
      </c>
      <c r="I11" s="257">
        <f>+(I7*$M$2/1000)*1.01*25%</f>
        <v>10.704122930989092</v>
      </c>
      <c r="K11" s="247">
        <f>+(K7*$M$2/1000)*1.01*75%</f>
        <v>13.893175099548019</v>
      </c>
      <c r="L11" s="248">
        <f>+(L7*$M$2/1000)*1.01*75%</f>
        <v>17.137689044951451</v>
      </c>
      <c r="M11" s="330">
        <f>+(M7*$M$2/1000)*1.01*75%</f>
        <v>32.112368792967274</v>
      </c>
      <c r="N11" s="80"/>
    </row>
    <row r="12" spans="2:20" x14ac:dyDescent="0.35">
      <c r="B12" s="288" t="s">
        <v>23</v>
      </c>
      <c r="C12" s="249" t="e">
        <f>+(C7*$M$3/1000)*1.01*75%</f>
        <v>#REF!</v>
      </c>
      <c r="D12" s="250" t="e">
        <f>+(D7*$M$3/1000)*1.01*75%</f>
        <v>#REF!</v>
      </c>
      <c r="E12" s="251" t="e">
        <f>+(E7*$M$3/1000)*1.01*75%</f>
        <v>#REF!</v>
      </c>
      <c r="F12" s="6"/>
      <c r="G12" s="249" t="e">
        <f>+(G7*$M$3/1000)*1.01*75%</f>
        <v>#REF!</v>
      </c>
      <c r="H12" s="250" t="e">
        <f>+(H7*$M$3/1000)*1.01*75%</f>
        <v>#REF!</v>
      </c>
      <c r="I12" s="251" t="e">
        <f>+(I7*$M$3/1000)*1.01*75%</f>
        <v>#REF!</v>
      </c>
      <c r="J12" s="6"/>
      <c r="K12" s="249" t="e">
        <f>+(K7*$M$3/1000)*1.01*25%</f>
        <v>#REF!</v>
      </c>
      <c r="L12" s="250" t="e">
        <f>+(L7*$M$3/1000)*1.01*25%</f>
        <v>#REF!</v>
      </c>
      <c r="M12" s="251" t="e">
        <f>+(M7*$M$3/1000)*1.01*25%</f>
        <v>#REF!</v>
      </c>
      <c r="N12" s="78"/>
      <c r="R12" s="81">
        <f>8+R14+1</f>
        <v>17</v>
      </c>
    </row>
    <row r="13" spans="2:20" x14ac:dyDescent="0.35">
      <c r="B13" s="289" t="s">
        <v>95</v>
      </c>
      <c r="C13" s="252" t="e">
        <f>SUM(C11:C12)</f>
        <v>#REF!</v>
      </c>
      <c r="D13" s="84" t="e">
        <f>SUM(D11:D12)</f>
        <v>#REF!</v>
      </c>
      <c r="E13" s="258" t="e">
        <f>SUM(E11:E12)</f>
        <v>#REF!</v>
      </c>
      <c r="F13" s="12"/>
      <c r="G13" s="252" t="e">
        <f>SUM(G11:G12)</f>
        <v>#REF!</v>
      </c>
      <c r="H13" s="84" t="e">
        <f>SUM(H11:H12)</f>
        <v>#REF!</v>
      </c>
      <c r="I13" s="258" t="e">
        <f>SUM(I11:I12)</f>
        <v>#REF!</v>
      </c>
      <c r="J13" s="6"/>
      <c r="K13" s="252" t="e">
        <f>SUM(K11:K12)</f>
        <v>#REF!</v>
      </c>
      <c r="L13" s="84" t="e">
        <f>SUM(L11:L12)</f>
        <v>#REF!</v>
      </c>
      <c r="M13" s="258" t="e">
        <f>SUM(M11:M12)</f>
        <v>#REF!</v>
      </c>
      <c r="N13" s="80"/>
      <c r="O13" s="329"/>
      <c r="P13" s="329"/>
    </row>
    <row r="14" spans="2:20" x14ac:dyDescent="0.35">
      <c r="B14" s="285" t="s">
        <v>129</v>
      </c>
      <c r="C14" s="254">
        <v>7.0909014723003008</v>
      </c>
      <c r="D14" s="80">
        <v>7.2782498057112228</v>
      </c>
      <c r="E14" s="253">
        <v>10.122330475994122</v>
      </c>
      <c r="F14" s="6"/>
      <c r="G14" s="254">
        <f>+C14</f>
        <v>7.0909014723003008</v>
      </c>
      <c r="H14" s="80">
        <f>+D14</f>
        <v>7.2782498057112228</v>
      </c>
      <c r="I14" s="253">
        <f>+E14</f>
        <v>10.122330475994122</v>
      </c>
      <c r="K14" s="254">
        <f>+C14</f>
        <v>7.0909014723003008</v>
      </c>
      <c r="L14" s="80">
        <f>+D14</f>
        <v>7.2782498057112228</v>
      </c>
      <c r="M14" s="253">
        <f>+E14</f>
        <v>10.122330475994122</v>
      </c>
      <c r="N14" s="80"/>
      <c r="O14" s="328"/>
      <c r="R14" s="364">
        <f>168/21</f>
        <v>8</v>
      </c>
    </row>
    <row r="15" spans="2:20" x14ac:dyDescent="0.35">
      <c r="B15" s="285" t="s">
        <v>131</v>
      </c>
      <c r="C15" s="254">
        <v>0</v>
      </c>
      <c r="D15" s="80">
        <v>0</v>
      </c>
      <c r="E15" s="253">
        <v>0</v>
      </c>
      <c r="F15" s="6"/>
      <c r="G15" s="254">
        <v>0</v>
      </c>
      <c r="H15" s="80">
        <v>0</v>
      </c>
      <c r="I15" s="253">
        <v>0</v>
      </c>
      <c r="K15" s="254">
        <v>0</v>
      </c>
      <c r="L15" s="80">
        <v>0</v>
      </c>
      <c r="M15" s="253">
        <v>0</v>
      </c>
      <c r="N15" s="80"/>
      <c r="O15" s="328"/>
    </row>
    <row r="16" spans="2:20" x14ac:dyDescent="0.35">
      <c r="B16" s="289" t="s">
        <v>132</v>
      </c>
      <c r="C16" s="254">
        <f>+C14+C15</f>
        <v>7.0909014723003008</v>
      </c>
      <c r="D16" s="80">
        <f>+D14+D15</f>
        <v>7.2782498057112228</v>
      </c>
      <c r="E16" s="253">
        <f>+E14+E15</f>
        <v>10.122330475994122</v>
      </c>
      <c r="F16" s="6"/>
      <c r="G16" s="254">
        <f>+G14+G15</f>
        <v>7.0909014723003008</v>
      </c>
      <c r="H16" s="80">
        <f>+H14+H15</f>
        <v>7.2782498057112228</v>
      </c>
      <c r="I16" s="253">
        <f>+I14+I15</f>
        <v>10.122330475994122</v>
      </c>
      <c r="K16" s="254">
        <f>+K14+K15</f>
        <v>7.0909014723003008</v>
      </c>
      <c r="L16" s="80">
        <f>+L14+L15</f>
        <v>7.2782498057112228</v>
      </c>
      <c r="M16" s="253">
        <f>+M14+M15</f>
        <v>10.122330475994122</v>
      </c>
      <c r="N16" s="80"/>
      <c r="O16" s="328"/>
    </row>
    <row r="17" spans="1:17" x14ac:dyDescent="0.35">
      <c r="B17" s="285" t="s">
        <v>31</v>
      </c>
      <c r="C17" s="254">
        <v>1.92</v>
      </c>
      <c r="D17" s="80">
        <v>2.2200000000000002</v>
      </c>
      <c r="E17" s="253">
        <v>4.13</v>
      </c>
      <c r="F17" s="6"/>
      <c r="G17" s="254">
        <f>+C17</f>
        <v>1.92</v>
      </c>
      <c r="H17" s="80">
        <f>+D17</f>
        <v>2.2200000000000002</v>
      </c>
      <c r="I17" s="253">
        <f>+E17</f>
        <v>4.13</v>
      </c>
      <c r="K17" s="254">
        <f t="shared" ref="K17:M19" si="0">+C17</f>
        <v>1.92</v>
      </c>
      <c r="L17" s="80">
        <f t="shared" si="0"/>
        <v>2.2200000000000002</v>
      </c>
      <c r="M17" s="253">
        <f t="shared" si="0"/>
        <v>4.13</v>
      </c>
      <c r="N17" s="78"/>
      <c r="O17" s="328"/>
      <c r="P17" s="329"/>
      <c r="Q17" s="329"/>
    </row>
    <row r="18" spans="1:17" x14ac:dyDescent="0.35">
      <c r="A18" s="81" t="s">
        <v>38</v>
      </c>
      <c r="B18" s="290" t="s">
        <v>34</v>
      </c>
      <c r="C18" s="254">
        <v>0.19</v>
      </c>
      <c r="D18" s="80">
        <v>0.19</v>
      </c>
      <c r="E18" s="253">
        <v>0.33</v>
      </c>
      <c r="F18" s="6"/>
      <c r="G18" s="254">
        <v>1.7620288321881459</v>
      </c>
      <c r="H18" s="80">
        <v>2.3446654040404042</v>
      </c>
      <c r="I18" s="253">
        <v>4.5280627094186414</v>
      </c>
      <c r="K18" s="254">
        <f t="shared" si="0"/>
        <v>0.19</v>
      </c>
      <c r="L18" s="80">
        <f t="shared" si="0"/>
        <v>0.19</v>
      </c>
      <c r="M18" s="253">
        <f t="shared" si="0"/>
        <v>0.33</v>
      </c>
      <c r="N18" s="274"/>
      <c r="O18" s="94"/>
    </row>
    <row r="19" spans="1:17" x14ac:dyDescent="0.35">
      <c r="B19" s="285" t="s">
        <v>36</v>
      </c>
      <c r="C19" s="254">
        <v>0.16</v>
      </c>
      <c r="D19" s="80">
        <v>0.16</v>
      </c>
      <c r="E19" s="253">
        <v>0.28000000000000003</v>
      </c>
      <c r="F19" s="6"/>
      <c r="G19" s="254">
        <f>+C19</f>
        <v>0.16</v>
      </c>
      <c r="H19" s="80">
        <f>+D19</f>
        <v>0.16</v>
      </c>
      <c r="I19" s="253">
        <f>+E19</f>
        <v>0.28000000000000003</v>
      </c>
      <c r="K19" s="254">
        <f t="shared" si="0"/>
        <v>0.16</v>
      </c>
      <c r="L19" s="80">
        <f t="shared" si="0"/>
        <v>0.16</v>
      </c>
      <c r="M19" s="253">
        <f t="shared" si="0"/>
        <v>0.28000000000000003</v>
      </c>
      <c r="N19" s="274"/>
    </row>
    <row r="20" spans="1:17" ht="15" thickBot="1" x14ac:dyDescent="0.4">
      <c r="B20" s="291" t="s">
        <v>39</v>
      </c>
      <c r="C20" s="255" t="e">
        <f>+C13+C16+C17+C18+C19</f>
        <v>#REF!</v>
      </c>
      <c r="D20" s="256" t="e">
        <f>+D13+D16+D17+D18+D19</f>
        <v>#REF!</v>
      </c>
      <c r="E20" s="259" t="e">
        <f>+E13+E16+E17+E18+E19</f>
        <v>#REF!</v>
      </c>
      <c r="F20" s="12"/>
      <c r="G20" s="255" t="e">
        <f>+G13+G16+G17+G18+G19</f>
        <v>#REF!</v>
      </c>
      <c r="H20" s="256" t="e">
        <f>+H13+H16+H17+H18+H19</f>
        <v>#REF!</v>
      </c>
      <c r="I20" s="259" t="e">
        <f>+I13+I16+I17+I18+I19</f>
        <v>#REF!</v>
      </c>
      <c r="K20" s="255" t="e">
        <f>+K13+K16+K17+K18+K19</f>
        <v>#REF!</v>
      </c>
      <c r="L20" s="256" t="e">
        <f>+L13+L16+L17+L18+L19</f>
        <v>#REF!</v>
      </c>
      <c r="M20" s="324" t="e">
        <f>+M13+M16+M17+M18+M19</f>
        <v>#REF!</v>
      </c>
      <c r="N20" s="84"/>
      <c r="O20" s="273"/>
      <c r="P20" s="182"/>
    </row>
    <row r="21" spans="1:17" x14ac:dyDescent="0.35">
      <c r="C21" s="431">
        <f>+SUM(C16:C19)</f>
        <v>9.3609014723003003</v>
      </c>
      <c r="D21" s="431">
        <f t="shared" ref="D21:E21" si="1">+SUM(D16:D19)</f>
        <v>9.8482498057112231</v>
      </c>
      <c r="E21" s="431">
        <f t="shared" si="1"/>
        <v>14.862330475994121</v>
      </c>
      <c r="F21" s="235"/>
      <c r="G21" s="235"/>
      <c r="H21" s="235"/>
      <c r="I21" s="235"/>
      <c r="K21" s="132"/>
      <c r="L21" s="132"/>
      <c r="M21" s="132"/>
    </row>
    <row r="22" spans="1:17" x14ac:dyDescent="0.35">
      <c r="K22" s="327"/>
      <c r="L22" s="327"/>
      <c r="M22" s="331"/>
    </row>
    <row r="28" spans="1:17" s="82" customFormat="1" x14ac:dyDescent="0.35">
      <c r="A28" s="81"/>
      <c r="B28" s="173"/>
      <c r="J28"/>
      <c r="K28" s="81"/>
      <c r="L28" s="81"/>
      <c r="M28" s="81"/>
    </row>
    <row r="29" spans="1:17" x14ac:dyDescent="0.35">
      <c r="C29" s="132"/>
      <c r="D29" s="132"/>
      <c r="E29" s="132"/>
      <c r="F29" s="132"/>
      <c r="G29" s="132"/>
      <c r="H29" s="132"/>
      <c r="I29" s="132"/>
    </row>
    <row r="31" spans="1:17" x14ac:dyDescent="0.35">
      <c r="C31" s="225"/>
      <c r="D31" s="225"/>
      <c r="E31" s="225"/>
      <c r="F31" s="225"/>
      <c r="G31" s="225"/>
      <c r="H31" s="225"/>
      <c r="I31" s="225"/>
    </row>
    <row r="32" spans="1:17" x14ac:dyDescent="0.35">
      <c r="C32" s="224"/>
      <c r="D32" s="224"/>
      <c r="E32" s="224"/>
      <c r="F32" s="224"/>
      <c r="G32" s="224"/>
      <c r="H32" s="224"/>
      <c r="I32" s="224"/>
    </row>
  </sheetData>
  <mergeCells count="5">
    <mergeCell ref="K2:L2"/>
    <mergeCell ref="K3:L3"/>
    <mergeCell ref="C6:E6"/>
    <mergeCell ref="G6:I6"/>
    <mergeCell ref="K6:M6"/>
  </mergeCells>
  <pageMargins left="0.7" right="0.7" top="0.75" bottom="0.75" header="0.3" footer="0.3"/>
  <pageSetup paperSize="9" orientation="portrait" r:id="rId1"/>
  <customProperties>
    <customPr name="EpmWorksheetKeyString_GUID" r:id="rId2"/>
  </customPropertie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148FA-0933-4B3C-8346-482A3326EDBF}">
  <dimension ref="B1:M20"/>
  <sheetViews>
    <sheetView showGridLines="0" zoomScale="130" zoomScaleNormal="130" workbookViewId="0">
      <selection activeCell="L4" sqref="L4"/>
    </sheetView>
  </sheetViews>
  <sheetFormatPr defaultColWidth="11.453125" defaultRowHeight="14.5" x14ac:dyDescent="0.35"/>
  <cols>
    <col min="7" max="10" width="0" hidden="1" customWidth="1"/>
  </cols>
  <sheetData>
    <row r="1" spans="2:13" s="178" customFormat="1" ht="13" x14ac:dyDescent="0.3"/>
    <row r="2" spans="2:13" s="178" customFormat="1" ht="13" x14ac:dyDescent="0.3">
      <c r="B2" s="365" t="s">
        <v>164</v>
      </c>
      <c r="C2" s="371">
        <f>2.17%+0.53%</f>
        <v>2.7E-2</v>
      </c>
    </row>
    <row r="3" spans="2:13" s="178" customFormat="1" ht="13" x14ac:dyDescent="0.3"/>
    <row r="4" spans="2:13" s="178" customFormat="1" x14ac:dyDescent="0.35">
      <c r="B4" s="366" t="s">
        <v>165</v>
      </c>
      <c r="C4" s="367">
        <f>0.53%/2</f>
        <v>2.65E-3</v>
      </c>
      <c r="D4" s="368" t="s">
        <v>166</v>
      </c>
      <c r="K4" s="366" t="s">
        <v>167</v>
      </c>
      <c r="L4" s="369">
        <f>2.174%</f>
        <v>2.1739999999999999E-2</v>
      </c>
      <c r="M4" s="368" t="s">
        <v>168</v>
      </c>
    </row>
    <row r="5" spans="2:13" s="178" customFormat="1" ht="13" x14ac:dyDescent="0.3"/>
    <row r="6" spans="2:13" s="178" customFormat="1" ht="13" x14ac:dyDescent="0.3"/>
    <row r="7" spans="2:13" s="178" customFormat="1" ht="13" x14ac:dyDescent="0.3"/>
    <row r="8" spans="2:13" s="178" customFormat="1" ht="13" x14ac:dyDescent="0.3"/>
    <row r="9" spans="2:13" s="178" customFormat="1" ht="13" x14ac:dyDescent="0.3"/>
    <row r="10" spans="2:13" s="178" customFormat="1" ht="13" x14ac:dyDescent="0.3"/>
    <row r="11" spans="2:13" s="178" customFormat="1" ht="13" x14ac:dyDescent="0.3"/>
    <row r="12" spans="2:13" s="178" customFormat="1" ht="13" x14ac:dyDescent="0.3"/>
    <row r="13" spans="2:13" s="178" customFormat="1" ht="13" x14ac:dyDescent="0.3"/>
    <row r="14" spans="2:13" s="178" customFormat="1" ht="13" x14ac:dyDescent="0.3"/>
    <row r="15" spans="2:13" s="178" customFormat="1" ht="13" x14ac:dyDescent="0.3"/>
    <row r="16" spans="2:13" s="178" customFormat="1" ht="13" x14ac:dyDescent="0.3"/>
    <row r="17" s="178" customFormat="1" ht="13" x14ac:dyDescent="0.3"/>
    <row r="18" s="178" customFormat="1" ht="13" x14ac:dyDescent="0.3"/>
    <row r="19" s="178" customFormat="1" ht="13" x14ac:dyDescent="0.3"/>
    <row r="20" s="370" customFormat="1" ht="13" x14ac:dyDescent="0.3"/>
  </sheetData>
  <hyperlinks>
    <hyperlink ref="B4" r:id="rId1" display="https://www.ecuadorencifras.gob.ec/indice-de-precios-al-consumidor/" xr:uid="{106408E6-5D3B-463A-BA57-B05397923A2B}"/>
    <hyperlink ref="K4" r:id="rId2" display="https://www.trabajo.gob.ec/el-salario-basico-unificado-del-trabajador-en-general-para-el-ano-2025-sera-de-usd-47000/" xr:uid="{82A84019-71D0-4BCB-BCE0-5C2FF527DEE2}"/>
  </hyperlinks>
  <pageMargins left="0.7" right="0.7" top="0.75" bottom="0.75" header="0.3" footer="0.3"/>
  <customProperties>
    <customPr name="EpmWorksheetKeyString_GUID" r:id="rId3"/>
  </customProperties>
  <drawing r:id="rId4"/>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B019E-37A2-41AD-9841-62218963AA8F}">
  <dimension ref="D6:X15"/>
  <sheetViews>
    <sheetView showGridLines="0" topLeftCell="B1" workbookViewId="0">
      <selection activeCell="G29" sqref="G29"/>
    </sheetView>
  </sheetViews>
  <sheetFormatPr defaultColWidth="8.81640625" defaultRowHeight="14.5" x14ac:dyDescent="0.35"/>
  <cols>
    <col min="4" max="4" width="12" customWidth="1"/>
    <col min="5" max="5" width="14.453125" customWidth="1"/>
    <col min="6" max="6" width="12.7265625" customWidth="1"/>
    <col min="7" max="7" width="13.1796875" customWidth="1"/>
    <col min="8" max="8" width="15.81640625" hidden="1" customWidth="1"/>
    <col min="9" max="10" width="10.7265625" customWidth="1"/>
    <col min="12" max="12" width="19.453125" customWidth="1"/>
    <col min="13" max="13" width="11.7265625" customWidth="1"/>
    <col min="14" max="14" width="11.26953125" customWidth="1"/>
    <col min="15" max="15" width="13.1796875" customWidth="1"/>
    <col min="16" max="16" width="15.7265625" customWidth="1"/>
    <col min="17" max="17" width="11.26953125" customWidth="1"/>
    <col min="18" max="18" width="24.1796875" bestFit="1" customWidth="1"/>
    <col min="19" max="19" width="11.26953125" customWidth="1"/>
    <col min="20" max="20" width="11.26953125" hidden="1" customWidth="1"/>
    <col min="21" max="21" width="11.26953125" customWidth="1"/>
    <col min="22" max="23" width="11.26953125" hidden="1" customWidth="1"/>
  </cols>
  <sheetData>
    <row r="6" spans="4:24" ht="31" x14ac:dyDescent="0.35">
      <c r="D6" s="335" t="s">
        <v>169</v>
      </c>
      <c r="E6" s="335" t="s">
        <v>170</v>
      </c>
      <c r="F6" s="335" t="s">
        <v>171</v>
      </c>
      <c r="G6" s="336" t="s">
        <v>172</v>
      </c>
      <c r="H6" s="336" t="s">
        <v>173</v>
      </c>
      <c r="I6" s="336" t="s">
        <v>174</v>
      </c>
      <c r="J6" s="336" t="s">
        <v>175</v>
      </c>
      <c r="K6" s="336" t="s">
        <v>176</v>
      </c>
      <c r="L6" s="336" t="s">
        <v>177</v>
      </c>
      <c r="M6" s="337" t="s">
        <v>178</v>
      </c>
      <c r="N6" s="337" t="s">
        <v>179</v>
      </c>
      <c r="O6" s="337" t="s">
        <v>180</v>
      </c>
      <c r="P6" s="337" t="s">
        <v>181</v>
      </c>
      <c r="Q6" s="337" t="s">
        <v>182</v>
      </c>
      <c r="R6" s="337" t="s">
        <v>183</v>
      </c>
      <c r="S6" s="337" t="s">
        <v>184</v>
      </c>
      <c r="T6" s="338" t="s">
        <v>185</v>
      </c>
      <c r="U6" s="337" t="s">
        <v>186</v>
      </c>
      <c r="V6" s="337" t="s">
        <v>187</v>
      </c>
      <c r="W6" s="337" t="s">
        <v>188</v>
      </c>
    </row>
    <row r="7" spans="4:24" ht="16" thickBot="1" x14ac:dyDescent="0.4">
      <c r="D7" s="343" t="s">
        <v>189</v>
      </c>
      <c r="E7" s="343" t="s">
        <v>190</v>
      </c>
      <c r="F7" s="344">
        <v>156576</v>
      </c>
      <c r="G7" s="345">
        <v>45717</v>
      </c>
      <c r="H7" s="345">
        <v>45547</v>
      </c>
      <c r="I7" s="343" t="s">
        <v>191</v>
      </c>
      <c r="J7" s="346" t="s">
        <v>192</v>
      </c>
      <c r="K7" s="343" t="s">
        <v>193</v>
      </c>
      <c r="L7" s="343" t="s">
        <v>194</v>
      </c>
      <c r="M7" s="345">
        <v>45577</v>
      </c>
      <c r="N7" s="343">
        <v>9391015351</v>
      </c>
      <c r="O7" s="343">
        <v>89332567</v>
      </c>
      <c r="P7" s="343" t="s">
        <v>195</v>
      </c>
      <c r="Q7" s="343" t="s">
        <v>196</v>
      </c>
      <c r="R7" s="343" t="s">
        <v>197</v>
      </c>
      <c r="S7" s="343" t="str">
        <f>+T7</f>
        <v>12/16/2024</v>
      </c>
      <c r="T7" s="343" t="s">
        <v>198</v>
      </c>
      <c r="U7" s="343" t="str">
        <f>+V7</f>
        <v>12/24/2024</v>
      </c>
      <c r="V7" s="339" t="s">
        <v>199</v>
      </c>
      <c r="W7" s="339"/>
    </row>
    <row r="8" spans="4:24" ht="15.5" x14ac:dyDescent="0.35">
      <c r="D8" s="347" t="s">
        <v>189</v>
      </c>
      <c r="E8" s="348" t="s">
        <v>190</v>
      </c>
      <c r="F8" s="349">
        <v>152848</v>
      </c>
      <c r="G8" s="350">
        <v>45717</v>
      </c>
      <c r="H8" s="348" t="s">
        <v>200</v>
      </c>
      <c r="I8" s="348" t="s">
        <v>191</v>
      </c>
      <c r="J8" s="351" t="s">
        <v>192</v>
      </c>
      <c r="K8" s="348" t="s">
        <v>193</v>
      </c>
      <c r="L8" s="348" t="s">
        <v>201</v>
      </c>
      <c r="M8" s="348"/>
      <c r="N8" s="348"/>
      <c r="O8" s="348"/>
      <c r="P8" s="348" t="s">
        <v>202</v>
      </c>
      <c r="Q8" s="348" t="s">
        <v>196</v>
      </c>
      <c r="R8" s="348"/>
      <c r="S8" s="348" t="s">
        <v>203</v>
      </c>
      <c r="T8" s="348"/>
      <c r="U8" s="352">
        <v>45717</v>
      </c>
      <c r="V8" s="341"/>
      <c r="W8" s="339"/>
    </row>
    <row r="9" spans="4:24" ht="16" thickBot="1" x14ac:dyDescent="0.4">
      <c r="D9" s="353" t="s">
        <v>189</v>
      </c>
      <c r="E9" s="354" t="s">
        <v>204</v>
      </c>
      <c r="F9" s="355">
        <v>17856</v>
      </c>
      <c r="G9" s="356">
        <v>45717</v>
      </c>
      <c r="H9" s="354" t="s">
        <v>200</v>
      </c>
      <c r="I9" s="354" t="s">
        <v>191</v>
      </c>
      <c r="J9" s="357" t="s">
        <v>192</v>
      </c>
      <c r="K9" s="354" t="s">
        <v>193</v>
      </c>
      <c r="L9" s="354" t="s">
        <v>201</v>
      </c>
      <c r="M9" s="354"/>
      <c r="N9" s="354"/>
      <c r="O9" s="354"/>
      <c r="P9" s="358" t="s">
        <v>202</v>
      </c>
      <c r="Q9" s="358" t="s">
        <v>196</v>
      </c>
      <c r="R9" s="354"/>
      <c r="S9" s="358" t="s">
        <v>203</v>
      </c>
      <c r="T9" s="354"/>
      <c r="U9" s="359">
        <v>45717</v>
      </c>
      <c r="V9" s="342"/>
      <c r="W9" s="340"/>
    </row>
    <row r="13" spans="4:24" ht="31" x14ac:dyDescent="0.35">
      <c r="D13" s="335" t="s">
        <v>205</v>
      </c>
      <c r="E13" s="335" t="s">
        <v>170</v>
      </c>
      <c r="F13" s="335" t="s">
        <v>171</v>
      </c>
      <c r="G13" s="336" t="s">
        <v>172</v>
      </c>
      <c r="H13" s="336" t="s">
        <v>173</v>
      </c>
      <c r="I13" s="336" t="s">
        <v>174</v>
      </c>
      <c r="J13" s="336" t="s">
        <v>175</v>
      </c>
      <c r="K13" s="336" t="s">
        <v>176</v>
      </c>
      <c r="L13" s="337" t="s">
        <v>206</v>
      </c>
      <c r="M13" s="337" t="s">
        <v>182</v>
      </c>
      <c r="N13" s="337" t="s">
        <v>184</v>
      </c>
      <c r="O13" s="337" t="s">
        <v>186</v>
      </c>
      <c r="V13" s="337" t="s">
        <v>187</v>
      </c>
      <c r="W13" s="337" t="s">
        <v>188</v>
      </c>
    </row>
    <row r="14" spans="4:24" ht="15.5" x14ac:dyDescent="0.35">
      <c r="D14" s="339" t="s">
        <v>207</v>
      </c>
      <c r="E14" s="339" t="s">
        <v>208</v>
      </c>
      <c r="F14" s="360">
        <v>2000</v>
      </c>
      <c r="G14" s="339" t="s">
        <v>209</v>
      </c>
      <c r="H14" s="339" t="s">
        <v>210</v>
      </c>
      <c r="I14" s="339" t="s">
        <v>191</v>
      </c>
      <c r="J14" s="339" t="s">
        <v>192</v>
      </c>
      <c r="K14" s="339" t="s">
        <v>193</v>
      </c>
      <c r="L14" s="339">
        <v>6371988022</v>
      </c>
      <c r="M14" s="339" t="s">
        <v>211</v>
      </c>
      <c r="N14" s="339" t="s">
        <v>212</v>
      </c>
      <c r="O14" s="339" t="s">
        <v>213</v>
      </c>
      <c r="V14" s="339"/>
      <c r="W14" s="339"/>
      <c r="X14" s="2"/>
    </row>
    <row r="15" spans="4:24" ht="14.65" customHeight="1" x14ac:dyDescent="0.35">
      <c r="D15" s="339" t="s">
        <v>207</v>
      </c>
      <c r="E15" s="339" t="s">
        <v>214</v>
      </c>
      <c r="F15" s="360">
        <v>2000</v>
      </c>
      <c r="G15" s="339" t="s">
        <v>209</v>
      </c>
      <c r="H15" s="339">
        <v>45455</v>
      </c>
      <c r="I15" s="339" t="s">
        <v>191</v>
      </c>
      <c r="J15" s="339" t="s">
        <v>192</v>
      </c>
      <c r="K15" s="339" t="s">
        <v>193</v>
      </c>
      <c r="L15" s="339">
        <v>6371988022</v>
      </c>
      <c r="M15" s="339" t="s">
        <v>211</v>
      </c>
      <c r="N15" s="339" t="s">
        <v>212</v>
      </c>
      <c r="O15" s="339" t="s">
        <v>213</v>
      </c>
      <c r="V15" s="343"/>
      <c r="W15" s="343"/>
    </row>
  </sheetData>
  <pageMargins left="0.7" right="0.7" top="0.75" bottom="0.75" header="0.3" footer="0.3"/>
  <customProperties>
    <customPr name="EpmWorksheetKeyString_GUID" r:id="rId1"/>
  </customPropertie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D8FAD-E76D-4D68-8891-466BB701A730}">
  <sheetPr>
    <pageSetUpPr fitToPage="1"/>
  </sheetPr>
  <dimension ref="A3:AO34"/>
  <sheetViews>
    <sheetView topLeftCell="P1" workbookViewId="0">
      <selection activeCell="AE32" sqref="AE32"/>
    </sheetView>
  </sheetViews>
  <sheetFormatPr defaultColWidth="9.1796875" defaultRowHeight="14.5" x14ac:dyDescent="0.35"/>
  <cols>
    <col min="2" max="2" width="19" customWidth="1"/>
    <col min="3" max="3" width="35.81640625" customWidth="1"/>
    <col min="4" max="4" width="14.1796875" customWidth="1"/>
    <col min="5" max="5" width="19.1796875" customWidth="1"/>
    <col min="6" max="6" width="21.81640625" customWidth="1"/>
    <col min="7" max="7" width="28.81640625" customWidth="1"/>
    <col min="8" max="8" width="8" customWidth="1"/>
    <col min="9" max="19" width="8" bestFit="1" customWidth="1"/>
    <col min="20" max="20" width="8" customWidth="1"/>
    <col min="21" max="23" width="8" bestFit="1" customWidth="1"/>
  </cols>
  <sheetData>
    <row r="3" spans="1:41" x14ac:dyDescent="0.35">
      <c r="A3" s="215" t="s">
        <v>215</v>
      </c>
    </row>
    <row r="4" spans="1:41" x14ac:dyDescent="0.35">
      <c r="A4" t="s">
        <v>216</v>
      </c>
    </row>
    <row r="6" spans="1:41" x14ac:dyDescent="0.35">
      <c r="A6" s="216" t="s">
        <v>217</v>
      </c>
    </row>
    <row r="9" spans="1:41" x14ac:dyDescent="0.35">
      <c r="B9" t="s">
        <v>80</v>
      </c>
      <c r="C9" s="216"/>
    </row>
    <row r="10" spans="1:41" x14ac:dyDescent="0.35">
      <c r="B10" s="71" t="s">
        <v>218</v>
      </c>
      <c r="C10" s="71" t="s">
        <v>219</v>
      </c>
      <c r="D10" s="71" t="s">
        <v>220</v>
      </c>
      <c r="E10" s="71" t="s">
        <v>221</v>
      </c>
      <c r="F10" s="71" t="s">
        <v>222</v>
      </c>
      <c r="G10" s="71" t="s">
        <v>223</v>
      </c>
      <c r="H10" s="217">
        <v>43466</v>
      </c>
      <c r="I10" s="217">
        <v>43497</v>
      </c>
      <c r="J10" s="217">
        <v>43525</v>
      </c>
      <c r="K10" s="217">
        <v>43556</v>
      </c>
      <c r="L10" s="217">
        <v>43586</v>
      </c>
      <c r="M10" s="217">
        <v>43617</v>
      </c>
      <c r="N10" s="217">
        <v>43647</v>
      </c>
      <c r="O10" s="217">
        <v>43678</v>
      </c>
      <c r="P10" s="217">
        <v>43709</v>
      </c>
      <c r="Q10" s="217">
        <v>43739</v>
      </c>
      <c r="R10" s="217">
        <v>43770</v>
      </c>
      <c r="S10" s="217">
        <v>43800</v>
      </c>
      <c r="T10" s="217">
        <v>43831</v>
      </c>
      <c r="U10" s="217">
        <v>43862</v>
      </c>
      <c r="V10" s="217">
        <v>43891</v>
      </c>
      <c r="W10" s="217">
        <v>43922</v>
      </c>
      <c r="X10" s="217">
        <v>43952</v>
      </c>
      <c r="Y10" s="217">
        <v>43983</v>
      </c>
      <c r="Z10" s="217">
        <v>43983</v>
      </c>
      <c r="AA10" s="217">
        <v>44013</v>
      </c>
      <c r="AB10" s="217">
        <v>44044</v>
      </c>
      <c r="AC10" s="217">
        <v>44075</v>
      </c>
      <c r="AD10" s="217">
        <v>44105</v>
      </c>
      <c r="AE10" s="217">
        <v>44136</v>
      </c>
      <c r="AF10" s="217">
        <v>44166</v>
      </c>
      <c r="AG10" s="217">
        <v>44197</v>
      </c>
      <c r="AH10" s="217">
        <v>44228</v>
      </c>
      <c r="AI10" s="217">
        <v>44256</v>
      </c>
      <c r="AJ10" s="217">
        <v>44287</v>
      </c>
      <c r="AK10" s="217">
        <v>44317</v>
      </c>
      <c r="AL10" s="217">
        <v>44348</v>
      </c>
      <c r="AM10" s="217">
        <v>44378</v>
      </c>
      <c r="AN10" s="217">
        <v>44409</v>
      </c>
      <c r="AO10" s="217">
        <v>44440</v>
      </c>
    </row>
    <row r="11" spans="1:41" hidden="1" x14ac:dyDescent="0.35">
      <c r="B11" t="s">
        <v>224</v>
      </c>
      <c r="C11" s="218" t="s">
        <v>225</v>
      </c>
      <c r="D11" t="s">
        <v>226</v>
      </c>
      <c r="E11" t="s">
        <v>227</v>
      </c>
      <c r="F11" t="s">
        <v>228</v>
      </c>
      <c r="G11" t="s">
        <v>229</v>
      </c>
      <c r="H11" s="219">
        <v>57.75</v>
      </c>
      <c r="I11" s="219">
        <v>58</v>
      </c>
      <c r="J11" s="219">
        <v>57.75</v>
      </c>
      <c r="K11" s="219">
        <v>55.75</v>
      </c>
      <c r="L11" s="219">
        <v>55.75</v>
      </c>
      <c r="M11" s="219">
        <v>55.75</v>
      </c>
      <c r="N11" s="219">
        <v>55.25</v>
      </c>
      <c r="O11" s="219">
        <v>54.25</v>
      </c>
      <c r="P11" s="219">
        <v>52.5</v>
      </c>
      <c r="Q11" s="219">
        <v>52.25</v>
      </c>
      <c r="R11" s="219">
        <v>52.25</v>
      </c>
      <c r="S11" s="219">
        <v>51.25</v>
      </c>
      <c r="T11" s="219">
        <v>53</v>
      </c>
      <c r="U11" s="219">
        <v>53</v>
      </c>
      <c r="V11" s="219">
        <v>55</v>
      </c>
      <c r="W11" s="220">
        <v>52.5</v>
      </c>
    </row>
    <row r="12" spans="1:41" hidden="1" x14ac:dyDescent="0.35">
      <c r="B12" t="s">
        <v>224</v>
      </c>
      <c r="C12" t="s">
        <v>230</v>
      </c>
      <c r="D12" t="s">
        <v>226</v>
      </c>
      <c r="E12" t="s">
        <v>227</v>
      </c>
      <c r="F12" t="s">
        <v>228</v>
      </c>
      <c r="G12" t="s">
        <v>231</v>
      </c>
      <c r="H12" s="219">
        <v>1857.3755000000001</v>
      </c>
      <c r="I12" s="219">
        <v>1862.8869999999999</v>
      </c>
      <c r="J12" s="219">
        <v>1857.3755000000001</v>
      </c>
      <c r="K12" s="219">
        <v>1813.2835</v>
      </c>
      <c r="L12" s="219">
        <v>1813.2835</v>
      </c>
      <c r="M12" s="219">
        <v>1813.2835</v>
      </c>
      <c r="N12" s="219">
        <v>1802.2605000000001</v>
      </c>
      <c r="O12" s="219">
        <v>1780.2145</v>
      </c>
      <c r="P12" s="219">
        <v>1747.1455000000001</v>
      </c>
      <c r="Q12" s="219">
        <v>1747.1455000000001</v>
      </c>
      <c r="R12" s="219">
        <v>1747.1455000000001</v>
      </c>
      <c r="S12" s="219">
        <v>1725.0995</v>
      </c>
      <c r="T12" s="219">
        <v>1754.8615560000001</v>
      </c>
      <c r="U12" s="219">
        <v>1752.6569999999999</v>
      </c>
      <c r="V12" s="219">
        <v>1796.749</v>
      </c>
      <c r="W12" s="219">
        <v>1741.634</v>
      </c>
    </row>
    <row r="13" spans="1:41" hidden="1" x14ac:dyDescent="0.35">
      <c r="B13" t="s">
        <v>224</v>
      </c>
      <c r="C13" t="s">
        <v>232</v>
      </c>
      <c r="D13" t="s">
        <v>226</v>
      </c>
      <c r="E13" t="s">
        <v>227</v>
      </c>
      <c r="F13" t="s">
        <v>228</v>
      </c>
      <c r="G13" t="s">
        <v>229</v>
      </c>
      <c r="H13" s="219">
        <v>70.75</v>
      </c>
      <c r="I13" s="219">
        <v>71</v>
      </c>
      <c r="J13" s="219">
        <v>69.125</v>
      </c>
      <c r="K13" s="219">
        <v>65.75</v>
      </c>
      <c r="L13" s="219">
        <v>65.5</v>
      </c>
      <c r="M13" s="219">
        <v>65.5</v>
      </c>
      <c r="N13" s="219">
        <v>65</v>
      </c>
      <c r="O13" s="219">
        <v>64</v>
      </c>
      <c r="P13" s="219">
        <v>62.25</v>
      </c>
      <c r="Q13" s="219">
        <v>62</v>
      </c>
      <c r="R13" s="219">
        <v>62</v>
      </c>
      <c r="S13" s="219">
        <v>61</v>
      </c>
      <c r="T13" s="219">
        <v>62.75</v>
      </c>
      <c r="U13" s="219">
        <v>62.75</v>
      </c>
      <c r="V13" s="219">
        <v>64.75</v>
      </c>
      <c r="W13" s="220">
        <v>62.25</v>
      </c>
    </row>
    <row r="14" spans="1:41" hidden="1" x14ac:dyDescent="0.35">
      <c r="B14" t="s">
        <v>224</v>
      </c>
      <c r="C14" t="s">
        <v>233</v>
      </c>
      <c r="D14" t="s">
        <v>226</v>
      </c>
      <c r="E14" t="s">
        <v>227</v>
      </c>
      <c r="F14" t="s">
        <v>228</v>
      </c>
      <c r="G14" t="s">
        <v>229</v>
      </c>
      <c r="H14" s="219">
        <v>81.75</v>
      </c>
      <c r="I14" s="219">
        <v>82</v>
      </c>
      <c r="J14" s="219">
        <v>81.75</v>
      </c>
      <c r="K14" s="219">
        <v>79.75</v>
      </c>
      <c r="L14" s="219">
        <v>79.75</v>
      </c>
      <c r="M14" s="219">
        <v>79.75</v>
      </c>
      <c r="N14" s="219">
        <v>79.25</v>
      </c>
      <c r="O14" s="219">
        <v>78.25</v>
      </c>
      <c r="P14" s="219">
        <v>76.75</v>
      </c>
      <c r="Q14" s="219">
        <v>76.75</v>
      </c>
      <c r="R14" s="219">
        <v>76.75</v>
      </c>
      <c r="S14" s="219">
        <v>75.75</v>
      </c>
      <c r="T14" s="219">
        <v>77.099997999999999</v>
      </c>
      <c r="U14" s="219">
        <v>77</v>
      </c>
      <c r="V14" s="219">
        <v>79</v>
      </c>
      <c r="W14" s="220">
        <v>76.5</v>
      </c>
    </row>
    <row r="15" spans="1:41" hidden="1" x14ac:dyDescent="0.35">
      <c r="B15" t="s">
        <v>224</v>
      </c>
      <c r="C15" t="s">
        <v>233</v>
      </c>
      <c r="D15" t="s">
        <v>226</v>
      </c>
      <c r="E15" t="s">
        <v>227</v>
      </c>
      <c r="F15" t="s">
        <v>228</v>
      </c>
      <c r="G15" t="s">
        <v>231</v>
      </c>
      <c r="H15" s="219">
        <v>1802.2605000000001</v>
      </c>
      <c r="I15" s="219">
        <v>1807.7719999999999</v>
      </c>
      <c r="J15" s="219">
        <v>1802.2605000000001</v>
      </c>
      <c r="K15" s="219">
        <v>1758.1685</v>
      </c>
      <c r="L15" s="219">
        <v>1758.1685</v>
      </c>
      <c r="M15" s="219">
        <v>1758.1685</v>
      </c>
      <c r="N15" s="219">
        <v>1747.1455000000001</v>
      </c>
      <c r="O15" s="219">
        <v>1725.0995</v>
      </c>
      <c r="P15" s="219">
        <v>1692.0305000000001</v>
      </c>
      <c r="Q15" s="219">
        <v>1692.0305000000001</v>
      </c>
      <c r="R15" s="219">
        <v>1692.0305000000001</v>
      </c>
      <c r="S15" s="219">
        <v>1669.9845</v>
      </c>
      <c r="T15" s="219">
        <v>1699.7465560000001</v>
      </c>
      <c r="U15" s="219">
        <v>1697.5419999999999</v>
      </c>
      <c r="V15" s="219">
        <v>1741.634</v>
      </c>
      <c r="W15" s="219">
        <v>1686.519</v>
      </c>
    </row>
    <row r="16" spans="1:41" x14ac:dyDescent="0.35">
      <c r="B16" t="s">
        <v>224</v>
      </c>
      <c r="C16" s="221" t="s">
        <v>234</v>
      </c>
      <c r="D16" t="s">
        <v>226</v>
      </c>
      <c r="E16" t="s">
        <v>227</v>
      </c>
      <c r="F16" s="222" t="s">
        <v>228</v>
      </c>
      <c r="G16" t="s">
        <v>231</v>
      </c>
      <c r="H16" s="223">
        <v>1427.4784999999999</v>
      </c>
      <c r="I16" s="223">
        <v>1432.99</v>
      </c>
      <c r="J16" s="223">
        <v>1427.4784999999999</v>
      </c>
      <c r="K16" s="223">
        <v>1383.3865000000001</v>
      </c>
      <c r="L16" s="223">
        <v>1383.3865000000001</v>
      </c>
      <c r="M16" s="223">
        <v>1383.3865000000001</v>
      </c>
      <c r="N16" s="223">
        <v>1372.3634999999999</v>
      </c>
      <c r="O16" s="223">
        <v>1350.3175000000001</v>
      </c>
      <c r="P16" s="223">
        <v>1317.2484999999999</v>
      </c>
      <c r="Q16" s="223">
        <v>1317.2484999999999</v>
      </c>
      <c r="R16" s="223">
        <v>1317.2484999999999</v>
      </c>
      <c r="S16" s="223">
        <v>1295.2025000000001</v>
      </c>
      <c r="T16" s="223">
        <v>1324.9645559999999</v>
      </c>
      <c r="U16" s="223">
        <v>1322.76</v>
      </c>
      <c r="V16" s="223">
        <v>1366.8520000000001</v>
      </c>
      <c r="W16" s="223">
        <v>1311.7370000000001</v>
      </c>
      <c r="X16" s="223">
        <v>1278.6679999999999</v>
      </c>
      <c r="Y16" s="223">
        <v>1267.645</v>
      </c>
      <c r="Z16" s="223">
        <v>1267.645</v>
      </c>
      <c r="AA16" s="223">
        <v>1267.645</v>
      </c>
      <c r="AB16" s="223">
        <v>1267.645</v>
      </c>
      <c r="AC16" s="223">
        <v>1267.645</v>
      </c>
      <c r="AD16" s="223">
        <v>1267.645</v>
      </c>
      <c r="AE16" s="223">
        <v>1267.645</v>
      </c>
      <c r="AF16">
        <v>1240.0899999999999</v>
      </c>
      <c r="AG16">
        <v>1278.67</v>
      </c>
      <c r="AH16">
        <v>1306.23</v>
      </c>
      <c r="AI16">
        <v>1350.3175000000001</v>
      </c>
      <c r="AJ16" s="219">
        <v>1273.1565000000001</v>
      </c>
      <c r="AK16" s="219">
        <v>1399.921</v>
      </c>
      <c r="AL16" s="219">
        <v>1532.1969999999999</v>
      </c>
      <c r="AM16" s="219">
        <v>1636.9155000000001</v>
      </c>
      <c r="AN16" s="219">
        <v>1697.5419999999999</v>
      </c>
      <c r="AO16" s="219">
        <v>1697.5419999999999</v>
      </c>
    </row>
    <row r="17" spans="1:23" hidden="1" x14ac:dyDescent="0.35">
      <c r="B17" t="s">
        <v>224</v>
      </c>
      <c r="C17" s="218" t="s">
        <v>235</v>
      </c>
      <c r="D17" t="s">
        <v>226</v>
      </c>
      <c r="E17" t="s">
        <v>227</v>
      </c>
      <c r="F17" t="s">
        <v>228</v>
      </c>
      <c r="G17" t="s">
        <v>229</v>
      </c>
      <c r="H17" s="219">
        <v>15.878</v>
      </c>
      <c r="I17" s="219">
        <v>15.815</v>
      </c>
      <c r="J17" s="219">
        <v>15.8125</v>
      </c>
      <c r="K17" s="219">
        <v>15.0625</v>
      </c>
      <c r="L17" s="219">
        <v>15.15</v>
      </c>
      <c r="M17" s="219">
        <v>14.875</v>
      </c>
      <c r="N17" s="219">
        <v>14.75</v>
      </c>
      <c r="O17" s="219">
        <v>14.125999999999999</v>
      </c>
      <c r="P17" s="219">
        <v>11.5625</v>
      </c>
      <c r="Q17" s="219">
        <v>9.8000000000000007</v>
      </c>
      <c r="R17" s="219">
        <v>9.75</v>
      </c>
      <c r="S17" s="219">
        <v>9</v>
      </c>
      <c r="T17" s="219">
        <v>10.4</v>
      </c>
      <c r="U17" s="219">
        <v>11.3375</v>
      </c>
      <c r="V17" s="219">
        <v>11.75</v>
      </c>
      <c r="W17" s="220">
        <v>10.1</v>
      </c>
    </row>
    <row r="18" spans="1:23" hidden="1" x14ac:dyDescent="0.35">
      <c r="B18" t="s">
        <v>224</v>
      </c>
      <c r="C18" s="218" t="s">
        <v>235</v>
      </c>
      <c r="D18" t="s">
        <v>226</v>
      </c>
      <c r="E18" t="s">
        <v>227</v>
      </c>
      <c r="F18" t="s">
        <v>228</v>
      </c>
      <c r="G18" t="s">
        <v>231</v>
      </c>
      <c r="H18" s="219">
        <v>350.04638799999998</v>
      </c>
      <c r="I18" s="219">
        <v>348.65749</v>
      </c>
      <c r="J18" s="219">
        <v>348.60237499999999</v>
      </c>
      <c r="K18" s="219">
        <v>332.06787500000002</v>
      </c>
      <c r="L18" s="219">
        <v>333.99689999999998</v>
      </c>
      <c r="M18" s="219">
        <v>327.93425000000002</v>
      </c>
      <c r="N18" s="219">
        <v>325.17849999999999</v>
      </c>
      <c r="O18" s="219">
        <v>311.42179599999997</v>
      </c>
      <c r="P18" s="219">
        <v>254.90687500000001</v>
      </c>
      <c r="Q18" s="219">
        <v>216.05080000000001</v>
      </c>
      <c r="R18" s="219">
        <v>214.9485</v>
      </c>
      <c r="S18" s="219">
        <v>198.41399999999999</v>
      </c>
      <c r="T18" s="219">
        <v>229.2784</v>
      </c>
      <c r="U18" s="219">
        <v>249.94652500000001</v>
      </c>
      <c r="V18" s="219">
        <v>259.04050000000001</v>
      </c>
      <c r="W18" s="219">
        <v>222.66460000000001</v>
      </c>
    </row>
    <row r="19" spans="1:23" hidden="1" x14ac:dyDescent="0.35">
      <c r="B19" t="s">
        <v>224</v>
      </c>
      <c r="C19" t="s">
        <v>230</v>
      </c>
      <c r="D19" t="s">
        <v>226</v>
      </c>
      <c r="E19" t="s">
        <v>227</v>
      </c>
      <c r="F19" t="s">
        <v>228</v>
      </c>
      <c r="G19" t="s">
        <v>229</v>
      </c>
      <c r="H19" s="219">
        <v>84.25</v>
      </c>
      <c r="I19" s="219">
        <v>84.5</v>
      </c>
      <c r="J19" s="219">
        <v>84.25</v>
      </c>
      <c r="K19" s="219">
        <v>82.25</v>
      </c>
      <c r="L19" s="219">
        <v>82.25</v>
      </c>
      <c r="M19" s="219">
        <v>82.25</v>
      </c>
      <c r="N19" s="219">
        <v>81.75</v>
      </c>
      <c r="O19" s="219">
        <v>80.75</v>
      </c>
      <c r="P19" s="219">
        <v>79.25</v>
      </c>
      <c r="Q19" s="219">
        <v>79.25</v>
      </c>
      <c r="R19" s="219">
        <v>79.25</v>
      </c>
      <c r="S19" s="219">
        <v>78.25</v>
      </c>
      <c r="T19" s="219">
        <v>79.599997999999999</v>
      </c>
      <c r="U19" s="219">
        <v>79.5</v>
      </c>
      <c r="V19" s="219">
        <v>81.5</v>
      </c>
      <c r="W19" s="220">
        <v>79</v>
      </c>
    </row>
    <row r="20" spans="1:23" hidden="1" x14ac:dyDescent="0.35">
      <c r="B20" t="s">
        <v>224</v>
      </c>
      <c r="C20" s="218" t="s">
        <v>236</v>
      </c>
      <c r="D20" t="s">
        <v>226</v>
      </c>
      <c r="E20" t="s">
        <v>227</v>
      </c>
      <c r="F20" t="s">
        <v>237</v>
      </c>
      <c r="G20" t="s">
        <v>231</v>
      </c>
      <c r="H20" s="219">
        <v>1647.9385</v>
      </c>
      <c r="I20" s="219">
        <v>1653.45</v>
      </c>
      <c r="J20" s="219">
        <v>1647.9385</v>
      </c>
      <c r="K20" s="219">
        <v>1603.8465000000001</v>
      </c>
      <c r="L20" s="219">
        <v>1603.8465000000001</v>
      </c>
      <c r="M20" s="219">
        <v>1603.8465000000001</v>
      </c>
      <c r="N20" s="219">
        <v>1592.8235</v>
      </c>
      <c r="O20" s="219">
        <v>1570.7774999999999</v>
      </c>
      <c r="P20" s="219">
        <v>1537.7085</v>
      </c>
      <c r="Q20" s="219">
        <v>1537.7085</v>
      </c>
      <c r="R20" s="219">
        <v>1537.7085</v>
      </c>
      <c r="S20" s="219">
        <v>1515.6624999999999</v>
      </c>
      <c r="T20" s="219">
        <v>1545.4245559999999</v>
      </c>
      <c r="U20" s="219">
        <v>1543.22</v>
      </c>
      <c r="V20" s="219">
        <v>1587.3119999999999</v>
      </c>
      <c r="W20" s="219">
        <v>1532.1969999999999</v>
      </c>
    </row>
    <row r="21" spans="1:23" hidden="1" x14ac:dyDescent="0.35">
      <c r="B21" t="s">
        <v>224</v>
      </c>
      <c r="C21" s="218" t="s">
        <v>225</v>
      </c>
      <c r="D21" t="s">
        <v>226</v>
      </c>
      <c r="E21" t="s">
        <v>227</v>
      </c>
      <c r="F21" t="s">
        <v>228</v>
      </c>
      <c r="G21" t="s">
        <v>231</v>
      </c>
      <c r="H21" s="219">
        <v>1273.1565000000001</v>
      </c>
      <c r="I21" s="219">
        <v>1278.6679999999999</v>
      </c>
      <c r="J21" s="219">
        <v>1273.1565000000001</v>
      </c>
      <c r="K21" s="219">
        <v>1229.0645</v>
      </c>
      <c r="L21" s="219">
        <v>1229.0645</v>
      </c>
      <c r="M21" s="219">
        <v>1229.0645</v>
      </c>
      <c r="N21" s="219">
        <v>1218.0415</v>
      </c>
      <c r="O21" s="219">
        <v>1195.9955</v>
      </c>
      <c r="P21" s="219">
        <v>1157.415</v>
      </c>
      <c r="Q21" s="219">
        <v>1151.9034999999999</v>
      </c>
      <c r="R21" s="219">
        <v>1151.9034999999999</v>
      </c>
      <c r="S21" s="219">
        <v>1129.8575000000001</v>
      </c>
      <c r="T21" s="219">
        <v>1168.4380000000001</v>
      </c>
      <c r="U21" s="219">
        <v>1168.4380000000001</v>
      </c>
      <c r="V21" s="219">
        <v>1212.53</v>
      </c>
      <c r="W21" s="219">
        <v>1157.415</v>
      </c>
    </row>
    <row r="22" spans="1:23" hidden="1" x14ac:dyDescent="0.35">
      <c r="B22" t="s">
        <v>224</v>
      </c>
      <c r="C22" s="218" t="s">
        <v>234</v>
      </c>
      <c r="D22" t="s">
        <v>226</v>
      </c>
      <c r="E22" t="s">
        <v>227</v>
      </c>
      <c r="F22" t="s">
        <v>228</v>
      </c>
      <c r="G22" t="s">
        <v>229</v>
      </c>
      <c r="H22" s="219">
        <v>64.75</v>
      </c>
      <c r="I22" s="219">
        <v>65</v>
      </c>
      <c r="J22" s="219">
        <v>64.75</v>
      </c>
      <c r="K22" s="219">
        <v>62.75</v>
      </c>
      <c r="L22" s="219">
        <v>62.75</v>
      </c>
      <c r="M22" s="219">
        <v>62.75</v>
      </c>
      <c r="N22" s="219">
        <v>62.25</v>
      </c>
      <c r="O22" s="219">
        <v>61.25</v>
      </c>
      <c r="P22" s="219">
        <v>59.75</v>
      </c>
      <c r="Q22" s="219">
        <v>59.75</v>
      </c>
      <c r="R22" s="219">
        <v>59.75</v>
      </c>
      <c r="S22" s="219">
        <v>58.75</v>
      </c>
      <c r="T22" s="219">
        <v>60.099997999999999</v>
      </c>
      <c r="U22" s="219">
        <v>60</v>
      </c>
      <c r="V22" s="219">
        <v>62</v>
      </c>
      <c r="W22" s="220">
        <v>59.5</v>
      </c>
    </row>
    <row r="23" spans="1:23" hidden="1" x14ac:dyDescent="0.35">
      <c r="B23" t="s">
        <v>224</v>
      </c>
      <c r="C23" t="s">
        <v>238</v>
      </c>
      <c r="D23" t="s">
        <v>226</v>
      </c>
      <c r="E23" t="s">
        <v>227</v>
      </c>
      <c r="F23" t="s">
        <v>228</v>
      </c>
      <c r="G23" t="s">
        <v>231</v>
      </c>
      <c r="H23" s="219">
        <v>1405.4324999999999</v>
      </c>
      <c r="I23" s="219">
        <v>1410.944</v>
      </c>
      <c r="J23" s="219">
        <v>1386.1422500000001</v>
      </c>
      <c r="K23" s="219">
        <v>1317.2484999999999</v>
      </c>
      <c r="L23" s="219">
        <v>1311.7370000000001</v>
      </c>
      <c r="M23" s="219">
        <v>1311.7370000000001</v>
      </c>
      <c r="N23" s="219">
        <v>1300.7139999999999</v>
      </c>
      <c r="O23" s="219">
        <v>1278.6679999999999</v>
      </c>
      <c r="P23" s="219">
        <v>1240.0875000000001</v>
      </c>
      <c r="Q23" s="219">
        <v>1234.576</v>
      </c>
      <c r="R23" s="219">
        <v>1234.576</v>
      </c>
      <c r="S23" s="219">
        <v>1212.53</v>
      </c>
      <c r="T23" s="219">
        <v>1251.1105</v>
      </c>
      <c r="U23" s="219">
        <v>1251.1105</v>
      </c>
      <c r="V23" s="219">
        <v>1295.2025000000001</v>
      </c>
      <c r="W23" s="219">
        <v>1240.0875000000001</v>
      </c>
    </row>
    <row r="24" spans="1:23" hidden="1" x14ac:dyDescent="0.35">
      <c r="B24" t="s">
        <v>224</v>
      </c>
      <c r="C24" t="s">
        <v>239</v>
      </c>
      <c r="D24" t="s">
        <v>226</v>
      </c>
      <c r="E24" t="s">
        <v>227</v>
      </c>
      <c r="F24" t="s">
        <v>228</v>
      </c>
      <c r="G24" t="s">
        <v>229</v>
      </c>
      <c r="H24" s="219">
        <v>22.878</v>
      </c>
      <c r="I24" s="219">
        <v>22.815000999999999</v>
      </c>
      <c r="J24" s="219">
        <v>22.8125</v>
      </c>
      <c r="K24" s="219">
        <v>22.0625</v>
      </c>
      <c r="L24" s="219">
        <v>22.15</v>
      </c>
      <c r="M24" s="219">
        <v>21.875</v>
      </c>
      <c r="N24" s="219">
        <v>21.75</v>
      </c>
      <c r="O24" s="219">
        <v>21.125999</v>
      </c>
      <c r="P24" s="219">
        <v>18.5625</v>
      </c>
      <c r="Q24" s="219">
        <v>16.799999</v>
      </c>
      <c r="R24" s="219">
        <v>17.125</v>
      </c>
      <c r="S24" s="219">
        <v>16</v>
      </c>
      <c r="T24" s="219">
        <v>17.399999999999999</v>
      </c>
      <c r="U24" s="219">
        <v>18.337499999999999</v>
      </c>
      <c r="V24" s="219">
        <v>18.75</v>
      </c>
      <c r="W24" s="220">
        <v>17.100000000000001</v>
      </c>
    </row>
    <row r="25" spans="1:23" hidden="1" x14ac:dyDescent="0.35">
      <c r="B25" t="s">
        <v>224</v>
      </c>
      <c r="C25" t="s">
        <v>232</v>
      </c>
      <c r="D25" t="s">
        <v>226</v>
      </c>
      <c r="E25" t="s">
        <v>227</v>
      </c>
      <c r="F25" t="s">
        <v>228</v>
      </c>
      <c r="G25" t="s">
        <v>231</v>
      </c>
      <c r="H25" s="219">
        <v>1559.7545</v>
      </c>
      <c r="I25" s="219">
        <v>1565.2660000000001</v>
      </c>
      <c r="J25" s="219">
        <v>1523.92975</v>
      </c>
      <c r="K25" s="219">
        <v>1449.5245</v>
      </c>
      <c r="L25" s="219">
        <v>1444.0129999999999</v>
      </c>
      <c r="M25" s="219">
        <v>1444.0129999999999</v>
      </c>
      <c r="N25" s="219">
        <v>1432.99</v>
      </c>
      <c r="O25" s="219">
        <v>1410.944</v>
      </c>
      <c r="P25" s="219">
        <v>1372.3634999999999</v>
      </c>
      <c r="Q25" s="219">
        <v>1366.8520000000001</v>
      </c>
      <c r="R25" s="219">
        <v>1366.8520000000001</v>
      </c>
      <c r="S25" s="219">
        <v>1344.806</v>
      </c>
      <c r="T25" s="219">
        <v>1383.3865000000001</v>
      </c>
      <c r="U25" s="219">
        <v>1383.3865000000001</v>
      </c>
      <c r="V25" s="219">
        <v>1427.4784999999999</v>
      </c>
      <c r="W25" s="219">
        <v>1372.3634999999999</v>
      </c>
    </row>
    <row r="26" spans="1:23" hidden="1" x14ac:dyDescent="0.35">
      <c r="B26" t="s">
        <v>224</v>
      </c>
      <c r="C26" t="s">
        <v>239</v>
      </c>
      <c r="D26" t="s">
        <v>226</v>
      </c>
      <c r="E26" t="s">
        <v>227</v>
      </c>
      <c r="F26" t="s">
        <v>228</v>
      </c>
      <c r="G26" t="s">
        <v>231</v>
      </c>
      <c r="H26" s="219">
        <v>504.36838799999998</v>
      </c>
      <c r="I26" s="219">
        <v>502.979512</v>
      </c>
      <c r="J26" s="219">
        <v>502.924375</v>
      </c>
      <c r="K26" s="219">
        <v>486.38987500000002</v>
      </c>
      <c r="L26" s="219">
        <v>488.31889999999999</v>
      </c>
      <c r="M26" s="219">
        <v>482.25625000000002</v>
      </c>
      <c r="N26" s="219">
        <v>479.50049999999999</v>
      </c>
      <c r="O26" s="219">
        <v>465.74377399999997</v>
      </c>
      <c r="P26" s="219">
        <v>409.22887500000002</v>
      </c>
      <c r="Q26" s="219">
        <v>370.37277799999998</v>
      </c>
      <c r="R26" s="219">
        <v>377.53775000000002</v>
      </c>
      <c r="S26" s="219">
        <v>352.73599999999999</v>
      </c>
      <c r="T26" s="219">
        <v>383.60039999999998</v>
      </c>
      <c r="U26" s="219">
        <v>404.26852500000001</v>
      </c>
      <c r="V26" s="219">
        <v>413.36250000000001</v>
      </c>
      <c r="W26" s="219">
        <v>376.98660000000001</v>
      </c>
    </row>
    <row r="27" spans="1:23" hidden="1" x14ac:dyDescent="0.35">
      <c r="B27" t="s">
        <v>224</v>
      </c>
      <c r="C27" t="s">
        <v>238</v>
      </c>
      <c r="D27" t="s">
        <v>226</v>
      </c>
      <c r="E27" t="s">
        <v>227</v>
      </c>
      <c r="F27" t="s">
        <v>228</v>
      </c>
      <c r="G27" t="s">
        <v>229</v>
      </c>
      <c r="H27" s="219">
        <v>63.75</v>
      </c>
      <c r="I27" s="219">
        <v>64</v>
      </c>
      <c r="J27" s="219">
        <v>62.875</v>
      </c>
      <c r="K27" s="219">
        <v>59.75</v>
      </c>
      <c r="L27" s="219">
        <v>59.5</v>
      </c>
      <c r="M27" s="219">
        <v>59.5</v>
      </c>
      <c r="N27" s="219">
        <v>59</v>
      </c>
      <c r="O27" s="219">
        <v>58</v>
      </c>
      <c r="P27" s="219">
        <v>56.25</v>
      </c>
      <c r="Q27" s="219">
        <v>56</v>
      </c>
      <c r="R27" s="219">
        <v>56</v>
      </c>
      <c r="S27" s="219">
        <v>55</v>
      </c>
      <c r="T27" s="219">
        <v>56.75</v>
      </c>
      <c r="U27" s="219">
        <v>56.75</v>
      </c>
      <c r="V27" s="219">
        <v>58.75</v>
      </c>
      <c r="W27" s="220">
        <v>56.25</v>
      </c>
    </row>
    <row r="28" spans="1:23" hidden="1" x14ac:dyDescent="0.35">
      <c r="B28" t="s">
        <v>224</v>
      </c>
      <c r="C28" s="218" t="s">
        <v>236</v>
      </c>
      <c r="D28" t="s">
        <v>226</v>
      </c>
      <c r="E28" t="s">
        <v>227</v>
      </c>
      <c r="F28" t="s">
        <v>237</v>
      </c>
      <c r="G28" t="s">
        <v>229</v>
      </c>
      <c r="H28" s="219">
        <v>74.75</v>
      </c>
      <c r="I28" s="219">
        <v>75</v>
      </c>
      <c r="J28" s="219">
        <v>74.75</v>
      </c>
      <c r="K28" s="219">
        <v>72.75</v>
      </c>
      <c r="L28" s="219">
        <v>72.75</v>
      </c>
      <c r="M28" s="219">
        <v>72.75</v>
      </c>
      <c r="N28" s="219">
        <v>72.25</v>
      </c>
      <c r="O28" s="219">
        <v>71.25</v>
      </c>
      <c r="P28" s="219">
        <v>69.75</v>
      </c>
      <c r="Q28" s="219">
        <v>69.75</v>
      </c>
      <c r="R28" s="219">
        <v>69.75</v>
      </c>
      <c r="S28" s="219">
        <v>68.75</v>
      </c>
      <c r="T28" s="219">
        <v>70.099997999999999</v>
      </c>
      <c r="U28" s="219">
        <v>70</v>
      </c>
      <c r="V28" s="219">
        <v>72</v>
      </c>
      <c r="W28" s="220">
        <v>69.5</v>
      </c>
    </row>
    <row r="29" spans="1:23" x14ac:dyDescent="0.35">
      <c r="B29" s="216" t="s">
        <v>217</v>
      </c>
      <c r="H29" s="219"/>
      <c r="I29" s="219"/>
      <c r="J29" s="219"/>
      <c r="K29" s="219"/>
      <c r="L29" s="219"/>
      <c r="M29" s="219"/>
      <c r="N29" s="219"/>
      <c r="O29" s="219"/>
      <c r="P29" s="219"/>
      <c r="Q29" s="219"/>
      <c r="R29" s="219"/>
      <c r="S29" s="219"/>
      <c r="T29" s="219"/>
      <c r="U29" s="219"/>
      <c r="V29" s="219"/>
      <c r="W29" s="219"/>
    </row>
    <row r="30" spans="1:23" x14ac:dyDescent="0.35">
      <c r="A30" t="s">
        <v>240</v>
      </c>
    </row>
    <row r="34" spans="1:1" x14ac:dyDescent="0.35">
      <c r="A34" t="s">
        <v>241</v>
      </c>
    </row>
  </sheetData>
  <hyperlinks>
    <hyperlink ref="A3" r:id="rId1" xr:uid="{3F94A78C-CA53-4232-A918-5EF190E85354}"/>
  </hyperlinks>
  <pageMargins left="0.7" right="0.7" top="0.75" bottom="0.75" header="0.3" footer="0.3"/>
  <pageSetup paperSize="9" scale="31" orientation="portrait" r:id="rId2"/>
  <customProperties>
    <customPr name="EpmWorksheetKeyString_GUID" r:id="rId3"/>
  </customProperties>
  <drawing r:id="rId4"/>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4B7B8-C545-448B-890C-CFD8AFA432D8}">
  <sheetPr>
    <outlinePr summaryBelow="0" summaryRight="0"/>
    <pageSetUpPr autoPageBreaks="0" fitToPage="1"/>
  </sheetPr>
  <dimension ref="B2:E48"/>
  <sheetViews>
    <sheetView showGridLines="0" topLeftCell="A26" workbookViewId="0">
      <selection activeCell="B36" sqref="B36"/>
    </sheetView>
  </sheetViews>
  <sheetFormatPr defaultColWidth="11.453125" defaultRowHeight="12.5" x14ac:dyDescent="0.25"/>
  <cols>
    <col min="1" max="1" width="4" style="213" customWidth="1"/>
    <col min="2" max="2" width="20" style="213" customWidth="1"/>
    <col min="3" max="5" width="25" style="213" customWidth="1"/>
    <col min="6" max="256" width="9.1796875" style="213" customWidth="1"/>
    <col min="257" max="257" width="4" style="213" customWidth="1"/>
    <col min="258" max="258" width="20" style="213" customWidth="1"/>
    <col min="259" max="261" width="25" style="213" customWidth="1"/>
    <col min="262" max="512" width="9.1796875" style="213" customWidth="1"/>
    <col min="513" max="513" width="4" style="213" customWidth="1"/>
    <col min="514" max="514" width="20" style="213" customWidth="1"/>
    <col min="515" max="517" width="25" style="213" customWidth="1"/>
    <col min="518" max="768" width="9.1796875" style="213" customWidth="1"/>
    <col min="769" max="769" width="4" style="213" customWidth="1"/>
    <col min="770" max="770" width="20" style="213" customWidth="1"/>
    <col min="771" max="773" width="25" style="213" customWidth="1"/>
    <col min="774" max="1024" width="9.1796875" style="213" customWidth="1"/>
    <col min="1025" max="1025" width="4" style="213" customWidth="1"/>
    <col min="1026" max="1026" width="20" style="213" customWidth="1"/>
    <col min="1027" max="1029" width="25" style="213" customWidth="1"/>
    <col min="1030" max="1280" width="9.1796875" style="213" customWidth="1"/>
    <col min="1281" max="1281" width="4" style="213" customWidth="1"/>
    <col min="1282" max="1282" width="20" style="213" customWidth="1"/>
    <col min="1283" max="1285" width="25" style="213" customWidth="1"/>
    <col min="1286" max="1536" width="9.1796875" style="213" customWidth="1"/>
    <col min="1537" max="1537" width="4" style="213" customWidth="1"/>
    <col min="1538" max="1538" width="20" style="213" customWidth="1"/>
    <col min="1539" max="1541" width="25" style="213" customWidth="1"/>
    <col min="1542" max="1792" width="9.1796875" style="213" customWidth="1"/>
    <col min="1793" max="1793" width="4" style="213" customWidth="1"/>
    <col min="1794" max="1794" width="20" style="213" customWidth="1"/>
    <col min="1795" max="1797" width="25" style="213" customWidth="1"/>
    <col min="1798" max="2048" width="9.1796875" style="213" customWidth="1"/>
    <col min="2049" max="2049" width="4" style="213" customWidth="1"/>
    <col min="2050" max="2050" width="20" style="213" customWidth="1"/>
    <col min="2051" max="2053" width="25" style="213" customWidth="1"/>
    <col min="2054" max="2304" width="9.1796875" style="213" customWidth="1"/>
    <col min="2305" max="2305" width="4" style="213" customWidth="1"/>
    <col min="2306" max="2306" width="20" style="213" customWidth="1"/>
    <col min="2307" max="2309" width="25" style="213" customWidth="1"/>
    <col min="2310" max="2560" width="9.1796875" style="213" customWidth="1"/>
    <col min="2561" max="2561" width="4" style="213" customWidth="1"/>
    <col min="2562" max="2562" width="20" style="213" customWidth="1"/>
    <col min="2563" max="2565" width="25" style="213" customWidth="1"/>
    <col min="2566" max="2816" width="9.1796875" style="213" customWidth="1"/>
    <col min="2817" max="2817" width="4" style="213" customWidth="1"/>
    <col min="2818" max="2818" width="20" style="213" customWidth="1"/>
    <col min="2819" max="2821" width="25" style="213" customWidth="1"/>
    <col min="2822" max="3072" width="9.1796875" style="213" customWidth="1"/>
    <col min="3073" max="3073" width="4" style="213" customWidth="1"/>
    <col min="3074" max="3074" width="20" style="213" customWidth="1"/>
    <col min="3075" max="3077" width="25" style="213" customWidth="1"/>
    <col min="3078" max="3328" width="9.1796875" style="213" customWidth="1"/>
    <col min="3329" max="3329" width="4" style="213" customWidth="1"/>
    <col min="3330" max="3330" width="20" style="213" customWidth="1"/>
    <col min="3331" max="3333" width="25" style="213" customWidth="1"/>
    <col min="3334" max="3584" width="9.1796875" style="213" customWidth="1"/>
    <col min="3585" max="3585" width="4" style="213" customWidth="1"/>
    <col min="3586" max="3586" width="20" style="213" customWidth="1"/>
    <col min="3587" max="3589" width="25" style="213" customWidth="1"/>
    <col min="3590" max="3840" width="9.1796875" style="213" customWidth="1"/>
    <col min="3841" max="3841" width="4" style="213" customWidth="1"/>
    <col min="3842" max="3842" width="20" style="213" customWidth="1"/>
    <col min="3843" max="3845" width="25" style="213" customWidth="1"/>
    <col min="3846" max="4096" width="9.1796875" style="213" customWidth="1"/>
    <col min="4097" max="4097" width="4" style="213" customWidth="1"/>
    <col min="4098" max="4098" width="20" style="213" customWidth="1"/>
    <col min="4099" max="4101" width="25" style="213" customWidth="1"/>
    <col min="4102" max="4352" width="9.1796875" style="213" customWidth="1"/>
    <col min="4353" max="4353" width="4" style="213" customWidth="1"/>
    <col min="4354" max="4354" width="20" style="213" customWidth="1"/>
    <col min="4355" max="4357" width="25" style="213" customWidth="1"/>
    <col min="4358" max="4608" width="9.1796875" style="213" customWidth="1"/>
    <col min="4609" max="4609" width="4" style="213" customWidth="1"/>
    <col min="4610" max="4610" width="20" style="213" customWidth="1"/>
    <col min="4611" max="4613" width="25" style="213" customWidth="1"/>
    <col min="4614" max="4864" width="9.1796875" style="213" customWidth="1"/>
    <col min="4865" max="4865" width="4" style="213" customWidth="1"/>
    <col min="4866" max="4866" width="20" style="213" customWidth="1"/>
    <col min="4867" max="4869" width="25" style="213" customWidth="1"/>
    <col min="4870" max="5120" width="9.1796875" style="213" customWidth="1"/>
    <col min="5121" max="5121" width="4" style="213" customWidth="1"/>
    <col min="5122" max="5122" width="20" style="213" customWidth="1"/>
    <col min="5123" max="5125" width="25" style="213" customWidth="1"/>
    <col min="5126" max="5376" width="9.1796875" style="213" customWidth="1"/>
    <col min="5377" max="5377" width="4" style="213" customWidth="1"/>
    <col min="5378" max="5378" width="20" style="213" customWidth="1"/>
    <col min="5379" max="5381" width="25" style="213" customWidth="1"/>
    <col min="5382" max="5632" width="9.1796875" style="213" customWidth="1"/>
    <col min="5633" max="5633" width="4" style="213" customWidth="1"/>
    <col min="5634" max="5634" width="20" style="213" customWidth="1"/>
    <col min="5635" max="5637" width="25" style="213" customWidth="1"/>
    <col min="5638" max="5888" width="9.1796875" style="213" customWidth="1"/>
    <col min="5889" max="5889" width="4" style="213" customWidth="1"/>
    <col min="5890" max="5890" width="20" style="213" customWidth="1"/>
    <col min="5891" max="5893" width="25" style="213" customWidth="1"/>
    <col min="5894" max="6144" width="9.1796875" style="213" customWidth="1"/>
    <col min="6145" max="6145" width="4" style="213" customWidth="1"/>
    <col min="6146" max="6146" width="20" style="213" customWidth="1"/>
    <col min="6147" max="6149" width="25" style="213" customWidth="1"/>
    <col min="6150" max="6400" width="9.1796875" style="213" customWidth="1"/>
    <col min="6401" max="6401" width="4" style="213" customWidth="1"/>
    <col min="6402" max="6402" width="20" style="213" customWidth="1"/>
    <col min="6403" max="6405" width="25" style="213" customWidth="1"/>
    <col min="6406" max="6656" width="9.1796875" style="213" customWidth="1"/>
    <col min="6657" max="6657" width="4" style="213" customWidth="1"/>
    <col min="6658" max="6658" width="20" style="213" customWidth="1"/>
    <col min="6659" max="6661" width="25" style="213" customWidth="1"/>
    <col min="6662" max="6912" width="9.1796875" style="213" customWidth="1"/>
    <col min="6913" max="6913" width="4" style="213" customWidth="1"/>
    <col min="6914" max="6914" width="20" style="213" customWidth="1"/>
    <col min="6915" max="6917" width="25" style="213" customWidth="1"/>
    <col min="6918" max="7168" width="9.1796875" style="213" customWidth="1"/>
    <col min="7169" max="7169" width="4" style="213" customWidth="1"/>
    <col min="7170" max="7170" width="20" style="213" customWidth="1"/>
    <col min="7171" max="7173" width="25" style="213" customWidth="1"/>
    <col min="7174" max="7424" width="9.1796875" style="213" customWidth="1"/>
    <col min="7425" max="7425" width="4" style="213" customWidth="1"/>
    <col min="7426" max="7426" width="20" style="213" customWidth="1"/>
    <col min="7427" max="7429" width="25" style="213" customWidth="1"/>
    <col min="7430" max="7680" width="9.1796875" style="213" customWidth="1"/>
    <col min="7681" max="7681" width="4" style="213" customWidth="1"/>
    <col min="7682" max="7682" width="20" style="213" customWidth="1"/>
    <col min="7683" max="7685" width="25" style="213" customWidth="1"/>
    <col min="7686" max="7936" width="9.1796875" style="213" customWidth="1"/>
    <col min="7937" max="7937" width="4" style="213" customWidth="1"/>
    <col min="7938" max="7938" width="20" style="213" customWidth="1"/>
    <col min="7939" max="7941" width="25" style="213" customWidth="1"/>
    <col min="7942" max="8192" width="9.1796875" style="213" customWidth="1"/>
    <col min="8193" max="8193" width="4" style="213" customWidth="1"/>
    <col min="8194" max="8194" width="20" style="213" customWidth="1"/>
    <col min="8195" max="8197" width="25" style="213" customWidth="1"/>
    <col min="8198" max="8448" width="9.1796875" style="213" customWidth="1"/>
    <col min="8449" max="8449" width="4" style="213" customWidth="1"/>
    <col min="8450" max="8450" width="20" style="213" customWidth="1"/>
    <col min="8451" max="8453" width="25" style="213" customWidth="1"/>
    <col min="8454" max="8704" width="9.1796875" style="213" customWidth="1"/>
    <col min="8705" max="8705" width="4" style="213" customWidth="1"/>
    <col min="8706" max="8706" width="20" style="213" customWidth="1"/>
    <col min="8707" max="8709" width="25" style="213" customWidth="1"/>
    <col min="8710" max="8960" width="9.1796875" style="213" customWidth="1"/>
    <col min="8961" max="8961" width="4" style="213" customWidth="1"/>
    <col min="8962" max="8962" width="20" style="213" customWidth="1"/>
    <col min="8963" max="8965" width="25" style="213" customWidth="1"/>
    <col min="8966" max="9216" width="9.1796875" style="213" customWidth="1"/>
    <col min="9217" max="9217" width="4" style="213" customWidth="1"/>
    <col min="9218" max="9218" width="20" style="213" customWidth="1"/>
    <col min="9219" max="9221" width="25" style="213" customWidth="1"/>
    <col min="9222" max="9472" width="9.1796875" style="213" customWidth="1"/>
    <col min="9473" max="9473" width="4" style="213" customWidth="1"/>
    <col min="9474" max="9474" width="20" style="213" customWidth="1"/>
    <col min="9475" max="9477" width="25" style="213" customWidth="1"/>
    <col min="9478" max="9728" width="9.1796875" style="213" customWidth="1"/>
    <col min="9729" max="9729" width="4" style="213" customWidth="1"/>
    <col min="9730" max="9730" width="20" style="213" customWidth="1"/>
    <col min="9731" max="9733" width="25" style="213" customWidth="1"/>
    <col min="9734" max="9984" width="9.1796875" style="213" customWidth="1"/>
    <col min="9985" max="9985" width="4" style="213" customWidth="1"/>
    <col min="9986" max="9986" width="20" style="213" customWidth="1"/>
    <col min="9987" max="9989" width="25" style="213" customWidth="1"/>
    <col min="9990" max="10240" width="9.1796875" style="213" customWidth="1"/>
    <col min="10241" max="10241" width="4" style="213" customWidth="1"/>
    <col min="10242" max="10242" width="20" style="213" customWidth="1"/>
    <col min="10243" max="10245" width="25" style="213" customWidth="1"/>
    <col min="10246" max="10496" width="9.1796875" style="213" customWidth="1"/>
    <col min="10497" max="10497" width="4" style="213" customWidth="1"/>
    <col min="10498" max="10498" width="20" style="213" customWidth="1"/>
    <col min="10499" max="10501" width="25" style="213" customWidth="1"/>
    <col min="10502" max="10752" width="9.1796875" style="213" customWidth="1"/>
    <col min="10753" max="10753" width="4" style="213" customWidth="1"/>
    <col min="10754" max="10754" width="20" style="213" customWidth="1"/>
    <col min="10755" max="10757" width="25" style="213" customWidth="1"/>
    <col min="10758" max="11008" width="9.1796875" style="213" customWidth="1"/>
    <col min="11009" max="11009" width="4" style="213" customWidth="1"/>
    <col min="11010" max="11010" width="20" style="213" customWidth="1"/>
    <col min="11011" max="11013" width="25" style="213" customWidth="1"/>
    <col min="11014" max="11264" width="9.1796875" style="213" customWidth="1"/>
    <col min="11265" max="11265" width="4" style="213" customWidth="1"/>
    <col min="11266" max="11266" width="20" style="213" customWidth="1"/>
    <col min="11267" max="11269" width="25" style="213" customWidth="1"/>
    <col min="11270" max="11520" width="9.1796875" style="213" customWidth="1"/>
    <col min="11521" max="11521" width="4" style="213" customWidth="1"/>
    <col min="11522" max="11522" width="20" style="213" customWidth="1"/>
    <col min="11523" max="11525" width="25" style="213" customWidth="1"/>
    <col min="11526" max="11776" width="9.1796875" style="213" customWidth="1"/>
    <col min="11777" max="11777" width="4" style="213" customWidth="1"/>
    <col min="11778" max="11778" width="20" style="213" customWidth="1"/>
    <col min="11779" max="11781" width="25" style="213" customWidth="1"/>
    <col min="11782" max="12032" width="9.1796875" style="213" customWidth="1"/>
    <col min="12033" max="12033" width="4" style="213" customWidth="1"/>
    <col min="12034" max="12034" width="20" style="213" customWidth="1"/>
    <col min="12035" max="12037" width="25" style="213" customWidth="1"/>
    <col min="12038" max="12288" width="9.1796875" style="213" customWidth="1"/>
    <col min="12289" max="12289" width="4" style="213" customWidth="1"/>
    <col min="12290" max="12290" width="20" style="213" customWidth="1"/>
    <col min="12291" max="12293" width="25" style="213" customWidth="1"/>
    <col min="12294" max="12544" width="9.1796875" style="213" customWidth="1"/>
    <col min="12545" max="12545" width="4" style="213" customWidth="1"/>
    <col min="12546" max="12546" width="20" style="213" customWidth="1"/>
    <col min="12547" max="12549" width="25" style="213" customWidth="1"/>
    <col min="12550" max="12800" width="9.1796875" style="213" customWidth="1"/>
    <col min="12801" max="12801" width="4" style="213" customWidth="1"/>
    <col min="12802" max="12802" width="20" style="213" customWidth="1"/>
    <col min="12803" max="12805" width="25" style="213" customWidth="1"/>
    <col min="12806" max="13056" width="9.1796875" style="213" customWidth="1"/>
    <col min="13057" max="13057" width="4" style="213" customWidth="1"/>
    <col min="13058" max="13058" width="20" style="213" customWidth="1"/>
    <col min="13059" max="13061" width="25" style="213" customWidth="1"/>
    <col min="13062" max="13312" width="9.1796875" style="213" customWidth="1"/>
    <col min="13313" max="13313" width="4" style="213" customWidth="1"/>
    <col min="13314" max="13314" width="20" style="213" customWidth="1"/>
    <col min="13315" max="13317" width="25" style="213" customWidth="1"/>
    <col min="13318" max="13568" width="9.1796875" style="213" customWidth="1"/>
    <col min="13569" max="13569" width="4" style="213" customWidth="1"/>
    <col min="13570" max="13570" width="20" style="213" customWidth="1"/>
    <col min="13571" max="13573" width="25" style="213" customWidth="1"/>
    <col min="13574" max="13824" width="9.1796875" style="213" customWidth="1"/>
    <col min="13825" max="13825" width="4" style="213" customWidth="1"/>
    <col min="13826" max="13826" width="20" style="213" customWidth="1"/>
    <col min="13827" max="13829" width="25" style="213" customWidth="1"/>
    <col min="13830" max="14080" width="9.1796875" style="213" customWidth="1"/>
    <col min="14081" max="14081" width="4" style="213" customWidth="1"/>
    <col min="14082" max="14082" width="20" style="213" customWidth="1"/>
    <col min="14083" max="14085" width="25" style="213" customWidth="1"/>
    <col min="14086" max="14336" width="9.1796875" style="213" customWidth="1"/>
    <col min="14337" max="14337" width="4" style="213" customWidth="1"/>
    <col min="14338" max="14338" width="20" style="213" customWidth="1"/>
    <col min="14339" max="14341" width="25" style="213" customWidth="1"/>
    <col min="14342" max="14592" width="9.1796875" style="213" customWidth="1"/>
    <col min="14593" max="14593" width="4" style="213" customWidth="1"/>
    <col min="14594" max="14594" width="20" style="213" customWidth="1"/>
    <col min="14595" max="14597" width="25" style="213" customWidth="1"/>
    <col min="14598" max="14848" width="9.1796875" style="213" customWidth="1"/>
    <col min="14849" max="14849" width="4" style="213" customWidth="1"/>
    <col min="14850" max="14850" width="20" style="213" customWidth="1"/>
    <col min="14851" max="14853" width="25" style="213" customWidth="1"/>
    <col min="14854" max="15104" width="9.1796875" style="213" customWidth="1"/>
    <col min="15105" max="15105" width="4" style="213" customWidth="1"/>
    <col min="15106" max="15106" width="20" style="213" customWidth="1"/>
    <col min="15107" max="15109" width="25" style="213" customWidth="1"/>
    <col min="15110" max="15360" width="9.1796875" style="213" customWidth="1"/>
    <col min="15361" max="15361" width="4" style="213" customWidth="1"/>
    <col min="15362" max="15362" width="20" style="213" customWidth="1"/>
    <col min="15363" max="15365" width="25" style="213" customWidth="1"/>
    <col min="15366" max="15616" width="9.1796875" style="213" customWidth="1"/>
    <col min="15617" max="15617" width="4" style="213" customWidth="1"/>
    <col min="15618" max="15618" width="20" style="213" customWidth="1"/>
    <col min="15619" max="15621" width="25" style="213" customWidth="1"/>
    <col min="15622" max="15872" width="9.1796875" style="213" customWidth="1"/>
    <col min="15873" max="15873" width="4" style="213" customWidth="1"/>
    <col min="15874" max="15874" width="20" style="213" customWidth="1"/>
    <col min="15875" max="15877" width="25" style="213" customWidth="1"/>
    <col min="15878" max="16128" width="9.1796875" style="213" customWidth="1"/>
    <col min="16129" max="16129" width="4" style="213" customWidth="1"/>
    <col min="16130" max="16130" width="20" style="213" customWidth="1"/>
    <col min="16131" max="16133" width="25" style="213" customWidth="1"/>
    <col min="16134" max="16384" width="9.1796875" style="213" customWidth="1"/>
  </cols>
  <sheetData>
    <row r="2" spans="2:5" ht="20.149999999999999" customHeight="1" x14ac:dyDescent="0.45">
      <c r="B2" s="212" t="s">
        <v>242</v>
      </c>
    </row>
    <row r="3" spans="2:5" ht="14.5" x14ac:dyDescent="0.35">
      <c r="B3" s="214" t="s">
        <v>243</v>
      </c>
      <c r="C3" s="214" t="s">
        <v>244</v>
      </c>
    </row>
    <row r="4" spans="2:5" ht="14.5" x14ac:dyDescent="0.35">
      <c r="B4" s="214" t="s">
        <v>245</v>
      </c>
      <c r="C4" s="214" t="s">
        <v>246</v>
      </c>
    </row>
    <row r="5" spans="2:5" ht="14.5" x14ac:dyDescent="0.35">
      <c r="B5" s="214" t="s">
        <v>247</v>
      </c>
      <c r="C5" s="214" t="s">
        <v>248</v>
      </c>
    </row>
    <row r="6" spans="2:5" ht="14.5" x14ac:dyDescent="0.35">
      <c r="B6" s="214" t="s">
        <v>249</v>
      </c>
      <c r="C6" s="213" t="s">
        <v>250</v>
      </c>
      <c r="D6" s="213" t="s">
        <v>250</v>
      </c>
      <c r="E6" s="213" t="s">
        <v>250</v>
      </c>
    </row>
    <row r="7" spans="2:5" ht="14.5" x14ac:dyDescent="0.35">
      <c r="B7" s="214" t="s">
        <v>251</v>
      </c>
      <c r="C7" s="213" t="s">
        <v>252</v>
      </c>
      <c r="D7" s="213" t="s">
        <v>252</v>
      </c>
      <c r="E7" s="213" t="s">
        <v>252</v>
      </c>
    </row>
    <row r="8" spans="2:5" ht="14.5" x14ac:dyDescent="0.35">
      <c r="B8" s="214" t="s">
        <v>253</v>
      </c>
      <c r="C8" s="213" t="s">
        <v>254</v>
      </c>
      <c r="D8" s="213" t="s">
        <v>254</v>
      </c>
      <c r="E8" s="213" t="s">
        <v>254</v>
      </c>
    </row>
    <row r="9" spans="2:5" ht="14.5" x14ac:dyDescent="0.35">
      <c r="B9" s="214" t="s">
        <v>255</v>
      </c>
      <c r="C9" s="213" t="s">
        <v>256</v>
      </c>
      <c r="D9" s="213" t="s">
        <v>256</v>
      </c>
      <c r="E9" s="213" t="s">
        <v>256</v>
      </c>
    </row>
    <row r="10" spans="2:5" ht="14.5" x14ac:dyDescent="0.35">
      <c r="B10" s="214" t="s">
        <v>257</v>
      </c>
      <c r="C10" s="213" t="s">
        <v>258</v>
      </c>
      <c r="D10" s="213" t="s">
        <v>258</v>
      </c>
      <c r="E10" s="213" t="s">
        <v>258</v>
      </c>
    </row>
    <row r="11" spans="2:5" ht="14.5" x14ac:dyDescent="0.35">
      <c r="B11" s="214" t="s">
        <v>259</v>
      </c>
      <c r="C11" s="213" t="s">
        <v>260</v>
      </c>
      <c r="D11" s="213" t="s">
        <v>260</v>
      </c>
      <c r="E11" s="213" t="s">
        <v>260</v>
      </c>
    </row>
    <row r="12" spans="2:5" ht="13" thickBot="1" x14ac:dyDescent="0.3"/>
    <row r="13" spans="2:5" ht="90" customHeight="1" thickTop="1" thickBot="1" x14ac:dyDescent="0.3">
      <c r="B13" s="236" t="s">
        <v>260</v>
      </c>
      <c r="C13" s="236" t="s">
        <v>261</v>
      </c>
      <c r="D13" s="236" t="s">
        <v>262</v>
      </c>
      <c r="E13" s="236" t="s">
        <v>263</v>
      </c>
    </row>
    <row r="14" spans="2:5" ht="14.5" x14ac:dyDescent="0.35">
      <c r="B14" s="226" t="s">
        <v>264</v>
      </c>
      <c r="C14" s="227">
        <v>1459.46</v>
      </c>
      <c r="D14" s="227">
        <v>1578.51</v>
      </c>
      <c r="E14" s="228">
        <v>1518.98</v>
      </c>
    </row>
    <row r="15" spans="2:5" ht="14.5" x14ac:dyDescent="0.35">
      <c r="B15" s="229" t="s">
        <v>265</v>
      </c>
      <c r="C15" s="230">
        <v>1433</v>
      </c>
      <c r="D15" s="230">
        <v>1543.23</v>
      </c>
      <c r="E15" s="231">
        <v>1488.12</v>
      </c>
    </row>
    <row r="16" spans="2:5" ht="14.5" x14ac:dyDescent="0.35">
      <c r="B16" s="229" t="s">
        <v>266</v>
      </c>
      <c r="C16" s="230">
        <v>1433</v>
      </c>
      <c r="D16" s="230">
        <v>1543.23</v>
      </c>
      <c r="E16" s="231">
        <v>1488.12</v>
      </c>
    </row>
    <row r="17" spans="2:5" ht="14.5" x14ac:dyDescent="0.35">
      <c r="B17" s="229" t="s">
        <v>267</v>
      </c>
      <c r="C17" s="230">
        <v>1433</v>
      </c>
      <c r="D17" s="230">
        <v>1543.23</v>
      </c>
      <c r="E17" s="231">
        <v>1488.12</v>
      </c>
    </row>
    <row r="18" spans="2:5" ht="14.5" x14ac:dyDescent="0.35">
      <c r="B18" s="229" t="s">
        <v>268</v>
      </c>
      <c r="C18" s="230">
        <v>1410.96</v>
      </c>
      <c r="D18" s="230">
        <v>1521.19</v>
      </c>
      <c r="E18" s="231">
        <v>1466.07</v>
      </c>
    </row>
    <row r="19" spans="2:5" ht="14.5" x14ac:dyDescent="0.35">
      <c r="B19" s="229" t="s">
        <v>269</v>
      </c>
      <c r="C19" s="230">
        <v>1349.23</v>
      </c>
      <c r="D19" s="230">
        <v>1459.46</v>
      </c>
      <c r="E19" s="231">
        <v>1404.34</v>
      </c>
    </row>
    <row r="20" spans="2:5" ht="14.5" x14ac:dyDescent="0.35">
      <c r="B20" s="229" t="s">
        <v>270</v>
      </c>
      <c r="C20" s="230">
        <v>1295.21</v>
      </c>
      <c r="D20" s="230">
        <v>1405.45</v>
      </c>
      <c r="E20" s="231">
        <v>1350.33</v>
      </c>
    </row>
    <row r="21" spans="2:5" ht="14.5" x14ac:dyDescent="0.35">
      <c r="B21" s="229" t="s">
        <v>271</v>
      </c>
      <c r="C21" s="230">
        <v>1212.54</v>
      </c>
      <c r="D21" s="230">
        <v>1322.77</v>
      </c>
      <c r="E21" s="231">
        <v>1267.6600000000001</v>
      </c>
    </row>
    <row r="22" spans="2:5" ht="14.5" x14ac:dyDescent="0.35">
      <c r="B22" s="229" t="s">
        <v>272</v>
      </c>
      <c r="C22" s="230">
        <v>1212.54</v>
      </c>
      <c r="D22" s="230">
        <v>1322.77</v>
      </c>
      <c r="E22" s="231">
        <v>1267.6600000000001</v>
      </c>
    </row>
    <row r="23" spans="2:5" ht="14.5" x14ac:dyDescent="0.35">
      <c r="B23" s="229" t="s">
        <v>273</v>
      </c>
      <c r="C23" s="230">
        <v>1212.54</v>
      </c>
      <c r="D23" s="230">
        <v>1322.77</v>
      </c>
      <c r="E23" s="231">
        <v>1267.6600000000001</v>
      </c>
    </row>
    <row r="24" spans="2:5" ht="14.5" x14ac:dyDescent="0.35">
      <c r="B24" s="229" t="s">
        <v>274</v>
      </c>
      <c r="C24" s="230">
        <v>1295.21</v>
      </c>
      <c r="D24" s="230">
        <v>1405.45</v>
      </c>
      <c r="E24" s="231">
        <v>1350.33</v>
      </c>
    </row>
    <row r="25" spans="2:5" ht="14.5" x14ac:dyDescent="0.35">
      <c r="B25" s="229" t="s">
        <v>275</v>
      </c>
      <c r="C25" s="230">
        <v>1322.77</v>
      </c>
      <c r="D25" s="230">
        <v>1433</v>
      </c>
      <c r="E25" s="231">
        <v>1377.89</v>
      </c>
    </row>
    <row r="26" spans="2:5" ht="14.5" x14ac:dyDescent="0.35">
      <c r="B26" s="232" t="s">
        <v>276</v>
      </c>
      <c r="C26" s="233">
        <v>1322.77</v>
      </c>
      <c r="D26" s="233">
        <v>1433</v>
      </c>
      <c r="E26" s="234">
        <v>1377.89</v>
      </c>
    </row>
    <row r="27" spans="2:5" ht="14.5" x14ac:dyDescent="0.35">
      <c r="B27" s="232" t="s">
        <v>277</v>
      </c>
      <c r="C27" s="233">
        <v>1322.77</v>
      </c>
      <c r="D27" s="233">
        <v>1433</v>
      </c>
      <c r="E27" s="234">
        <v>1377.89</v>
      </c>
    </row>
    <row r="28" spans="2:5" ht="14.5" x14ac:dyDescent="0.35">
      <c r="B28" s="232" t="s">
        <v>278</v>
      </c>
      <c r="C28" s="233">
        <v>1212.54</v>
      </c>
      <c r="D28" s="233">
        <v>1322.77</v>
      </c>
      <c r="E28" s="234">
        <f>+AVERAGE(C28:D28)</f>
        <v>1267.655</v>
      </c>
    </row>
    <row r="29" spans="2:5" ht="14.5" x14ac:dyDescent="0.35">
      <c r="B29" s="232" t="s">
        <v>279</v>
      </c>
      <c r="C29" s="233">
        <v>1212.54</v>
      </c>
      <c r="D29" s="233">
        <v>1322.77</v>
      </c>
      <c r="E29" s="234">
        <v>1267.6600000000001</v>
      </c>
    </row>
    <row r="30" spans="2:5" ht="14.5" x14ac:dyDescent="0.35">
      <c r="B30" s="232" t="s">
        <v>280</v>
      </c>
      <c r="C30" s="233">
        <v>1212.54</v>
      </c>
      <c r="D30" s="233">
        <v>1322.77</v>
      </c>
      <c r="E30" s="234">
        <v>1267.6600000000001</v>
      </c>
    </row>
    <row r="31" spans="2:5" ht="14.5" x14ac:dyDescent="0.35">
      <c r="B31" s="232" t="s">
        <v>281</v>
      </c>
      <c r="C31" s="233">
        <v>1287.5</v>
      </c>
      <c r="D31" s="233">
        <v>1397.73</v>
      </c>
      <c r="E31" s="234">
        <v>1342.61</v>
      </c>
    </row>
    <row r="32" spans="2:5" ht="14.5" x14ac:dyDescent="0.35">
      <c r="B32" s="232" t="s">
        <v>282</v>
      </c>
      <c r="C32" s="233">
        <v>1388.91</v>
      </c>
      <c r="D32" s="233">
        <v>1499.14</v>
      </c>
      <c r="E32" s="234">
        <v>1444.03</v>
      </c>
    </row>
    <row r="33" spans="2:5" ht="14.5" x14ac:dyDescent="0.35">
      <c r="B33" s="240" t="s">
        <v>283</v>
      </c>
      <c r="C33" s="233">
        <v>1399.93</v>
      </c>
      <c r="D33" s="233">
        <v>1510.16</v>
      </c>
      <c r="E33" s="234">
        <v>1455.05</v>
      </c>
    </row>
    <row r="34" spans="2:5" ht="14.5" x14ac:dyDescent="0.35">
      <c r="B34" s="229" t="s">
        <v>284</v>
      </c>
      <c r="C34" s="233">
        <v>1455.05</v>
      </c>
      <c r="D34" s="233">
        <v>1554.26</v>
      </c>
      <c r="E34" s="234">
        <v>1504.65</v>
      </c>
    </row>
    <row r="35" spans="2:5" ht="14.5" x14ac:dyDescent="0.35">
      <c r="B35" s="239" t="s">
        <v>285</v>
      </c>
      <c r="C35" s="233">
        <v>1592.84</v>
      </c>
      <c r="D35" s="233">
        <v>1664.49</v>
      </c>
      <c r="E35" s="234">
        <v>1628.66</v>
      </c>
    </row>
    <row r="36" spans="2:5" ht="14.5" x14ac:dyDescent="0.35">
      <c r="B36" s="239" t="s">
        <v>286</v>
      </c>
      <c r="C36" s="238">
        <v>1719.6</v>
      </c>
      <c r="D36" s="238">
        <v>1785.74</v>
      </c>
      <c r="E36" s="238">
        <v>1752.67</v>
      </c>
    </row>
    <row r="37" spans="2:5" ht="14.5" x14ac:dyDescent="0.35">
      <c r="B37" s="237"/>
      <c r="C37" s="238"/>
      <c r="D37" s="238"/>
      <c r="E37" s="238"/>
    </row>
    <row r="40" spans="2:5" ht="14.5" x14ac:dyDescent="0.35">
      <c r="B40" s="214" t="s">
        <v>287</v>
      </c>
    </row>
    <row r="41" spans="2:5" ht="14.5" x14ac:dyDescent="0.35">
      <c r="B41" s="214" t="s">
        <v>288</v>
      </c>
    </row>
    <row r="42" spans="2:5" ht="14.5" x14ac:dyDescent="0.35">
      <c r="B42" s="214" t="s">
        <v>289</v>
      </c>
    </row>
    <row r="43" spans="2:5" ht="14.5" x14ac:dyDescent="0.35">
      <c r="B43" s="214" t="s">
        <v>290</v>
      </c>
    </row>
    <row r="44" spans="2:5" ht="14.5" x14ac:dyDescent="0.35">
      <c r="B44" s="214" t="s">
        <v>291</v>
      </c>
    </row>
    <row r="45" spans="2:5" ht="14.5" x14ac:dyDescent="0.35">
      <c r="B45" s="214" t="s">
        <v>292</v>
      </c>
    </row>
    <row r="46" spans="2:5" ht="14.5" x14ac:dyDescent="0.35">
      <c r="B46" s="214" t="s">
        <v>293</v>
      </c>
    </row>
    <row r="47" spans="2:5" ht="14.5" x14ac:dyDescent="0.35">
      <c r="B47" s="214" t="s">
        <v>294</v>
      </c>
    </row>
    <row r="48" spans="2:5" ht="14.5" x14ac:dyDescent="0.35">
      <c r="B48" s="214" t="s">
        <v>295</v>
      </c>
    </row>
  </sheetData>
  <pageMargins left="0.75" right="0.75" top="1" bottom="1" header="0.5" footer="0.5"/>
  <pageSetup orientation="portrait" horizontalDpi="300" verticalDpi="300" r:id="rId1"/>
  <headerFooter alignWithMargins="0"/>
  <customProperties>
    <customPr name="EpmWorksheetKeyString_GUID" r:id="rId2"/>
  </customPropertie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5A0E7-2316-4D5C-8C3C-2168C340694A}">
  <dimension ref="B3:AV11"/>
  <sheetViews>
    <sheetView showGridLines="0" zoomScaleNormal="100" workbookViewId="0">
      <selection activeCell="AG17" sqref="AG17"/>
    </sheetView>
  </sheetViews>
  <sheetFormatPr defaultColWidth="11.453125" defaultRowHeight="14.5" x14ac:dyDescent="0.35"/>
  <cols>
    <col min="1" max="1" width="3.81640625" customWidth="1"/>
    <col min="2" max="4" width="6.453125" customWidth="1"/>
    <col min="5" max="13" width="4.54296875" customWidth="1"/>
    <col min="14" max="29" width="11.453125" customWidth="1"/>
    <col min="30" max="31" width="7.7265625" customWidth="1"/>
    <col min="32" max="32" width="9" customWidth="1"/>
    <col min="33" max="34" width="7.1796875" customWidth="1"/>
    <col min="35" max="35" width="6.7265625" customWidth="1"/>
    <col min="36" max="40" width="7.54296875" customWidth="1"/>
    <col min="41" max="41" width="6.453125" customWidth="1"/>
    <col min="42" max="43" width="7" customWidth="1"/>
    <col min="44" max="47" width="7" bestFit="1" customWidth="1"/>
  </cols>
  <sheetData>
    <row r="3" spans="2:48" x14ac:dyDescent="0.35">
      <c r="B3" s="588" t="s">
        <v>296</v>
      </c>
      <c r="C3" s="588"/>
      <c r="D3" s="588"/>
      <c r="E3" s="588"/>
      <c r="F3" s="588"/>
      <c r="G3" s="588"/>
      <c r="H3" s="588"/>
      <c r="I3" s="588"/>
      <c r="J3" s="588"/>
      <c r="K3" s="588"/>
      <c r="L3" s="588"/>
      <c r="M3" s="588"/>
      <c r="N3" s="588"/>
      <c r="O3" s="588"/>
      <c r="P3" s="588"/>
      <c r="Q3" s="588"/>
      <c r="R3" s="588"/>
      <c r="S3" s="588"/>
      <c r="T3" s="588"/>
      <c r="U3" s="588"/>
      <c r="V3" s="588"/>
      <c r="W3" s="588"/>
      <c r="X3" s="588"/>
      <c r="Y3" s="588"/>
      <c r="Z3" s="588"/>
      <c r="AA3" s="588"/>
      <c r="AB3" s="588"/>
      <c r="AC3" s="588"/>
      <c r="AD3" s="588"/>
      <c r="AE3" s="588"/>
      <c r="AF3" s="588"/>
      <c r="AG3" s="363"/>
      <c r="AH3" s="363"/>
      <c r="AI3" s="363"/>
      <c r="AJ3" s="363"/>
      <c r="AK3" s="363"/>
      <c r="AL3" s="363"/>
      <c r="AM3" s="363"/>
      <c r="AN3" s="363"/>
      <c r="AO3" s="363"/>
      <c r="AP3" s="363"/>
      <c r="AQ3" s="363"/>
      <c r="AR3" s="363"/>
      <c r="AS3" s="363"/>
      <c r="AT3" s="363"/>
      <c r="AU3" s="363"/>
    </row>
    <row r="4" spans="2:48" x14ac:dyDescent="0.35">
      <c r="B4" s="588" t="s">
        <v>297</v>
      </c>
      <c r="C4" s="588"/>
      <c r="D4" s="588"/>
      <c r="E4" s="588" t="s">
        <v>153</v>
      </c>
      <c r="F4" s="588"/>
      <c r="G4" s="588"/>
      <c r="H4" s="588"/>
      <c r="I4" s="588"/>
      <c r="J4" s="588"/>
      <c r="K4" s="588"/>
      <c r="L4" s="588"/>
      <c r="M4" s="588"/>
      <c r="N4" s="296">
        <v>45108</v>
      </c>
      <c r="O4" s="296">
        <v>45139</v>
      </c>
      <c r="P4" s="296">
        <v>45170</v>
      </c>
      <c r="Q4" s="296">
        <v>45200</v>
      </c>
      <c r="R4" s="296">
        <v>45231</v>
      </c>
      <c r="S4" s="296">
        <v>45261</v>
      </c>
      <c r="T4" s="296">
        <v>45292</v>
      </c>
      <c r="U4" s="296">
        <v>45323</v>
      </c>
      <c r="V4" s="296">
        <v>45352</v>
      </c>
      <c r="W4" s="296">
        <v>45383</v>
      </c>
      <c r="X4" s="296">
        <v>45413</v>
      </c>
      <c r="Y4" s="296">
        <v>45444</v>
      </c>
      <c r="Z4" s="296">
        <v>45474</v>
      </c>
      <c r="AA4" s="296">
        <v>45505</v>
      </c>
      <c r="AB4" s="296">
        <v>45536</v>
      </c>
      <c r="AC4" s="296">
        <v>45566</v>
      </c>
      <c r="AD4" s="296">
        <v>45597</v>
      </c>
      <c r="AE4" s="296">
        <v>45627</v>
      </c>
      <c r="AF4" s="296">
        <v>45658</v>
      </c>
      <c r="AG4" s="296">
        <v>45689</v>
      </c>
      <c r="AH4" s="296">
        <v>45717</v>
      </c>
      <c r="AI4" s="296">
        <v>45748</v>
      </c>
      <c r="AJ4" s="296">
        <v>45778</v>
      </c>
      <c r="AK4" s="296">
        <v>45809</v>
      </c>
      <c r="AL4" s="296">
        <v>45839</v>
      </c>
      <c r="AM4" s="296">
        <v>45870</v>
      </c>
      <c r="AN4" s="296">
        <v>45901</v>
      </c>
      <c r="AO4" s="296">
        <v>45931</v>
      </c>
      <c r="AP4" s="296">
        <v>45962</v>
      </c>
      <c r="AQ4" s="296">
        <v>45992</v>
      </c>
      <c r="AR4" s="296">
        <v>46023</v>
      </c>
      <c r="AS4" s="296">
        <v>46054</v>
      </c>
      <c r="AT4" s="296">
        <v>46082</v>
      </c>
      <c r="AU4" s="296">
        <v>46113</v>
      </c>
    </row>
    <row r="5" spans="2:48" x14ac:dyDescent="0.35">
      <c r="B5" s="584" t="s">
        <v>298</v>
      </c>
      <c r="C5" s="584"/>
      <c r="D5" s="584"/>
      <c r="E5" s="581" t="s">
        <v>299</v>
      </c>
      <c r="F5" s="581"/>
      <c r="G5" s="581"/>
      <c r="H5" s="581"/>
      <c r="I5" s="581"/>
      <c r="J5" s="581"/>
      <c r="K5" s="581"/>
      <c r="L5" s="581"/>
      <c r="M5" s="581"/>
      <c r="N5" s="297">
        <f>+'ICIS '!I13</f>
        <v>1352.2098666666668</v>
      </c>
      <c r="O5" s="297">
        <f>+'ICIS '!J13</f>
        <v>1287.9064083333333</v>
      </c>
      <c r="P5" s="297">
        <f>+'ICIS '!K13</f>
        <v>1210.7422583333334</v>
      </c>
      <c r="Q5" s="297">
        <f>+'ICIS '!L13</f>
        <v>1142.7643166666667</v>
      </c>
      <c r="R5" s="297">
        <f>+'ICIS '!M13</f>
        <v>1150.1132833333334</v>
      </c>
      <c r="S5" s="297">
        <f>+'ICIS '!N13</f>
        <v>1181.3463916666667</v>
      </c>
      <c r="T5" s="297">
        <f>+'ICIS '!O13</f>
        <v>1216.2539833333333</v>
      </c>
      <c r="U5" s="297">
        <f>+'ICIS '!P13</f>
        <v>1241.9753666666668</v>
      </c>
      <c r="V5" s="297">
        <f>+'ICIS '!Q13</f>
        <v>1264.0222666666668</v>
      </c>
      <c r="W5" s="297">
        <f>+'ICIS '!Q13</f>
        <v>1264.0222666666668</v>
      </c>
      <c r="X5" s="297">
        <f>+'ICIS '!R13</f>
        <v>1287.9064083333335</v>
      </c>
      <c r="Y5" s="297">
        <f>+'ICIS '!S13</f>
        <v>1308.0979916666668</v>
      </c>
      <c r="Z5" s="297">
        <f>+'ICIS '!T13</f>
        <v>1335.6379416666668</v>
      </c>
      <c r="AA5" s="297">
        <f>+'ICIS '!U13</f>
        <v>1377.875</v>
      </c>
      <c r="AB5" s="297">
        <f>+'ICIS '!V13</f>
        <v>1429.3145000000002</v>
      </c>
      <c r="AC5" s="297">
        <f>+'ICIS '!W13</f>
        <v>1480.7551666666666</v>
      </c>
      <c r="AD5" s="297">
        <f>+'ICIS '!X13</f>
        <v>1568.9391666666663</v>
      </c>
      <c r="AE5" s="297">
        <f>+'ICIS '!Y13</f>
        <v>1636.9158333333332</v>
      </c>
      <c r="AF5" s="297">
        <f>+'ICIS '!Z13</f>
        <v>1682.8440000000001</v>
      </c>
      <c r="AG5" s="297">
        <f>+'ICIS '!AA13</f>
        <v>1646.0999999999997</v>
      </c>
      <c r="AH5" s="297">
        <f>+'ICIS '!AC13</f>
        <v>1611.1959999999999</v>
      </c>
      <c r="AI5" s="297">
        <f>+'ICIS '!AD13</f>
        <v>1629.5683333333334</v>
      </c>
      <c r="AJ5" s="297">
        <f>+'ICIS '!AE13</f>
        <v>1638.7556666666667</v>
      </c>
      <c r="AK5" s="297">
        <f>+'ICIS '!AF13</f>
        <v>1633.2426666666663</v>
      </c>
      <c r="AL5" s="483">
        <f>+'ICIS '!AF13</f>
        <v>1633.2426666666663</v>
      </c>
      <c r="AM5" s="483">
        <f>+'ICIS '!AG13</f>
        <v>1609.3603333333333</v>
      </c>
      <c r="AN5" s="483">
        <f>+'ICIS '!AH13</f>
        <v>1537.7103333333334</v>
      </c>
      <c r="AO5" s="483">
        <f>+'ICIS '!AI13</f>
        <v>1423.8059999999998</v>
      </c>
      <c r="AP5" s="506">
        <f>+'ICIS '!AJ13</f>
        <v>1317.2493333333332</v>
      </c>
      <c r="AQ5" s="506">
        <f>+'ICIS '!AK13</f>
        <v>1260.296</v>
      </c>
      <c r="AR5" s="506">
        <f>+'ICIS '!AL13</f>
        <v>1263.97</v>
      </c>
      <c r="AS5" s="506">
        <f>+'ICIS '!AM13</f>
        <v>1280.5033333333333</v>
      </c>
      <c r="AT5" s="506">
        <f>+'ICIS '!AN13</f>
        <v>1295.2</v>
      </c>
      <c r="AU5" s="506">
        <f>+'ICIS '!AO13</f>
        <v>1232.7366666666667</v>
      </c>
      <c r="AV5" s="11"/>
    </row>
    <row r="6" spans="2:48" x14ac:dyDescent="0.35">
      <c r="B6" s="585" t="s">
        <v>298</v>
      </c>
      <c r="C6" s="585"/>
      <c r="D6" s="585"/>
      <c r="E6" s="581" t="s">
        <v>300</v>
      </c>
      <c r="F6" s="581"/>
      <c r="G6" s="581"/>
      <c r="H6" s="581"/>
      <c r="I6" s="581"/>
      <c r="J6" s="581"/>
      <c r="K6" s="581"/>
      <c r="L6" s="581"/>
      <c r="M6" s="581"/>
      <c r="N6" s="297">
        <f>+'ICIS WC 24'!F3</f>
        <v>1535.8850000000002</v>
      </c>
      <c r="O6" s="297">
        <f>+'ICIS WC 24'!G3</f>
        <v>1528.5349999999999</v>
      </c>
      <c r="P6" s="297">
        <f>+'ICIS WC 24'!H3</f>
        <v>1521.1850000000002</v>
      </c>
      <c r="Q6" s="297">
        <f>+'ICIS WC 24'!I3</f>
        <v>1521.1850000000002</v>
      </c>
      <c r="R6" s="297">
        <f>+'ICIS WC 24'!J3</f>
        <v>1521.1850000000002</v>
      </c>
      <c r="S6" s="297">
        <f>+'ICIS WC 24'!K3</f>
        <v>1521.1850000000002</v>
      </c>
      <c r="T6" s="297">
        <f>+'ICIS WC 24'!L3</f>
        <v>1521.1850000000002</v>
      </c>
      <c r="U6" s="297">
        <f>+'ICIS WC 24'!M3</f>
        <v>1521.1850000000002</v>
      </c>
      <c r="V6" s="297">
        <f>+'ICIS WC 24'!N3</f>
        <v>1521.1850000000002</v>
      </c>
      <c r="W6" s="297">
        <f>+'ICIS WC 24'!O3</f>
        <v>1521.1850000000002</v>
      </c>
      <c r="X6" s="297">
        <f>+'ICIS WC 24'!P3</f>
        <v>1521.1866666666665</v>
      </c>
      <c r="Y6" s="297">
        <f>+'ICIS WC 24'!Q3</f>
        <v>1521.1883333333335</v>
      </c>
      <c r="Z6" s="297">
        <f>+'ICIS WC 24'!R3</f>
        <v>1521.1899999999998</v>
      </c>
      <c r="AA6" s="297">
        <f>+'ICIS WC 24'!S3</f>
        <v>1521.1899999999998</v>
      </c>
      <c r="AB6" s="297">
        <f>+'ICIS WC 24'!T3</f>
        <v>1521.1899999999998</v>
      </c>
      <c r="AC6" s="297" t="e">
        <f>+'ICIS WC 24'!U3</f>
        <v>#REF!</v>
      </c>
      <c r="AD6" s="297" t="e">
        <f>+'ICIS WC 24'!V3</f>
        <v>#REF!</v>
      </c>
      <c r="AE6" s="297" t="e">
        <f>+'ICIS WC 24'!V3</f>
        <v>#REF!</v>
      </c>
      <c r="AF6" s="297" t="e">
        <f>+'ICIS WC 24'!W3</f>
        <v>#REF!</v>
      </c>
      <c r="AG6" s="297" t="e">
        <f>+'ICIS WC 24'!X3</f>
        <v>#REF!</v>
      </c>
      <c r="AH6" s="297">
        <f>+'ICIS WC 24'!Z3</f>
        <v>1697.56</v>
      </c>
      <c r="AI6" s="297">
        <f>+'ICIS WC 24'!AA3</f>
        <v>1712.2566666666669</v>
      </c>
      <c r="AJ6" s="297">
        <f>+'ICIS WC 24'!AB3</f>
        <v>1756.3466666666666</v>
      </c>
      <c r="AK6" s="297">
        <f>+'ICIS WC 24'!AC3</f>
        <v>1829.83</v>
      </c>
      <c r="AL6" s="298">
        <f>+'ICIS WC 24'!E14</f>
        <v>1829.83</v>
      </c>
      <c r="AM6" s="298">
        <f>+'ICIS WC 24'!AE3</f>
        <v>1829.83</v>
      </c>
      <c r="AN6" s="298">
        <f>+'ICIS WC 24'!AF3</f>
        <v>1829.83</v>
      </c>
      <c r="AO6" s="298">
        <f>+'ICIS WC 24'!AG3</f>
        <v>1771.0433333333333</v>
      </c>
      <c r="AP6" s="298">
        <f>+'ICIS WC 24'!AH3</f>
        <v>1712.2566666666669</v>
      </c>
      <c r="AQ6" s="298">
        <f>+'ICIS WC 24'!AH3</f>
        <v>1712.2566666666669</v>
      </c>
      <c r="AR6" s="298">
        <f>+'ICIS WC 24'!$AI$3</f>
        <v>1653.47</v>
      </c>
      <c r="AS6" s="298">
        <f>+'ICIS WC 24'!$AI$3</f>
        <v>1653.47</v>
      </c>
      <c r="AT6" s="298">
        <f>+'ICIS WC 24'!$AI$3</f>
        <v>1653.47</v>
      </c>
      <c r="AU6" s="298">
        <f>+'ICIS WC 24'!$AI$3</f>
        <v>1653.47</v>
      </c>
    </row>
    <row r="7" spans="2:48" x14ac:dyDescent="0.35">
      <c r="B7" s="584" t="s">
        <v>301</v>
      </c>
      <c r="C7" s="584"/>
      <c r="D7" s="584"/>
      <c r="E7" s="628" t="s">
        <v>302</v>
      </c>
      <c r="F7" s="629"/>
      <c r="G7" s="629"/>
      <c r="H7" s="629"/>
      <c r="I7" s="629"/>
      <c r="J7" s="629"/>
      <c r="K7" s="629"/>
      <c r="L7" s="629"/>
      <c r="M7" s="629"/>
      <c r="N7" s="298">
        <f>+AVERAGE(N5:N6)*SORF!$D$4</f>
        <v>51.079063408055262</v>
      </c>
      <c r="O7" s="298">
        <f>+AVERAGE(O5:O6)*SORF!$D$4</f>
        <v>49.811794945423685</v>
      </c>
      <c r="P7" s="298">
        <f>+AVERAGE(P5:P6)*SORF!$D$4</f>
        <v>48.317071321019235</v>
      </c>
      <c r="Q7" s="298">
        <f>+AVERAGE(Q5:Q6)*SORF!$D$4</f>
        <v>47.114808323076829</v>
      </c>
      <c r="R7" s="298">
        <f>+AVERAGE(R5:R6)*SORF!$D$4</f>
        <v>47.244782701232765</v>
      </c>
      <c r="S7" s="298">
        <f>+AVERAGE(S5:S6)*SORF!$D$4</f>
        <v>47.797173808395492</v>
      </c>
      <c r="T7" s="298">
        <f>+AVERAGE(T5:T6)*SORF!$D$4</f>
        <v>48.414552104636186</v>
      </c>
      <c r="U7" s="298">
        <f>+AVERAGE(U5:U6)*SORF!$D$4</f>
        <v>48.869462428181969</v>
      </c>
      <c r="V7" s="298">
        <f>+AVERAGE(V5:V6)*SORF!$D$4</f>
        <v>49.259385562649783</v>
      </c>
      <c r="W7" s="298">
        <f>+AVERAGE(W5:W6)*SORF!$D$4</f>
        <v>49.259385562649783</v>
      </c>
      <c r="X7" s="298">
        <f>+AVERAGE(X5:X6)*SORF!$D$4</f>
        <v>49.681831768448795</v>
      </c>
      <c r="Y7" s="298">
        <f>+AVERAGE(Y5:Y6)*SORF!$D$4</f>
        <v>50.038971109358044</v>
      </c>
      <c r="Z7" s="298">
        <v>61.998234268665918</v>
      </c>
      <c r="AA7" s="298">
        <v>62.914853361883551</v>
      </c>
      <c r="AB7" s="298">
        <v>64.031181764147263</v>
      </c>
      <c r="AC7" s="298">
        <v>65.147535485147245</v>
      </c>
      <c r="AD7" s="298">
        <v>67.061284721147246</v>
      </c>
      <c r="AE7" s="298">
        <v>68.536491742633544</v>
      </c>
      <c r="AF7" s="298" t="e">
        <f>+AVERAGE(AF5:AF6)*SORF!$D$4</f>
        <v>#REF!</v>
      </c>
      <c r="AG7" s="298" t="e">
        <f>+AVERAGE(AG5:AG6)*SORF!$D$4</f>
        <v>#REF!</v>
      </c>
      <c r="AH7" s="298">
        <f>+AVERAGE(AH5:AH6)*SORF!$D$4</f>
        <v>58.518907905835611</v>
      </c>
      <c r="AI7" s="298">
        <f>+AVERAGE(AI5:AI6)*SORF!$D$4</f>
        <v>59.10376873133562</v>
      </c>
      <c r="AJ7" s="298">
        <f>+AVERAGE(AJ5:AJ6)*SORF!$D$4</f>
        <v>60.046035662714608</v>
      </c>
      <c r="AK7" s="298">
        <f>+AVERAGE(AK5:AK6)*SORF!$D$4</f>
        <v>61.248164099100443</v>
      </c>
      <c r="AL7" s="298">
        <f>+AVERAGE(AL5:AL6)*SORF!$D$4</f>
        <v>61.248164099100443</v>
      </c>
      <c r="AM7" s="483">
        <v>0</v>
      </c>
      <c r="AN7" s="483">
        <v>0</v>
      </c>
      <c r="AO7" s="483">
        <v>0</v>
      </c>
      <c r="AP7" s="483">
        <v>0</v>
      </c>
      <c r="AQ7" s="483">
        <v>0</v>
      </c>
      <c r="AR7" s="483">
        <v>0</v>
      </c>
      <c r="AS7" s="483">
        <v>0</v>
      </c>
      <c r="AT7" s="483">
        <v>0</v>
      </c>
      <c r="AU7" s="483">
        <v>0</v>
      </c>
    </row>
    <row r="8" spans="2:48" x14ac:dyDescent="0.35">
      <c r="B8" s="585" t="s">
        <v>36</v>
      </c>
      <c r="C8" s="585"/>
      <c r="D8" s="585"/>
      <c r="E8" s="581" t="s">
        <v>303</v>
      </c>
      <c r="F8" s="581"/>
      <c r="G8" s="581"/>
      <c r="H8" s="581"/>
      <c r="I8" s="581"/>
      <c r="J8" s="581"/>
      <c r="K8" s="581"/>
      <c r="L8" s="581"/>
      <c r="M8" s="581"/>
      <c r="N8" s="298">
        <f t="shared" ref="N8:AU8" si="0">650/22</f>
        <v>29.545454545454547</v>
      </c>
      <c r="O8" s="298">
        <f t="shared" si="0"/>
        <v>29.545454545454547</v>
      </c>
      <c r="P8" s="298">
        <f t="shared" si="0"/>
        <v>29.545454545454547</v>
      </c>
      <c r="Q8" s="298">
        <f t="shared" si="0"/>
        <v>29.545454545454547</v>
      </c>
      <c r="R8" s="298">
        <f t="shared" si="0"/>
        <v>29.545454545454547</v>
      </c>
      <c r="S8" s="298">
        <f t="shared" si="0"/>
        <v>29.545454545454547</v>
      </c>
      <c r="T8" s="298">
        <f t="shared" si="0"/>
        <v>29.545454545454547</v>
      </c>
      <c r="U8" s="298">
        <f t="shared" si="0"/>
        <v>29.545454545454547</v>
      </c>
      <c r="V8" s="298">
        <f t="shared" si="0"/>
        <v>29.545454545454547</v>
      </c>
      <c r="W8" s="298">
        <f t="shared" si="0"/>
        <v>29.545454545454547</v>
      </c>
      <c r="X8" s="298">
        <f t="shared" si="0"/>
        <v>29.545454545454547</v>
      </c>
      <c r="Y8" s="298">
        <f t="shared" si="0"/>
        <v>29.545454545454547</v>
      </c>
      <c r="Z8" s="298">
        <f t="shared" si="0"/>
        <v>29.545454545454547</v>
      </c>
      <c r="AA8" s="298">
        <f t="shared" si="0"/>
        <v>29.545454545454547</v>
      </c>
      <c r="AB8" s="298">
        <f t="shared" si="0"/>
        <v>29.545454545454547</v>
      </c>
      <c r="AC8" s="298">
        <f t="shared" si="0"/>
        <v>29.545454545454547</v>
      </c>
      <c r="AD8" s="298">
        <f t="shared" si="0"/>
        <v>29.545454545454547</v>
      </c>
      <c r="AE8" s="298">
        <f t="shared" si="0"/>
        <v>29.545454545454547</v>
      </c>
      <c r="AF8" s="298">
        <f t="shared" si="0"/>
        <v>29.545454545454547</v>
      </c>
      <c r="AG8" s="298">
        <f t="shared" si="0"/>
        <v>29.545454545454547</v>
      </c>
      <c r="AH8" s="298">
        <f t="shared" si="0"/>
        <v>29.545454545454547</v>
      </c>
      <c r="AI8" s="298">
        <f t="shared" si="0"/>
        <v>29.545454545454547</v>
      </c>
      <c r="AJ8" s="298">
        <f t="shared" si="0"/>
        <v>29.545454545454547</v>
      </c>
      <c r="AK8" s="298">
        <f t="shared" si="0"/>
        <v>29.545454545454547</v>
      </c>
      <c r="AL8" s="298">
        <f t="shared" si="0"/>
        <v>29.545454545454547</v>
      </c>
      <c r="AM8" s="298">
        <f t="shared" si="0"/>
        <v>29.545454545454547</v>
      </c>
      <c r="AN8" s="298">
        <f t="shared" si="0"/>
        <v>29.545454545454547</v>
      </c>
      <c r="AO8" s="298">
        <f t="shared" si="0"/>
        <v>29.545454545454547</v>
      </c>
      <c r="AP8" s="298">
        <f t="shared" si="0"/>
        <v>29.545454545454547</v>
      </c>
      <c r="AQ8" s="298">
        <f t="shared" si="0"/>
        <v>29.545454545454547</v>
      </c>
      <c r="AR8" s="298">
        <f t="shared" si="0"/>
        <v>29.545454545454547</v>
      </c>
      <c r="AS8" s="298">
        <f t="shared" si="0"/>
        <v>29.545454545454547</v>
      </c>
      <c r="AT8" s="298">
        <f t="shared" si="0"/>
        <v>29.545454545454547</v>
      </c>
      <c r="AU8" s="298">
        <f t="shared" si="0"/>
        <v>29.545454545454547</v>
      </c>
    </row>
    <row r="9" spans="2:48" x14ac:dyDescent="0.35">
      <c r="B9" s="379"/>
      <c r="C9" s="379"/>
      <c r="D9" s="379"/>
      <c r="E9" s="28" t="s">
        <v>304</v>
      </c>
      <c r="F9" s="28"/>
      <c r="G9" s="28"/>
      <c r="H9" s="28"/>
      <c r="I9" s="28"/>
      <c r="J9" s="28"/>
      <c r="K9" s="28"/>
      <c r="L9" s="28"/>
      <c r="M9" s="28"/>
      <c r="N9" s="298"/>
      <c r="O9" s="298"/>
      <c r="P9" s="298"/>
      <c r="Q9" s="298"/>
      <c r="R9" s="298"/>
      <c r="S9" s="298"/>
      <c r="T9" s="298"/>
      <c r="U9" s="298"/>
      <c r="V9" s="298"/>
      <c r="W9" s="298"/>
      <c r="X9" s="298"/>
      <c r="Y9" s="298"/>
      <c r="Z9" s="298"/>
      <c r="AA9" s="298"/>
      <c r="AB9" s="298"/>
      <c r="AC9" s="298"/>
      <c r="AD9" s="298"/>
      <c r="AE9" s="298"/>
      <c r="AF9" s="298"/>
      <c r="AG9" s="298">
        <v>28</v>
      </c>
      <c r="AH9" s="298">
        <v>28</v>
      </c>
      <c r="AI9" s="298">
        <v>28</v>
      </c>
      <c r="AJ9" s="298">
        <v>28</v>
      </c>
      <c r="AK9" s="298">
        <v>28</v>
      </c>
      <c r="AL9" s="298">
        <v>28</v>
      </c>
      <c r="AM9" s="298">
        <v>28</v>
      </c>
      <c r="AN9" s="298">
        <v>28</v>
      </c>
      <c r="AO9" s="298">
        <v>28</v>
      </c>
      <c r="AP9" s="298">
        <v>28</v>
      </c>
      <c r="AQ9" s="298">
        <v>28</v>
      </c>
      <c r="AR9" s="298">
        <v>28</v>
      </c>
      <c r="AS9" s="298">
        <v>28</v>
      </c>
      <c r="AT9" s="298">
        <v>28</v>
      </c>
      <c r="AU9" s="298">
        <v>28</v>
      </c>
    </row>
    <row r="10" spans="2:48" x14ac:dyDescent="0.35">
      <c r="B10" s="379"/>
      <c r="C10" s="379"/>
      <c r="D10" s="379"/>
      <c r="E10" s="581" t="s">
        <v>451</v>
      </c>
      <c r="F10" s="581"/>
      <c r="G10" s="581"/>
      <c r="H10" s="581"/>
      <c r="I10" s="581"/>
      <c r="J10" s="581"/>
      <c r="K10" s="581"/>
      <c r="L10" s="581"/>
      <c r="M10" s="581"/>
      <c r="N10" s="298"/>
      <c r="O10" s="298"/>
      <c r="P10" s="298"/>
      <c r="Q10" s="298"/>
      <c r="R10" s="298"/>
      <c r="S10" s="298"/>
      <c r="T10" s="298"/>
      <c r="U10" s="298"/>
      <c r="V10" s="298"/>
      <c r="W10" s="298"/>
      <c r="X10" s="298"/>
      <c r="Y10" s="298"/>
      <c r="Z10" s="298"/>
      <c r="AA10" s="298"/>
      <c r="AB10" s="298"/>
      <c r="AC10" s="298"/>
      <c r="AD10" s="298"/>
      <c r="AE10" s="298"/>
      <c r="AF10" s="298"/>
      <c r="AG10" s="298"/>
      <c r="AH10" s="298"/>
      <c r="AI10" s="298"/>
      <c r="AJ10" s="298"/>
      <c r="AK10" s="298"/>
      <c r="AL10" s="298"/>
      <c r="AM10" s="298"/>
      <c r="AN10" s="483">
        <f t="shared" ref="AN10:AS10" si="1">+AN8*23%</f>
        <v>6.7954545454545459</v>
      </c>
      <c r="AO10" s="483">
        <f t="shared" si="1"/>
        <v>6.7954545454545459</v>
      </c>
      <c r="AP10" s="483">
        <f t="shared" si="1"/>
        <v>6.7954545454545459</v>
      </c>
      <c r="AQ10" s="483">
        <f t="shared" si="1"/>
        <v>6.7954545454545459</v>
      </c>
      <c r="AR10" s="483">
        <f t="shared" si="1"/>
        <v>6.7954545454545459</v>
      </c>
      <c r="AS10" s="483">
        <f t="shared" si="1"/>
        <v>6.7954545454545459</v>
      </c>
      <c r="AT10" s="483">
        <f t="shared" ref="AT10:AU10" si="2">+AT8*23%</f>
        <v>6.7954545454545459</v>
      </c>
      <c r="AU10" s="483">
        <f t="shared" si="2"/>
        <v>6.7954545454545459</v>
      </c>
    </row>
    <row r="11" spans="2:48" x14ac:dyDescent="0.35">
      <c r="B11" s="283" t="s">
        <v>305</v>
      </c>
      <c r="C11" s="283"/>
      <c r="D11" s="283"/>
      <c r="E11" s="283"/>
      <c r="F11" s="283"/>
      <c r="G11" s="283"/>
      <c r="H11" s="283"/>
      <c r="I11" s="283"/>
      <c r="J11" s="283"/>
      <c r="K11" s="283"/>
      <c r="L11" s="283"/>
      <c r="M11" s="283"/>
      <c r="N11" s="295">
        <f t="shared" ref="N11:T11" si="3">((N5+N6)/2)+N7+N8</f>
        <v>1524.6719512868433</v>
      </c>
      <c r="O11" s="295">
        <f t="shared" si="3"/>
        <v>1487.5779536575446</v>
      </c>
      <c r="P11" s="295">
        <f t="shared" si="3"/>
        <v>1443.8261550331406</v>
      </c>
      <c r="Q11" s="295">
        <f t="shared" si="3"/>
        <v>1408.6349212018649</v>
      </c>
      <c r="R11" s="295">
        <f t="shared" si="3"/>
        <v>1412.4393789133539</v>
      </c>
      <c r="S11" s="295">
        <f t="shared" si="3"/>
        <v>1428.6083241871834</v>
      </c>
      <c r="T11" s="295">
        <f t="shared" si="3"/>
        <v>1446.6794983167574</v>
      </c>
      <c r="U11" s="295">
        <f t="shared" ref="U11:V11" si="4">((U5+U6)/2)+U7+U8</f>
        <v>1459.99510030697</v>
      </c>
      <c r="V11" s="295">
        <f t="shared" si="4"/>
        <v>1471.408473441438</v>
      </c>
      <c r="W11" s="295">
        <f t="shared" ref="W11:X11" si="5">((W5+W6)/2)+W7+W8</f>
        <v>1471.408473441438</v>
      </c>
      <c r="X11" s="295">
        <f t="shared" si="5"/>
        <v>1483.7738238139032</v>
      </c>
      <c r="Y11" s="295">
        <f t="shared" ref="Y11:Z11" si="6">((Y5+Y6)/2)+Y7+Y8</f>
        <v>1494.2275881548126</v>
      </c>
      <c r="Z11" s="295">
        <f t="shared" si="6"/>
        <v>1519.9576596474537</v>
      </c>
      <c r="AA11" s="295">
        <f t="shared" ref="AA11:AB11" si="7">((AA5+AA6)/2)+AA7+AA8</f>
        <v>1541.9928079073379</v>
      </c>
      <c r="AB11" s="295">
        <f t="shared" si="7"/>
        <v>1568.8288863096018</v>
      </c>
      <c r="AC11" s="295" t="e">
        <f t="shared" ref="AC11:AD11" si="8">((AC5+AC6)/2)+AC7+AC8</f>
        <v>#REF!</v>
      </c>
      <c r="AD11" s="295" t="e">
        <f t="shared" si="8"/>
        <v>#REF!</v>
      </c>
      <c r="AE11" s="295" t="e">
        <f t="shared" ref="AE11:AF11" si="9">((AE5+AE6)/2)+AE7+AE8</f>
        <v>#REF!</v>
      </c>
      <c r="AF11" s="295" t="e">
        <f t="shared" si="9"/>
        <v>#REF!</v>
      </c>
      <c r="AG11" s="295" t="e">
        <f t="shared" ref="AG11:AL11" si="10">((AG5+AG6)/2)+AG7+AG8+AG9</f>
        <v>#REF!</v>
      </c>
      <c r="AH11" s="295">
        <f t="shared" si="10"/>
        <v>1770.4423624512901</v>
      </c>
      <c r="AI11" s="295">
        <f t="shared" si="10"/>
        <v>1787.5617232767902</v>
      </c>
      <c r="AJ11" s="295">
        <f t="shared" si="10"/>
        <v>1815.1426568748357</v>
      </c>
      <c r="AK11" s="295">
        <f t="shared" si="10"/>
        <v>1850.329951977888</v>
      </c>
      <c r="AL11" s="295">
        <f t="shared" si="10"/>
        <v>1850.329951977888</v>
      </c>
      <c r="AM11" s="295">
        <f t="shared" ref="AM11" si="11">((AM5+AM6)/2)+AM7+AM8+AM9</f>
        <v>1777.140621212121</v>
      </c>
      <c r="AN11" s="295">
        <f>((AN5+AN6)/2)+AN7+AN8+AN9+AN10</f>
        <v>1748.1110757575757</v>
      </c>
      <c r="AO11" s="295">
        <f t="shared" ref="AO11:AP11" si="12">((AO5+AO6)/2)+AO7+AO8+AO9+AO10</f>
        <v>1661.7655757575756</v>
      </c>
      <c r="AP11" s="295">
        <f t="shared" si="12"/>
        <v>1579.0939090909092</v>
      </c>
      <c r="AQ11" s="295">
        <f t="shared" ref="AQ11:AR11" si="13">((AQ5+AQ6)/2)+AQ7+AQ8+AQ9+AQ10</f>
        <v>1550.6172424242425</v>
      </c>
      <c r="AR11" s="295">
        <f t="shared" si="13"/>
        <v>1523.060909090909</v>
      </c>
      <c r="AS11" s="295">
        <f t="shared" ref="AS11:AT11" si="14">((AS5+AS6)/2)+AS7+AS8+AS9+AS10</f>
        <v>1531.3275757575757</v>
      </c>
      <c r="AT11" s="295">
        <f t="shared" si="14"/>
        <v>1538.675909090909</v>
      </c>
      <c r="AU11" s="295">
        <f t="shared" ref="AU11" si="15">((AU5+AU6)/2)+AU7+AU8+AU9+AU10</f>
        <v>1507.4442424242425</v>
      </c>
    </row>
  </sheetData>
  <mergeCells count="12">
    <mergeCell ref="E10:M10"/>
    <mergeCell ref="B4:D4"/>
    <mergeCell ref="E4:M4"/>
    <mergeCell ref="B7:D7"/>
    <mergeCell ref="E7:M7"/>
    <mergeCell ref="B3:AF3"/>
    <mergeCell ref="B8:D8"/>
    <mergeCell ref="E8:M8"/>
    <mergeCell ref="B5:D5"/>
    <mergeCell ref="E5:M5"/>
    <mergeCell ref="B6:D6"/>
    <mergeCell ref="E6:M6"/>
  </mergeCells>
  <pageMargins left="0.7" right="0.7" top="0.75" bottom="0.75" header="0.3" footer="0.3"/>
  <pageSetup orientation="portrait" r:id="rId1"/>
  <customProperties>
    <customPr name="EpmWorksheetKeyString_GUID" r:id="rId2"/>
  </customPropertie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29B13-55C3-4133-B4C0-58FB2138801C}">
  <sheetPr>
    <tabColor theme="4"/>
  </sheetPr>
  <dimension ref="B2:AL29"/>
  <sheetViews>
    <sheetView showGridLines="0" topLeftCell="A9" zoomScale="110" zoomScaleNormal="110" workbookViewId="0">
      <selection activeCell="AL4" sqref="AL4"/>
    </sheetView>
  </sheetViews>
  <sheetFormatPr defaultColWidth="9.1796875" defaultRowHeight="14.5" x14ac:dyDescent="0.35"/>
  <cols>
    <col min="1" max="1" width="9.1796875" style="303"/>
    <col min="2" max="2" width="12.1796875" style="303" bestFit="1" customWidth="1"/>
    <col min="3" max="3" width="10.453125" style="303" bestFit="1" customWidth="1"/>
    <col min="4" max="5" width="9.54296875" style="303" bestFit="1" customWidth="1"/>
    <col min="6" max="6" width="10.81640625" style="303" hidden="1" customWidth="1"/>
    <col min="7" max="19" width="10.54296875" style="303" hidden="1" customWidth="1"/>
    <col min="20" max="20" width="11.1796875" style="303" hidden="1" customWidth="1"/>
    <col min="21" max="21" width="9.26953125" style="303" hidden="1" customWidth="1"/>
    <col min="22" max="35" width="10.54296875" style="303" hidden="1" customWidth="1"/>
    <col min="36" max="71" width="10.54296875" style="303" customWidth="1"/>
    <col min="72" max="16384" width="9.1796875" style="303"/>
  </cols>
  <sheetData>
    <row r="2" spans="2:38" x14ac:dyDescent="0.35">
      <c r="C2" s="631" t="str">
        <f>+'Formula PCR'!E6</f>
        <v>ICIS  WC FDA Promedio Q anterior</v>
      </c>
      <c r="D2" s="631"/>
      <c r="E2" s="631"/>
      <c r="F2" s="309">
        <v>45108</v>
      </c>
      <c r="G2" s="309">
        <v>45139</v>
      </c>
      <c r="H2" s="309">
        <v>45170</v>
      </c>
      <c r="I2" s="309">
        <v>45200</v>
      </c>
      <c r="J2" s="309">
        <v>45231</v>
      </c>
      <c r="K2" s="309">
        <v>45261</v>
      </c>
      <c r="L2" s="309">
        <v>45292</v>
      </c>
      <c r="M2" s="309">
        <v>45323</v>
      </c>
      <c r="N2" s="309">
        <v>45352</v>
      </c>
      <c r="O2" s="309">
        <v>45383</v>
      </c>
      <c r="P2" s="309">
        <v>45413</v>
      </c>
      <c r="Q2" s="309">
        <v>45444</v>
      </c>
      <c r="R2" s="309">
        <v>45474</v>
      </c>
      <c r="S2" s="309">
        <v>45505</v>
      </c>
      <c r="T2" s="309">
        <v>45536</v>
      </c>
      <c r="U2" s="309">
        <v>45566</v>
      </c>
      <c r="V2" s="309">
        <v>45597</v>
      </c>
      <c r="W2" s="309">
        <v>45627</v>
      </c>
      <c r="X2" s="309">
        <v>45658</v>
      </c>
      <c r="Y2" s="309">
        <v>45689</v>
      </c>
      <c r="Z2" s="309">
        <v>45717</v>
      </c>
      <c r="AA2" s="309">
        <v>45748</v>
      </c>
      <c r="AB2" s="309">
        <v>45778</v>
      </c>
      <c r="AC2" s="309">
        <v>45809</v>
      </c>
      <c r="AD2" s="309">
        <v>45839</v>
      </c>
      <c r="AE2" s="309">
        <v>45870</v>
      </c>
      <c r="AF2" s="309">
        <v>45901</v>
      </c>
      <c r="AG2" s="309">
        <v>45931</v>
      </c>
      <c r="AH2" s="309">
        <v>45962</v>
      </c>
      <c r="AI2" s="309">
        <v>45992</v>
      </c>
      <c r="AJ2" s="309">
        <v>46023</v>
      </c>
      <c r="AK2" s="309">
        <v>46054</v>
      </c>
      <c r="AL2" s="309">
        <v>46082</v>
      </c>
    </row>
    <row r="3" spans="2:38" x14ac:dyDescent="0.35">
      <c r="C3" s="631"/>
      <c r="D3" s="631"/>
      <c r="E3" s="631"/>
      <c r="F3" s="308">
        <v>1535.8850000000002</v>
      </c>
      <c r="G3" s="308">
        <v>1528.5349999999999</v>
      </c>
      <c r="H3" s="308">
        <v>1521.1850000000002</v>
      </c>
      <c r="I3" s="308">
        <v>1521.1850000000002</v>
      </c>
      <c r="J3" s="308">
        <v>1521.1850000000002</v>
      </c>
      <c r="K3" s="308">
        <v>1521.1850000000002</v>
      </c>
      <c r="L3" s="308">
        <v>1521.1850000000002</v>
      </c>
      <c r="M3" s="308">
        <v>1521.1850000000002</v>
      </c>
      <c r="N3" s="308">
        <v>1521.1850000000002</v>
      </c>
      <c r="O3" s="308">
        <v>1521.1850000000002</v>
      </c>
      <c r="P3" s="308">
        <v>1521.1866666666665</v>
      </c>
      <c r="Q3" s="308">
        <v>1521.1883333333335</v>
      </c>
      <c r="R3" s="308">
        <v>1521.1899999999998</v>
      </c>
      <c r="S3" s="308">
        <v>1521.1899999999998</v>
      </c>
      <c r="T3" s="308">
        <v>1521.1899999999998</v>
      </c>
      <c r="U3" s="308" t="e">
        <f>+AVERAGE(#REF!)</f>
        <v>#REF!</v>
      </c>
      <c r="V3" s="308" t="e">
        <f>+AVERAGE(#REF!)</f>
        <v>#REF!</v>
      </c>
      <c r="W3" s="308" t="e">
        <f>+AVERAGE(#REF!)</f>
        <v>#REF!</v>
      </c>
      <c r="X3" s="308" t="e">
        <f>+AVERAGE(#REF!)</f>
        <v>#REF!</v>
      </c>
      <c r="Y3" s="308">
        <f>+AVERAGE(E8:E8)</f>
        <v>1697.56</v>
      </c>
      <c r="Z3" s="308">
        <f>+AVERAGE(E8:E9)</f>
        <v>1697.56</v>
      </c>
      <c r="AA3" s="308">
        <f>+AVERAGE(E8:E10)</f>
        <v>1712.2566666666669</v>
      </c>
      <c r="AB3" s="308">
        <f>+AVERAGE(E9:E11)</f>
        <v>1756.3466666666666</v>
      </c>
      <c r="AC3" s="308">
        <f>+AVERAGE(E11:E13)</f>
        <v>1829.83</v>
      </c>
      <c r="AD3" s="308">
        <f>+AVERAGE(E12:E14)</f>
        <v>1829.83</v>
      </c>
      <c r="AE3" s="308">
        <f>+AVERAGE(E12:E14)</f>
        <v>1829.83</v>
      </c>
      <c r="AF3" s="308">
        <f>+AVERAGE(E13:E15)</f>
        <v>1829.83</v>
      </c>
      <c r="AG3" s="308">
        <f>+AVERAGE(E14:E16)</f>
        <v>1771.0433333333333</v>
      </c>
      <c r="AH3" s="308">
        <f>+AVERAGE(E15:E17)</f>
        <v>1712.2566666666669</v>
      </c>
      <c r="AI3" s="308">
        <f>+AVERAGE(E16:E18)</f>
        <v>1653.47</v>
      </c>
      <c r="AJ3" s="308">
        <f>+AVERAGE(E17:E19)</f>
        <v>1653.47</v>
      </c>
      <c r="AK3" s="308">
        <f>+AVERAGE(E18:E20)</f>
        <v>1653.47</v>
      </c>
      <c r="AL3" s="308">
        <f>+AVERAGE(E19:E21)</f>
        <v>1653.47</v>
      </c>
    </row>
    <row r="4" spans="2:38" x14ac:dyDescent="0.35">
      <c r="C4" s="531"/>
      <c r="D4" s="531"/>
      <c r="E4" s="531"/>
      <c r="F4" s="307"/>
      <c r="G4" s="307"/>
      <c r="H4" s="307"/>
      <c r="I4" s="307"/>
      <c r="J4" s="307"/>
      <c r="K4" s="307"/>
      <c r="L4" s="307"/>
      <c r="M4" s="307"/>
      <c r="N4" s="307"/>
      <c r="O4" s="307"/>
      <c r="P4" s="307"/>
      <c r="Q4" s="307"/>
      <c r="R4" s="307"/>
      <c r="S4" s="307"/>
      <c r="T4" s="307"/>
      <c r="U4" s="307"/>
      <c r="V4" s="307"/>
      <c r="W4" s="307"/>
      <c r="X4" s="307"/>
      <c r="Y4" s="307"/>
      <c r="Z4" s="307"/>
      <c r="AA4" s="307"/>
      <c r="AB4" s="307"/>
      <c r="AC4" s="307"/>
      <c r="AD4" s="307"/>
      <c r="AE4" s="307"/>
      <c r="AF4" s="501"/>
      <c r="AG4" s="501"/>
      <c r="AH4" s="501"/>
    </row>
    <row r="5" spans="2:38" hidden="1" x14ac:dyDescent="0.35">
      <c r="F5" s="307"/>
      <c r="AH5" s="333" t="s">
        <v>343</v>
      </c>
    </row>
    <row r="6" spans="2:38" hidden="1" x14ac:dyDescent="0.35"/>
    <row r="7" spans="2:38" x14ac:dyDescent="0.35">
      <c r="B7" s="304" t="s">
        <v>344</v>
      </c>
      <c r="C7" s="304" t="s">
        <v>345</v>
      </c>
      <c r="D7" s="304" t="s">
        <v>346</v>
      </c>
      <c r="E7" s="304" t="s">
        <v>347</v>
      </c>
      <c r="F7" s="304" t="s">
        <v>348</v>
      </c>
      <c r="Z7" s="630"/>
      <c r="AA7" s="630"/>
      <c r="AB7" s="630"/>
      <c r="AC7" s="630"/>
      <c r="AD7" s="630"/>
      <c r="AE7" s="630"/>
      <c r="AF7" s="630"/>
      <c r="AG7" s="630"/>
      <c r="AH7" s="630"/>
      <c r="AI7" s="630"/>
    </row>
    <row r="8" spans="2:38" x14ac:dyDescent="0.35">
      <c r="B8" s="326" t="s">
        <v>315</v>
      </c>
      <c r="C8" s="305" t="s">
        <v>349</v>
      </c>
      <c r="D8" s="306">
        <v>1609.37</v>
      </c>
      <c r="E8" s="306">
        <v>1697.56</v>
      </c>
    </row>
    <row r="9" spans="2:38" x14ac:dyDescent="0.35">
      <c r="B9" s="326" t="s">
        <v>316</v>
      </c>
      <c r="C9" s="305" t="s">
        <v>349</v>
      </c>
      <c r="D9" s="306">
        <v>1609.37</v>
      </c>
      <c r="E9" s="306">
        <v>1697.56</v>
      </c>
    </row>
    <row r="10" spans="2:38" x14ac:dyDescent="0.35">
      <c r="B10" s="326" t="s">
        <v>350</v>
      </c>
      <c r="C10" s="305" t="s">
        <v>349</v>
      </c>
      <c r="D10" s="306">
        <v>1642.44</v>
      </c>
      <c r="E10" s="306">
        <v>1741.65</v>
      </c>
    </row>
    <row r="11" spans="2:38" x14ac:dyDescent="0.35">
      <c r="B11" s="426" t="s">
        <v>351</v>
      </c>
      <c r="C11" s="305" t="s">
        <v>349</v>
      </c>
      <c r="D11" s="306">
        <v>1697.56</v>
      </c>
      <c r="E11" s="306">
        <v>1829.83</v>
      </c>
    </row>
    <row r="12" spans="2:38" x14ac:dyDescent="0.35">
      <c r="B12" s="426" t="s">
        <v>318</v>
      </c>
      <c r="C12" s="305" t="s">
        <v>349</v>
      </c>
      <c r="D12" s="306">
        <v>1697.56</v>
      </c>
      <c r="E12" s="306">
        <v>1829.83</v>
      </c>
    </row>
    <row r="13" spans="2:38" x14ac:dyDescent="0.35">
      <c r="B13" s="426" t="s">
        <v>308</v>
      </c>
      <c r="C13" s="305" t="s">
        <v>349</v>
      </c>
      <c r="D13" s="306">
        <v>1697.56</v>
      </c>
      <c r="E13" s="306">
        <v>1829.83</v>
      </c>
    </row>
    <row r="14" spans="2:38" x14ac:dyDescent="0.35">
      <c r="B14" s="448" t="s">
        <v>309</v>
      </c>
      <c r="C14" s="305" t="s">
        <v>349</v>
      </c>
      <c r="D14" s="306">
        <v>1697.56</v>
      </c>
      <c r="E14" s="306">
        <v>1829.83</v>
      </c>
    </row>
    <row r="15" spans="2:38" x14ac:dyDescent="0.35">
      <c r="B15" s="448" t="s">
        <v>310</v>
      </c>
      <c r="C15" s="305" t="s">
        <v>349</v>
      </c>
      <c r="D15" s="306">
        <v>1697.56</v>
      </c>
      <c r="E15" s="306">
        <v>1829.83</v>
      </c>
    </row>
    <row r="16" spans="2:38" x14ac:dyDescent="0.35">
      <c r="B16" s="448" t="s">
        <v>311</v>
      </c>
      <c r="C16" s="305" t="s">
        <v>349</v>
      </c>
      <c r="D16" s="306">
        <v>1587.33</v>
      </c>
      <c r="E16" s="306">
        <v>1653.47</v>
      </c>
    </row>
    <row r="17" spans="2:35" x14ac:dyDescent="0.35">
      <c r="B17" s="486" t="s">
        <v>312</v>
      </c>
      <c r="C17" s="305" t="s">
        <v>349</v>
      </c>
      <c r="D17" s="306">
        <v>1587.33</v>
      </c>
      <c r="E17" s="306">
        <v>1653.47</v>
      </c>
    </row>
    <row r="18" spans="2:35" x14ac:dyDescent="0.35">
      <c r="B18" s="486" t="s">
        <v>313</v>
      </c>
      <c r="C18" s="305" t="s">
        <v>349</v>
      </c>
      <c r="D18" s="306">
        <v>1587.33</v>
      </c>
      <c r="E18" s="306">
        <v>1653.47</v>
      </c>
    </row>
    <row r="19" spans="2:35" x14ac:dyDescent="0.35">
      <c r="B19" s="486" t="s">
        <v>314</v>
      </c>
      <c r="C19" s="305" t="s">
        <v>349</v>
      </c>
      <c r="D19" s="306">
        <v>1587.33</v>
      </c>
      <c r="E19" s="306">
        <v>1653.47</v>
      </c>
    </row>
    <row r="20" spans="2:35" x14ac:dyDescent="0.35">
      <c r="B20" s="507" t="s">
        <v>315</v>
      </c>
      <c r="C20" s="305" t="s">
        <v>349</v>
      </c>
      <c r="D20" s="306">
        <v>1587.33</v>
      </c>
      <c r="E20" s="306">
        <v>1653.47</v>
      </c>
    </row>
    <row r="21" spans="2:35" x14ac:dyDescent="0.35">
      <c r="B21" s="507" t="s">
        <v>316</v>
      </c>
      <c r="C21" s="305" t="s">
        <v>349</v>
      </c>
      <c r="D21" s="306">
        <v>1587.33</v>
      </c>
      <c r="E21" s="306">
        <v>1653.47</v>
      </c>
    </row>
    <row r="29" spans="2:35" x14ac:dyDescent="0.35">
      <c r="AI29"/>
    </row>
  </sheetData>
  <mergeCells count="2">
    <mergeCell ref="Z7:AI7"/>
    <mergeCell ref="C2:E3"/>
  </mergeCells>
  <phoneticPr fontId="27" type="noConversion"/>
  <pageMargins left="0.7" right="0.7" top="0.75" bottom="0.75" header="0.3" footer="0.3"/>
  <pageSetup paperSize="9" orientation="portrait" r:id="rId1"/>
  <customProperties>
    <customPr name="EpmWorksheetKeyString_GUID" r:id="rId2"/>
  </customProperties>
  <ignoredErrors>
    <ignoredError sqref="V3:Z3 AA3:AB3 AC3:AD3 AE3:AG3 AH2:AJ3" formulaRange="1"/>
  </ignoredError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63B90-DB43-4629-90C8-B816BEA72E5F}">
  <dimension ref="B2:V29"/>
  <sheetViews>
    <sheetView showGridLines="0" topLeftCell="A19" zoomScale="130" zoomScaleNormal="130" workbookViewId="0">
      <selection activeCell="E31" sqref="E31"/>
    </sheetView>
  </sheetViews>
  <sheetFormatPr defaultColWidth="11.453125" defaultRowHeight="14.5" x14ac:dyDescent="0.35"/>
  <cols>
    <col min="9" max="9" width="8.81640625" bestFit="1" customWidth="1"/>
    <col min="10" max="10" width="10.81640625" bestFit="1" customWidth="1"/>
  </cols>
  <sheetData>
    <row r="2" spans="2:22" x14ac:dyDescent="0.35">
      <c r="B2" s="632" t="s">
        <v>164</v>
      </c>
      <c r="C2" s="632"/>
      <c r="D2" s="632"/>
      <c r="E2" s="632"/>
      <c r="F2" s="632"/>
      <c r="G2" s="632"/>
      <c r="K2" s="633" t="s">
        <v>352</v>
      </c>
      <c r="L2" s="633"/>
      <c r="M2" s="633"/>
      <c r="N2" s="633"/>
      <c r="O2" s="633"/>
    </row>
    <row r="3" spans="2:22" x14ac:dyDescent="0.35">
      <c r="B3" s="268" t="s">
        <v>353</v>
      </c>
      <c r="C3" s="268" t="s">
        <v>354</v>
      </c>
      <c r="D3" s="268" t="s">
        <v>355</v>
      </c>
      <c r="E3" s="268" t="s">
        <v>356</v>
      </c>
      <c r="F3" s="268" t="s">
        <v>357</v>
      </c>
      <c r="G3" s="269" t="s">
        <v>358</v>
      </c>
      <c r="H3" s="265" t="s">
        <v>359</v>
      </c>
      <c r="I3" s="269" t="s">
        <v>360</v>
      </c>
      <c r="J3" s="270" t="s">
        <v>361</v>
      </c>
      <c r="K3" s="268" t="s">
        <v>354</v>
      </c>
      <c r="L3" s="268" t="s">
        <v>355</v>
      </c>
      <c r="M3" s="268" t="s">
        <v>356</v>
      </c>
      <c r="N3" s="268" t="s">
        <v>357</v>
      </c>
      <c r="O3" s="268" t="s">
        <v>358</v>
      </c>
    </row>
    <row r="4" spans="2:22" x14ac:dyDescent="0.35">
      <c r="B4" s="263">
        <v>16.7</v>
      </c>
      <c r="C4" s="264">
        <v>0.184</v>
      </c>
      <c r="D4" s="264">
        <v>0.154</v>
      </c>
      <c r="E4" s="264">
        <v>0.14000000000000001</v>
      </c>
      <c r="F4" s="264">
        <v>0.52</v>
      </c>
      <c r="G4" s="264">
        <f>+SUM(C4:F4)</f>
        <v>0.998</v>
      </c>
      <c r="H4" s="266">
        <v>8.41005</v>
      </c>
      <c r="I4" s="634">
        <f>3.74%*50%</f>
        <v>1.8700000000000001E-2</v>
      </c>
      <c r="J4" s="634">
        <v>5.8000000000000003E-2</v>
      </c>
      <c r="K4" s="266">
        <f>+$H$4*C4*(1+$I$4)</f>
        <v>1.5763865000399999</v>
      </c>
      <c r="L4" s="266">
        <f>+$H$4*D4*(1+$J$4)</f>
        <v>1.3702662666000001</v>
      </c>
      <c r="M4" s="266">
        <f>+$H$4*E4*(1+$I$4)</f>
        <v>1.1994245109000001</v>
      </c>
      <c r="N4" s="266">
        <f>+$H$4*F4*(1+$I$4)</f>
        <v>4.4550053261999993</v>
      </c>
      <c r="O4" s="267">
        <f>+SUM(K4:N4)</f>
        <v>8.6010826037400001</v>
      </c>
    </row>
    <row r="5" spans="2:22" x14ac:dyDescent="0.35">
      <c r="B5" s="263">
        <v>38.6</v>
      </c>
      <c r="C5" s="264">
        <v>0.24</v>
      </c>
      <c r="D5" s="264">
        <v>0.2</v>
      </c>
      <c r="E5" s="264">
        <v>0.18</v>
      </c>
      <c r="F5" s="264">
        <v>0.38</v>
      </c>
      <c r="G5" s="264">
        <f t="shared" ref="G5:G6" si="0">+SUM(C5:F5)</f>
        <v>1</v>
      </c>
      <c r="H5" s="266">
        <v>11.447862000000001</v>
      </c>
      <c r="I5" s="634"/>
      <c r="J5" s="634"/>
      <c r="K5" s="266">
        <f>+$H$5*C5*(1+$I$4)</f>
        <v>2.7988648846559996</v>
      </c>
      <c r="L5" s="266">
        <f>+$H$5*D5*(1+$J$4)</f>
        <v>2.4223675992000007</v>
      </c>
      <c r="M5" s="266">
        <f>+$H$5*E5*(1+$I$4)</f>
        <v>2.099148663492</v>
      </c>
      <c r="N5" s="266">
        <f>+$H$5*F5*(1+$I$4)</f>
        <v>4.4315360673719999</v>
      </c>
      <c r="O5" s="267">
        <f>+SUM(K5:N5)</f>
        <v>11.751917214719999</v>
      </c>
    </row>
    <row r="6" spans="2:22" x14ac:dyDescent="0.35">
      <c r="B6" s="263">
        <v>20.5</v>
      </c>
      <c r="C6" s="264">
        <v>0.23</v>
      </c>
      <c r="D6" s="264">
        <v>0.17499999999999999</v>
      </c>
      <c r="E6" s="264">
        <v>0.17</v>
      </c>
      <c r="F6" s="264">
        <v>0.42499999999999999</v>
      </c>
      <c r="G6" s="264">
        <f t="shared" si="0"/>
        <v>1</v>
      </c>
      <c r="H6" s="266">
        <v>8.41005</v>
      </c>
      <c r="I6" s="634"/>
      <c r="J6" s="634"/>
      <c r="K6" s="266">
        <f>+$H$6*C6*(1+$I$4)</f>
        <v>1.9704831250500001</v>
      </c>
      <c r="L6" s="266">
        <f>+$H$6*D6*(1+$J$4)</f>
        <v>1.5571207575000001</v>
      </c>
      <c r="M6" s="266">
        <f>+$H$6*E6*(1+$I$4)</f>
        <v>1.4564440489499999</v>
      </c>
      <c r="N6" s="266">
        <f>+$H$6*F6*(1+$I$4)</f>
        <v>3.6411101223749998</v>
      </c>
      <c r="O6" s="267">
        <f t="shared" ref="O6" si="1">+SUM(K6:N6)</f>
        <v>8.6251580538749995</v>
      </c>
    </row>
    <row r="7" spans="2:22" x14ac:dyDescent="0.35">
      <c r="V7" t="s">
        <v>362</v>
      </c>
    </row>
    <row r="8" spans="2:22" x14ac:dyDescent="0.35">
      <c r="J8" s="271" t="s">
        <v>363</v>
      </c>
    </row>
    <row r="29" spans="2:16" x14ac:dyDescent="0.35">
      <c r="B29" s="635" t="s">
        <v>364</v>
      </c>
      <c r="C29" s="635"/>
      <c r="D29" s="635"/>
      <c r="E29" s="635"/>
      <c r="F29" s="635"/>
      <c r="G29" s="635"/>
      <c r="H29" s="635"/>
      <c r="I29" s="635"/>
      <c r="J29" s="635"/>
      <c r="K29" s="635"/>
      <c r="L29" s="635"/>
      <c r="M29" s="635"/>
      <c r="N29" s="635"/>
      <c r="O29" s="635"/>
      <c r="P29" s="635"/>
    </row>
  </sheetData>
  <mergeCells count="5">
    <mergeCell ref="B2:G2"/>
    <mergeCell ref="K2:O2"/>
    <mergeCell ref="I4:I6"/>
    <mergeCell ref="J4:J6"/>
    <mergeCell ref="B29:P29"/>
  </mergeCells>
  <pageMargins left="0.7" right="0.7" top="0.75" bottom="0.75" header="0.3" footer="0.3"/>
  <pageSetup orientation="portrait" r:id="rId1"/>
  <customProperties>
    <customPr name="EpmWorksheetKeyString_GUID" r:id="rId2"/>
  </customProperties>
  <ignoredErrors>
    <ignoredError sqref="G4:G5 G6" formulaRange="1"/>
    <ignoredError sqref="L4:L5 L6" formula="1"/>
  </ignoredErrors>
  <drawing r:id="rId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635DF-0E27-4872-ABD4-AFCC1C728C42}">
  <dimension ref="B3:D4"/>
  <sheetViews>
    <sheetView showGridLines="0" topLeftCell="A7" zoomScale="115" zoomScaleNormal="115" workbookViewId="0">
      <selection activeCell="C32" sqref="C32"/>
    </sheetView>
  </sheetViews>
  <sheetFormatPr defaultColWidth="11.453125" defaultRowHeight="14.5" x14ac:dyDescent="0.35"/>
  <sheetData>
    <row r="3" spans="2:4" x14ac:dyDescent="0.35">
      <c r="C3" s="276" t="s">
        <v>365</v>
      </c>
      <c r="D3" s="276" t="s">
        <v>51</v>
      </c>
    </row>
    <row r="4" spans="2:4" x14ac:dyDescent="0.35">
      <c r="B4" s="277">
        <v>46024</v>
      </c>
      <c r="C4" s="278">
        <v>3.5776200000000001E-2</v>
      </c>
      <c r="D4" s="279">
        <f>+((C4+3.8%)/365)*175</f>
        <v>3.5372150684931505E-2</v>
      </c>
    </row>
  </sheetData>
  <pageMargins left="0.7" right="0.7" top="0.75" bottom="0.75" header="0.3" footer="0.3"/>
  <customProperties>
    <customPr name="EpmWorksheetKeyString_GUID" r:id="rId1"/>
  </customProperties>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D19A9-0B59-4B15-BC39-F75078CC63B8}">
  <dimension ref="A3:AO21"/>
  <sheetViews>
    <sheetView showGridLines="0" zoomScaleNormal="100" workbookViewId="0">
      <pane xSplit="5" topLeftCell="AC1" activePane="topRight" state="frozen"/>
      <selection pane="topRight" activeCell="AN16" sqref="AN16"/>
    </sheetView>
  </sheetViews>
  <sheetFormatPr defaultColWidth="11.54296875" defaultRowHeight="14.5" x14ac:dyDescent="0.35"/>
  <cols>
    <col min="1" max="2" width="11.54296875" style="300"/>
    <col min="3" max="3" width="22.81640625" style="300" customWidth="1"/>
    <col min="4" max="4" width="44.54296875" style="300" customWidth="1"/>
    <col min="5" max="5" width="14.81640625" style="300" bestFit="1" customWidth="1"/>
    <col min="6" max="7" width="9.54296875" style="300" hidden="1" customWidth="1"/>
    <col min="8" max="20" width="11.54296875" style="300" hidden="1" customWidth="1"/>
    <col min="21" max="21" width="0" style="300" hidden="1" customWidth="1"/>
    <col min="22" max="22" width="9.7265625" style="300" hidden="1" customWidth="1"/>
    <col min="23" max="28" width="0" style="300" hidden="1" customWidth="1"/>
    <col min="29" max="36" width="9.54296875" style="300" bestFit="1" customWidth="1"/>
    <col min="37" max="16384" width="11.54296875" style="300"/>
  </cols>
  <sheetData>
    <row r="3" spans="1:41" x14ac:dyDescent="0.35">
      <c r="A3" s="299" t="s">
        <v>215</v>
      </c>
    </row>
    <row r="4" spans="1:41" x14ac:dyDescent="0.35">
      <c r="A4" s="300" t="s">
        <v>366</v>
      </c>
    </row>
    <row r="9" spans="1:41" x14ac:dyDescent="0.35">
      <c r="C9" s="300" t="s">
        <v>80</v>
      </c>
    </row>
    <row r="10" spans="1:41" x14ac:dyDescent="0.35">
      <c r="C10" s="301" t="s">
        <v>218</v>
      </c>
      <c r="D10" s="301" t="s">
        <v>219</v>
      </c>
      <c r="F10" s="310">
        <v>45017</v>
      </c>
      <c r="G10" s="310">
        <v>45047</v>
      </c>
      <c r="H10" s="310">
        <v>45078</v>
      </c>
      <c r="I10" s="310">
        <v>45108</v>
      </c>
      <c r="J10" s="310">
        <v>45139</v>
      </c>
      <c r="K10" s="310">
        <v>45170</v>
      </c>
      <c r="L10" s="310">
        <v>45200</v>
      </c>
      <c r="M10" s="310">
        <v>45231</v>
      </c>
      <c r="N10" s="310">
        <v>45261</v>
      </c>
      <c r="O10" s="310">
        <v>45292</v>
      </c>
      <c r="P10" s="310">
        <v>45323</v>
      </c>
      <c r="Q10" s="310">
        <v>45353</v>
      </c>
      <c r="R10" s="310">
        <v>45383</v>
      </c>
      <c r="S10" s="310">
        <v>45413</v>
      </c>
      <c r="T10" s="310">
        <v>45444</v>
      </c>
      <c r="U10" s="310">
        <v>45475</v>
      </c>
      <c r="V10" s="332" t="s">
        <v>367</v>
      </c>
      <c r="W10" s="332" t="s">
        <v>368</v>
      </c>
      <c r="X10" s="332" t="s">
        <v>369</v>
      </c>
      <c r="Y10" s="332" t="s">
        <v>370</v>
      </c>
      <c r="Z10" s="332" t="s">
        <v>371</v>
      </c>
      <c r="AA10" s="332" t="s">
        <v>372</v>
      </c>
      <c r="AB10" s="332" t="s">
        <v>373</v>
      </c>
      <c r="AC10" s="332" t="s">
        <v>374</v>
      </c>
      <c r="AD10" s="332" t="s">
        <v>375</v>
      </c>
      <c r="AE10" s="332" t="s">
        <v>376</v>
      </c>
      <c r="AF10" s="332" t="s">
        <v>424</v>
      </c>
      <c r="AG10" s="332" t="s">
        <v>425</v>
      </c>
      <c r="AH10" s="332" t="s">
        <v>427</v>
      </c>
      <c r="AI10" s="332" t="s">
        <v>429</v>
      </c>
      <c r="AJ10" s="332" t="s">
        <v>447</v>
      </c>
      <c r="AK10" s="332" t="s">
        <v>466</v>
      </c>
      <c r="AL10" s="332" t="s">
        <v>468</v>
      </c>
      <c r="AM10" s="332" t="s">
        <v>470</v>
      </c>
      <c r="AN10" s="332" t="s">
        <v>472</v>
      </c>
      <c r="AO10" s="332" t="s">
        <v>474</v>
      </c>
    </row>
    <row r="11" spans="1:41" x14ac:dyDescent="0.35">
      <c r="C11" s="300" t="s">
        <v>224</v>
      </c>
      <c r="D11" s="300" t="s">
        <v>234</v>
      </c>
      <c r="E11" s="300" t="s">
        <v>377</v>
      </c>
      <c r="F11" s="311">
        <v>61.75</v>
      </c>
      <c r="G11" s="311">
        <v>61.75</v>
      </c>
      <c r="H11" s="311">
        <v>60.5</v>
      </c>
      <c r="I11" s="312">
        <v>53</v>
      </c>
      <c r="J11" s="311">
        <v>51.25</v>
      </c>
      <c r="K11" s="313">
        <v>51.25</v>
      </c>
      <c r="L11" s="312">
        <v>54</v>
      </c>
      <c r="M11" s="312">
        <v>55.5</v>
      </c>
      <c r="N11" s="312">
        <v>56</v>
      </c>
      <c r="O11" s="312">
        <v>57.5</v>
      </c>
      <c r="P11" s="312">
        <v>58.5</v>
      </c>
      <c r="Q11" s="300">
        <v>59.25</v>
      </c>
    </row>
    <row r="12" spans="1:41" x14ac:dyDescent="0.35">
      <c r="E12" s="302" t="s">
        <v>378</v>
      </c>
      <c r="F12" s="311">
        <f>+F11*22.0469</f>
        <v>1361.3960750000001</v>
      </c>
      <c r="G12" s="311">
        <f t="shared" ref="G12:O12" si="0">+G11*22.0469</f>
        <v>1361.3960750000001</v>
      </c>
      <c r="H12" s="311">
        <f t="shared" si="0"/>
        <v>1333.83745</v>
      </c>
      <c r="I12" s="311">
        <f t="shared" si="0"/>
        <v>1168.4857</v>
      </c>
      <c r="J12" s="311">
        <f t="shared" si="0"/>
        <v>1129.9036250000001</v>
      </c>
      <c r="K12" s="311">
        <f t="shared" si="0"/>
        <v>1129.9036250000001</v>
      </c>
      <c r="L12" s="311">
        <f t="shared" si="0"/>
        <v>1190.5326</v>
      </c>
      <c r="M12" s="311">
        <f t="shared" si="0"/>
        <v>1223.60295</v>
      </c>
      <c r="N12" s="311">
        <f t="shared" si="0"/>
        <v>1234.6264000000001</v>
      </c>
      <c r="O12" s="311">
        <f t="shared" si="0"/>
        <v>1267.6967500000001</v>
      </c>
      <c r="P12" s="311">
        <f t="shared" ref="P12" si="1">+P11*22.0469</f>
        <v>1289.7436500000001</v>
      </c>
      <c r="Q12" s="311">
        <f>+Q11*22.0469</f>
        <v>1306.2788250000001</v>
      </c>
      <c r="R12" s="311">
        <v>1328.2715000000001</v>
      </c>
      <c r="S12" s="311">
        <v>1372.3635000000002</v>
      </c>
      <c r="T12" s="219">
        <v>1432.99</v>
      </c>
      <c r="U12" s="219">
        <v>1482.59</v>
      </c>
      <c r="V12" s="219">
        <v>1526.6855</v>
      </c>
      <c r="W12" s="300">
        <v>1697.5419999999999</v>
      </c>
      <c r="X12" s="302">
        <v>1686.52</v>
      </c>
      <c r="Y12" s="302">
        <v>1664.47</v>
      </c>
      <c r="Z12" s="302">
        <v>1587.31</v>
      </c>
      <c r="AA12" s="300">
        <v>1609.3579999999999</v>
      </c>
      <c r="AB12" s="302">
        <v>1636.92</v>
      </c>
      <c r="AC12" s="300">
        <v>1642.4269999999999</v>
      </c>
      <c r="AD12" s="302">
        <v>1636.92</v>
      </c>
      <c r="AE12" s="300">
        <v>1620.3809999999999</v>
      </c>
      <c r="AF12" s="302">
        <v>1570.78</v>
      </c>
      <c r="AG12" s="302">
        <v>1421.97</v>
      </c>
      <c r="AH12" s="454">
        <v>1278.6679999999999</v>
      </c>
      <c r="AI12" s="302">
        <v>1251.1099999999999</v>
      </c>
      <c r="AJ12" s="302">
        <v>1251.1099999999999</v>
      </c>
      <c r="AK12" s="302">
        <v>1289.69</v>
      </c>
      <c r="AL12" s="302">
        <v>1300.71</v>
      </c>
      <c r="AM12" s="516">
        <v>1295.2</v>
      </c>
      <c r="AN12" s="516">
        <v>1102.3</v>
      </c>
    </row>
    <row r="13" spans="1:41" x14ac:dyDescent="0.35">
      <c r="E13" s="302" t="s">
        <v>379</v>
      </c>
      <c r="F13" s="311"/>
      <c r="G13" s="311"/>
      <c r="H13" s="311"/>
      <c r="I13" s="314">
        <f>+AVERAGE((F12:H12))</f>
        <v>1352.2098666666668</v>
      </c>
      <c r="J13" s="314">
        <f>+AVERAGE((G12:I12))</f>
        <v>1287.9064083333333</v>
      </c>
      <c r="K13" s="314">
        <f>+AVERAGE((H12:J12))</f>
        <v>1210.7422583333334</v>
      </c>
      <c r="L13" s="314">
        <f t="shared" ref="L13:M13" si="2">+AVERAGE((I12:K12))</f>
        <v>1142.7643166666667</v>
      </c>
      <c r="M13" s="314">
        <f t="shared" si="2"/>
        <v>1150.1132833333334</v>
      </c>
      <c r="N13" s="314">
        <f t="shared" ref="N13:R13" si="3">+AVERAGE((K12:M12))</f>
        <v>1181.3463916666667</v>
      </c>
      <c r="O13" s="314">
        <f t="shared" si="3"/>
        <v>1216.2539833333333</v>
      </c>
      <c r="P13" s="314">
        <f t="shared" si="3"/>
        <v>1241.9753666666668</v>
      </c>
      <c r="Q13" s="314">
        <f t="shared" si="3"/>
        <v>1264.0222666666668</v>
      </c>
      <c r="R13" s="314">
        <f t="shared" si="3"/>
        <v>1287.9064083333335</v>
      </c>
      <c r="S13" s="314">
        <f t="shared" ref="S13:X13" si="4">+AVERAGE((P12:R12))</f>
        <v>1308.0979916666668</v>
      </c>
      <c r="T13" s="314">
        <f t="shared" si="4"/>
        <v>1335.6379416666668</v>
      </c>
      <c r="U13" s="334">
        <f t="shared" si="4"/>
        <v>1377.875</v>
      </c>
      <c r="V13" s="334">
        <f t="shared" si="4"/>
        <v>1429.3145000000002</v>
      </c>
      <c r="W13" s="325">
        <f t="shared" si="4"/>
        <v>1480.7551666666666</v>
      </c>
      <c r="X13" s="325">
        <f t="shared" si="4"/>
        <v>1568.9391666666663</v>
      </c>
      <c r="Y13" s="325">
        <f t="shared" ref="Y13:AI13" si="5">+AVERAGE((V12:X12))</f>
        <v>1636.9158333333332</v>
      </c>
      <c r="Z13" s="325">
        <f t="shared" si="5"/>
        <v>1682.8440000000001</v>
      </c>
      <c r="AA13" s="325">
        <f t="shared" si="5"/>
        <v>1646.0999999999997</v>
      </c>
      <c r="AB13" s="325">
        <f t="shared" si="5"/>
        <v>1620.3793333333333</v>
      </c>
      <c r="AC13" s="325">
        <f t="shared" si="5"/>
        <v>1611.1959999999999</v>
      </c>
      <c r="AD13" s="325">
        <f t="shared" si="5"/>
        <v>1629.5683333333334</v>
      </c>
      <c r="AE13" s="325">
        <f t="shared" si="5"/>
        <v>1638.7556666666667</v>
      </c>
      <c r="AF13" s="325">
        <f t="shared" si="5"/>
        <v>1633.2426666666663</v>
      </c>
      <c r="AG13" s="325">
        <f t="shared" si="5"/>
        <v>1609.3603333333333</v>
      </c>
      <c r="AH13" s="325">
        <f t="shared" si="5"/>
        <v>1537.7103333333334</v>
      </c>
      <c r="AI13" s="325">
        <f t="shared" si="5"/>
        <v>1423.8059999999998</v>
      </c>
      <c r="AJ13" s="325">
        <f t="shared" ref="AJ13:AO13" si="6">+AVERAGE((AG12:AI12))</f>
        <v>1317.2493333333332</v>
      </c>
      <c r="AK13" s="325">
        <f t="shared" si="6"/>
        <v>1260.296</v>
      </c>
      <c r="AL13" s="325">
        <f t="shared" si="6"/>
        <v>1263.97</v>
      </c>
      <c r="AM13" s="325">
        <f t="shared" si="6"/>
        <v>1280.5033333333333</v>
      </c>
      <c r="AN13" s="325">
        <f t="shared" si="6"/>
        <v>1295.2</v>
      </c>
      <c r="AO13" s="325">
        <f t="shared" si="6"/>
        <v>1232.7366666666667</v>
      </c>
    </row>
    <row r="14" spans="1:41" x14ac:dyDescent="0.35">
      <c r="E14" s="302"/>
      <c r="F14" s="302"/>
      <c r="G14" s="302"/>
      <c r="H14" s="302"/>
      <c r="AD14" s="446"/>
      <c r="AE14" s="446"/>
      <c r="AF14" s="446"/>
      <c r="AG14" s="446"/>
    </row>
    <row r="15" spans="1:41" x14ac:dyDescent="0.35">
      <c r="E15" s="302"/>
      <c r="F15" s="302"/>
      <c r="G15" s="302"/>
      <c r="H15" s="302"/>
    </row>
    <row r="16" spans="1:41" x14ac:dyDescent="0.35">
      <c r="A16" s="300" t="s">
        <v>380</v>
      </c>
    </row>
    <row r="17" spans="1:4" x14ac:dyDescent="0.35">
      <c r="A17" s="636" t="s">
        <v>381</v>
      </c>
      <c r="B17" s="637"/>
      <c r="C17" s="637"/>
      <c r="D17" s="637"/>
    </row>
    <row r="18" spans="1:4" x14ac:dyDescent="0.35">
      <c r="A18" s="637"/>
      <c r="B18" s="637"/>
      <c r="C18" s="637"/>
      <c r="D18" s="637"/>
    </row>
    <row r="19" spans="1:4" x14ac:dyDescent="0.35">
      <c r="A19" s="637"/>
      <c r="B19" s="637"/>
      <c r="C19" s="637"/>
      <c r="D19" s="637"/>
    </row>
    <row r="20" spans="1:4" x14ac:dyDescent="0.35">
      <c r="A20" s="637"/>
      <c r="B20" s="637"/>
      <c r="C20" s="637"/>
      <c r="D20" s="637"/>
    </row>
    <row r="21" spans="1:4" x14ac:dyDescent="0.35">
      <c r="A21" s="637"/>
      <c r="B21" s="637"/>
      <c r="C21" s="637"/>
      <c r="D21" s="637"/>
    </row>
  </sheetData>
  <mergeCells count="1">
    <mergeCell ref="A17:D21"/>
  </mergeCells>
  <phoneticPr fontId="27" type="noConversion"/>
  <hyperlinks>
    <hyperlink ref="A3" r:id="rId1" xr:uid="{11AD70A6-6B24-422A-A21A-89FC7C9081A7}"/>
  </hyperlinks>
  <pageMargins left="0.7" right="0.7" top="0.75" bottom="0.75" header="0.3" footer="0.3"/>
  <customProperties>
    <customPr name="EpmWorksheetKeyString_GUID" r:id="rId2"/>
  </customProperties>
  <ignoredErrors>
    <ignoredError sqref="W13:AC13 AD13 AJ13 AE13:AI13" formulaRange="1"/>
  </ignoredErrors>
  <drawing r:id="rId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33984-7DD0-49D9-B099-6B8A343F9B9C}">
  <sheetPr>
    <outlinePr summaryBelow="0" summaryRight="0"/>
    <pageSetUpPr autoPageBreaks="0" fitToPage="1"/>
  </sheetPr>
  <dimension ref="B2:J22"/>
  <sheetViews>
    <sheetView showGridLines="0" workbookViewId="0">
      <selection activeCell="E18" sqref="E18"/>
    </sheetView>
  </sheetViews>
  <sheetFormatPr defaultColWidth="10.81640625" defaultRowHeight="12.5" x14ac:dyDescent="0.25"/>
  <cols>
    <col min="1" max="1" width="4" style="452" customWidth="1"/>
    <col min="2" max="2" width="20" style="452" customWidth="1"/>
    <col min="3" max="3" width="25" style="452" customWidth="1"/>
    <col min="4" max="251" width="9.1796875" style="452" customWidth="1"/>
    <col min="252" max="252" width="4" style="452" customWidth="1"/>
    <col min="253" max="253" width="20" style="452" customWidth="1"/>
    <col min="254" max="255" width="0" style="452" hidden="1" customWidth="1"/>
    <col min="256" max="259" width="25" style="452" customWidth="1"/>
    <col min="260" max="507" width="9.1796875" style="452" customWidth="1"/>
    <col min="508" max="508" width="4" style="452" customWidth="1"/>
    <col min="509" max="509" width="20" style="452" customWidth="1"/>
    <col min="510" max="511" width="0" style="452" hidden="1" customWidth="1"/>
    <col min="512" max="515" width="25" style="452" customWidth="1"/>
    <col min="516" max="763" width="9.1796875" style="452" customWidth="1"/>
    <col min="764" max="764" width="4" style="452" customWidth="1"/>
    <col min="765" max="765" width="20" style="452" customWidth="1"/>
    <col min="766" max="767" width="0" style="452" hidden="1" customWidth="1"/>
    <col min="768" max="771" width="25" style="452" customWidth="1"/>
    <col min="772" max="1019" width="9.1796875" style="452" customWidth="1"/>
    <col min="1020" max="1020" width="4" style="452" customWidth="1"/>
    <col min="1021" max="1021" width="20" style="452" customWidth="1"/>
    <col min="1022" max="1023" width="0" style="452" hidden="1" customWidth="1"/>
    <col min="1024" max="1027" width="25" style="452" customWidth="1"/>
    <col min="1028" max="1275" width="9.1796875" style="452" customWidth="1"/>
    <col min="1276" max="1276" width="4" style="452" customWidth="1"/>
    <col min="1277" max="1277" width="20" style="452" customWidth="1"/>
    <col min="1278" max="1279" width="0" style="452" hidden="1" customWidth="1"/>
    <col min="1280" max="1283" width="25" style="452" customWidth="1"/>
    <col min="1284" max="1531" width="9.1796875" style="452" customWidth="1"/>
    <col min="1532" max="1532" width="4" style="452" customWidth="1"/>
    <col min="1533" max="1533" width="20" style="452" customWidth="1"/>
    <col min="1534" max="1535" width="0" style="452" hidden="1" customWidth="1"/>
    <col min="1536" max="1539" width="25" style="452" customWidth="1"/>
    <col min="1540" max="1787" width="9.1796875" style="452" customWidth="1"/>
    <col min="1788" max="1788" width="4" style="452" customWidth="1"/>
    <col min="1789" max="1789" width="20" style="452" customWidth="1"/>
    <col min="1790" max="1791" width="0" style="452" hidden="1" customWidth="1"/>
    <col min="1792" max="1795" width="25" style="452" customWidth="1"/>
    <col min="1796" max="2043" width="9.1796875" style="452" customWidth="1"/>
    <col min="2044" max="2044" width="4" style="452" customWidth="1"/>
    <col min="2045" max="2045" width="20" style="452" customWidth="1"/>
    <col min="2046" max="2047" width="0" style="452" hidden="1" customWidth="1"/>
    <col min="2048" max="2051" width="25" style="452" customWidth="1"/>
    <col min="2052" max="2299" width="9.1796875" style="452" customWidth="1"/>
    <col min="2300" max="2300" width="4" style="452" customWidth="1"/>
    <col min="2301" max="2301" width="20" style="452" customWidth="1"/>
    <col min="2302" max="2303" width="0" style="452" hidden="1" customWidth="1"/>
    <col min="2304" max="2307" width="25" style="452" customWidth="1"/>
    <col min="2308" max="2555" width="9.1796875" style="452" customWidth="1"/>
    <col min="2556" max="2556" width="4" style="452" customWidth="1"/>
    <col min="2557" max="2557" width="20" style="452" customWidth="1"/>
    <col min="2558" max="2559" width="0" style="452" hidden="1" customWidth="1"/>
    <col min="2560" max="2563" width="25" style="452" customWidth="1"/>
    <col min="2564" max="2811" width="9.1796875" style="452" customWidth="1"/>
    <col min="2812" max="2812" width="4" style="452" customWidth="1"/>
    <col min="2813" max="2813" width="20" style="452" customWidth="1"/>
    <col min="2814" max="2815" width="0" style="452" hidden="1" customWidth="1"/>
    <col min="2816" max="2819" width="25" style="452" customWidth="1"/>
    <col min="2820" max="3067" width="9.1796875" style="452" customWidth="1"/>
    <col min="3068" max="3068" width="4" style="452" customWidth="1"/>
    <col min="3069" max="3069" width="20" style="452" customWidth="1"/>
    <col min="3070" max="3071" width="0" style="452" hidden="1" customWidth="1"/>
    <col min="3072" max="3075" width="25" style="452" customWidth="1"/>
    <col min="3076" max="3323" width="9.1796875" style="452" customWidth="1"/>
    <col min="3324" max="3324" width="4" style="452" customWidth="1"/>
    <col min="3325" max="3325" width="20" style="452" customWidth="1"/>
    <col min="3326" max="3327" width="0" style="452" hidden="1" customWidth="1"/>
    <col min="3328" max="3331" width="25" style="452" customWidth="1"/>
    <col min="3332" max="3579" width="9.1796875" style="452" customWidth="1"/>
    <col min="3580" max="3580" width="4" style="452" customWidth="1"/>
    <col min="3581" max="3581" width="20" style="452" customWidth="1"/>
    <col min="3582" max="3583" width="0" style="452" hidden="1" customWidth="1"/>
    <col min="3584" max="3587" width="25" style="452" customWidth="1"/>
    <col min="3588" max="3835" width="9.1796875" style="452" customWidth="1"/>
    <col min="3836" max="3836" width="4" style="452" customWidth="1"/>
    <col min="3837" max="3837" width="20" style="452" customWidth="1"/>
    <col min="3838" max="3839" width="0" style="452" hidden="1" customWidth="1"/>
    <col min="3840" max="3843" width="25" style="452" customWidth="1"/>
    <col min="3844" max="4091" width="9.1796875" style="452" customWidth="1"/>
    <col min="4092" max="4092" width="4" style="452" customWidth="1"/>
    <col min="4093" max="4093" width="20" style="452" customWidth="1"/>
    <col min="4094" max="4095" width="0" style="452" hidden="1" customWidth="1"/>
    <col min="4096" max="4099" width="25" style="452" customWidth="1"/>
    <col min="4100" max="4347" width="9.1796875" style="452" customWidth="1"/>
    <col min="4348" max="4348" width="4" style="452" customWidth="1"/>
    <col min="4349" max="4349" width="20" style="452" customWidth="1"/>
    <col min="4350" max="4351" width="0" style="452" hidden="1" customWidth="1"/>
    <col min="4352" max="4355" width="25" style="452" customWidth="1"/>
    <col min="4356" max="4603" width="9.1796875" style="452" customWidth="1"/>
    <col min="4604" max="4604" width="4" style="452" customWidth="1"/>
    <col min="4605" max="4605" width="20" style="452" customWidth="1"/>
    <col min="4606" max="4607" width="0" style="452" hidden="1" customWidth="1"/>
    <col min="4608" max="4611" width="25" style="452" customWidth="1"/>
    <col min="4612" max="4859" width="9.1796875" style="452" customWidth="1"/>
    <col min="4860" max="4860" width="4" style="452" customWidth="1"/>
    <col min="4861" max="4861" width="20" style="452" customWidth="1"/>
    <col min="4862" max="4863" width="0" style="452" hidden="1" customWidth="1"/>
    <col min="4864" max="4867" width="25" style="452" customWidth="1"/>
    <col min="4868" max="5115" width="9.1796875" style="452" customWidth="1"/>
    <col min="5116" max="5116" width="4" style="452" customWidth="1"/>
    <col min="5117" max="5117" width="20" style="452" customWidth="1"/>
    <col min="5118" max="5119" width="0" style="452" hidden="1" customWidth="1"/>
    <col min="5120" max="5123" width="25" style="452" customWidth="1"/>
    <col min="5124" max="5371" width="9.1796875" style="452" customWidth="1"/>
    <col min="5372" max="5372" width="4" style="452" customWidth="1"/>
    <col min="5373" max="5373" width="20" style="452" customWidth="1"/>
    <col min="5374" max="5375" width="0" style="452" hidden="1" customWidth="1"/>
    <col min="5376" max="5379" width="25" style="452" customWidth="1"/>
    <col min="5380" max="5627" width="9.1796875" style="452" customWidth="1"/>
    <col min="5628" max="5628" width="4" style="452" customWidth="1"/>
    <col min="5629" max="5629" width="20" style="452" customWidth="1"/>
    <col min="5630" max="5631" width="0" style="452" hidden="1" customWidth="1"/>
    <col min="5632" max="5635" width="25" style="452" customWidth="1"/>
    <col min="5636" max="5883" width="9.1796875" style="452" customWidth="1"/>
    <col min="5884" max="5884" width="4" style="452" customWidth="1"/>
    <col min="5885" max="5885" width="20" style="452" customWidth="1"/>
    <col min="5886" max="5887" width="0" style="452" hidden="1" customWidth="1"/>
    <col min="5888" max="5891" width="25" style="452" customWidth="1"/>
    <col min="5892" max="6139" width="9.1796875" style="452" customWidth="1"/>
    <col min="6140" max="6140" width="4" style="452" customWidth="1"/>
    <col min="6141" max="6141" width="20" style="452" customWidth="1"/>
    <col min="6142" max="6143" width="0" style="452" hidden="1" customWidth="1"/>
    <col min="6144" max="6147" width="25" style="452" customWidth="1"/>
    <col min="6148" max="6395" width="9.1796875" style="452" customWidth="1"/>
    <col min="6396" max="6396" width="4" style="452" customWidth="1"/>
    <col min="6397" max="6397" width="20" style="452" customWidth="1"/>
    <col min="6398" max="6399" width="0" style="452" hidden="1" customWidth="1"/>
    <col min="6400" max="6403" width="25" style="452" customWidth="1"/>
    <col min="6404" max="6651" width="9.1796875" style="452" customWidth="1"/>
    <col min="6652" max="6652" width="4" style="452" customWidth="1"/>
    <col min="6653" max="6653" width="20" style="452" customWidth="1"/>
    <col min="6654" max="6655" width="0" style="452" hidden="1" customWidth="1"/>
    <col min="6656" max="6659" width="25" style="452" customWidth="1"/>
    <col min="6660" max="6907" width="9.1796875" style="452" customWidth="1"/>
    <col min="6908" max="6908" width="4" style="452" customWidth="1"/>
    <col min="6909" max="6909" width="20" style="452" customWidth="1"/>
    <col min="6910" max="6911" width="0" style="452" hidden="1" customWidth="1"/>
    <col min="6912" max="6915" width="25" style="452" customWidth="1"/>
    <col min="6916" max="7163" width="9.1796875" style="452" customWidth="1"/>
    <col min="7164" max="7164" width="4" style="452" customWidth="1"/>
    <col min="7165" max="7165" width="20" style="452" customWidth="1"/>
    <col min="7166" max="7167" width="0" style="452" hidden="1" customWidth="1"/>
    <col min="7168" max="7171" width="25" style="452" customWidth="1"/>
    <col min="7172" max="7419" width="9.1796875" style="452" customWidth="1"/>
    <col min="7420" max="7420" width="4" style="452" customWidth="1"/>
    <col min="7421" max="7421" width="20" style="452" customWidth="1"/>
    <col min="7422" max="7423" width="0" style="452" hidden="1" customWidth="1"/>
    <col min="7424" max="7427" width="25" style="452" customWidth="1"/>
    <col min="7428" max="7675" width="9.1796875" style="452" customWidth="1"/>
    <col min="7676" max="7676" width="4" style="452" customWidth="1"/>
    <col min="7677" max="7677" width="20" style="452" customWidth="1"/>
    <col min="7678" max="7679" width="0" style="452" hidden="1" customWidth="1"/>
    <col min="7680" max="7683" width="25" style="452" customWidth="1"/>
    <col min="7684" max="7931" width="9.1796875" style="452" customWidth="1"/>
    <col min="7932" max="7932" width="4" style="452" customWidth="1"/>
    <col min="7933" max="7933" width="20" style="452" customWidth="1"/>
    <col min="7934" max="7935" width="0" style="452" hidden="1" customWidth="1"/>
    <col min="7936" max="7939" width="25" style="452" customWidth="1"/>
    <col min="7940" max="8187" width="9.1796875" style="452" customWidth="1"/>
    <col min="8188" max="8188" width="4" style="452" customWidth="1"/>
    <col min="8189" max="8189" width="20" style="452" customWidth="1"/>
    <col min="8190" max="8191" width="0" style="452" hidden="1" customWidth="1"/>
    <col min="8192" max="8195" width="25" style="452" customWidth="1"/>
    <col min="8196" max="8443" width="9.1796875" style="452" customWidth="1"/>
    <col min="8444" max="8444" width="4" style="452" customWidth="1"/>
    <col min="8445" max="8445" width="20" style="452" customWidth="1"/>
    <col min="8446" max="8447" width="0" style="452" hidden="1" customWidth="1"/>
    <col min="8448" max="8451" width="25" style="452" customWidth="1"/>
    <col min="8452" max="8699" width="9.1796875" style="452" customWidth="1"/>
    <col min="8700" max="8700" width="4" style="452" customWidth="1"/>
    <col min="8701" max="8701" width="20" style="452" customWidth="1"/>
    <col min="8702" max="8703" width="0" style="452" hidden="1" customWidth="1"/>
    <col min="8704" max="8707" width="25" style="452" customWidth="1"/>
    <col min="8708" max="8955" width="9.1796875" style="452" customWidth="1"/>
    <col min="8956" max="8956" width="4" style="452" customWidth="1"/>
    <col min="8957" max="8957" width="20" style="452" customWidth="1"/>
    <col min="8958" max="8959" width="0" style="452" hidden="1" customWidth="1"/>
    <col min="8960" max="8963" width="25" style="452" customWidth="1"/>
    <col min="8964" max="9211" width="9.1796875" style="452" customWidth="1"/>
    <col min="9212" max="9212" width="4" style="452" customWidth="1"/>
    <col min="9213" max="9213" width="20" style="452" customWidth="1"/>
    <col min="9214" max="9215" width="0" style="452" hidden="1" customWidth="1"/>
    <col min="9216" max="9219" width="25" style="452" customWidth="1"/>
    <col min="9220" max="9467" width="9.1796875" style="452" customWidth="1"/>
    <col min="9468" max="9468" width="4" style="452" customWidth="1"/>
    <col min="9469" max="9469" width="20" style="452" customWidth="1"/>
    <col min="9470" max="9471" width="0" style="452" hidden="1" customWidth="1"/>
    <col min="9472" max="9475" width="25" style="452" customWidth="1"/>
    <col min="9476" max="9723" width="9.1796875" style="452" customWidth="1"/>
    <col min="9724" max="9724" width="4" style="452" customWidth="1"/>
    <col min="9725" max="9725" width="20" style="452" customWidth="1"/>
    <col min="9726" max="9727" width="0" style="452" hidden="1" customWidth="1"/>
    <col min="9728" max="9731" width="25" style="452" customWidth="1"/>
    <col min="9732" max="9979" width="9.1796875" style="452" customWidth="1"/>
    <col min="9980" max="9980" width="4" style="452" customWidth="1"/>
    <col min="9981" max="9981" width="20" style="452" customWidth="1"/>
    <col min="9982" max="9983" width="0" style="452" hidden="1" customWidth="1"/>
    <col min="9984" max="9987" width="25" style="452" customWidth="1"/>
    <col min="9988" max="10235" width="9.1796875" style="452" customWidth="1"/>
    <col min="10236" max="10236" width="4" style="452" customWidth="1"/>
    <col min="10237" max="10237" width="20" style="452" customWidth="1"/>
    <col min="10238" max="10239" width="0" style="452" hidden="1" customWidth="1"/>
    <col min="10240" max="10243" width="25" style="452" customWidth="1"/>
    <col min="10244" max="10491" width="9.1796875" style="452" customWidth="1"/>
    <col min="10492" max="10492" width="4" style="452" customWidth="1"/>
    <col min="10493" max="10493" width="20" style="452" customWidth="1"/>
    <col min="10494" max="10495" width="0" style="452" hidden="1" customWidth="1"/>
    <col min="10496" max="10499" width="25" style="452" customWidth="1"/>
    <col min="10500" max="10747" width="9.1796875" style="452" customWidth="1"/>
    <col min="10748" max="10748" width="4" style="452" customWidth="1"/>
    <col min="10749" max="10749" width="20" style="452" customWidth="1"/>
    <col min="10750" max="10751" width="0" style="452" hidden="1" customWidth="1"/>
    <col min="10752" max="10755" width="25" style="452" customWidth="1"/>
    <col min="10756" max="11003" width="9.1796875" style="452" customWidth="1"/>
    <col min="11004" max="11004" width="4" style="452" customWidth="1"/>
    <col min="11005" max="11005" width="20" style="452" customWidth="1"/>
    <col min="11006" max="11007" width="0" style="452" hidden="1" customWidth="1"/>
    <col min="11008" max="11011" width="25" style="452" customWidth="1"/>
    <col min="11012" max="11259" width="9.1796875" style="452" customWidth="1"/>
    <col min="11260" max="11260" width="4" style="452" customWidth="1"/>
    <col min="11261" max="11261" width="20" style="452" customWidth="1"/>
    <col min="11262" max="11263" width="0" style="452" hidden="1" customWidth="1"/>
    <col min="11264" max="11267" width="25" style="452" customWidth="1"/>
    <col min="11268" max="11515" width="9.1796875" style="452" customWidth="1"/>
    <col min="11516" max="11516" width="4" style="452" customWidth="1"/>
    <col min="11517" max="11517" width="20" style="452" customWidth="1"/>
    <col min="11518" max="11519" width="0" style="452" hidden="1" customWidth="1"/>
    <col min="11520" max="11523" width="25" style="452" customWidth="1"/>
    <col min="11524" max="11771" width="9.1796875" style="452" customWidth="1"/>
    <col min="11772" max="11772" width="4" style="452" customWidth="1"/>
    <col min="11773" max="11773" width="20" style="452" customWidth="1"/>
    <col min="11774" max="11775" width="0" style="452" hidden="1" customWidth="1"/>
    <col min="11776" max="11779" width="25" style="452" customWidth="1"/>
    <col min="11780" max="12027" width="9.1796875" style="452" customWidth="1"/>
    <col min="12028" max="12028" width="4" style="452" customWidth="1"/>
    <col min="12029" max="12029" width="20" style="452" customWidth="1"/>
    <col min="12030" max="12031" width="0" style="452" hidden="1" customWidth="1"/>
    <col min="12032" max="12035" width="25" style="452" customWidth="1"/>
    <col min="12036" max="12283" width="9.1796875" style="452" customWidth="1"/>
    <col min="12284" max="12284" width="4" style="452" customWidth="1"/>
    <col min="12285" max="12285" width="20" style="452" customWidth="1"/>
    <col min="12286" max="12287" width="0" style="452" hidden="1" customWidth="1"/>
    <col min="12288" max="12291" width="25" style="452" customWidth="1"/>
    <col min="12292" max="12539" width="9.1796875" style="452" customWidth="1"/>
    <col min="12540" max="12540" width="4" style="452" customWidth="1"/>
    <col min="12541" max="12541" width="20" style="452" customWidth="1"/>
    <col min="12542" max="12543" width="0" style="452" hidden="1" customWidth="1"/>
    <col min="12544" max="12547" width="25" style="452" customWidth="1"/>
    <col min="12548" max="12795" width="9.1796875" style="452" customWidth="1"/>
    <col min="12796" max="12796" width="4" style="452" customWidth="1"/>
    <col min="12797" max="12797" width="20" style="452" customWidth="1"/>
    <col min="12798" max="12799" width="0" style="452" hidden="1" customWidth="1"/>
    <col min="12800" max="12803" width="25" style="452" customWidth="1"/>
    <col min="12804" max="13051" width="9.1796875" style="452" customWidth="1"/>
    <col min="13052" max="13052" width="4" style="452" customWidth="1"/>
    <col min="13053" max="13053" width="20" style="452" customWidth="1"/>
    <col min="13054" max="13055" width="0" style="452" hidden="1" customWidth="1"/>
    <col min="13056" max="13059" width="25" style="452" customWidth="1"/>
    <col min="13060" max="13307" width="9.1796875" style="452" customWidth="1"/>
    <col min="13308" max="13308" width="4" style="452" customWidth="1"/>
    <col min="13309" max="13309" width="20" style="452" customWidth="1"/>
    <col min="13310" max="13311" width="0" style="452" hidden="1" customWidth="1"/>
    <col min="13312" max="13315" width="25" style="452" customWidth="1"/>
    <col min="13316" max="13563" width="9.1796875" style="452" customWidth="1"/>
    <col min="13564" max="13564" width="4" style="452" customWidth="1"/>
    <col min="13565" max="13565" width="20" style="452" customWidth="1"/>
    <col min="13566" max="13567" width="0" style="452" hidden="1" customWidth="1"/>
    <col min="13568" max="13571" width="25" style="452" customWidth="1"/>
    <col min="13572" max="13819" width="9.1796875" style="452" customWidth="1"/>
    <col min="13820" max="13820" width="4" style="452" customWidth="1"/>
    <col min="13821" max="13821" width="20" style="452" customWidth="1"/>
    <col min="13822" max="13823" width="0" style="452" hidden="1" customWidth="1"/>
    <col min="13824" max="13827" width="25" style="452" customWidth="1"/>
    <col min="13828" max="14075" width="9.1796875" style="452" customWidth="1"/>
    <col min="14076" max="14076" width="4" style="452" customWidth="1"/>
    <col min="14077" max="14077" width="20" style="452" customWidth="1"/>
    <col min="14078" max="14079" width="0" style="452" hidden="1" customWidth="1"/>
    <col min="14080" max="14083" width="25" style="452" customWidth="1"/>
    <col min="14084" max="14331" width="9.1796875" style="452" customWidth="1"/>
    <col min="14332" max="14332" width="4" style="452" customWidth="1"/>
    <col min="14333" max="14333" width="20" style="452" customWidth="1"/>
    <col min="14334" max="14335" width="0" style="452" hidden="1" customWidth="1"/>
    <col min="14336" max="14339" width="25" style="452" customWidth="1"/>
    <col min="14340" max="14587" width="9.1796875" style="452" customWidth="1"/>
    <col min="14588" max="14588" width="4" style="452" customWidth="1"/>
    <col min="14589" max="14589" width="20" style="452" customWidth="1"/>
    <col min="14590" max="14591" width="0" style="452" hidden="1" customWidth="1"/>
    <col min="14592" max="14595" width="25" style="452" customWidth="1"/>
    <col min="14596" max="14843" width="9.1796875" style="452" customWidth="1"/>
    <col min="14844" max="14844" width="4" style="452" customWidth="1"/>
    <col min="14845" max="14845" width="20" style="452" customWidth="1"/>
    <col min="14846" max="14847" width="0" style="452" hidden="1" customWidth="1"/>
    <col min="14848" max="14851" width="25" style="452" customWidth="1"/>
    <col min="14852" max="15099" width="9.1796875" style="452" customWidth="1"/>
    <col min="15100" max="15100" width="4" style="452" customWidth="1"/>
    <col min="15101" max="15101" width="20" style="452" customWidth="1"/>
    <col min="15102" max="15103" width="0" style="452" hidden="1" customWidth="1"/>
    <col min="15104" max="15107" width="25" style="452" customWidth="1"/>
    <col min="15108" max="15355" width="9.1796875" style="452" customWidth="1"/>
    <col min="15356" max="15356" width="4" style="452" customWidth="1"/>
    <col min="15357" max="15357" width="20" style="452" customWidth="1"/>
    <col min="15358" max="15359" width="0" style="452" hidden="1" customWidth="1"/>
    <col min="15360" max="15363" width="25" style="452" customWidth="1"/>
    <col min="15364" max="15611" width="9.1796875" style="452" customWidth="1"/>
    <col min="15612" max="15612" width="4" style="452" customWidth="1"/>
    <col min="15613" max="15613" width="20" style="452" customWidth="1"/>
    <col min="15614" max="15615" width="0" style="452" hidden="1" customWidth="1"/>
    <col min="15616" max="15619" width="25" style="452" customWidth="1"/>
    <col min="15620" max="15867" width="9.1796875" style="452" customWidth="1"/>
    <col min="15868" max="15868" width="4" style="452" customWidth="1"/>
    <col min="15869" max="15869" width="20" style="452" customWidth="1"/>
    <col min="15870" max="15871" width="0" style="452" hidden="1" customWidth="1"/>
    <col min="15872" max="15875" width="25" style="452" customWidth="1"/>
    <col min="15876" max="16123" width="9.1796875" style="452" customWidth="1"/>
    <col min="16124" max="16124" width="4" style="452" customWidth="1"/>
    <col min="16125" max="16125" width="20" style="452" customWidth="1"/>
    <col min="16126" max="16127" width="0" style="452" hidden="1" customWidth="1"/>
    <col min="16128" max="16131" width="25" style="452" customWidth="1"/>
    <col min="16132" max="16384" width="9.1796875" style="452" customWidth="1"/>
  </cols>
  <sheetData>
    <row r="2" spans="2:10" ht="20.149999999999999" customHeight="1" x14ac:dyDescent="0.45">
      <c r="B2" s="453" t="s">
        <v>242</v>
      </c>
    </row>
    <row r="3" spans="2:10" ht="13" thickBot="1" x14ac:dyDescent="0.3"/>
    <row r="4" spans="2:10" ht="90" customHeight="1" thickBot="1" x14ac:dyDescent="0.3">
      <c r="B4" s="510" t="s">
        <v>260</v>
      </c>
      <c r="C4" s="509" t="s">
        <v>382</v>
      </c>
    </row>
    <row r="5" spans="2:10" ht="14.5" x14ac:dyDescent="0.35">
      <c r="B5" s="511">
        <v>45536</v>
      </c>
      <c r="C5" s="513">
        <v>825</v>
      </c>
    </row>
    <row r="6" spans="2:10" ht="14.5" x14ac:dyDescent="0.35">
      <c r="B6" s="508" t="s">
        <v>436</v>
      </c>
      <c r="C6" s="514">
        <v>848.8</v>
      </c>
      <c r="I6" s="517"/>
    </row>
    <row r="7" spans="2:10" ht="14.5" x14ac:dyDescent="0.35">
      <c r="B7" s="508" t="s">
        <v>437</v>
      </c>
      <c r="C7" s="514">
        <v>806</v>
      </c>
      <c r="I7" s="517"/>
    </row>
    <row r="8" spans="2:10" ht="14.5" x14ac:dyDescent="0.35">
      <c r="B8" s="508" t="s">
        <v>438</v>
      </c>
      <c r="C8" s="514">
        <v>796.7</v>
      </c>
      <c r="I8" s="517"/>
    </row>
    <row r="9" spans="2:10" ht="14.5" x14ac:dyDescent="0.35">
      <c r="B9" s="508" t="s">
        <v>439</v>
      </c>
      <c r="C9" s="514">
        <v>799.5</v>
      </c>
      <c r="I9" s="517"/>
    </row>
    <row r="10" spans="2:10" ht="14.5" x14ac:dyDescent="0.35">
      <c r="B10" s="508" t="s">
        <v>440</v>
      </c>
      <c r="C10" s="514">
        <v>803.1</v>
      </c>
      <c r="J10" s="518"/>
    </row>
    <row r="11" spans="2:10" ht="14.5" x14ac:dyDescent="0.35">
      <c r="B11" s="508" t="s">
        <v>441</v>
      </c>
      <c r="C11" s="514">
        <v>786.3</v>
      </c>
    </row>
    <row r="12" spans="2:10" ht="14.5" x14ac:dyDescent="0.35">
      <c r="B12" s="508" t="s">
        <v>442</v>
      </c>
      <c r="C12" s="514">
        <v>745.6</v>
      </c>
    </row>
    <row r="13" spans="2:10" ht="14.5" x14ac:dyDescent="0.35">
      <c r="B13" s="508" t="s">
        <v>443</v>
      </c>
      <c r="C13" s="514">
        <v>775</v>
      </c>
    </row>
    <row r="14" spans="2:10" ht="14.5" x14ac:dyDescent="0.35">
      <c r="B14" s="508" t="s">
        <v>444</v>
      </c>
      <c r="C14" s="514">
        <v>793.1</v>
      </c>
    </row>
    <row r="15" spans="2:10" ht="14.5" x14ac:dyDescent="0.35">
      <c r="B15" s="508" t="s">
        <v>445</v>
      </c>
      <c r="C15" s="514">
        <v>781.9</v>
      </c>
    </row>
    <row r="16" spans="2:10" ht="14.5" x14ac:dyDescent="0.35">
      <c r="B16" s="508" t="s">
        <v>446</v>
      </c>
      <c r="C16" s="514">
        <v>774</v>
      </c>
    </row>
    <row r="17" spans="2:3" ht="14.5" x14ac:dyDescent="0.35">
      <c r="B17" s="508" t="s">
        <v>449</v>
      </c>
      <c r="C17" s="514">
        <v>765</v>
      </c>
    </row>
    <row r="18" spans="2:3" ht="14.5" x14ac:dyDescent="0.35">
      <c r="B18" s="508" t="s">
        <v>467</v>
      </c>
      <c r="C18" s="514">
        <v>752</v>
      </c>
    </row>
    <row r="19" spans="2:3" ht="14.5" x14ac:dyDescent="0.35">
      <c r="B19" s="508">
        <v>45962</v>
      </c>
      <c r="C19" s="514">
        <v>748.75</v>
      </c>
    </row>
    <row r="20" spans="2:3" ht="14.5" x14ac:dyDescent="0.35">
      <c r="B20" s="508" t="s">
        <v>469</v>
      </c>
      <c r="C20" s="514">
        <v>753.3</v>
      </c>
    </row>
    <row r="21" spans="2:3" ht="15" thickBot="1" x14ac:dyDescent="0.4">
      <c r="B21" s="512" t="s">
        <v>471</v>
      </c>
      <c r="C21" s="515">
        <v>821.07500000000005</v>
      </c>
    </row>
    <row r="22" spans="2:3" x14ac:dyDescent="0.25">
      <c r="C22" s="452">
        <v>838.33333333333337</v>
      </c>
    </row>
  </sheetData>
  <phoneticPr fontId="27" type="noConversion"/>
  <pageMargins left="0.75" right="0.75" top="1" bottom="1" header="0.5" footer="0.5"/>
  <pageSetup orientation="portrait" horizontalDpi="300" verticalDpi="300" r:id="rId1"/>
  <headerFooter alignWithMargins="0"/>
  <customProperties>
    <customPr name="EpmWorksheetKeyString_GUID" r:id="rId2"/>
  </customPropertie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7D710-C0D3-40F8-8523-2D0D6664F640}">
  <dimension ref="C2:F3"/>
  <sheetViews>
    <sheetView showGridLines="0" workbookViewId="0">
      <selection activeCell="G47" sqref="G47"/>
    </sheetView>
  </sheetViews>
  <sheetFormatPr defaultColWidth="10.81640625" defaultRowHeight="14.5" x14ac:dyDescent="0.35"/>
  <cols>
    <col min="3" max="6" width="14.54296875" customWidth="1"/>
  </cols>
  <sheetData>
    <row r="2" spans="3:6" x14ac:dyDescent="0.35">
      <c r="C2" s="461" t="s">
        <v>452</v>
      </c>
      <c r="D2" s="461" t="s">
        <v>453</v>
      </c>
      <c r="E2" s="461" t="s">
        <v>454</v>
      </c>
      <c r="F2" s="461" t="s">
        <v>155</v>
      </c>
    </row>
    <row r="3" spans="3:6" x14ac:dyDescent="0.35">
      <c r="C3" s="463">
        <v>720</v>
      </c>
      <c r="D3" s="463">
        <v>886</v>
      </c>
      <c r="E3" s="463">
        <f>+D3-C3</f>
        <v>166</v>
      </c>
      <c r="F3" s="462">
        <f>+E3/C3</f>
        <v>0.23055555555555557</v>
      </c>
    </row>
  </sheetData>
  <pageMargins left="0.7" right="0.7" top="0.75" bottom="0.75" header="0.3" footer="0.3"/>
  <customProperties>
    <customPr name="EpmWorksheetKeyString_GUID" r:id="rId1"/>
  </customProperties>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13936-33D3-49CB-8F8A-E5C659C27579}">
  <dimension ref="B1:H23"/>
  <sheetViews>
    <sheetView showGridLines="0" zoomScale="120" zoomScaleNormal="120" workbookViewId="0">
      <selection activeCell="G47" sqref="G47"/>
    </sheetView>
  </sheetViews>
  <sheetFormatPr defaultColWidth="10.81640625" defaultRowHeight="14.5" x14ac:dyDescent="0.35"/>
  <cols>
    <col min="1" max="1" width="3.1796875" customWidth="1"/>
    <col min="2" max="2" width="27.1796875" bestFit="1" customWidth="1"/>
    <col min="3" max="3" width="10.26953125" bestFit="1" customWidth="1"/>
    <col min="4" max="6" width="10.453125" customWidth="1"/>
    <col min="7" max="7" width="10.7265625" bestFit="1" customWidth="1"/>
    <col min="8" max="8" width="3.1796875" customWidth="1"/>
  </cols>
  <sheetData>
    <row r="1" spans="2:8" ht="15" thickBot="1" x14ac:dyDescent="0.4"/>
    <row r="2" spans="2:8" ht="15" thickBot="1" x14ac:dyDescent="0.4">
      <c r="B2" s="638" t="s">
        <v>463</v>
      </c>
      <c r="C2" s="639"/>
      <c r="D2" s="639"/>
      <c r="E2" s="639"/>
      <c r="F2" s="640"/>
    </row>
    <row r="3" spans="2:8" x14ac:dyDescent="0.35">
      <c r="B3" s="470" t="s">
        <v>457</v>
      </c>
      <c r="C3" s="471" t="s">
        <v>460</v>
      </c>
      <c r="D3" s="471" t="s">
        <v>462</v>
      </c>
      <c r="E3" s="471" t="s">
        <v>455</v>
      </c>
      <c r="F3" s="472" t="s">
        <v>456</v>
      </c>
      <c r="G3" s="465" t="s">
        <v>459</v>
      </c>
    </row>
    <row r="4" spans="2:8" x14ac:dyDescent="0.35">
      <c r="B4" s="473">
        <v>16.7</v>
      </c>
      <c r="C4" s="474">
        <v>3749760</v>
      </c>
      <c r="D4" s="474">
        <v>1874880</v>
      </c>
      <c r="E4" s="474">
        <v>1874880</v>
      </c>
      <c r="F4" s="475">
        <v>1874880</v>
      </c>
      <c r="G4" s="464"/>
    </row>
    <row r="5" spans="2:8" x14ac:dyDescent="0.35">
      <c r="B5" s="473">
        <v>20.6</v>
      </c>
      <c r="C5" s="474">
        <v>1979424</v>
      </c>
      <c r="D5" s="474">
        <v>2047680</v>
      </c>
      <c r="E5" s="474">
        <v>2047680</v>
      </c>
      <c r="F5" s="475">
        <v>3378672</v>
      </c>
      <c r="G5" s="464"/>
    </row>
    <row r="6" spans="2:8" ht="15" thickBot="1" x14ac:dyDescent="0.4">
      <c r="B6" s="476">
        <v>38.6</v>
      </c>
      <c r="C6" s="477">
        <v>781200</v>
      </c>
      <c r="D6" s="477">
        <v>390600</v>
      </c>
      <c r="E6" s="477">
        <v>390600</v>
      </c>
      <c r="F6" s="478">
        <v>781200</v>
      </c>
      <c r="G6" s="464"/>
    </row>
    <row r="7" spans="2:8" ht="15" thickBot="1" x14ac:dyDescent="0.4">
      <c r="E7" s="361"/>
      <c r="F7" s="361"/>
      <c r="G7" s="361"/>
    </row>
    <row r="8" spans="2:8" x14ac:dyDescent="0.35">
      <c r="B8" s="479" t="s">
        <v>461</v>
      </c>
      <c r="C8" s="471" t="s">
        <v>460</v>
      </c>
      <c r="D8" s="471" t="s">
        <v>462</v>
      </c>
      <c r="E8" s="466" t="s">
        <v>455</v>
      </c>
      <c r="F8" s="466" t="s">
        <v>456</v>
      </c>
      <c r="G8" s="467" t="s">
        <v>459</v>
      </c>
    </row>
    <row r="9" spans="2:8" ht="18.75" customHeight="1" thickBot="1" x14ac:dyDescent="0.4">
      <c r="B9" s="468" t="s">
        <v>458</v>
      </c>
      <c r="C9" s="485">
        <v>241.23538923587779</v>
      </c>
      <c r="D9" s="480">
        <v>-3915.7423361647916</v>
      </c>
      <c r="E9" s="480">
        <v>-1330.954052332972</v>
      </c>
      <c r="F9" s="480">
        <v>-1506.3170681646534</v>
      </c>
      <c r="G9" s="481">
        <f>+E9+F9+D9</f>
        <v>-6753.0134566624165</v>
      </c>
      <c r="H9" s="427"/>
    </row>
    <row r="10" spans="2:8" x14ac:dyDescent="0.35">
      <c r="C10" s="482"/>
      <c r="D10" s="482"/>
      <c r="E10" s="482"/>
      <c r="F10" s="482"/>
      <c r="G10" s="482"/>
    </row>
    <row r="11" spans="2:8" x14ac:dyDescent="0.35">
      <c r="E11" s="280"/>
      <c r="F11" s="280"/>
      <c r="G11" s="361"/>
    </row>
    <row r="12" spans="2:8" x14ac:dyDescent="0.35">
      <c r="E12" s="280"/>
      <c r="F12" s="280"/>
      <c r="G12" s="469"/>
    </row>
    <row r="13" spans="2:8" x14ac:dyDescent="0.35">
      <c r="E13" s="280"/>
      <c r="F13" s="280"/>
      <c r="G13" s="361"/>
    </row>
    <row r="14" spans="2:8" x14ac:dyDescent="0.35">
      <c r="E14" s="361"/>
      <c r="F14" s="361"/>
      <c r="G14" s="361"/>
    </row>
    <row r="15" spans="2:8" x14ac:dyDescent="0.35">
      <c r="E15" s="361"/>
      <c r="F15" s="361"/>
      <c r="G15" s="361"/>
    </row>
    <row r="16" spans="2:8" x14ac:dyDescent="0.35">
      <c r="E16" s="361"/>
      <c r="F16" s="361"/>
      <c r="G16" s="361"/>
    </row>
    <row r="17" spans="5:7" x14ac:dyDescent="0.35">
      <c r="E17" s="361"/>
      <c r="F17" s="361"/>
      <c r="G17" s="361"/>
    </row>
    <row r="18" spans="5:7" x14ac:dyDescent="0.35">
      <c r="E18" s="361"/>
      <c r="F18" s="361"/>
      <c r="G18" s="361"/>
    </row>
    <row r="19" spans="5:7" x14ac:dyDescent="0.35">
      <c r="E19" s="361"/>
      <c r="F19" s="361"/>
      <c r="G19" s="361"/>
    </row>
    <row r="20" spans="5:7" x14ac:dyDescent="0.35">
      <c r="E20" s="361"/>
      <c r="F20" s="361"/>
      <c r="G20" s="361"/>
    </row>
    <row r="21" spans="5:7" x14ac:dyDescent="0.35">
      <c r="E21" s="361"/>
      <c r="F21" s="361"/>
      <c r="G21" s="361"/>
    </row>
    <row r="22" spans="5:7" x14ac:dyDescent="0.35">
      <c r="E22" s="361"/>
      <c r="F22" s="361"/>
      <c r="G22" s="361"/>
    </row>
    <row r="23" spans="5:7" x14ac:dyDescent="0.35">
      <c r="E23" s="361"/>
      <c r="F23" s="361"/>
      <c r="G23" s="361"/>
    </row>
  </sheetData>
  <mergeCells count="1">
    <mergeCell ref="B2:F2"/>
  </mergeCells>
  <pageMargins left="0.7" right="0.7" top="0.75" bottom="0.75" header="0.3" footer="0.3"/>
  <customProperties>
    <customPr name="EpmWorksheetKeyString_GUID" r:id="rId1"/>
  </customPropertie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A63E4-B49F-4A30-84B9-DE8248E0D08D}">
  <dimension ref="B1:AA14"/>
  <sheetViews>
    <sheetView showGridLines="0" zoomScaleNormal="100" workbookViewId="0">
      <selection activeCell="W29" sqref="W29"/>
    </sheetView>
  </sheetViews>
  <sheetFormatPr defaultColWidth="10.81640625" defaultRowHeight="14.5" x14ac:dyDescent="0.35"/>
  <cols>
    <col min="1" max="1" width="3.81640625" style="1" customWidth="1"/>
    <col min="2" max="2" width="22.1796875" style="397" customWidth="1"/>
    <col min="3" max="3" width="11.7265625" style="1" hidden="1" customWidth="1"/>
    <col min="4" max="4" width="13.81640625" style="1" hidden="1" customWidth="1"/>
    <col min="5" max="5" width="11.7265625" style="1" hidden="1" customWidth="1"/>
    <col min="6" max="6" width="13.81640625" style="1" hidden="1" customWidth="1"/>
    <col min="7" max="7" width="11.7265625" style="1" hidden="1" customWidth="1"/>
    <col min="8" max="8" width="13.81640625" style="1" hidden="1" customWidth="1"/>
    <col min="9" max="9" width="8.1796875" style="1" hidden="1" customWidth="1"/>
    <col min="10" max="10" width="8.453125" style="1" hidden="1" customWidth="1"/>
    <col min="11" max="11" width="8.1796875" style="1" hidden="1" customWidth="1"/>
    <col min="12" max="12" width="8.453125" style="1" hidden="1" customWidth="1"/>
    <col min="13" max="13" width="9" style="1" hidden="1" customWidth="1"/>
    <col min="14" max="14" width="8.453125" style="1" hidden="1" customWidth="1"/>
    <col min="15" max="15" width="0" style="1" hidden="1" customWidth="1"/>
    <col min="16" max="16" width="15" style="1" hidden="1" customWidth="1"/>
    <col min="17" max="17" width="11.453125" style="1" hidden="1" customWidth="1"/>
    <col min="18" max="18" width="0" style="1" hidden="1" customWidth="1"/>
    <col min="19" max="19" width="11.453125" style="1" bestFit="1" customWidth="1"/>
    <col min="20" max="20" width="10.81640625" style="1"/>
    <col min="21" max="21" width="11.453125" style="1" bestFit="1" customWidth="1"/>
    <col min="22" max="16384" width="10.81640625" style="1"/>
  </cols>
  <sheetData>
    <row r="1" spans="2:27" ht="4.5" customHeight="1" x14ac:dyDescent="0.35"/>
    <row r="2" spans="2:27" x14ac:dyDescent="0.35">
      <c r="B2" s="643" t="s">
        <v>383</v>
      </c>
      <c r="C2" s="643"/>
      <c r="D2" s="643"/>
      <c r="E2" s="643"/>
      <c r="F2" s="643"/>
      <c r="G2" s="643"/>
      <c r="H2" s="643"/>
      <c r="I2" s="643"/>
      <c r="J2" s="643"/>
      <c r="K2" s="643"/>
      <c r="L2" s="643"/>
      <c r="M2" s="643"/>
      <c r="N2" s="643"/>
      <c r="O2" s="643"/>
      <c r="P2" s="643"/>
      <c r="Q2" s="643"/>
      <c r="R2" s="643"/>
      <c r="S2" s="643"/>
      <c r="T2" s="643"/>
      <c r="U2" s="643"/>
      <c r="V2" s="643"/>
      <c r="W2" s="643"/>
      <c r="X2" s="643"/>
    </row>
    <row r="3" spans="2:27" ht="5.25" customHeight="1" thickBot="1" x14ac:dyDescent="0.4">
      <c r="B3" s="381"/>
    </row>
    <row r="4" spans="2:27" ht="15" thickBot="1" x14ac:dyDescent="0.4">
      <c r="B4" s="382"/>
      <c r="C4" s="641" t="s">
        <v>384</v>
      </c>
      <c r="D4" s="642"/>
      <c r="E4" s="641" t="s">
        <v>385</v>
      </c>
      <c r="F4" s="642"/>
      <c r="G4" s="641" t="s">
        <v>386</v>
      </c>
      <c r="H4" s="642"/>
      <c r="I4" s="641" t="s">
        <v>387</v>
      </c>
      <c r="J4" s="642"/>
      <c r="K4" s="641" t="s">
        <v>388</v>
      </c>
      <c r="L4" s="642"/>
      <c r="M4" s="641" t="s">
        <v>389</v>
      </c>
      <c r="N4" s="642"/>
      <c r="O4" s="641" t="s">
        <v>422</v>
      </c>
      <c r="P4" s="642"/>
      <c r="Q4" s="641" t="s">
        <v>423</v>
      </c>
      <c r="R4" s="642"/>
      <c r="S4" s="641" t="s">
        <v>426</v>
      </c>
      <c r="T4" s="642"/>
      <c r="U4" s="641" t="s">
        <v>430</v>
      </c>
      <c r="V4" s="642"/>
      <c r="W4" s="641" t="s">
        <v>435</v>
      </c>
      <c r="X4" s="642"/>
    </row>
    <row r="5" spans="2:27" ht="26.5" thickBot="1" x14ac:dyDescent="0.4">
      <c r="B5" s="382"/>
      <c r="C5" s="383" t="s">
        <v>390</v>
      </c>
      <c r="D5" s="384" t="s">
        <v>391</v>
      </c>
      <c r="E5" s="383" t="s">
        <v>390</v>
      </c>
      <c r="F5" s="384" t="s">
        <v>391</v>
      </c>
      <c r="G5" s="383" t="s">
        <v>390</v>
      </c>
      <c r="H5" s="384" t="s">
        <v>391</v>
      </c>
      <c r="I5" s="383" t="s">
        <v>390</v>
      </c>
      <c r="J5" s="384" t="s">
        <v>391</v>
      </c>
      <c r="K5" s="383" t="s">
        <v>390</v>
      </c>
      <c r="L5" s="384" t="s">
        <v>391</v>
      </c>
      <c r="M5" s="383" t="s">
        <v>390</v>
      </c>
      <c r="N5" s="384" t="s">
        <v>391</v>
      </c>
      <c r="O5" s="383" t="s">
        <v>390</v>
      </c>
      <c r="P5" s="384" t="s">
        <v>391</v>
      </c>
      <c r="Q5" s="383" t="s">
        <v>390</v>
      </c>
      <c r="R5" s="384" t="s">
        <v>391</v>
      </c>
      <c r="S5" s="383" t="s">
        <v>390</v>
      </c>
      <c r="T5" s="384" t="s">
        <v>391</v>
      </c>
      <c r="U5" s="383" t="s">
        <v>390</v>
      </c>
      <c r="V5" s="384" t="s">
        <v>391</v>
      </c>
      <c r="W5" s="383" t="s">
        <v>390</v>
      </c>
      <c r="X5" s="384" t="s">
        <v>391</v>
      </c>
    </row>
    <row r="6" spans="2:27" x14ac:dyDescent="0.35">
      <c r="B6" s="385" t="s">
        <v>392</v>
      </c>
      <c r="C6" s="387">
        <v>173</v>
      </c>
      <c r="D6" s="386">
        <f>+'Formula Virgen'!AD18</f>
        <v>1486.0273966085279</v>
      </c>
      <c r="E6" s="387">
        <f>+C9</f>
        <v>277.8</v>
      </c>
      <c r="F6" s="386">
        <f t="shared" ref="F6" si="0">+D9</f>
        <v>1299.1062087173414</v>
      </c>
      <c r="G6" s="387">
        <f>+E9</f>
        <v>190</v>
      </c>
      <c r="H6" s="386">
        <f t="shared" ref="H6" si="1">+F9</f>
        <v>1299.1062087173414</v>
      </c>
      <c r="I6" s="387">
        <f>+G9</f>
        <v>96</v>
      </c>
      <c r="J6" s="386">
        <f t="shared" ref="J6" si="2">+H9</f>
        <v>1299.1062087173416</v>
      </c>
      <c r="K6" s="387">
        <f>+I9</f>
        <v>131</v>
      </c>
      <c r="L6" s="386">
        <f>+J9</f>
        <v>1189.8905412539768</v>
      </c>
      <c r="M6" s="387">
        <f>+K9</f>
        <v>93</v>
      </c>
      <c r="N6" s="386">
        <f>+J9</f>
        <v>1189.8905412539768</v>
      </c>
      <c r="O6" s="387">
        <f>+M9</f>
        <v>77.599999999999994</v>
      </c>
      <c r="P6" s="386">
        <f>+L9</f>
        <v>1189.8905412539771</v>
      </c>
      <c r="Q6" s="387">
        <f>+O9</f>
        <v>70.013397999999995</v>
      </c>
      <c r="R6" s="386">
        <f>+N9</f>
        <v>1189.8905412539768</v>
      </c>
      <c r="S6" s="387">
        <f>+Q9</f>
        <v>47.253591999999998</v>
      </c>
      <c r="T6" s="386">
        <f>+P9</f>
        <v>1189.8905412539771</v>
      </c>
      <c r="U6" s="387">
        <f>+S9</f>
        <v>32.080387999999999</v>
      </c>
      <c r="V6" s="386">
        <f>+R9</f>
        <v>1189.8905412539766</v>
      </c>
      <c r="W6" s="387">
        <f>+U9</f>
        <v>39.907184000000001</v>
      </c>
      <c r="X6" s="386">
        <f>+T9</f>
        <v>1189.8905412539768</v>
      </c>
    </row>
    <row r="7" spans="2:27" x14ac:dyDescent="0.35">
      <c r="B7" s="388" t="s">
        <v>393</v>
      </c>
      <c r="C7" s="390">
        <f>115+46</f>
        <v>161</v>
      </c>
      <c r="D7" s="389">
        <f>+'Formula Virgen'!AE18</f>
        <v>1098.253006821843</v>
      </c>
      <c r="E7" s="390"/>
      <c r="F7" s="389">
        <f>+'Formula Virgen'!AF18</f>
        <v>1074.3666295837857</v>
      </c>
      <c r="G7" s="390"/>
      <c r="H7" s="389">
        <f>+'Formula Virgen'!AG18</f>
        <v>1034.8604295951222</v>
      </c>
      <c r="I7" s="390">
        <v>69</v>
      </c>
      <c r="J7" s="389">
        <f>+'Formula Virgen'!AH18</f>
        <v>1037.9383082614693</v>
      </c>
      <c r="K7" s="390"/>
      <c r="L7" s="389">
        <f>+'Formula Virgen'!AI18</f>
        <v>1031.6056140535711</v>
      </c>
      <c r="M7" s="390"/>
      <c r="N7" s="389">
        <f>+'Formula Virgen'!AJ18</f>
        <v>1013.2741308201805</v>
      </c>
      <c r="O7" s="390"/>
      <c r="P7" s="389">
        <f>+'Formula Virgen'!AK18</f>
        <v>969.14278229535194</v>
      </c>
      <c r="Q7" s="390"/>
      <c r="R7" s="389">
        <f>+'Formula Virgen'!AL18</f>
        <v>1001.0531419979204</v>
      </c>
      <c r="S7" s="390"/>
      <c r="T7" s="389">
        <f>+'Formula Virgen'!AM18</f>
        <v>984.87429545454552</v>
      </c>
      <c r="U7" s="390">
        <v>23</v>
      </c>
      <c r="V7" s="389">
        <f>+'Formula Virgen'!AN18</f>
        <v>1091.5549136363636</v>
      </c>
      <c r="W7" s="390">
        <v>23</v>
      </c>
      <c r="X7" s="389">
        <f>+'Formula Virgen'!AW18</f>
        <v>0</v>
      </c>
    </row>
    <row r="8" spans="2:27" x14ac:dyDescent="0.35">
      <c r="B8" s="388" t="s">
        <v>394</v>
      </c>
      <c r="C8" s="391">
        <v>56.2</v>
      </c>
      <c r="D8" s="389">
        <f>+D13</f>
        <v>1299.1062087173414</v>
      </c>
      <c r="E8" s="391">
        <v>87.8</v>
      </c>
      <c r="F8" s="389">
        <f>+F13</f>
        <v>1299.1062087173414</v>
      </c>
      <c r="G8" s="391">
        <v>94</v>
      </c>
      <c r="H8" s="389">
        <f>+H13</f>
        <v>1299.1062087173414</v>
      </c>
      <c r="I8" s="391">
        <v>34</v>
      </c>
      <c r="J8" s="389">
        <f>+J13</f>
        <v>1189.8905412539768</v>
      </c>
      <c r="K8" s="391">
        <v>38</v>
      </c>
      <c r="L8" s="389">
        <f>+L13</f>
        <v>1189.8905412539768</v>
      </c>
      <c r="M8" s="401">
        <v>15.4</v>
      </c>
      <c r="N8" s="389">
        <f>+N13</f>
        <v>1189.8905412539768</v>
      </c>
      <c r="O8" s="401">
        <f>+(((16.7*937440)*25%)+((38.6*380600)*25%))/1000000</f>
        <v>7.5866020000000001</v>
      </c>
      <c r="P8" s="389">
        <f>+P13</f>
        <v>1189.8905412539771</v>
      </c>
      <c r="Q8" s="391">
        <f>+(((16.7*(3*937440)*25%))+((38.6*(3*380600)*25%)))/1000000</f>
        <v>22.759806000000001</v>
      </c>
      <c r="R8" s="389">
        <f>+R13</f>
        <v>1189.8905412539768</v>
      </c>
      <c r="S8" s="391">
        <f>+(((16.7*(2*937440)*25%))+((38.6*(2*380600)*25%)))/1000000</f>
        <v>15.173204</v>
      </c>
      <c r="T8" s="389">
        <f>+T13</f>
        <v>1189.8905412539771</v>
      </c>
      <c r="U8" s="391">
        <f>+(((16.7*(2*937440)*25%))+((38.6*(2*380600)*25%)))/1000000</f>
        <v>15.173204</v>
      </c>
      <c r="V8" s="389">
        <f>+V13</f>
        <v>1148.8283861506918</v>
      </c>
      <c r="W8" s="391">
        <f>+(((16.7*(3*937440)*25%))+((38.6*(1*380600)*25%)))/1000000</f>
        <v>15.414225999999999</v>
      </c>
      <c r="X8" s="389">
        <f>+X13</f>
        <v>754.84511863831074</v>
      </c>
    </row>
    <row r="9" spans="2:27" ht="15" thickBot="1" x14ac:dyDescent="0.4">
      <c r="B9" s="392" t="s">
        <v>395</v>
      </c>
      <c r="C9" s="394">
        <f>+C6+C7-C8</f>
        <v>277.8</v>
      </c>
      <c r="D9" s="393">
        <f>+(C6*D6+C7*D7-C8*D8)/C9</f>
        <v>1299.1062087173414</v>
      </c>
      <c r="E9" s="394">
        <f>+E6+E7-E8</f>
        <v>190</v>
      </c>
      <c r="F9" s="393">
        <f>+(E6*F6+E7*F7-E8*F8)/E9</f>
        <v>1299.1062087173414</v>
      </c>
      <c r="G9" s="394">
        <f>+G6+G7-G8</f>
        <v>96</v>
      </c>
      <c r="H9" s="393">
        <f>+(G6*H6+G7*H7-G8*H8)/G9</f>
        <v>1299.1062087173416</v>
      </c>
      <c r="I9" s="394">
        <f>+I6+I7-I8</f>
        <v>131</v>
      </c>
      <c r="J9" s="393">
        <f>+(I6*J6+I7*J7-I8*J8)/I9</f>
        <v>1189.8905412539768</v>
      </c>
      <c r="K9" s="394">
        <f>+K6+K7-K8</f>
        <v>93</v>
      </c>
      <c r="L9" s="393">
        <f>+(K6*L6+K7*L7-K8*L8)/K9</f>
        <v>1189.8905412539771</v>
      </c>
      <c r="M9" s="394">
        <f>+M6+M7-M8</f>
        <v>77.599999999999994</v>
      </c>
      <c r="N9" s="402">
        <f>+(M6*N6+M7*N7-M8*N8)/M9</f>
        <v>1189.8905412539768</v>
      </c>
      <c r="O9" s="394">
        <f>+O6+O7-O8</f>
        <v>70.013397999999995</v>
      </c>
      <c r="P9" s="402">
        <f>+(O6*P6+O7*P7-O8*P8)/O9</f>
        <v>1189.8905412539771</v>
      </c>
      <c r="Q9" s="394">
        <f>+Q6+Q7-Q8</f>
        <v>47.253591999999998</v>
      </c>
      <c r="R9" s="402">
        <f>+(Q6*R6+Q7*R7-Q8*R8)/Q9</f>
        <v>1189.8905412539766</v>
      </c>
      <c r="S9" s="394">
        <f>+S6+S7-S8</f>
        <v>32.080387999999999</v>
      </c>
      <c r="T9" s="402">
        <f>+(S6*T6+S7*T7-S8*T8)/S9</f>
        <v>1189.8905412539768</v>
      </c>
      <c r="U9" s="394">
        <f>+U6+U7-U8</f>
        <v>39.907184000000001</v>
      </c>
      <c r="V9" s="402">
        <f>+(U6*V6+U7*V7-U8*V8)/U9</f>
        <v>1148.8283861506918</v>
      </c>
      <c r="W9" s="394">
        <f>+W6+W7-W8</f>
        <v>47.492958000000002</v>
      </c>
      <c r="X9" s="402">
        <f>+(W6*X6+W7*X7-W8*X8)/W9</f>
        <v>754.84511863831085</v>
      </c>
      <c r="Z9" s="429"/>
    </row>
    <row r="10" spans="2:27" x14ac:dyDescent="0.35">
      <c r="B10" s="395"/>
      <c r="Y10" s="396"/>
    </row>
    <row r="11" spans="2:27" x14ac:dyDescent="0.35">
      <c r="C11" s="398">
        <f t="shared" ref="C11:J12" si="3">+C6</f>
        <v>173</v>
      </c>
      <c r="D11" s="399">
        <f t="shared" si="3"/>
        <v>1486.0273966085279</v>
      </c>
      <c r="E11" s="398">
        <f t="shared" si="3"/>
        <v>277.8</v>
      </c>
      <c r="F11" s="399">
        <f t="shared" si="3"/>
        <v>1299.1062087173414</v>
      </c>
      <c r="G11" s="398">
        <f t="shared" si="3"/>
        <v>190</v>
      </c>
      <c r="H11" s="399">
        <f t="shared" si="3"/>
        <v>1299.1062087173414</v>
      </c>
      <c r="I11" s="398">
        <f t="shared" si="3"/>
        <v>96</v>
      </c>
      <c r="J11" s="399">
        <f t="shared" si="3"/>
        <v>1299.1062087173416</v>
      </c>
      <c r="K11" s="398">
        <f t="shared" ref="K11:L11" si="4">+K6</f>
        <v>131</v>
      </c>
      <c r="L11" s="399">
        <f t="shared" si="4"/>
        <v>1189.8905412539768</v>
      </c>
      <c r="M11" s="398">
        <f t="shared" ref="M11:N11" si="5">+M6</f>
        <v>93</v>
      </c>
      <c r="N11" s="399">
        <f t="shared" si="5"/>
        <v>1189.8905412539768</v>
      </c>
      <c r="O11" s="398">
        <f t="shared" ref="O11:P11" si="6">+O6</f>
        <v>77.599999999999994</v>
      </c>
      <c r="P11" s="399">
        <f t="shared" si="6"/>
        <v>1189.8905412539771</v>
      </c>
      <c r="Q11" s="398">
        <f t="shared" ref="Q11:R11" si="7">+Q6</f>
        <v>70.013397999999995</v>
      </c>
      <c r="R11" s="399">
        <f t="shared" si="7"/>
        <v>1189.8905412539768</v>
      </c>
      <c r="S11" s="398">
        <f t="shared" ref="S11:T11" si="8">+S6</f>
        <v>47.253591999999998</v>
      </c>
      <c r="T11" s="399">
        <f t="shared" si="8"/>
        <v>1189.8905412539771</v>
      </c>
      <c r="U11" s="398">
        <f t="shared" ref="U11:V11" si="9">+U6</f>
        <v>32.080387999999999</v>
      </c>
      <c r="V11" s="399">
        <f t="shared" si="9"/>
        <v>1189.8905412539766</v>
      </c>
      <c r="W11" s="398">
        <f t="shared" ref="W11:X11" si="10">+W6</f>
        <v>39.907184000000001</v>
      </c>
      <c r="X11" s="399">
        <f t="shared" si="10"/>
        <v>1189.8905412539768</v>
      </c>
    </row>
    <row r="12" spans="2:27" x14ac:dyDescent="0.35">
      <c r="C12" s="398">
        <f t="shared" si="3"/>
        <v>161</v>
      </c>
      <c r="D12" s="399">
        <f t="shared" si="3"/>
        <v>1098.253006821843</v>
      </c>
      <c r="E12" s="398">
        <f t="shared" si="3"/>
        <v>0</v>
      </c>
      <c r="F12" s="399">
        <f t="shared" si="3"/>
        <v>1074.3666295837857</v>
      </c>
      <c r="G12" s="398">
        <f t="shared" si="3"/>
        <v>0</v>
      </c>
      <c r="H12" s="399">
        <f t="shared" si="3"/>
        <v>1034.8604295951222</v>
      </c>
      <c r="I12" s="398">
        <f t="shared" si="3"/>
        <v>69</v>
      </c>
      <c r="J12" s="399">
        <f t="shared" si="3"/>
        <v>1037.9383082614693</v>
      </c>
      <c r="K12" s="398">
        <f t="shared" ref="K12:L12" si="11">+K7</f>
        <v>0</v>
      </c>
      <c r="L12" s="399">
        <f t="shared" si="11"/>
        <v>1031.6056140535711</v>
      </c>
      <c r="M12" s="398">
        <f t="shared" ref="M12:N12" si="12">+M7</f>
        <v>0</v>
      </c>
      <c r="N12" s="399">
        <f t="shared" si="12"/>
        <v>1013.2741308201805</v>
      </c>
      <c r="O12" s="398">
        <f t="shared" ref="O12:P12" si="13">+O7</f>
        <v>0</v>
      </c>
      <c r="P12" s="399">
        <f t="shared" si="13"/>
        <v>969.14278229535194</v>
      </c>
      <c r="Q12" s="398">
        <f t="shared" ref="Q12:R12" si="14">+Q7</f>
        <v>0</v>
      </c>
      <c r="R12" s="399">
        <f t="shared" si="14"/>
        <v>1001.0531419979204</v>
      </c>
      <c r="S12" s="398">
        <f t="shared" ref="S12:T12" si="15">+S7</f>
        <v>0</v>
      </c>
      <c r="T12" s="399">
        <f t="shared" si="15"/>
        <v>984.87429545454552</v>
      </c>
      <c r="U12" s="398">
        <f t="shared" ref="U12:V12" si="16">+U7</f>
        <v>23</v>
      </c>
      <c r="V12" s="399">
        <f t="shared" si="16"/>
        <v>1091.5549136363636</v>
      </c>
      <c r="W12" s="398">
        <f t="shared" ref="W12:X12" si="17">+W7</f>
        <v>23</v>
      </c>
      <c r="X12" s="399">
        <f t="shared" si="17"/>
        <v>0</v>
      </c>
    </row>
    <row r="13" spans="2:27" x14ac:dyDescent="0.35">
      <c r="C13" s="398">
        <f>+C12+C11</f>
        <v>334</v>
      </c>
      <c r="D13" s="399">
        <f>+SUMPRODUCT(C11:C12,D11:D12)/C13</f>
        <v>1299.1062087173414</v>
      </c>
      <c r="E13" s="398">
        <f>+E12+E11</f>
        <v>277.8</v>
      </c>
      <c r="F13" s="399">
        <f>+SUMPRODUCT(E11:E12,F11:F12)/E13</f>
        <v>1299.1062087173414</v>
      </c>
      <c r="G13" s="398">
        <f>+G12+G11</f>
        <v>190</v>
      </c>
      <c r="H13" s="399">
        <f>+SUMPRODUCT(G11:G12,H11:H12)/G13</f>
        <v>1299.1062087173414</v>
      </c>
      <c r="I13" s="398">
        <f>+I12+I11</f>
        <v>165</v>
      </c>
      <c r="J13" s="399">
        <f>+SUMPRODUCT(I11:I12,J11:J12)/I13</f>
        <v>1189.8905412539768</v>
      </c>
      <c r="K13" s="398">
        <f>+K12+K11</f>
        <v>131</v>
      </c>
      <c r="L13" s="399">
        <f>+SUMPRODUCT(K11:K12,L11:L12)/K13</f>
        <v>1189.8905412539768</v>
      </c>
      <c r="M13" s="398">
        <f>+M12+M11</f>
        <v>93</v>
      </c>
      <c r="N13" s="399">
        <f>+SUMPRODUCT(M11:M12,N11:N12)/M13</f>
        <v>1189.8905412539768</v>
      </c>
      <c r="O13" s="398">
        <f>+O12+O11</f>
        <v>77.599999999999994</v>
      </c>
      <c r="P13" s="399">
        <f>+SUMPRODUCT(O11:O12,P11:P12)/O13</f>
        <v>1189.8905412539771</v>
      </c>
      <c r="Q13" s="398">
        <f>+Q12+Q11</f>
        <v>70.013397999999995</v>
      </c>
      <c r="R13" s="399">
        <f>+SUMPRODUCT(Q11:Q12,R11:R12)/Q13</f>
        <v>1189.8905412539768</v>
      </c>
      <c r="S13" s="398">
        <f>+S12+S11</f>
        <v>47.253591999999998</v>
      </c>
      <c r="T13" s="399">
        <f>+SUMPRODUCT(S11:S12,T11:T12)/S13</f>
        <v>1189.8905412539771</v>
      </c>
      <c r="U13" s="398">
        <f>+U12+U11</f>
        <v>55.080387999999999</v>
      </c>
      <c r="V13" s="399">
        <f>+SUMPRODUCT(U11:U12,V11:V12)/U13</f>
        <v>1148.8283861506918</v>
      </c>
      <c r="W13" s="398">
        <f>+W12+W11</f>
        <v>62.907184000000001</v>
      </c>
      <c r="X13" s="399">
        <f>+SUMPRODUCT(W11:W12,X11:X12)/W13</f>
        <v>754.84511863831074</v>
      </c>
      <c r="AA13" s="400"/>
    </row>
    <row r="14" spans="2:27" ht="4.5" customHeight="1" x14ac:dyDescent="0.35"/>
  </sheetData>
  <mergeCells count="12">
    <mergeCell ref="W4:X4"/>
    <mergeCell ref="B2:X2"/>
    <mergeCell ref="U4:V4"/>
    <mergeCell ref="S4:T4"/>
    <mergeCell ref="Q4:R4"/>
    <mergeCell ref="O4:P4"/>
    <mergeCell ref="M4:N4"/>
    <mergeCell ref="K4:L4"/>
    <mergeCell ref="C4:D4"/>
    <mergeCell ref="E4:F4"/>
    <mergeCell ref="G4:H4"/>
    <mergeCell ref="I4:J4"/>
  </mergeCells>
  <pageMargins left="0.7" right="0.7" top="0.75" bottom="0.75" header="0.3" footer="0.3"/>
  <pageSetup scale="66" orientation="portrait" r:id="rId1"/>
  <customProperties>
    <customPr name="EpmWorksheetKeyString_GUID" r:id="rId2"/>
  </customProperties>
  <ignoredErrors>
    <ignoredError sqref="D9:M9" formula="1"/>
  </ignoredErrors>
  <drawing r:id="rId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CCC60-94F4-4F57-B9E1-23981F64D608}">
  <dimension ref="D1:Q101"/>
  <sheetViews>
    <sheetView showGridLines="0" zoomScale="50" zoomScaleNormal="50" workbookViewId="0">
      <selection activeCell="P29" sqref="P29"/>
    </sheetView>
  </sheetViews>
  <sheetFormatPr defaultColWidth="11.453125" defaultRowHeight="23.5" x14ac:dyDescent="0.55000000000000004"/>
  <cols>
    <col min="1" max="3" width="4.453125" style="405" customWidth="1"/>
    <col min="4" max="4" width="31.26953125" style="405" bestFit="1" customWidth="1"/>
    <col min="5" max="5" width="21.7265625" style="405" customWidth="1"/>
    <col min="6" max="6" width="10.7265625" style="405" bestFit="1" customWidth="1"/>
    <col min="7" max="11" width="11.453125" style="405"/>
    <col min="12" max="12" width="17.26953125" style="405" customWidth="1"/>
    <col min="13" max="13" width="19.54296875" style="405" bestFit="1" customWidth="1"/>
    <col min="14" max="14" width="18.7265625" style="405" bestFit="1" customWidth="1"/>
    <col min="15" max="15" width="23.7265625" style="405" bestFit="1" customWidth="1"/>
    <col min="16" max="16" width="22.54296875" style="405" bestFit="1" customWidth="1"/>
    <col min="17" max="17" width="25.81640625" style="405" customWidth="1"/>
    <col min="18" max="16384" width="11.453125" style="405"/>
  </cols>
  <sheetData>
    <row r="1" spans="4:6" x14ac:dyDescent="0.55000000000000004">
      <c r="D1" s="404" t="s">
        <v>396</v>
      </c>
    </row>
    <row r="3" spans="4:6" x14ac:dyDescent="0.55000000000000004">
      <c r="D3" s="406" t="s">
        <v>397</v>
      </c>
      <c r="E3" s="644">
        <v>45352</v>
      </c>
      <c r="F3" s="644"/>
    </row>
    <row r="4" spans="4:6" x14ac:dyDescent="0.55000000000000004">
      <c r="D4" s="407" t="s">
        <v>398</v>
      </c>
      <c r="E4" s="407" t="s">
        <v>399</v>
      </c>
      <c r="F4" s="407" t="s">
        <v>400</v>
      </c>
    </row>
    <row r="5" spans="4:6" x14ac:dyDescent="0.55000000000000004">
      <c r="D5" s="408">
        <v>951789.73</v>
      </c>
      <c r="E5" s="408">
        <v>55740.76</v>
      </c>
      <c r="F5" s="409">
        <f>+E5/D5</f>
        <v>5.8564153660283773E-2</v>
      </c>
    </row>
    <row r="22" spans="4:17" ht="47" x14ac:dyDescent="0.55000000000000004">
      <c r="L22" s="410" t="s">
        <v>401</v>
      </c>
      <c r="M22" s="410" t="s">
        <v>402</v>
      </c>
      <c r="N22" s="410" t="s">
        <v>403</v>
      </c>
      <c r="O22" s="410" t="s">
        <v>404</v>
      </c>
      <c r="P22" s="410" t="s">
        <v>405</v>
      </c>
      <c r="Q22" s="410" t="s">
        <v>406</v>
      </c>
    </row>
    <row r="23" spans="4:17" x14ac:dyDescent="0.55000000000000004">
      <c r="L23" s="406" t="s">
        <v>407</v>
      </c>
      <c r="M23" s="411">
        <v>2767378.39</v>
      </c>
      <c r="N23" s="412">
        <v>159462.62</v>
      </c>
      <c r="O23" s="412">
        <v>5.7622268272464174E-2</v>
      </c>
      <c r="P23" s="413">
        <v>0</v>
      </c>
      <c r="Q23" s="407"/>
    </row>
    <row r="24" spans="4:17" x14ac:dyDescent="0.55000000000000004">
      <c r="L24" s="406" t="s">
        <v>408</v>
      </c>
      <c r="M24" s="411">
        <v>2781643.89</v>
      </c>
      <c r="N24" s="412">
        <v>159290.88</v>
      </c>
      <c r="O24" s="412">
        <v>5.7265015328759425E-2</v>
      </c>
      <c r="P24" s="413">
        <v>-6.1999111526727102E-3</v>
      </c>
      <c r="Q24" s="407" t="s">
        <v>409</v>
      </c>
    </row>
    <row r="25" spans="4:17" x14ac:dyDescent="0.55000000000000004">
      <c r="D25" s="404" t="s">
        <v>410</v>
      </c>
      <c r="L25" s="406" t="s">
        <v>411</v>
      </c>
      <c r="M25" s="411">
        <v>2219256.81</v>
      </c>
      <c r="N25" s="412">
        <v>211882.62</v>
      </c>
      <c r="O25" s="412">
        <v>9.5474583673802044E-2</v>
      </c>
      <c r="P25" s="413">
        <v>0.66724103932708023</v>
      </c>
      <c r="Q25" s="407" t="s">
        <v>412</v>
      </c>
    </row>
    <row r="26" spans="4:17" x14ac:dyDescent="0.55000000000000004">
      <c r="L26" s="406" t="s">
        <v>413</v>
      </c>
      <c r="M26" s="411">
        <v>1971270.54</v>
      </c>
      <c r="N26" s="412">
        <v>181706.56000000003</v>
      </c>
      <c r="O26" s="412">
        <v>9.2177383222091888E-2</v>
      </c>
      <c r="P26" s="413">
        <v>-3.4534850269422046E-2</v>
      </c>
      <c r="Q26" s="407" t="s">
        <v>414</v>
      </c>
    </row>
    <row r="27" spans="4:17" x14ac:dyDescent="0.55000000000000004">
      <c r="D27" s="406" t="s">
        <v>397</v>
      </c>
      <c r="E27" s="644">
        <v>45413</v>
      </c>
      <c r="F27" s="644"/>
      <c r="L27" s="406" t="s">
        <v>415</v>
      </c>
      <c r="M27" s="411">
        <v>2809479.59</v>
      </c>
      <c r="N27" s="412">
        <v>266604.96000000002</v>
      </c>
      <c r="O27" s="412">
        <v>9.4894784410944955E-2</v>
      </c>
      <c r="P27" s="413">
        <v>2.9480129440274672E-2</v>
      </c>
      <c r="Q27" s="407" t="s">
        <v>416</v>
      </c>
    </row>
    <row r="28" spans="4:17" x14ac:dyDescent="0.55000000000000004">
      <c r="D28" s="407" t="s">
        <v>398</v>
      </c>
      <c r="E28" s="407" t="s">
        <v>399</v>
      </c>
      <c r="F28" s="407" t="s">
        <v>400</v>
      </c>
      <c r="P28" s="428">
        <f>SUM(P23:P27)</f>
        <v>0.65598640734526015</v>
      </c>
    </row>
    <row r="29" spans="4:17" x14ac:dyDescent="0.55000000000000004">
      <c r="D29" s="408">
        <v>1084637.49</v>
      </c>
      <c r="E29" s="408">
        <v>62370.79</v>
      </c>
      <c r="F29" s="409">
        <f>+E29/D29</f>
        <v>5.7503811711321171E-2</v>
      </c>
    </row>
    <row r="53" spans="4:6" x14ac:dyDescent="0.55000000000000004">
      <c r="D53" s="404" t="s">
        <v>417</v>
      </c>
    </row>
    <row r="56" spans="4:6" x14ac:dyDescent="0.55000000000000004">
      <c r="D56" s="414" t="s">
        <v>418</v>
      </c>
      <c r="E56" s="644">
        <v>45536</v>
      </c>
      <c r="F56" s="644"/>
    </row>
    <row r="57" spans="4:6" x14ac:dyDescent="0.55000000000000004">
      <c r="D57" s="407" t="s">
        <v>398</v>
      </c>
      <c r="E57" s="407" t="s">
        <v>399</v>
      </c>
      <c r="F57" s="407" t="s">
        <v>400</v>
      </c>
    </row>
    <row r="58" spans="4:6" x14ac:dyDescent="0.55000000000000004">
      <c r="D58" s="408">
        <v>1019007.74</v>
      </c>
      <c r="E58" s="408">
        <v>96356.51</v>
      </c>
      <c r="F58" s="409">
        <f>+E58/D58</f>
        <v>9.4559154182675784E-2</v>
      </c>
    </row>
    <row r="75" spans="4:6" x14ac:dyDescent="0.55000000000000004">
      <c r="D75" s="404" t="s">
        <v>419</v>
      </c>
    </row>
    <row r="77" spans="4:6" x14ac:dyDescent="0.55000000000000004">
      <c r="D77" s="414" t="s">
        <v>418</v>
      </c>
      <c r="E77" s="644">
        <v>45597</v>
      </c>
      <c r="F77" s="644"/>
    </row>
    <row r="78" spans="4:6" x14ac:dyDescent="0.55000000000000004">
      <c r="D78" s="407" t="s">
        <v>398</v>
      </c>
      <c r="E78" s="407" t="s">
        <v>399</v>
      </c>
      <c r="F78" s="407" t="s">
        <v>400</v>
      </c>
    </row>
    <row r="79" spans="4:6" x14ac:dyDescent="0.55000000000000004">
      <c r="D79" s="408">
        <v>537983.00000000012</v>
      </c>
      <c r="E79" s="408">
        <v>48167.27</v>
      </c>
      <c r="F79" s="409">
        <f>+E79/D79</f>
        <v>8.953307074758865E-2</v>
      </c>
    </row>
    <row r="97" spans="4:6" x14ac:dyDescent="0.55000000000000004">
      <c r="D97" s="404" t="s">
        <v>420</v>
      </c>
    </row>
    <row r="99" spans="4:6" x14ac:dyDescent="0.55000000000000004">
      <c r="D99" s="414" t="s">
        <v>418</v>
      </c>
      <c r="E99" s="645">
        <v>45717</v>
      </c>
      <c r="F99" s="646"/>
    </row>
    <row r="100" spans="4:6" x14ac:dyDescent="0.55000000000000004">
      <c r="D100" s="407" t="s">
        <v>398</v>
      </c>
      <c r="E100" s="407" t="s">
        <v>399</v>
      </c>
      <c r="F100" s="407" t="s">
        <v>400</v>
      </c>
    </row>
    <row r="101" spans="4:6" x14ac:dyDescent="0.55000000000000004">
      <c r="D101" s="408">
        <v>1014705.32</v>
      </c>
      <c r="E101" s="408">
        <v>96384.75</v>
      </c>
      <c r="F101" s="409">
        <f>+E101/D101</f>
        <v>9.4987922207799211E-2</v>
      </c>
    </row>
  </sheetData>
  <mergeCells count="5">
    <mergeCell ref="E3:F3"/>
    <mergeCell ref="E27:F27"/>
    <mergeCell ref="E56:F56"/>
    <mergeCell ref="E77:F77"/>
    <mergeCell ref="E99:F99"/>
  </mergeCells>
  <pageMargins left="0.7" right="0.7" top="0.75" bottom="0.75" header="0.3" footer="0.3"/>
  <customProperties>
    <customPr name="EpmWorksheetKeyString_GUID" r:id="rId1"/>
  </customProperties>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4FBA7-5AA6-44E3-8ACD-91648361C85E}">
  <dimension ref="D15"/>
  <sheetViews>
    <sheetView workbookViewId="0">
      <selection activeCell="L19" sqref="L19"/>
    </sheetView>
  </sheetViews>
  <sheetFormatPr defaultColWidth="11.453125" defaultRowHeight="14.5" x14ac:dyDescent="0.35"/>
  <sheetData>
    <row r="15" spans="4:4" x14ac:dyDescent="0.35">
      <c r="D15" t="s">
        <v>421</v>
      </c>
    </row>
  </sheetData>
  <pageMargins left="0.7" right="0.7" top="0.75" bottom="0.75" header="0.3" footer="0.3"/>
  <customProperties>
    <customPr name="EpmWorksheetKeyString_GUID" r:id="rId1"/>
  </customPropertie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65</vt:i4>
      </vt:variant>
      <vt:variant>
        <vt:lpstr>Named Ranges</vt:lpstr>
      </vt:variant>
      <vt:variant>
        <vt:i4>1</vt:i4>
      </vt:variant>
    </vt:vector>
  </HeadingPairs>
  <TitlesOfParts>
    <vt:vector size="66" baseType="lpstr">
      <vt:lpstr>ICIS Price Forecast</vt:lpstr>
      <vt:lpstr>Resina</vt:lpstr>
      <vt:lpstr>Sep17</vt:lpstr>
      <vt:lpstr>Oct17</vt:lpstr>
      <vt:lpstr>Nov17</vt:lpstr>
      <vt:lpstr>Dic17</vt:lpstr>
      <vt:lpstr>Ene18</vt:lpstr>
      <vt:lpstr>Feb18</vt:lpstr>
      <vt:lpstr>Mar18</vt:lpstr>
      <vt:lpstr>Abril18</vt:lpstr>
      <vt:lpstr>Mayo18</vt:lpstr>
      <vt:lpstr>Junio18</vt:lpstr>
      <vt:lpstr>Julio18</vt:lpstr>
      <vt:lpstr>Agosto18</vt:lpstr>
      <vt:lpstr>Septiembre18</vt:lpstr>
      <vt:lpstr>Octubre18</vt:lpstr>
      <vt:lpstr>Noviembre18</vt:lpstr>
      <vt:lpstr>Diciembre18</vt:lpstr>
      <vt:lpstr>Precios facturados</vt:lpstr>
      <vt:lpstr>IHS (Mod)</vt:lpstr>
      <vt:lpstr>Enero19</vt:lpstr>
      <vt:lpstr>Feb19</vt:lpstr>
      <vt:lpstr>Marzo19</vt:lpstr>
      <vt:lpstr>Abril19</vt:lpstr>
      <vt:lpstr>May19</vt:lpstr>
      <vt:lpstr>Jun19</vt:lpstr>
      <vt:lpstr>Jul19</vt:lpstr>
      <vt:lpstr>Ago19</vt:lpstr>
      <vt:lpstr>Sep19 (2)</vt:lpstr>
      <vt:lpstr>Sep19</vt:lpstr>
      <vt:lpstr>Ejercicio costo PCR</vt:lpstr>
      <vt:lpstr>Oct19</vt:lpstr>
      <vt:lpstr>Mayo20 (2)</vt:lpstr>
      <vt:lpstr>Nov19</vt:lpstr>
      <vt:lpstr>Dic19</vt:lpstr>
      <vt:lpstr>Ene20</vt:lpstr>
      <vt:lpstr>Feb20</vt:lpstr>
      <vt:lpstr>Mar20</vt:lpstr>
      <vt:lpstr>Abril20</vt:lpstr>
      <vt:lpstr>Mayo20</vt:lpstr>
      <vt:lpstr>Junio20</vt:lpstr>
      <vt:lpstr>Julio20</vt:lpstr>
      <vt:lpstr>Agost20</vt:lpstr>
      <vt:lpstr>Septiembre</vt:lpstr>
      <vt:lpstr>Amcor - Ecudor</vt:lpstr>
      <vt:lpstr>Formula Virgen May_Esti</vt:lpstr>
      <vt:lpstr>Formula Virgen</vt:lpstr>
      <vt:lpstr>Abril 2026</vt:lpstr>
      <vt:lpstr>Propuesta Ecuador 2023</vt:lpstr>
      <vt:lpstr>Base 2024</vt:lpstr>
      <vt:lpstr>Soportes 2024</vt:lpstr>
      <vt:lpstr>Sheet1</vt:lpstr>
      <vt:lpstr>IHS PCR</vt:lpstr>
      <vt:lpstr>ICIS PCR</vt:lpstr>
      <vt:lpstr>Formula PCR</vt:lpstr>
      <vt:lpstr>ICIS WC 24</vt:lpstr>
      <vt:lpstr>Contrato</vt:lpstr>
      <vt:lpstr>SORF</vt:lpstr>
      <vt:lpstr>ICIS </vt:lpstr>
      <vt:lpstr>ICIS -1</vt:lpstr>
      <vt:lpstr>Soportes</vt:lpstr>
      <vt:lpstr>NC </vt:lpstr>
      <vt:lpstr>FIFO</vt:lpstr>
      <vt:lpstr>EE</vt:lpstr>
      <vt:lpstr>Hoja1</vt:lpstr>
      <vt:lpstr>'IHS PCR'!Print_Area</vt:lpstr>
    </vt:vector>
  </TitlesOfParts>
  <Manager/>
  <Company>Amcor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Tainova Miranda</dc:creator>
  <cp:keywords/>
  <dc:description/>
  <cp:lastModifiedBy>Murugan Narendhra Kumar</cp:lastModifiedBy>
  <cp:revision/>
  <dcterms:created xsi:type="dcterms:W3CDTF">2017-10-18T14:06:04Z</dcterms:created>
  <dcterms:modified xsi:type="dcterms:W3CDTF">2026-05-05T02:46:56Z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8104b14-b53d-46de-9ae8-975cc0e84815_Enabled">
    <vt:lpwstr>true</vt:lpwstr>
  </property>
  <property fmtid="{D5CDD505-2E9C-101B-9397-08002B2CF9AE}" pid="3" name="MSIP_Label_68104b14-b53d-46de-9ae8-975cc0e84815_SetDate">
    <vt:lpwstr>2026-04-20T14:31:04Z</vt:lpwstr>
  </property>
  <property fmtid="{D5CDD505-2E9C-101B-9397-08002B2CF9AE}" pid="4" name="MSIP_Label_68104b14-b53d-46de-9ae8-975cc0e84815_Method">
    <vt:lpwstr>Standard</vt:lpwstr>
  </property>
  <property fmtid="{D5CDD505-2E9C-101B-9397-08002B2CF9AE}" pid="5" name="MSIP_Label_68104b14-b53d-46de-9ae8-975cc0e84815_Name">
    <vt:lpwstr>ABI_MIP_InternalUseOnly</vt:lpwstr>
  </property>
  <property fmtid="{D5CDD505-2E9C-101B-9397-08002B2CF9AE}" pid="6" name="MSIP_Label_68104b14-b53d-46de-9ae8-975cc0e84815_SiteId">
    <vt:lpwstr>cef04b19-7776-4a94-b89b-375c77a8f936</vt:lpwstr>
  </property>
  <property fmtid="{D5CDD505-2E9C-101B-9397-08002B2CF9AE}" pid="7" name="MSIP_Label_68104b14-b53d-46de-9ae8-975cc0e84815_ActionId">
    <vt:lpwstr>679b1f0b-6c8d-431d-8d62-5486c0e1f01c</vt:lpwstr>
  </property>
  <property fmtid="{D5CDD505-2E9C-101B-9397-08002B2CF9AE}" pid="8" name="MSIP_Label_68104b14-b53d-46de-9ae8-975cc0e84815_ContentBits">
    <vt:lpwstr>0</vt:lpwstr>
  </property>
  <property fmtid="{D5CDD505-2E9C-101B-9397-08002B2CF9AE}" pid="9" name="MSIP_Label_68104b14-b53d-46de-9ae8-975cc0e84815_Tag">
    <vt:lpwstr>10, 3, 0, 1</vt:lpwstr>
  </property>
</Properties>
</file>