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ustomProperty2.bin" ContentType="application/vnd.openxmlformats-officedocument.spreadsheetml.customProperty"/>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ustomProperty3.bin" ContentType="application/vnd.openxmlformats-officedocument.spreadsheetml.customProperty"/>
  <Override PartName="/xl/drawings/drawing5.xml" ContentType="application/vnd.openxmlformats-officedocument.drawing+xml"/>
  <Override PartName="/xl/comments3.xml" ContentType="application/vnd.openxmlformats-officedocument.spreadsheetml.comments+xml"/>
  <Override PartName="/xl/customProperty4.bin" ContentType="application/vnd.openxmlformats-officedocument.spreadsheetml.customProperty"/>
  <Override PartName="/xl/drawings/drawing6.xml" ContentType="application/vnd.openxmlformats-officedocument.drawing+xml"/>
  <Override PartName="/xl/customProperty5.bin" ContentType="application/vnd.openxmlformats-officedocument.spreadsheetml.customProperty"/>
  <Override PartName="/xl/drawings/drawing7.xml" ContentType="application/vnd.openxmlformats-officedocument.drawing+xml"/>
  <Override PartName="/xl/customProperty6.bin" ContentType="application/vnd.openxmlformats-officedocument.spreadsheetml.customProperty"/>
  <Override PartName="/xl/comments4.xml" ContentType="application/vnd.openxmlformats-officedocument.spreadsheetml.comments+xml"/>
  <Override PartName="/xl/threadedComments/threadedComment3.xml" ContentType="application/vnd.ms-excel.threadedcomments+xml"/>
  <Override PartName="/xl/customProperty7.bin" ContentType="application/vnd.openxmlformats-officedocument.spreadsheetml.customProperty"/>
  <Override PartName="/xl/drawings/drawing8.xml" ContentType="application/vnd.openxmlformats-officedocument.drawing+xml"/>
  <Override PartName="/xl/customProperty8.bin" ContentType="application/vnd.openxmlformats-officedocument.spreadsheetml.customProperty"/>
  <Override PartName="/xl/customProperty9.bin" ContentType="application/vnd.openxmlformats-officedocument.spreadsheetml.customProperty"/>
  <Override PartName="/xl/drawings/drawing9.xml" ContentType="application/vnd.openxmlformats-officedocument.drawing+xml"/>
  <Override PartName="/xl/customProperty10.bin" ContentType="application/vnd.openxmlformats-officedocument.spreadsheetml.customProperty"/>
  <Override PartName="/xl/drawings/drawing10.xml" ContentType="application/vnd.openxmlformats-officedocument.drawing+xml"/>
  <Override PartName="/xl/customProperty11.bin" ContentType="application/vnd.openxmlformats-officedocument.spreadsheetml.customProperty"/>
  <Override PartName="/xl/drawings/drawing11.xml" ContentType="application/vnd.openxmlformats-officedocument.drawing+xml"/>
  <Override PartName="/xl/customProperty12.bin" ContentType="application/vnd.openxmlformats-officedocument.spreadsheetml.customProperty"/>
  <Override PartName="/xl/comments5.xml" ContentType="application/vnd.openxmlformats-officedocument.spreadsheetml.comments+xml"/>
  <Override PartName="/xl/threadedComments/threadedComment4.xml" ContentType="application/vnd.ms-excel.threadedcomments+xml"/>
  <Override PartName="/xl/customProperty13.bin" ContentType="application/vnd.openxmlformats-officedocument.spreadsheetml.customProperty"/>
  <Override PartName="/xl/customProperty14.bin" ContentType="application/vnd.openxmlformats-officedocument.spreadsheetml.customProperty"/>
  <Override PartName="/xl/drawings/drawing12.xml" ContentType="application/vnd.openxmlformats-officedocument.drawing+xml"/>
  <Override PartName="/xl/customProperty15.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66925"/>
  <mc:AlternateContent xmlns:mc="http://schemas.openxmlformats.org/markup-compatibility/2006">
    <mc:Choice Requires="x15">
      <x15ac:absPath xmlns:x15ac="http://schemas.microsoft.com/office/spreadsheetml/2010/11/ac" url="https://anheuserbuschinbev-my.sharepoint.com/personal/narendhrakumar_murugan_ab-inbev_com/Documents/GAC/PET/Data Model/PET_Data_Model/data/"/>
    </mc:Choice>
  </mc:AlternateContent>
  <xr:revisionPtr revIDLastSave="637" documentId="8_{3CC30A83-DA63-4830-91F0-7F5CD4AB1148}" xr6:coauthVersionLast="47" xr6:coauthVersionMax="47" xr10:uidLastSave="{D13FB625-4555-47B6-99F1-F566245F4F03}"/>
  <bookViews>
    <workbookView xWindow="-110" yWindow="-110" windowWidth="19420" windowHeight="11500" tabRatio="693" activeTab="4" xr2:uid="{00000000-000D-0000-FFFF-FFFF00000000}"/>
  </bookViews>
  <sheets>
    <sheet name="ICIS Price Forecast" sheetId="29" r:id="rId1"/>
    <sheet name="Drewry" sheetId="15" r:id="rId2"/>
    <sheet name="Amcor - Columbia " sheetId="27" r:id="rId3"/>
    <sheet name="Fórmula Apr (2)" sheetId="28" r:id="rId4"/>
    <sheet name="Fórmula Marzo 26" sheetId="2" r:id="rId5"/>
    <sheet name="Fórmula Ago" sheetId="18" state="hidden" r:id="rId6"/>
    <sheet name="PCR Aurora " sheetId="25" r:id="rId7"/>
    <sheet name=" PCR Enkador" sheetId="5" r:id="rId8"/>
    <sheet name="PCR Enka" sheetId="10" r:id="rId9"/>
    <sheet name="PCR INTERCIA" sheetId="19" state="hidden" r:id="rId10"/>
    <sheet name="ICIS PCR" sheetId="8" r:id="rId11"/>
    <sheet name="IHS PCR" sheetId="7" r:id="rId12"/>
    <sheet name="IHS Index" sheetId="3" r:id="rId13"/>
    <sheet name="ICIS -1" sheetId="26" r:id="rId14"/>
    <sheet name="SOFR" sheetId="14" r:id="rId15"/>
    <sheet name="FIFO" sheetId="20" r:id="rId16"/>
    <sheet name="Cambio en Condiciones ZF" sheetId="22" r:id="rId17"/>
    <sheet name="Soportes " sheetId="21" r:id="rId18"/>
    <sheet name="Balance" sheetId="12"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P" localSheetId="13">#REF!</definedName>
    <definedName name="\P">#REF!</definedName>
    <definedName name="_________CTM1" localSheetId="13">#REF!</definedName>
    <definedName name="_________CTM1">#REF!</definedName>
    <definedName name="_________CTM2">#REF!</definedName>
    <definedName name="_________CTM3">#REF!</definedName>
    <definedName name="_________CTM4">#REF!</definedName>
    <definedName name="________CTM1">#REF!</definedName>
    <definedName name="________CTM2">#REF!</definedName>
    <definedName name="________CTM3">#REF!</definedName>
    <definedName name="________CTM4">#REF!</definedName>
    <definedName name="_______CTM1">#REF!</definedName>
    <definedName name="_______CTM2">#REF!</definedName>
    <definedName name="_______CTM3">#REF!</definedName>
    <definedName name="_______CTM4">#REF!</definedName>
    <definedName name="______CTM1">#REF!</definedName>
    <definedName name="______CTM2">#REF!</definedName>
    <definedName name="______CTM3">#REF!</definedName>
    <definedName name="______CTM4">#REF!</definedName>
    <definedName name="_____CTM1">#REF!</definedName>
    <definedName name="_____CTM2">#REF!</definedName>
    <definedName name="_____CTM3">#REF!</definedName>
    <definedName name="_____CTM4">#REF!</definedName>
    <definedName name="_____pag2">#REF!</definedName>
    <definedName name="_____pag3">#REF!</definedName>
    <definedName name="____CTM1">#REF!</definedName>
    <definedName name="____CTM2">#REF!</definedName>
    <definedName name="____CTM3">#REF!</definedName>
    <definedName name="____CTM4">#REF!</definedName>
    <definedName name="____pag2">#REF!</definedName>
    <definedName name="____pag3">#REF!</definedName>
    <definedName name="___CTM1">#REF!</definedName>
    <definedName name="___CTM2">#REF!</definedName>
    <definedName name="___CTM3">#REF!</definedName>
    <definedName name="___CTM4">#REF!</definedName>
    <definedName name="___pag2">#REF!</definedName>
    <definedName name="___pag3">#REF!</definedName>
    <definedName name="__CTM1">#REF!</definedName>
    <definedName name="__CTM2">#REF!</definedName>
    <definedName name="__CTM3">#REF!</definedName>
    <definedName name="__CTM4">#REF!</definedName>
    <definedName name="__pag2">#REF!</definedName>
    <definedName name="__pag3">#REF!</definedName>
    <definedName name="_38LINE">#REF!</definedName>
    <definedName name="_4LINEADJ">#REF!</definedName>
    <definedName name="_94BPRICE">#REF!</definedName>
    <definedName name="_CTM1">#REF!</definedName>
    <definedName name="_CTM2">#REF!</definedName>
    <definedName name="_CTM3">#REF!</definedName>
    <definedName name="_CTM4">#REF!</definedName>
    <definedName name="_Fill" hidden="1">#REF!</definedName>
    <definedName name="_xlnm._FilterDatabase" localSheetId="11" hidden="1">'IHS PCR'!$B$10:$X$29</definedName>
    <definedName name="_Key1" hidden="1">#REF!</definedName>
    <definedName name="_MAG1" localSheetId="13">#REF!</definedName>
    <definedName name="_MAG1">'[1]Mag 1'!$E$2:$E$208</definedName>
    <definedName name="_MAG2" localSheetId="13">#REF!</definedName>
    <definedName name="_MAG2">'[1]Mag 2'!$E$82:$E$208</definedName>
    <definedName name="_MAG3" localSheetId="13">#REF!</definedName>
    <definedName name="_MAG3">'[1]Mag 3'!$E$4:$E$208</definedName>
    <definedName name="_MAG4" localSheetId="13">#REF!</definedName>
    <definedName name="_MAG4">'[1]Mag 4'!$E$4:$E$208</definedName>
    <definedName name="_MOR2" localSheetId="13">#REF!</definedName>
    <definedName name="_MOR2">#REF!</definedName>
    <definedName name="_MOR3" localSheetId="13" hidden="1">#REF!</definedName>
    <definedName name="_MOR3" hidden="1">#REF!</definedName>
    <definedName name="_MOR4" localSheetId="13" hidden="1">#REF!</definedName>
    <definedName name="_MOR4" hidden="1">#REF!</definedName>
    <definedName name="_MOR5" hidden="1">#REF!</definedName>
    <definedName name="_MOR6">#REF!</definedName>
    <definedName name="_MOR8">#REF!</definedName>
    <definedName name="_Order1" hidden="1">255</definedName>
    <definedName name="_Order2" hidden="1">255</definedName>
    <definedName name="_pag2">#REF!</definedName>
    <definedName name="_pag3">#REF!</definedName>
    <definedName name="_Sort" hidden="1">#REF!</definedName>
    <definedName name="_top10" hidden="1">#REF!</definedName>
    <definedName name="a" hidden="1">#REF!</definedName>
    <definedName name="AA">#REF!</definedName>
    <definedName name="ACC">#REF!</definedName>
    <definedName name="ACT">#REF!</definedName>
    <definedName name="ActYTD">#REF!</definedName>
    <definedName name="AFPISR">#REF!</definedName>
    <definedName name="ANNUAL_CAPACITY">#REF!</definedName>
    <definedName name="Año" localSheetId="13">#REF!</definedName>
    <definedName name="Año">[2]Hoja1!$L$2:$L$42</definedName>
    <definedName name="APP" localSheetId="13">#REF!</definedName>
    <definedName name="APP">#REF!</definedName>
    <definedName name="Application_Name" localSheetId="13">#REF!</definedName>
    <definedName name="Application_Name">[3]Admin!$B$16</definedName>
    <definedName name="Approval" localSheetId="13">#REF!</definedName>
    <definedName name="Approval">[4]Control!$D$25:$D$26</definedName>
    <definedName name="AQPMIX" localSheetId="13">#REF!</definedName>
    <definedName name="AQPMIX">'[5]AQP 97'!#REF!</definedName>
    <definedName name="area" localSheetId="13">#REF!</definedName>
    <definedName name="area">[6]Sheet3!$C$4:$C$10</definedName>
    <definedName name="arrrrr" localSheetId="13" hidden="1">{"RA_1",#N/A,FALSE,"RF Att";"RA_2",#N/A,FALSE,"RF Att";"RA_2.1",#N/A,FALSE,"RF Att"}</definedName>
    <definedName name="arrrrr" hidden="1">{"RA_1",#N/A,FALSE,"RF Att";"RA_2",#N/A,FALSE,"RF Att";"RA_2.1",#N/A,FALSE,"RF Att"}</definedName>
    <definedName name="ASFQAD">#REF!</definedName>
    <definedName name="ASSETCAP">#REF!</definedName>
    <definedName name="ASSUMPTIONS">#REF!</definedName>
    <definedName name="AVGMTH_USD" localSheetId="13">#REF!</definedName>
    <definedName name="AVGMTH_USD">'[7]HQ Control'!$B$55</definedName>
    <definedName name="BALANCE_SHEET" localSheetId="13">#REF!</definedName>
    <definedName name="BALANCE_SHEET">#REF!</definedName>
    <definedName name="BALASSUME" localSheetId="13">#REF!</definedName>
    <definedName name="BALASSUME">#REF!</definedName>
    <definedName name="BASEDATOS" localSheetId="13">OFFSET(#REF!,0,0,COUNTA(#REF!),COUNTA(#REF!))</definedName>
    <definedName name="BASEDATOS">OFFSET('[8]Base Datos'!$B:$B,0,0,COUNTA('[8]Base Datos'!$B:$B),COUNTA('[8]Base Datos'!$2:$2))</definedName>
    <definedName name="BD_Diarios">#REF!</definedName>
    <definedName name="BEx0041RNVGGN8SKGQTWHTVAGKBV" hidden="1">#REF!</definedName>
    <definedName name="BEx00J6L4N3WDFUWI1GNCD89U2A5" hidden="1">#REF!</definedName>
    <definedName name="BEx00U9SHQ0NHO9GPJITAMG5T4E9" hidden="1">#REF!</definedName>
    <definedName name="BEx01049R9ZE3WM0TJWIDL7I2AO5" hidden="1">#REF!</definedName>
    <definedName name="BEx01T1EVAEW9BLAP4L6II4G6OC4" hidden="1">#REF!</definedName>
    <definedName name="BEx01X35DZBL50I19K4ZSW4F1ESH" hidden="1">#REF!</definedName>
    <definedName name="BEx040GNGACOQI5MY5X2NE42ZWDU" hidden="1">#REF!</definedName>
    <definedName name="BEx1GACQL91IG43LSU6M1F2TWPZN" hidden="1">#REF!</definedName>
    <definedName name="BEx1GB92OWY6P3B3Z6EYFUUWMITG" hidden="1">#REF!</definedName>
    <definedName name="BEx1HGM2TBFL6UBVA6E4PKNSPI96" hidden="1">#REF!</definedName>
    <definedName name="BEx1I38LBZSH2UZJIZXAE5XOUU55" hidden="1">#REF!</definedName>
    <definedName name="BEx1KCWQ445PDI0YUBIXZBK5EWCP" hidden="1">#REF!</definedName>
    <definedName name="BEx1M3JJGKF1YALMTNWMK99YH9FT" hidden="1">#REF!</definedName>
    <definedName name="BEx1MEBZTWO6XAWNC9Z6T7VUC26Q" hidden="1">#REF!</definedName>
    <definedName name="BEx1MMQ3H3E9MBH330J6MD3EP8AD" hidden="1">#REF!</definedName>
    <definedName name="BEx1N0IFWPSL686RSLZTZA4KIY2A" hidden="1">#REF!</definedName>
    <definedName name="BEx1NFCG8AI9NXWO5ROKI6DYZP77" hidden="1">#REF!</definedName>
    <definedName name="BEx1NT4RIIP1DMELF4Z1FL5857FC" hidden="1">#REF!</definedName>
    <definedName name="BEx1O0MGQM4TJHAG3V5X3GKUUAYF" hidden="1">#REF!</definedName>
    <definedName name="BEx1O0XA02OXBEY6AAS94L6P1KSR" hidden="1">#REF!</definedName>
    <definedName name="BEx1P4S5Y4X1AG5YL9DS164978PB" hidden="1">#REF!</definedName>
    <definedName name="BEx1PR415U01RF514LC24LSXZ46E" hidden="1">#REF!</definedName>
    <definedName name="BEx1PXUPD5XRUU2SPVGZCRNTWS98" hidden="1">#REF!</definedName>
    <definedName name="BEx1QIU02UKQDRQO4JFJQTQPA9M2" hidden="1">#REF!</definedName>
    <definedName name="BEx1QOTTD8A7ZISZKTC3BOOVKWEN" hidden="1">#REF!</definedName>
    <definedName name="BEx1QYPUX6MF45RLF3WETZ926DJW" hidden="1">#REF!</definedName>
    <definedName name="BEx1R02C8KNH9YXA8P430NC2J4P0" hidden="1">#REF!</definedName>
    <definedName name="BEx1S0MOOGSSYT24R5GZFG5GMGFR" hidden="1">#REF!</definedName>
    <definedName name="BEx1T7SCX7KK0ROG334AKM67Y8WU" hidden="1">#REF!</definedName>
    <definedName name="BEx1TNTKITTEKOJ5Q0RUF0799ZGD" hidden="1">#REF!</definedName>
    <definedName name="BEx1UR2V405DAD2Z6NEBP3D42EYX" hidden="1">#REF!</definedName>
    <definedName name="BEx1VQQSB5BKTBE7EAFXSN31CNVX" hidden="1">#REF!</definedName>
    <definedName name="BEx1W8FDLOFGE28JXY6J54MICRMP" hidden="1">#REF!</definedName>
    <definedName name="BEx1WDO53ZG95BCDDJH20QVTZIEM" hidden="1">#REF!</definedName>
    <definedName name="BEx1WU09CIHOI0L84XXCKC501H1F" hidden="1">#REF!</definedName>
    <definedName name="BEx1X3QU07GK7I7KLROCFBELK7NH" hidden="1">#REF!</definedName>
    <definedName name="BEx1XN86QZPXEC2550TP8XT6SWZX" hidden="1">#REF!</definedName>
    <definedName name="BEx1YKHSW5HDSZLEI6ETN0XC509V" hidden="1">#REF!</definedName>
    <definedName name="BEx3085IKWARA6NCJOLRBRJFMEWW1" hidden="1">#REF!</definedName>
    <definedName name="BEx3C5ACPKV4XIAY0LO077TCRNLJ" hidden="1">#REF!</definedName>
    <definedName name="BEx3CBKXPIN2XM7QJNI7O0MB70AR" hidden="1">#REF!</definedName>
    <definedName name="BEx3D35KVB55GTY44YX4O9YGEVQI" hidden="1">#REF!</definedName>
    <definedName name="BEx3E22INXU2VKWET4AVSBR8WAD6" hidden="1">#REF!</definedName>
    <definedName name="BEx3EQY1DLE7G1BN4GY27QI7C7L8" hidden="1">#REF!</definedName>
    <definedName name="BEx3FG4DPAPTA9PM2Q6BMWI6BIHV" hidden="1">#REF!</definedName>
    <definedName name="BEx3G7JJTHVF4MLZMKET3CUT2VEE" hidden="1">#REF!</definedName>
    <definedName name="BEx3G8FY85SUKO01ZJQZYO51EA75" hidden="1">#REF!</definedName>
    <definedName name="BEx3GDZH5KHUU0C7RY1PDVGKTH8E" hidden="1">#REF!</definedName>
    <definedName name="BEx3GQ9V1DONRHIKU8HGIPUP1EGT" hidden="1">#REF!</definedName>
    <definedName name="BEx3HFG6LK44XBCK36TOS0ZUC8N9" hidden="1">#REF!</definedName>
    <definedName name="BEx3IMLPLFDY04Z6ON69TCWA33TL" hidden="1">#REF!</definedName>
    <definedName name="BEx3IWN8YPN2XHSCISQB9608ZLOD" hidden="1">#REF!</definedName>
    <definedName name="BEx3J2XUDDF0SSPYVBJC3N2BVRNR" hidden="1">#REF!</definedName>
    <definedName name="BEx3JWB8EIB42E4QPNP0F6ZKJHSM" hidden="1">#REF!</definedName>
    <definedName name="BEx3JZAXL8KNT6BS2DKSBQW8WFTT" hidden="1">#REF!</definedName>
    <definedName name="BEx3L9WT886UPC0M8AH5Y82YAB1H" hidden="1">#REF!</definedName>
    <definedName name="BEx3LRQPBEYUQ8NMLL8AOZ2SXLOI" hidden="1">#REF!</definedName>
    <definedName name="BEx3MW1VHR8JIAS5J58XQ0CC4L8U" hidden="1">#REF!</definedName>
    <definedName name="BEx3N51IHA88UXRPEENI44P0KP7U" hidden="1">#REF!</definedName>
    <definedName name="BEx3N7FW0O3BI5FG5H3TN8ESSC61" hidden="1">#REF!</definedName>
    <definedName name="BEx3N7VYL8CCBFTRFOA6W3BWAQJ0" hidden="1">#REF!</definedName>
    <definedName name="BEx3O85IKWARA6NCJOLRBRJFMEWW" hidden="1">#REF!</definedName>
    <definedName name="BEx3OK5349EJ2XRYXV7W13YG9FSL" hidden="1">#REF!</definedName>
    <definedName name="BEx3OSDPC76YELEXOE4HPHR08Z63" hidden="1">#REF!</definedName>
    <definedName name="BEx3P54EFPJ9XERKXPZGLNSLQXCN" hidden="1">#REF!</definedName>
    <definedName name="BEx3PH99MLZU1LB38QDL3NELDJBG" hidden="1">#REF!</definedName>
    <definedName name="BEx3PPNDD7L6SUISGSI2D375NSCH" hidden="1">#REF!</definedName>
    <definedName name="BEx3PQZZ6L9TOCDKNGIDPO8Y2G54" hidden="1">#REF!</definedName>
    <definedName name="BEx3Q3QHHJB3PUJIXDIL8G6EHCRE" hidden="1">#REF!</definedName>
    <definedName name="BEx3Q9QA35ZVN9VVHN81BBIVN881" hidden="1">#REF!</definedName>
    <definedName name="BEx3QD0XYUEL1G6J200V2STCORG5" hidden="1">#REF!</definedName>
    <definedName name="BEx3QH2K40ZZFYJES4QCRY78Q560" hidden="1">#REF!</definedName>
    <definedName name="BEx3RSFBB83TAKX7N3F394TT3RW4" hidden="1">#REF!</definedName>
    <definedName name="BEx3S2WXUEQA8PLX4U6G9LJB63ZN" hidden="1">#REF!</definedName>
    <definedName name="BEx3SL1NUYCLQWKW8EFSFZGONHKE" hidden="1">#REF!</definedName>
    <definedName name="BEx3ST4Y5OZXSIK7V846SMFT5B23" hidden="1">#REF!</definedName>
    <definedName name="BEx3SWQG9ED1M1Q5D63K0HZ15GQG" hidden="1">#REF!</definedName>
    <definedName name="BEx3TEPSM88IET8PDLKKCHMFEMFM" hidden="1">#REF!</definedName>
    <definedName name="BEx3TO09F9SV99SJXCUC1B49RVCJ" hidden="1">#REF!</definedName>
    <definedName name="BEx3TXG47ZBKMYPF3VVWYHVTEIWT" hidden="1">#REF!</definedName>
    <definedName name="BEx3UJBQWUJW9KX0PXKZ4TRHMR71" hidden="1">#REF!</definedName>
    <definedName name="BEx3V6EJO8BG91O9M5DVBLNPDBKG" hidden="1">#REF!</definedName>
    <definedName name="BEx3VNHJY90Y2ADPLJ9XL3XRVJ0C" hidden="1">#REF!</definedName>
    <definedName name="BEx5802QAJKNHFBFPTR0PSRHQPJE" hidden="1">#REF!</definedName>
    <definedName name="BEx5906TJX9THIW1ETRVRBR1RL1X" hidden="1">#REF!</definedName>
    <definedName name="BEx591ZJ14LAJI4Q8DU3CQQBHZDV" hidden="1">#REF!</definedName>
    <definedName name="BEx59WPJZYWUOEGJHPOVM5ETCM6G" hidden="1">#REF!</definedName>
    <definedName name="BEx5A53I4OI80LV9DRIR9EFD2XUD" hidden="1">#REF!</definedName>
    <definedName name="BEx5ACAHJPLAS35SPSXQ88PJYGPI" hidden="1">#REF!</definedName>
    <definedName name="BEx5ANDOOW91YBCYUL4H4JOJKCSS" hidden="1">#REF!</definedName>
    <definedName name="BEx5ARQ6V82KDMN77WT0B1AK7B5S" hidden="1">#REF!</definedName>
    <definedName name="BEx5BQN48A0P0HALA6YWGQLFIY7R" hidden="1">#REF!</definedName>
    <definedName name="BEx5CNR9ZYFH7VDST1YKR6JOAOVD" hidden="1">#REF!</definedName>
    <definedName name="BEx5CQR6PPHZ1S1UI8J4XM1TRDYC" hidden="1">#REF!</definedName>
    <definedName name="BEx5D5536MTF5S6B42FBV21GSOR7" hidden="1">#REF!</definedName>
    <definedName name="BEx5DX5UA290Y6L069VPC79NY6JH" hidden="1">#REF!</definedName>
    <definedName name="BEx5EZ2ORDJQSTT4KQMZALOFR80B" hidden="1">#REF!</definedName>
    <definedName name="BEx5FGR7YST9UWW32VFER0W4LEF2" hidden="1">#REF!</definedName>
    <definedName name="BEx5FSW55LVAZI956T9XU4KIBELE" hidden="1">#REF!</definedName>
    <definedName name="BEx5FTCEIIRM9OOPXK6PB2KJSLTA" hidden="1">#REF!</definedName>
    <definedName name="BEx5G8H70AOIQNK90C2VU5BAF8TV" hidden="1">#REF!</definedName>
    <definedName name="BEx5GE66YNPSS5MSPTBXLYLNUHSJ" hidden="1">#REF!</definedName>
    <definedName name="BEx5GL2CVWMY3S947ALVPBQG1W21" hidden="1">#REF!</definedName>
    <definedName name="BEx5GT5PB17R2GKX3F4H7WWN4M94" hidden="1">#REF!</definedName>
    <definedName name="BEx5GZR2KDETMC7ZPNE1YU6YELWI" hidden="1">#REF!</definedName>
    <definedName name="BEx5H2WFSII73OJ41QGRAZ28JO53" hidden="1">#REF!</definedName>
    <definedName name="BEx5I3B4OHOD6SAPLK3PZDRO1GYC" hidden="1">#REF!</definedName>
    <definedName name="BEx5I4CZWURJPJZH95QO8E7MXFWV" hidden="1">#REF!</definedName>
    <definedName name="BEx5IMSLC54GPUCYLJQPPLGQM8WG" hidden="1">#REF!</definedName>
    <definedName name="BEx5JED2T9PRX3G6DW95UWQOM4MG" hidden="1">#REF!</definedName>
    <definedName name="BEx5JENVO7X0TBQGRMGKRTMFB470" hidden="1">#REF!</definedName>
    <definedName name="BEx5JP02DZ97IB62ITCKG1MMWBKN" hidden="1">#REF!</definedName>
    <definedName name="BEx5JR91NO6ECBKQUI7KBAUHVWQY" hidden="1">#REF!</definedName>
    <definedName name="BEx5JTHW7OW4QTNV5XZ3NC20LDLF" hidden="1">#REF!</definedName>
    <definedName name="BEx5K1AKPNBF18M8BS3MHI13PF7R" hidden="1">#REF!</definedName>
    <definedName name="BEx5K21HQCDNYPG2QWFOVS99PE4A" hidden="1">#REF!</definedName>
    <definedName name="BEx5KCJ4JCAHU2E4LCLVKFWL64CX" hidden="1">#REF!</definedName>
    <definedName name="BEx5KM9PJMIQFJSBANJO5FVW3Z28" hidden="1">#REF!</definedName>
    <definedName name="BEx5KOO1FHA4BJJBZGOZKTK8PRRN" hidden="1">#REF!</definedName>
    <definedName name="BEx5KRIL3PFC9PIM7NQWA09TEQWG" hidden="1">#REF!</definedName>
    <definedName name="BEx5LWQ2YRWKLHNPUOX7A77685LZ" hidden="1">#REF!</definedName>
    <definedName name="BEx5LYO5AGM9ICPKZBV7EN03XYO9" hidden="1">#REF!</definedName>
    <definedName name="BEx5M7T5JER9G2MLDH3G50GCW8PO" hidden="1">#REF!</definedName>
    <definedName name="BEx5MAIGJD3C3AO0RGLKRTEZBVUE" hidden="1">#REF!</definedName>
    <definedName name="BEx5MJSWQ04VS8WFHCZXYA7ZWU81" hidden="1">#REF!</definedName>
    <definedName name="BEx5MLQZM68YQSKARVWTTPINFQ2C" hidden="1">#REF!</definedName>
    <definedName name="BEx5NUEM24ZED9VYADF1LHA31YNV" hidden="1">#REF!</definedName>
    <definedName name="BEx5OHXI4R617RH4NY6VKOI4ZRA2" hidden="1">#REF!</definedName>
    <definedName name="BEx5OI8BNLQGLN7K2GY4U3ELQVUI" hidden="1">#REF!</definedName>
    <definedName name="BEx5OL87PVSZSDHUK8KZBXSXHK2L" hidden="1">#REF!</definedName>
    <definedName name="BEx5OXIKDIYQDT89AL1I005KPLFQ" hidden="1">#REF!</definedName>
    <definedName name="BEx5PHG040UB6SAJGMT6H4JLV2O8" hidden="1">#REF!</definedName>
    <definedName name="BEx5PYJ1M7KNW4566RAPKTK159HP" hidden="1">#REF!</definedName>
    <definedName name="BEx5QGT6ZJDVW73MNRC6IUML0GKF" hidden="1">#REF!</definedName>
    <definedName name="BEx746ZZ73QHTXKD87X7R3HKC2KM" hidden="1">#REF!</definedName>
    <definedName name="BEx74IZJLRUQ03RCK06W91H2260J" hidden="1">#REF!</definedName>
    <definedName name="BEx757V4HY4OAGXYAJGM7RJQE3NM" hidden="1">#REF!</definedName>
    <definedName name="BEx75BGL4B587TM29E78APZYJUTT" hidden="1">#REF!</definedName>
    <definedName name="BEx75MJT47XEWZSLZAG6IUOQKXIX" hidden="1">#REF!</definedName>
    <definedName name="BEx765A28KL05DU9PG2REPK40UX3" hidden="1">#REF!</definedName>
    <definedName name="BEx76V1XKGBEDZIV9DV1A2YV1JOI" hidden="1">#REF!</definedName>
    <definedName name="BEx77OQ625E4LSEXLQEMAZHPDMMC" hidden="1">#REF!</definedName>
    <definedName name="BEx78A5IYYCMR88AXOWEFKVY8371" hidden="1">#REF!</definedName>
    <definedName name="BEx78A5JAWI6EMCWJ7AJWGAH8AMJ" hidden="1">#REF!</definedName>
    <definedName name="BEx78NSKC3OQCQ4WQAIZ6JURE7GW" hidden="1">#REF!</definedName>
    <definedName name="BEx78OOPYID4QYC9KQ8TPDG220E4" hidden="1">#REF!</definedName>
    <definedName name="BEx79ERFUSJZ8MJGMGVCE2QQLL69" hidden="1">#REF!</definedName>
    <definedName name="BEx79HRD8NL9EMUOALME68ALFZYA" hidden="1">#REF!</definedName>
    <definedName name="BEx79YOUHTDD16ZGGUBH3JDBW1VZ" hidden="1">#REF!</definedName>
    <definedName name="BEx7AQV3PGI9EVX19Y61TNZWQD3Z" hidden="1">#REF!</definedName>
    <definedName name="BEx7ASYMO87QTI4OGS8RP4M3OLYE" hidden="1">#REF!</definedName>
    <definedName name="BEx7B11YDBMRZG7EYCKJUO3H1Y6F" hidden="1">#REF!</definedName>
    <definedName name="BEx7B3LKPGMDIE1WTF5ZO95GA2PN" hidden="1">#REF!</definedName>
    <definedName name="BEx7BIQJ5XHOJHZUAVG3KLP0T1HX" hidden="1">#REF!</definedName>
    <definedName name="BEx7DD4D7DAI5BN4L7AHWYB979CQ" hidden="1">#REF!</definedName>
    <definedName name="BEx7DUY9GQT85CKH4WAODRIT380W" hidden="1">#REF!</definedName>
    <definedName name="BEx7DXHVQ3XRVZ2H7QO8TYMIA4P9" hidden="1">#REF!</definedName>
    <definedName name="BEx7F3GG2FI10JUMINUOIYICFVD9" hidden="1">#REF!</definedName>
    <definedName name="BEx7F4NMGGTZWR8S7710RWGFG8W2" hidden="1">#REF!</definedName>
    <definedName name="BEx7FBJRLJUZKK1FVSCNP0F4GBYT" hidden="1">#REF!</definedName>
    <definedName name="BEx7FEJOQNYA7A6O7YB4SBB1KK73" hidden="1">#REF!</definedName>
    <definedName name="BEx7FIL87TXQSUJ03S7NBB9S4HA5" hidden="1">#REF!</definedName>
    <definedName name="BEx7FTOFOYQLDCCOJY1H3JHICFOI" hidden="1">#REF!</definedName>
    <definedName name="BEx7FVMORQ1N6SIECWJVJWT23E6Y" hidden="1">#REF!</definedName>
    <definedName name="BEx7FZ2NBD60FXGNYS120WYBTXA3" hidden="1">#REF!</definedName>
    <definedName name="BEx7GMG8RQ2YB3WVSLKZZZKKRMV0" hidden="1">#REF!</definedName>
    <definedName name="BEx7GQCIM1W1OR8EP7JKRMYGFHW2" hidden="1">#REF!</definedName>
    <definedName name="BEx7GSLEAEDT83F2LWWOC5ZLL5JW" hidden="1">#REF!</definedName>
    <definedName name="BEx7H6ZA84EDCYX9HQKE2VH03R77" hidden="1">#REF!</definedName>
    <definedName name="BEx7H7A3IND3XX895B1NI519TC8J" hidden="1">#REF!</definedName>
    <definedName name="BEx7HHRP6OIBN749NAR4JO512P36" hidden="1">#REF!</definedName>
    <definedName name="BEx7IJTYZHWYWQ1TQVKRC67VVT77" hidden="1">#REF!</definedName>
    <definedName name="BEx7IWV99LM4FB1AXIXRNLT7DZJM" hidden="1">#REF!</definedName>
    <definedName name="BEx7J9B4EOP8JPRQCUQJTYF4X0D6" hidden="1">#REF!</definedName>
    <definedName name="BEx7K0VL25LF11UTEBHWBIQ4JLM9" hidden="1">#REF!</definedName>
    <definedName name="BEx7L3DZH58ZUVXJY3QMJYM4KE2N" hidden="1">#REF!</definedName>
    <definedName name="BEx8ZY6UFM571XUE82FQZRNOKP90" hidden="1">#REF!</definedName>
    <definedName name="BEx90CVJHW2G83ZSI8F4ZSPTFSPI" hidden="1">#REF!</definedName>
    <definedName name="BEx91YKG5M0ZZDVWNGF80SPL8GUP" hidden="1">#REF!</definedName>
    <definedName name="BEx92DJXEXVC627QL1HYSV2VSHSS" hidden="1">#REF!</definedName>
    <definedName name="BEx935VHGQGAJAXJKSPCC6GC2KIE" hidden="1">#REF!</definedName>
    <definedName name="BEx93EF2OPUY92WSYH0W2RMHNX2M" hidden="1">#REF!</definedName>
    <definedName name="BEx94E8CBMGM9YP8Z0W8OWHAAZH1" hidden="1">#REF!</definedName>
    <definedName name="BEx95ZBPVBQBIU0LCXSH93UZK4VU" hidden="1">#REF!</definedName>
    <definedName name="BEx9706NFOGJWDFFOFDUAFC8NNTP" hidden="1">#REF!</definedName>
    <definedName name="BEx99995OO0X4HC0IQDAISYRWAJG" hidden="1">#REF!</definedName>
    <definedName name="BEx99GQX6WSI9BO2ANCR1TCI2PML" hidden="1">#REF!</definedName>
    <definedName name="BEx99YFJ8JDPEEEQRABGIA0M020Y" hidden="1">#REF!</definedName>
    <definedName name="BEx9A6O42JQ9S10LN2KZS5GW0FYE" hidden="1">#REF!</definedName>
    <definedName name="BEx9ADPRQZSMQBC5ZVK9Y67PRZBV" hidden="1">#REF!</definedName>
    <definedName name="BEx9AKWPNM58M88D1ZL7PKKW6ES3" hidden="1">#REF!</definedName>
    <definedName name="BEx9ARY7F2Q2JQT63RW0CEZQ1WDB" hidden="1">#REF!</definedName>
    <definedName name="BEx9B1371TZRU4SMAC7I7IDRCDUZ" hidden="1">#REF!</definedName>
    <definedName name="BEx9BAOGUISRQKRB42IUZNSUS3RS" hidden="1">#REF!</definedName>
    <definedName name="BEx9BCBV86NAOTMCAYGOG2K426CC" hidden="1">#REF!</definedName>
    <definedName name="BEx9C17AHM4NMY8G3WK6YQ0T0WDU" hidden="1">#REF!</definedName>
    <definedName name="BEx9CAHR0MOSAMJUXHVZJPP7EFD1" hidden="1">#REF!</definedName>
    <definedName name="BEx9CJHG02ADUIJ0WCG5FYLWETIN" hidden="1">#REF!</definedName>
    <definedName name="BEx9CMMSQA4LXHX5RGGTAJ9WVHTY" hidden="1">#REF!</definedName>
    <definedName name="BEx9CTDJ6OYUCCHJVREB4QE71EVB" hidden="1">#REF!</definedName>
    <definedName name="BEx9DGLRBAA81DUUOT35XR05XLKG" hidden="1">#REF!</definedName>
    <definedName name="BEx9DIZXF9X0GE90ROFYKV6K3PM9" hidden="1">#REF!</definedName>
    <definedName name="BEx9E08EK253W8SNA7NOGR32IG6U" hidden="1">#REF!</definedName>
    <definedName name="BEx9E2S1LDHWNY3YCSQ6AY2CX2VH" hidden="1">#REF!</definedName>
    <definedName name="BEx9EEGVFGD9P2J88ICA4KVPXY9N" hidden="1">#REF!</definedName>
    <definedName name="BEx9EHGQHOBSWB60JAPUOVE46FK0" hidden="1">#REF!</definedName>
    <definedName name="BEx9FLRVEKHKYUC14ZMVEXYYH8R8" hidden="1">#REF!</definedName>
    <definedName name="BEx9G17GB2V3PQ50QQFW2NROEZT9" hidden="1">#REF!</definedName>
    <definedName name="BEx9G892CF6SM99J007LDYZPPYNL" hidden="1">#REF!</definedName>
    <definedName name="BEx9GJCC7BWX156MTPY59VC5JN0O" hidden="1">#REF!</definedName>
    <definedName name="BEx9GNU701BD7YSS9TFG6GMA2Z8A" hidden="1">#REF!</definedName>
    <definedName name="BEx9H9V5D52IFWEZD3I221Z2VYVD" hidden="1">#REF!</definedName>
    <definedName name="BEx9HQHV4N00R3PBTH3QTYPDU3WQ" hidden="1">#REF!</definedName>
    <definedName name="BEx9IX1ZRFUE85ATW4NGTSACFIOO" hidden="1">#REF!</definedName>
    <definedName name="BEx9J1EJIB9UVZKMZ7QHB9U6VVOO" hidden="1">#REF!</definedName>
    <definedName name="BExAWZZESKY1TTEXT1TXEWLER11I" hidden="1">#REF!</definedName>
    <definedName name="BExAX2TU15VIP65OGKSZD41PMO4N" hidden="1">#REF!</definedName>
    <definedName name="BExAXEDC2IXZ6Z8R5OUFS8OGJR89" hidden="1">#REF!</definedName>
    <definedName name="BExAXI9K2PJQH4QLETR7MGS2BNZZ" hidden="1">#REF!</definedName>
    <definedName name="BExAXL3ZT02BUZOGSRNS6WGCOV7K" hidden="1">#REF!</definedName>
    <definedName name="BExAXL40LDNIK611AYB1QPTYW9XW" hidden="1">#REF!</definedName>
    <definedName name="BExAY9DZDS6RN4F7LPICOBGZ4AF5" hidden="1">#REF!</definedName>
    <definedName name="BExAY9ZJT64UBNSHPOGOXOER0FA5" hidden="1">#REF!</definedName>
    <definedName name="BExAYHBSWQUF9G9K8NBSN4S7YN0Z" hidden="1">#REF!</definedName>
    <definedName name="BExAYOO9DKXP4BYOJNDXGK1R2ZSV" hidden="1">#REF!</definedName>
    <definedName name="BExAYVKDXJJ761HTFFUOH6P2CSF7" hidden="1">#REF!</definedName>
    <definedName name="BExAZ43TWFQRX5G3R2E5J3JPQXFL" hidden="1">#REF!</definedName>
    <definedName name="BExAZNFTTSXASHLBAG5O0MNFU583" hidden="1">#REF!</definedName>
    <definedName name="BExB0OASZZC08FMDYX9HRSM9OXEF" hidden="1">#REF!</definedName>
    <definedName name="BExB12OPX4FIWY3UUQ7N9MXBTXY2" hidden="1">#REF!</definedName>
    <definedName name="BExB12ZHTPYICL0A8RA5MRDZPYAX" hidden="1">#REF!</definedName>
    <definedName name="BExB1C4NSEETUB7Y7RWTCT69T21I" hidden="1">#REF!</definedName>
    <definedName name="BExB1D6DDDMV7AOB9S4XD45OPKJ3" hidden="1">#REF!</definedName>
    <definedName name="BExB1FKN9YUYJ7B8ZJSMRSJ6ONT6" hidden="1">#REF!</definedName>
    <definedName name="BExB1HIQKUZGEBQ2MPH0TPTAZKIT" hidden="1">#REF!</definedName>
    <definedName name="BExB1I4BK3AB6GEEFY7ZAOON31BO" hidden="1">#REF!</definedName>
    <definedName name="BExB1UENFKIO27UN311RA6Q7UZX5" hidden="1">#REF!</definedName>
    <definedName name="BExB215J1NNKYW4GH1K0YLOO9FUN" hidden="1">#REF!</definedName>
    <definedName name="BExB2V4G4W3DIHZU05TOOTUR2SQF" hidden="1">#REF!</definedName>
    <definedName name="BExB35M4M9VQF0DHGYBEA3KV711P" hidden="1">#REF!</definedName>
    <definedName name="BExB406HXCZGNSDPPO8VOG1110ZG" hidden="1">#REF!</definedName>
    <definedName name="BExB4B9PTN6T4CSKH6U5OZ3JFDD8" hidden="1">#REF!</definedName>
    <definedName name="BExB4R5JZFW6A1CMY56N51JV2U9K" hidden="1">#REF!</definedName>
    <definedName name="BExB541CBB1D8CTY30SOY75V64NO" hidden="1">#REF!</definedName>
    <definedName name="BExB5536XH8UOALXKSVFV92GBQ05" hidden="1">#REF!</definedName>
    <definedName name="BExB5HOCLU167WPENG7UY2N6YXMR" hidden="1">#REF!</definedName>
    <definedName name="BExB5QO30WI9WES28Y2RINNXRHWC" hidden="1">#REF!</definedName>
    <definedName name="BExB6692ZQP36NHHWV7TLSTYCP8G" hidden="1">#REF!</definedName>
    <definedName name="BExB6CZTE0PWILZ6X0SQ2FCCSK0D" hidden="1">#REF!</definedName>
    <definedName name="BExB6Q6JKBMO3M4WX8XUD0JET6HB" hidden="1">#REF!</definedName>
    <definedName name="BExB6W6CK8Y6ZHBOKMDQHJY7ZNFM" hidden="1">#REF!</definedName>
    <definedName name="BExB74F088Z5LM9SEUAESIZUQ3X8" hidden="1">#REF!</definedName>
    <definedName name="BExB9S66MFUL9J891R547MSVIVV1" hidden="1">#REF!</definedName>
    <definedName name="BExBAGQYIBV77JKN346FU4VT1MB4" hidden="1">#REF!</definedName>
    <definedName name="BExBATS6QTKFZ3S66DBSAAJJ1257" hidden="1">#REF!</definedName>
    <definedName name="BExBB9D9GNURCRZN3NR6UY375OX5" hidden="1">#REF!</definedName>
    <definedName name="BExBBJ9BWME32GCDTD4GDSQBG1SE" hidden="1">#REF!</definedName>
    <definedName name="BExBC6S9JZS9ZX6V7SBKDJ5R3CGN" hidden="1">#REF!</definedName>
    <definedName name="BExBCDTV7GTBOTIE9EFJ36EX4FKM" hidden="1">#REF!</definedName>
    <definedName name="BExBCK4H2CF3XDL7AH3W254CWF4R" hidden="1">#REF!</definedName>
    <definedName name="BExBCMTEH63P6H1CKWQH2DGVNSVX" hidden="1">#REF!</definedName>
    <definedName name="BExBCZUU1UR90PQUCOSYNFQQTXI1" hidden="1">#REF!</definedName>
    <definedName name="BExBD1CR31JE4TBZEMZ6ZNRFIDNP" hidden="1">#REF!</definedName>
    <definedName name="BExBDTDIHS3IA85P49E3FM64KE4B" hidden="1">#REF!</definedName>
    <definedName name="BExBDWDG2GXBTEGBOQMQLB38QUEV" hidden="1">#REF!</definedName>
    <definedName name="BExBDZITI2UCDSH0V24NITQG9SFA" hidden="1">#REF!</definedName>
    <definedName name="BExBE4M6YL512JJD7QCT5NHC893P" hidden="1">#REF!</definedName>
    <definedName name="BExBF0U1PNBWLGLVVPNYEZHKB0ON" hidden="1">#REF!</definedName>
    <definedName name="BExBF3TXJTJ52WTH5JS1IEEUKRWA" hidden="1">#REF!</definedName>
    <definedName name="BExCRGF42366OIKCDCRBBEDGE10U" hidden="1">#REF!</definedName>
    <definedName name="BExCROIFDQP6GEN1GZNTC0JUNTOZ" hidden="1">#REF!</definedName>
    <definedName name="BExCRRIBGG57IJ1DUG0GCSPL72DO" hidden="1">#REF!</definedName>
    <definedName name="BExCS078RE3CUATM8A8NCC0WWHGC" hidden="1">#REF!</definedName>
    <definedName name="BExCSGZG9G2SOKYYBCQF48XUIYCJ" hidden="1">#REF!</definedName>
    <definedName name="BExCU16FAFHSYEENQXBNLERR7V3K" hidden="1">#REF!</definedName>
    <definedName name="BExCUD60H1UMM2E28QIX022PMAO3" hidden="1">#REF!</definedName>
    <definedName name="BExCUPAWHM0P4BSKFZ5SJKV1ERM7" hidden="1">#REF!</definedName>
    <definedName name="BExCUVQYX84C9JVOMUFD0GL6XE85" hidden="1">#REF!</definedName>
    <definedName name="BExCUW1Q2AR1JX2Z1B9CGJ6H60GY" hidden="1">#REF!</definedName>
    <definedName name="BExCUW1RF5RHW7OK9J4GFUGR30IK" hidden="1">#REF!</definedName>
    <definedName name="BExCVBXG4TTE2ERW52ZA09FBTDH2" hidden="1">#REF!</definedName>
    <definedName name="BExCVKH0KFLY4D0IVRFGVTJYRXFX" hidden="1">#REF!</definedName>
    <definedName name="BExCVWLXVAKW0MGL9EAXK4DRRB6T" hidden="1">#REF!</definedName>
    <definedName name="BExCWX69ER7R6C6VGOZAPRGXJR2R" hidden="1">#REF!</definedName>
    <definedName name="BExCWXBL3F3UL7WAB98ZRROVKMZQ" hidden="1">#REF!</definedName>
    <definedName name="BExCXAYLA3TMOHIRCEXCXXUSNOKZ" hidden="1">#REF!</definedName>
    <definedName name="BExCXC0EIRZGKHGFWVH6BZGZKSL5" hidden="1">#REF!</definedName>
    <definedName name="BExCY4H9JMPB090TG2SILY28IPCR" hidden="1">#REF!</definedName>
    <definedName name="BExCYK7MZ56O5XIV8T5XIE9VBQXN" hidden="1">#REF!</definedName>
    <definedName name="BExCZBHJ4ZDFD4N4ZS7VAL7FA7P7" hidden="1">#REF!</definedName>
    <definedName name="BExCZVPR1W4N0BD29PL4C9S5AC2M" hidden="1">#REF!</definedName>
    <definedName name="BExD06SXR2OPV4282WTX6ARRQ4JS" hidden="1">#REF!</definedName>
    <definedName name="BExD0WQ71JYMUDXQTQEITA6DXV3F" hidden="1">#REF!</definedName>
    <definedName name="BExD17YVNHBO53V2CZK4MM2NR84O" hidden="1">#REF!</definedName>
    <definedName name="BExD189NLCZ0MV1E8GXPW23W160D" hidden="1">#REF!</definedName>
    <definedName name="BExD28ZBC1R5FS53RDQFUKXD44H4" hidden="1">#REF!</definedName>
    <definedName name="BExD2MRMSOCW29ZLJ226FVCE2K34" hidden="1">#REF!</definedName>
    <definedName name="BExD2RK9LE7I985N677G3WNH5DIV" hidden="1">#REF!</definedName>
    <definedName name="BExD37W7YUULHO5DGYRP7KYM65NC" hidden="1">#REF!</definedName>
    <definedName name="BExD3PKTT0MHJPK56ADYPFIYXKO7" hidden="1">#REF!</definedName>
    <definedName name="BExD47UZN79E7UZ1PF13H1AL03VT" hidden="1">#REF!</definedName>
    <definedName name="BExD4B5OJKUPJMFR7AZJGR6UVR3E" hidden="1">#REF!</definedName>
    <definedName name="BExD4EGCVOR6P4YKQGF2RYORVZLJ" hidden="1">#REF!</definedName>
    <definedName name="BExD4RHMHOHG2WM6HI950PSP13F8" hidden="1">#REF!</definedName>
    <definedName name="BExD4Y8GT92JWI9FMFEYLDUSFLWP" hidden="1">#REF!</definedName>
    <definedName name="BExD5HV3ERP9CEZ35S7IS5J3Q66D" hidden="1">#REF!</definedName>
    <definedName name="BExD5P7D7B3TCMJQY4TM56KCPB73" hidden="1">#REF!</definedName>
    <definedName name="BExD6BZF6UGC8YXEZJ8URJDY0HUJ" hidden="1">#REF!</definedName>
    <definedName name="BExD6XV0BDU8LPQPWSKHU0XX0UPR" hidden="1">#REF!</definedName>
    <definedName name="BExD7CE8ZR0EL3ZQP0AYQ5XQUH9L" hidden="1">#REF!</definedName>
    <definedName name="BExD7GAIHX094KROB46WFTL2XBWL" hidden="1">#REF!</definedName>
    <definedName name="BExD7IZMKM0QIFE7EV1NYL6EZVJZ" hidden="1">#REF!</definedName>
    <definedName name="BExD7SVOH5J3ZVHK9KI2N1XE0CC3" hidden="1">#REF!</definedName>
    <definedName name="BExD7V4PCVR1ACVPOJXKJ4CSROIX" hidden="1">#REF!</definedName>
    <definedName name="BExD819S39VUTMASCBMYI883THJ3" hidden="1">#REF!</definedName>
    <definedName name="BExD8CYKX2WGEDSW6KFP6MND1PM0" hidden="1">#REF!</definedName>
    <definedName name="BExD8H5MGJFMK4HK6DOAGTFYV6JT" hidden="1">#REF!</definedName>
    <definedName name="BExD8KWFYVMYYY2YJ34JT4QNLLTE" hidden="1">#REF!</definedName>
    <definedName name="BExD9IMBI0P6S6QRAXHE26HMK86D" hidden="1">#REF!</definedName>
    <definedName name="BExD9R5SL0ZVQFVSBS8BU3KIMQCJ" hidden="1">#REF!</definedName>
    <definedName name="BExD9ZUOC2GG9LBACX8ROP20H2VQ" hidden="1">#REF!</definedName>
    <definedName name="BExDB39GNDHCPPB7U2PZQO5TJ1OI" hidden="1">#REF!</definedName>
    <definedName name="BExDBECNFJKO0HIOIKTWDCSWP755" hidden="1">#REF!</definedName>
    <definedName name="BExDBI8WRY61SHXKAT4UFXLB15E8" hidden="1">#REF!</definedName>
    <definedName name="BExDBZBW3EHQF6J0XXIT3ZMXPL8C" hidden="1">#REF!</definedName>
    <definedName name="BExDCMPIHH27EAXTDLP095HYA29X" hidden="1">#REF!</definedName>
    <definedName name="BExENRJDC2MGQRJ6EHLAWX5I4SRS" hidden="1">#REF!</definedName>
    <definedName name="BExEP7388TKNL6FEJW00XN7FHEUG" hidden="1">#REF!</definedName>
    <definedName name="BExEQD73QE34MW57L1HFXSTB7QEG" hidden="1">#REF!</definedName>
    <definedName name="BExERCETL5ZVXSS6EENB85QCSRYG" hidden="1">#REF!</definedName>
    <definedName name="BExERIUTB21WQ9WVQXUCDCGSH23E" hidden="1">#REF!</definedName>
    <definedName name="BExERSLFEDXNMOLAZ2VOI6VVJCBW" hidden="1">#REF!</definedName>
    <definedName name="BExERWCEBKQRYWRQLYJ4UCMMKTHG" hidden="1">#REF!</definedName>
    <definedName name="BExERWSHS5678NWP0NM8J09K2OGY" hidden="1">#REF!</definedName>
    <definedName name="BExETQFFLH766OHX0PD3NEIK0DIF" hidden="1">#REF!</definedName>
    <definedName name="BExETVDCXGPYA4OP2UI1URTJ60TK" hidden="1">#REF!</definedName>
    <definedName name="BExEUM6Y5MUDV2WYYY9ICV8796JQ" hidden="1">#REF!</definedName>
    <definedName name="BExEUTOOSAR1CJ6S2O9NTTQMWXNZ" hidden="1">#REF!</definedName>
    <definedName name="BExEVAM8BLTWVS6IMVJWDOZBQK9R" hidden="1">#REF!</definedName>
    <definedName name="BExEVL3UZ22W55ZRF3F0J21PKQLX" hidden="1">#REF!</definedName>
    <definedName name="BExEW6357VV6LVZCWOOM0R3T78QK" hidden="1">#REF!</definedName>
    <definedName name="BExEWHXF5F2E8FN7TRI5U2ZY0T0P" hidden="1">#REF!</definedName>
    <definedName name="BExEY067KMBNYP9WMRGOH8ITDBLD" hidden="1">#REF!</definedName>
    <definedName name="BExEYGCSYH6XC1X89ZT8VJVQ6THP" hidden="1">#REF!</definedName>
    <definedName name="BExEYVHM7COM2XBAZH71USCAT6K9" hidden="1">#REF!</definedName>
    <definedName name="BExEYW8O56SE67A8CIT413PPQFWN" hidden="1">#REF!</definedName>
    <definedName name="BExEYXQGOT90CC2QXVUDAMIS2SD6" hidden="1">#REF!</definedName>
    <definedName name="BExEYY17N22FDMK6IA4HQRCTNPYL" hidden="1">#REF!</definedName>
    <definedName name="BExEZ34NTXG2N8FAMKBEWP6EJDFQ" hidden="1">#REF!</definedName>
    <definedName name="BExEZFPZKLS4GGKV39NX0GL8AK7B" hidden="1">#REF!</definedName>
    <definedName name="BExEZQYJW81F362CWKW5HLAAM45I" hidden="1">#REF!</definedName>
    <definedName name="BExEZSWLMZZ2RK34GSJ9Q3NPCFT2" hidden="1">#REF!</definedName>
    <definedName name="BExF0L2TP18E48BYIVEYR9BGX4HR" hidden="1">#REF!</definedName>
    <definedName name="BExF0QH116YF95UAL83HSM0C2X7Y" hidden="1">#REF!</definedName>
    <definedName name="BExF200VK438ANZMJEAPZ2RQDB8U" hidden="1">#REF!</definedName>
    <definedName name="BExF21OBXGVA9D1CPMHVJHL599BC" hidden="1">#REF!</definedName>
    <definedName name="BExF28PXA9VBW4OZ74OITX6LHR12" hidden="1">#REF!</definedName>
    <definedName name="BExF2LR83KWDOSK9ACAROCGMTQ8X" hidden="1">#REF!</definedName>
    <definedName name="BExF3AS2T7GFVNU9JPBXWUQH845Y" hidden="1">#REF!</definedName>
    <definedName name="BExF3GBMLCA5ZT2251N0N3CRN11O" hidden="1">#REF!</definedName>
    <definedName name="BExF3RET913530OJZJYWUA4LCSLF" hidden="1">#REF!</definedName>
    <definedName name="BExF59NQHJ39J7AF8B91RVX0H3P6" hidden="1">#REF!</definedName>
    <definedName name="BExF65FFOHNFLM63A7M0XSPHOAGY" hidden="1">#REF!</definedName>
    <definedName name="BExF6E475UZT4S79PDNY72MLQFXM" hidden="1">#REF!</definedName>
    <definedName name="BExF6JNWE4H8L694Y8Z1VCZ9EMVP" hidden="1">#REF!</definedName>
    <definedName name="BExF71SL7S5BDGRZ694893ZZ2ZTI" hidden="1">#REF!</definedName>
    <definedName name="BExF76L7679DVYH0G72DZH7FMUU5" hidden="1">#REF!</definedName>
    <definedName name="BExF7FVNFEHQQH5MIO6AIUWSERR7" hidden="1">#REF!</definedName>
    <definedName name="BExF7RV9JQHNUU59Z7TLWW2ARAN8" hidden="1">#REF!</definedName>
    <definedName name="BExF84R8ZH2K4C0CYI1IVFH8WUYD" hidden="1">#REF!</definedName>
    <definedName name="BExF9CTA0UGH0U2JUPUJKMEEI1Z2" hidden="1">#REF!</definedName>
    <definedName name="BExGKNC6UCNO0YTOPVJZMQ34IVMH" hidden="1">#REF!</definedName>
    <definedName name="BExGKT17Q7NLLXEVPD5JH5USNBZN" hidden="1">#REF!</definedName>
    <definedName name="BExGMEFBL47KYW564WF1RQ6VY453" hidden="1">#REF!</definedName>
    <definedName name="BExGN0LRKAPMAKXJTDAKS7Q1MV6S" hidden="1">#REF!</definedName>
    <definedName name="BExGN3R3VSJKSDZRWSR5ADXX3XBA" hidden="1">#REF!</definedName>
    <definedName name="BExGNCFW1HJRE2CBZ65J7JB4DCF3" hidden="1">#REF!</definedName>
    <definedName name="BExGNPBUQ4MFVXFVD9LJPL5PZU68" hidden="1">#REF!</definedName>
    <definedName name="BExGOE7C2HSW9M6L6R25H0Z4JEKM" hidden="1">#REF!</definedName>
    <definedName name="BExGOI3M84PCOV0FSX0APR834A9T" hidden="1">#REF!</definedName>
    <definedName name="BExGOL903YF63SRYHHD7UNE2B0E7" hidden="1">#REF!</definedName>
    <definedName name="BExGOROWSCEN1I6IXZVXWNFSY76K" hidden="1">#REF!</definedName>
    <definedName name="BExGPB0QWZQYZ4O1B28QZMIZK4R5" hidden="1">#REF!</definedName>
    <definedName name="BExGQOX5SC3QE5GND2P8HAHC7ZN6" hidden="1">#REF!</definedName>
    <definedName name="BExGQP2M90PWKZU8RDMLC9SJN90J" hidden="1">#REF!</definedName>
    <definedName name="BExGQRM9NCME1AQA8RNH8GRKBEY8" hidden="1">#REF!</definedName>
    <definedName name="BExGR23WEFG8G3CHQC5Q2M1VP9Q0" hidden="1">#REF!</definedName>
    <definedName name="BExGRHZROC86IFGNDBDWZNBH5Q2V" hidden="1">#REF!</definedName>
    <definedName name="BExGRWOG8H774BWL55XHDM510RIO" hidden="1">#REF!</definedName>
    <definedName name="BExGUQVJE1MV019H8EUN9O73RXA9" hidden="1">#REF!</definedName>
    <definedName name="BExGVFWDKW8LO48OL2ZZUGFJFDDA" hidden="1">#REF!</definedName>
    <definedName name="BExGW0FLC5BN20XY6J6MI8085KPJ" hidden="1">#REF!</definedName>
    <definedName name="BExGW0KVOL93Z29HD7AAKNQ59I24" hidden="1">#REF!</definedName>
    <definedName name="BExGX453OMLZPGJF63K8PNB8EDJJ" hidden="1">#REF!</definedName>
    <definedName name="BExGXQGVELUHEDSBNLEGTLOGNVS5" hidden="1">#REF!</definedName>
    <definedName name="BExGY0T0UPBWF73OV2QYIOSP1VVJ" hidden="1">#REF!</definedName>
    <definedName name="BExGYHAGH0IZT9WAS43U752U84WI" hidden="1">#REF!</definedName>
    <definedName name="BExGYXXCM53K2H84S4WZTHTHZPHE" hidden="1">#REF!</definedName>
    <definedName name="BExGYY2PBI68I55GPNKXV5RYR1WF" hidden="1">#REF!</definedName>
    <definedName name="BExGZ0MC1XT4VWABFT1UK2UMI0CP" hidden="1">#REF!</definedName>
    <definedName name="BExGZSN96MC2HMMYQ3BMZ50490SJ" hidden="1">#REF!</definedName>
    <definedName name="BExGZYXS0GTA29TRAW6KAUBGG6D4" hidden="1">#REF!</definedName>
    <definedName name="BExH07XC83E8WXF2O7EJTNS1DOZD" hidden="1">#REF!</definedName>
    <definedName name="BExH0KTA6PC3C1H961G6G3WB4ROD" hidden="1">#REF!</definedName>
    <definedName name="BExH0Y5JGUO7Z6TD8HXAB8MDIXSA" hidden="1">#REF!</definedName>
    <definedName name="BExH1AFVY3DFB10LXJXXA05EU6X8" hidden="1">#REF!</definedName>
    <definedName name="BExH1K14EK7UDRW0PA245MVG0N0S" hidden="1">#REF!</definedName>
    <definedName name="BExH1NRXNXU0WLQASP81I62087ON" hidden="1">#REF!</definedName>
    <definedName name="BExH1QMD1UU8X5NZERDZ7OIP3IBI" hidden="1">#REF!</definedName>
    <definedName name="BExH2VU17ZSQ6UMFZ9FOP753TT9E" hidden="1">#REF!</definedName>
    <definedName name="BExH3BPW245WVGA1K1DGTL1XWDCH" hidden="1">#REF!</definedName>
    <definedName name="BExH4HTPYPQ91XIJ8IWIMHWOB0RA" hidden="1">#REF!</definedName>
    <definedName name="BExIG9FMY6OOSODNTWQJ2F28Y2FK" hidden="1">#REF!</definedName>
    <definedName name="BExIH51URLQJA6KNX5CJKIUIR5UQ" hidden="1">#REF!</definedName>
    <definedName name="BExIHNMT9P59WY619GEWB1XONTAE" hidden="1">#REF!</definedName>
    <definedName name="BExIHNMTY8HBM7KQDSTMXEM6MHL4" hidden="1">#REF!</definedName>
    <definedName name="BExIHU2VSXTKRMO3RHJI6RZ206Q5" hidden="1">#REF!</definedName>
    <definedName name="BExIHZ6ALVREAYK4T741OOLGXOZA" hidden="1">#REF!</definedName>
    <definedName name="BExII20QQ1K3GHOPL1ZQX5SL618M" hidden="1">#REF!</definedName>
    <definedName name="BExIJ8Q4WWPTKVONF0FPLTD4L7CH" hidden="1">#REF!</definedName>
    <definedName name="BExIJ9MI8QNCVF6L1SK4ZWC4CPJ7" hidden="1">#REF!</definedName>
    <definedName name="BExIJFMB0RSA8TFQ5Q21DW1O9UU7" hidden="1">#REF!</definedName>
    <definedName name="BExIJZP8AKK000EFDGK7KZ1YKRXT" hidden="1">#REF!</definedName>
    <definedName name="BExIL45UAJTQCLO0PRR3OAT4FUN0" hidden="1">#REF!</definedName>
    <definedName name="BExILI8Z41WP1I83L06KGRLKLGUL" hidden="1">#REF!</definedName>
    <definedName name="BExILJ558DU4VWYTKQGUZWNZN6KS" hidden="1">#REF!</definedName>
    <definedName name="BExILMQS7IRCA22FAZK9ZT7D3WJ3" hidden="1">#REF!</definedName>
    <definedName name="BExIM02UP3RCUWZ2RO86WO6595EZ" hidden="1">#REF!</definedName>
    <definedName name="BExIMIT427CJSYOCFG8JGTIJC8EC" hidden="1">#REF!</definedName>
    <definedName name="BExIMTAR1TFV3DP2D7HWECJEOYUG" hidden="1">#REF!</definedName>
    <definedName name="BExIN3SELWXIGE9EWSK9QJ3RHFPD" hidden="1">#REF!</definedName>
    <definedName name="BExIN8FK0VJT3CRRWGRO3XE26YZS" hidden="1">#REF!</definedName>
    <definedName name="BExINO0MM0VFZGX84AO4LV2VTJSL" hidden="1">#REF!</definedName>
    <definedName name="BExINVT50DNQFXWZEBLEC0HIJDBS" hidden="1">#REF!</definedName>
    <definedName name="BExINYT1S9HTKX12F6T1MBDFL53T" hidden="1">#REF!</definedName>
    <definedName name="BExIOEUDLMQULYKSXV94CO63QD9I" hidden="1">#REF!</definedName>
    <definedName name="BExIP3EYMLXYSYD644AIULVB4SM4" hidden="1">#REF!</definedName>
    <definedName name="BExIPKCNG2M6L73ES2UQI5310WB7" hidden="1">#REF!</definedName>
    <definedName name="BExIPLJTRJRKOL7VVP0PEP05W0QL" hidden="1">#REF!</definedName>
    <definedName name="BExIPYFR9Q89IRAL0HPOES7623H9" hidden="1">#REF!</definedName>
    <definedName name="BExIQCDFFALELXAMMR1ZQBGNV1HO" hidden="1">#REF!</definedName>
    <definedName name="BExIQCTILU1D6OD8XR0K44Z9OTI8" hidden="1">#REF!</definedName>
    <definedName name="BExIQIII4MABGPDVFEBH294F5JBS" hidden="1">#REF!</definedName>
    <definedName name="BExISJ6WFYQKE0RGTDWHAWUAE1AP" hidden="1">#REF!</definedName>
    <definedName name="BExIT2IT2V9GEHP8BOT7V4TQL64A" hidden="1">#REF!</definedName>
    <definedName name="BExIUB6GMB0SK1G4X7OS9A0AYW30" hidden="1">#REF!</definedName>
    <definedName name="BExIULYTKJ6F74ZZ6GFR3H0502B9" hidden="1">#REF!</definedName>
    <definedName name="BExIUXI7T2XUZCSZE9GKUIN8NC2X" hidden="1">#REF!</definedName>
    <definedName name="BExIVHVWLE97GSYXI5MCGEPG5OPB" hidden="1">#REF!</definedName>
    <definedName name="BExIWLFYNT371I3ZMOBVYP04U3EZ" hidden="1">#REF!</definedName>
    <definedName name="BExIX2DMJCFY68X9XPKX7A9YBWQV" hidden="1">#REF!</definedName>
    <definedName name="BExIX4S01VKH0V2KWQZGAY2FUFFS" hidden="1">#REF!</definedName>
    <definedName name="BExIXS03V3D41466O0R1XOSJEK36" hidden="1">#REF!</definedName>
    <definedName name="BExIYOO4P2NLI0GTES3GN8FDL0US" hidden="1">#REF!</definedName>
    <definedName name="BExIYRTCOZA1OQ7D46XDWMCW6RFR" hidden="1">#REF!</definedName>
    <definedName name="BExJ08KB42GOUC2P92D8UI7KEHKL" hidden="1">#REF!</definedName>
    <definedName name="BExJ0JCRE7HP1J5ICCTGR58SY007" hidden="1">#REF!</definedName>
    <definedName name="BExJ11MY9B0F7RFESFSORX1Z25QM" hidden="1">#REF!</definedName>
    <definedName name="BExKCCREBIWYDT3KYY47J6PKFUJC" hidden="1">#REF!</definedName>
    <definedName name="BExKDJBKAJPY1RL4WY6D99TGYHCW" hidden="1">#REF!</definedName>
    <definedName name="BExKDO45GL6PAZQR3PAOWFVA6WLZ" hidden="1">#REF!</definedName>
    <definedName name="BExKE400P7WOFSUK628BT91CWB4H" hidden="1">#REF!</definedName>
    <definedName name="BExKEKMRQLC0TPETMUVPBOHVEK6D" hidden="1">#REF!</definedName>
    <definedName name="BExKES9ZA5L22XTSO9Y8GAI2RIIH" hidden="1">#REF!</definedName>
    <definedName name="BExKF02HYBPMKRSPJGAK1MWM2V4R" hidden="1">#REF!</definedName>
    <definedName name="BExKF6YPEER21HQW1M2FXF8RNGUC" hidden="1">#REF!</definedName>
    <definedName name="BExKG8KO0T2K2PJKN0MY59LZRPC0" hidden="1">#REF!</definedName>
    <definedName name="BExKGFM5ZQHNKLDFVKFAC32TFV75" hidden="1">#REF!</definedName>
    <definedName name="BExKGWUGUAZ9RHGMMEHY6AG0GBZC" hidden="1">#REF!</definedName>
    <definedName name="BExKH0ANKNJUT5MEASVBDV24PB47" hidden="1">#REF!</definedName>
    <definedName name="BExKH6L8BUEGZ1O7ZYFE7R04MJJV" hidden="1">#REF!</definedName>
    <definedName name="BExKI703H6LLQ9SUAO1Q66RXBCFT" hidden="1">#REF!</definedName>
    <definedName name="BExKL002TQQTZZ9BETERCDLUDV0K" hidden="1">#REF!</definedName>
    <definedName name="BExKLGBZ8D7W1HW672WZB4ZK47TN" hidden="1">#REF!</definedName>
    <definedName name="BExKLO4OJ4LE6YA3WZB02FDH4ZBC" hidden="1">#REF!</definedName>
    <definedName name="BExKLWYWL8HEKZRA5IGCCM60HYID" hidden="1">#REF!</definedName>
    <definedName name="BExKLX9OMIZRVELEESUGRFHXM0CU" hidden="1">#REF!</definedName>
    <definedName name="BExKNM3TO8JLDR94J4BKF7TE6872" hidden="1">#REF!</definedName>
    <definedName name="BExKNYUAYWR68YCUOIW6WYVNJ198" hidden="1">#REF!</definedName>
    <definedName name="BExKOBVR6FBO1U02GWCHZEQEFC13" hidden="1">#REF!</definedName>
    <definedName name="BExKOEA1HY8RIY04636RSKF38SDX" hidden="1">#REF!</definedName>
    <definedName name="BExKQJ01GRP9KX7BHWUGSV76KSSN" hidden="1">#REF!</definedName>
    <definedName name="BExKQO3G0R230211GSQXEUMGOJJH" hidden="1">#REF!</definedName>
    <definedName name="BExKQROXFHOAXZAJ9P338TCB51AS" hidden="1">#REF!</definedName>
    <definedName name="BExKRS3TU9ZISEFNAGIP4D2THSPK" hidden="1">#REF!</definedName>
    <definedName name="BExKSAJ9PLFSAM5DGYLJ0LGWBOCJ" hidden="1">#REF!</definedName>
    <definedName name="BExKSFHEJYQU3MJ64AXH349TS3AS" hidden="1">#REF!</definedName>
    <definedName name="BExKSMDKVAO0A43CLVBQQD41BXOS" hidden="1">#REF!</definedName>
    <definedName name="BExKSR66M8VX6DOVY5XKESJ3UH2N" hidden="1">#REF!</definedName>
    <definedName name="BExKTGHU41U7OXQNLCH9L528CTKN" hidden="1">#REF!</definedName>
    <definedName name="BExKUEIEGD9JH03Q4QGCL2ZVM2AQ" hidden="1">#REF!</definedName>
    <definedName name="BExKUPASS3H5268MTUCTQGAWNU4C" hidden="1">#REF!</definedName>
    <definedName name="BExKV8S497WD25N3LA72PSCGO8G3" hidden="1">#REF!</definedName>
    <definedName name="BExM9UQN0TIL2QB8BQX5YK9L7EW9" hidden="1">#REF!</definedName>
    <definedName name="BExMAXP9FNE9OKT6LBW7UITT26ZG" hidden="1">#REF!</definedName>
    <definedName name="BExMB2Y08ZQ6ES53Z1Z85LK1XPJG" hidden="1">#REF!</definedName>
    <definedName name="BExMBYPQDG9AYDQ5E8IECVFREPO6" hidden="1">#REF!</definedName>
    <definedName name="BExMC5R82S07KSLMO7YA8CCU0ZAI" hidden="1">#REF!</definedName>
    <definedName name="BExMCAPB2KR2CNKS8MYVWTH5MOT2" hidden="1">#REF!</definedName>
    <definedName name="BExMCRSC61GNE2C255DR0NN6NYI0" hidden="1">#REF!</definedName>
    <definedName name="BExMCXMMDFHHNJDRURMCXF1DGUOM" hidden="1">#REF!</definedName>
    <definedName name="BExMD963673NTBXBO0VDNBAG9YWM" hidden="1">#REF!</definedName>
    <definedName name="BExMDQ3NI3GV1A8JDHIRIL4YLESR" hidden="1">#REF!</definedName>
    <definedName name="BExMDUWAATB6AI7BI1UYVBD6BVVO" hidden="1">#REF!</definedName>
    <definedName name="BExMDVSO20ADTTVCKT513NZBKC0Q" hidden="1">#REF!</definedName>
    <definedName name="BExMEB88DLX5IN40GEZDB5QHNAYB" hidden="1">#REF!</definedName>
    <definedName name="BExMEKTHIM47ERJ7ML7M759FF32G" hidden="1">#REF!</definedName>
    <definedName name="BExMEY095ELVR1FY94CBBWCTD3ND" hidden="1">#REF!</definedName>
    <definedName name="BExMFFJCU2N6QOC5V50II5WTLPAF" hidden="1">#REF!</definedName>
    <definedName name="BExMFH6SWBYCN98LEO4HJ8MYBMEV" hidden="1">#REF!</definedName>
    <definedName name="BExMFQ102FN53YEFF1Q73O5PKTN2" hidden="1">#REF!</definedName>
    <definedName name="BExMFY4B5JW31L4PL9F4S16LTC8G" hidden="1">#REF!</definedName>
    <definedName name="BExMGFSWSVUC8O4EM6ZP6T82VC1A" hidden="1">#REF!</definedName>
    <definedName name="BExMI3QOZTYEQUF0SE6AK4HHWJO7" hidden="1">#REF!</definedName>
    <definedName name="BExMIIFDGCCCRDJFZ2ER2V70XTOW" hidden="1">#REF!</definedName>
    <definedName name="BExMIKZ5EDDZDK5D6GTXJPH9XWND" hidden="1">#REF!</definedName>
    <definedName name="BExMJ51XJZN31B84NVPI18J3CWTB" hidden="1">#REF!</definedName>
    <definedName name="BExMJA01LCAWUR1OX7H4E7JGNN3W" hidden="1">#REF!</definedName>
    <definedName name="BExMK0OA4CYPHQFXIOZFG5E4Y027" hidden="1">#REF!</definedName>
    <definedName name="BExMKOI0IEYQSWL82F4MI37J9NZ3" hidden="1">#REF!</definedName>
    <definedName name="BExMKZFQBJXI2764F47EKBLDDLQR" hidden="1">#REF!</definedName>
    <definedName name="BExMLORJ1T0Z9H011MEQ921C3FAA" hidden="1">#REF!</definedName>
    <definedName name="BExMMZTDDCFDHK0GU54VF8EVH99F" hidden="1">#REF!</definedName>
    <definedName name="BExMNQ1J7QX20FWV4DQ41E6S4T2W" hidden="1">#REF!</definedName>
    <definedName name="BExMNQMY2IUP61KESI720VOMTAJ1" hidden="1">#REF!</definedName>
    <definedName name="BExMNRZLSLXKXUI29M6G23R13CPX" hidden="1">#REF!</definedName>
    <definedName name="BExMNUZHMKFZ814RTA641MNKZ7HQ" hidden="1">#REF!</definedName>
    <definedName name="BExMNW6NIOK4PW2K16RX2DT8BCKP" hidden="1">#REF!</definedName>
    <definedName name="BExMOJ9GY6AQGI153FV703AE296H" hidden="1">#REF!</definedName>
    <definedName name="BExMP06Y7JRUYXTNBLZEZIIFMP8Z" hidden="1">#REF!</definedName>
    <definedName name="BExMPGTVPYQ1ACGV1RRRS5LYB125" hidden="1">#REF!</definedName>
    <definedName name="BExMPI6DQJ514F6AZ44OOOQ97A5J" hidden="1">#REF!</definedName>
    <definedName name="BExMPLBKFPJM4GF27I2D45X0U9QF" hidden="1">#REF!</definedName>
    <definedName name="BExMQ41ZQNCI291UVV7EBWD8RXWS" hidden="1">#REF!</definedName>
    <definedName name="BExMQSBRFTHQ25F1O0KC9SFQE3U6" hidden="1">#REF!</definedName>
    <definedName name="BExMR4GUTFCN4RD7H81IOKECLEG3" hidden="1">#REF!</definedName>
    <definedName name="BExMRP5C9V3XNIT2DRA9I6G73H2V" hidden="1">#REF!</definedName>
    <definedName name="BExMRPG54LNH7HRC92MBSUT6UL6L" hidden="1">#REF!</definedName>
    <definedName name="BExMSM9I7XZ0BC793Y8GWVJNG1V9" hidden="1">#REF!</definedName>
    <definedName name="BExO4P9G3CC5P66YXQJ1MQZE3Q3L" hidden="1">#REF!</definedName>
    <definedName name="BExO4Q5T1IO39TUFXG41PZPWD8H5" hidden="1">#REF!</definedName>
    <definedName name="BExO7A0RAM8VLJ9WVOS0CNSGVOZA" hidden="1">#REF!</definedName>
    <definedName name="BExO7W1PSMP8KLLJ6LI9QUDVQEVV" hidden="1">#REF!</definedName>
    <definedName name="BExO8TM4L261JTCSQ24FHE73242J" hidden="1">#REF!</definedName>
    <definedName name="BExO8TM5V5CFSV5A13AYOWY4NGRS" hidden="1">#REF!</definedName>
    <definedName name="BExOA8PPAT6BFKDHD9OQK39O9RSG" hidden="1">#REF!</definedName>
    <definedName name="BExOAFR6JHRK4AP8O7TB9UDEAVJL" hidden="1">#REF!</definedName>
    <definedName name="BExOAGCX9ISY83KMXO02KFMKR8OW" hidden="1">#REF!</definedName>
    <definedName name="BExOB886RIKYRO6D0LXJDAB2M84Z" hidden="1">#REF!</definedName>
    <definedName name="BExOBNNWXJI9Y0IQ9VT4NMZCB3SW" hidden="1">#REF!</definedName>
    <definedName name="BExOBYLMYCYZ1NJLHJCPLA3PVKYK" hidden="1">#REF!</definedName>
    <definedName name="BExOBYLO8NTLBKV3569Y2UNNIV1K" hidden="1">#REF!</definedName>
    <definedName name="BExOC08Y6OIMB5N7XH5Q1IR1M20Q" hidden="1">#REF!</definedName>
    <definedName name="BExOC7LCVAJC36Q60I8PKPCD0T1S" hidden="1">#REF!</definedName>
    <definedName name="BExOCQX7MZG1R6UPBHNGI606SL8K" hidden="1">#REF!</definedName>
    <definedName name="BExOE89QWLYZ033JJYOXL9EN126C" hidden="1">#REF!</definedName>
    <definedName name="BExOEIWQ9UNELF9YZVQZIJSOY3X2" hidden="1">#REF!</definedName>
    <definedName name="BExOF5OPS77MUPKJ33QNAUBL7JSL" hidden="1">#REF!</definedName>
    <definedName name="BExOF5ZJR1UJ9IQRGDTEZM7GPQX4" hidden="1">#REF!</definedName>
    <definedName name="BExOFAS55U8T71JR0C28SASQL6WB" hidden="1">#REF!</definedName>
    <definedName name="BExOFJH1W33H5R9GH680DNXTZ0ZN" hidden="1">#REF!</definedName>
    <definedName name="BExOFN2CCI1J0EUWG6CV07EKJOT7" hidden="1">#REF!</definedName>
    <definedName name="BExOG1AZCK9QN09SNEN2DTTFFCLJ" hidden="1">#REF!</definedName>
    <definedName name="BExOGYVEAJFUXQVT8YQO2U7YT5OY" hidden="1">#REF!</definedName>
    <definedName name="BExOH2GVFOFXDG3YQK89NSKG7WJG" hidden="1">#REF!</definedName>
    <definedName name="BExOH7KB5HAPBB5K1Z3DIW5LCRSI" hidden="1">#REF!</definedName>
    <definedName name="BExOHBB43JS54D6MARIQR5PJNUDG" hidden="1">#REF!</definedName>
    <definedName name="BExOIN9ETPA87K6NINBIFRSWHK4C" hidden="1">#REF!</definedName>
    <definedName name="BExOJYM1QL95RT8HEC7JR5N8A2PA" hidden="1">#REF!</definedName>
    <definedName name="BExOKCECQSFWA99RY6KEDPH30KT6" hidden="1">#REF!</definedName>
    <definedName name="BExOKDAQ31PVS0Q7NXOF66C24GYL" hidden="1">#REF!</definedName>
    <definedName name="BExOLB5SC7VD8OG53K8II93SAENQ" hidden="1">#REF!</definedName>
    <definedName name="BExOLD411QWFX4FN11349510DRJ8" hidden="1">#REF!</definedName>
    <definedName name="BExOLYZNCQU9YFRCJTSR1R7098U7" hidden="1">#REF!</definedName>
    <definedName name="BExOMBFCBGGM6KO5RX1LMJ0M22S4" hidden="1">#REF!</definedName>
    <definedName name="BExOMI672TH8VPB5MGW4I7CD339Q" hidden="1">#REF!</definedName>
    <definedName name="BExON8UB96J8UZO1ZX4IVWLM8DGA" hidden="1">#REF!</definedName>
    <definedName name="BExONFL4TFXSXWK3WNKGBKED9MO0" hidden="1">#REF!</definedName>
    <definedName name="BExONIL1EPN8W1SVF4S473NVT9G0" hidden="1">#REF!</definedName>
    <definedName name="BExONVBIXX436X1BG1TMAO4S9LD0" hidden="1">#REF!</definedName>
    <definedName name="BExOOQXY7L4IL41VQ9RQBIZCSBBN" hidden="1">#REF!</definedName>
    <definedName name="BExOORE1DP6UVW28XJX2VS05649B" hidden="1">#REF!</definedName>
    <definedName name="BExOPJV0G43Z50LNI0UWME9NPU9S" hidden="1">#REF!</definedName>
    <definedName name="BExQ1X1RE71HCCMKWV64X8HPHR0R" hidden="1">#REF!</definedName>
    <definedName name="BExQ2ZEV9HMJV53PBWW04RNTHC5V" hidden="1">#REF!</definedName>
    <definedName name="BExQ41BOL730OSEM60CEMAMP4ARQ" hidden="1">#REF!</definedName>
    <definedName name="BExQ4B7Q3NN5PZMR9C0YCQ9KMIUO" hidden="1">#REF!</definedName>
    <definedName name="BExQ53U1WPQDQWX1BVV1GSXRBF6E" hidden="1">#REF!</definedName>
    <definedName name="BExQ586M703VDDAK1UGQF0QVTMXJ" hidden="1">#REF!</definedName>
    <definedName name="BExQ5EBP0T50N1AZDONY7DHOAGY9" hidden="1">#REF!</definedName>
    <definedName name="BExQ6JJ6GQ820H268M24Q000VLS5" hidden="1">#REF!</definedName>
    <definedName name="BExQ6NKT7GLCK5DO3FT99FA0VH7Y" hidden="1">#REF!</definedName>
    <definedName name="BExQ6PIZEB3532T46HXOTSDMM8XR" hidden="1">#REF!</definedName>
    <definedName name="BExQ8U95JXE2ZGDDWOEHH46ENO5L" hidden="1">#REF!</definedName>
    <definedName name="BExQ8UUP7KQWLXPL81ZMF3AC1K7V" hidden="1">#REF!</definedName>
    <definedName name="BExQ9DQATTM64NGUOQWM96CIR7J1" hidden="1">#REF!</definedName>
    <definedName name="BExQ9DVR0WJQK432BJFWT5WHPMRB" hidden="1">#REF!</definedName>
    <definedName name="BExQ9ZLYHWABXAA9NJDW8ZS0UQ9P" hidden="1">#REF!</definedName>
    <definedName name="BExQCAH2ZJLQUWIGX2JS7M87ODDV" hidden="1">#REF!</definedName>
    <definedName name="BExQCD0UZPG7AEA9UYJZKEUL6LQE" hidden="1">#REF!</definedName>
    <definedName name="BExQCI9M5F9BX0WO90T8KQKXJECZ" hidden="1">#REF!</definedName>
    <definedName name="BExQE6IAA3QFZ6TX9BXPJISLE0Q1" hidden="1">#REF!</definedName>
    <definedName name="BExQEJUD5RQJ325ULPV2E4W8QAL6" hidden="1">#REF!</definedName>
    <definedName name="BExQF00ZDAC842R706797DN4H4HE" hidden="1">#REF!</definedName>
    <definedName name="BExQFMNOOBC2XE1R03V1MF8QJSDG" hidden="1">#REF!</definedName>
    <definedName name="BExQFNPE0JNBFPGM91B5GNSDG31N" hidden="1">#REF!</definedName>
    <definedName name="BExQGFKTOP6WGJAF2OI8PXQPMWT4" hidden="1">#REF!</definedName>
    <definedName name="BExQGMM9RZL83B2Z0ZZPHKUY6VTK" hidden="1">#REF!</definedName>
    <definedName name="BExQHCP11K644YQ3D4O5NJT9F7DR" hidden="1">#REF!</definedName>
    <definedName name="BExQHZGZ5JZ4AE00IROC5LG5734F" hidden="1">#REF!</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NW95C7N048P3U0KM5A2Q0VU" hidden="1">#REF!</definedName>
    <definedName name="BExQJ7IXTYN8ELZIUSOUURFAP5Z5" hidden="1">#REF!</definedName>
    <definedName name="BExQJIBCENFZ4FNIPQ8IC1PBMHA9" hidden="1">#REF!</definedName>
    <definedName name="BExQJX019VWBQMW1HCV154DP9287" hidden="1">#REF!</definedName>
    <definedName name="BExQK1SODHG66277P2K5V2W6173O" hidden="1">#REF!</definedName>
    <definedName name="BExQKBOR26WP0FNJGIS0CR2IC8N0" hidden="1">#REF!</definedName>
    <definedName name="BExRZDJ0UXHHB2ECBB12TGEUFC0D" hidden="1">#REF!</definedName>
    <definedName name="BExRZRBDN51PN9PUQFUMRMVZPAM1" hidden="1">#REF!</definedName>
    <definedName name="BExS02PDU3RIYDBR02EV6VUXEVN6" hidden="1">#REF!</definedName>
    <definedName name="BExS04I4YMGANXCN8UW06U63GPI9" hidden="1">#REF!</definedName>
    <definedName name="BExS0UFCKI6Z4BDWL0C1TI1UZA8D" hidden="1">#REF!</definedName>
    <definedName name="BExS16PROWSNHW3MZQBGQNQU7S8R" hidden="1">#REF!</definedName>
    <definedName name="BExS1VQKWZC7SM0UY7BWIPST3VU3" hidden="1">#REF!</definedName>
    <definedName name="BExS2OT61VXS58SSI0I90Z76DFCQ" hidden="1">#REF!</definedName>
    <definedName name="BExS2RIBMZPBDB3W6PKRNHUM06WI" hidden="1">#REF!</definedName>
    <definedName name="BExS38AHQWKT950DKJR1SJAY5NKD" hidden="1">#REF!</definedName>
    <definedName name="BExS3BL7KZUM0PK7UW1Y6M98ZKXC" hidden="1">#REF!</definedName>
    <definedName name="BExS3N9TZOHLS9IJL1UOC5F1SQ76" hidden="1">#REF!</definedName>
    <definedName name="BExS3OH5XH1H0NEUDJGB0D1EF3C6" hidden="1">#REF!</definedName>
    <definedName name="BExS3WV2VQ19L2A1DJ73AUFN7SRX" hidden="1">#REF!</definedName>
    <definedName name="BExS4IAMWTT1CKFNHGN8SPWSD3QR" hidden="1">#REF!</definedName>
    <definedName name="BExS4UFKWNI7QAX0PTOVVBUB0LP8" hidden="1">#REF!</definedName>
    <definedName name="BExS5BYO19H5ZKO75ERO60KF7DQH" hidden="1">#REF!</definedName>
    <definedName name="BExS5SG3GBHVDR15MOYHV230A4BG" hidden="1">#REF!</definedName>
    <definedName name="BExS5TY0F5R1ZXIVJHAAVVG81G5H" hidden="1">#REF!</definedName>
    <definedName name="BExS67FL0BE9LNMBLA78F2ZDX1TA" hidden="1">#REF!</definedName>
    <definedName name="BExS6IYVVGGZJXGGYPX7UNAQOB2X" hidden="1">#REF!</definedName>
    <definedName name="BExS6KGU63BUOXCPJ9TSCDS9ZY2T" hidden="1">#REF!</definedName>
    <definedName name="BExS6TWROKG2XNYD9G32PR0OMFMD" hidden="1">#REF!</definedName>
    <definedName name="BExS79HUY1GAJJP4VMMZHU8UJI6O" hidden="1">#REF!</definedName>
    <definedName name="BExS7DU7IOWG5MHL28Z4KOM2V434" hidden="1">#REF!</definedName>
    <definedName name="BExS7G38ASJVTDO2IAPA36EB2SPF" hidden="1">#REF!</definedName>
    <definedName name="BExS7HQI0PBQNP39JUZ69RMC7M7N" hidden="1">#REF!</definedName>
    <definedName name="BExS7TVIHJQ54K2Q7S5TI60WWB6A" hidden="1">#REF!</definedName>
    <definedName name="BExS80RP8GCPNFHHGN85D3RLJQWW" hidden="1">#REF!</definedName>
    <definedName name="BExS8LQTNX922FCMI8FORKMV1ZCD" hidden="1">#REF!</definedName>
    <definedName name="BExS8W8G0X4RIQXAZCCLUM05FF9P" hidden="1">#REF!</definedName>
    <definedName name="BExS8ZDU0L23ASFGH706LEM2U8J8" hidden="1">#REF!</definedName>
    <definedName name="BExS970VMB40OE1CEB7FR2ZHFGZ0" hidden="1">#REF!</definedName>
    <definedName name="BExSA6ZNVCMHR6F6N6EGQGQDRMPZ" hidden="1">#REF!</definedName>
    <definedName name="BExSAA4TQVBEW9YTSAC7IB9WGR0N" hidden="1">#REF!</definedName>
    <definedName name="BExSAT5WZEM6Z4GG7X374JPK349Y" hidden="1">#REF!</definedName>
    <definedName name="BExSBLHMDPAU7TLJHXOGAD2L0A74" hidden="1">#REF!</definedName>
    <definedName name="BExSC9M353D3EKCXI5GRYJZYPZYZ" hidden="1">#REF!</definedName>
    <definedName name="BExSD16RWPJ4BKJERNVKGA3W1V8N" hidden="1">#REF!</definedName>
    <definedName name="BExSDJ5ZE3T46HSF6W0OXL80TXQG" hidden="1">#REF!</definedName>
    <definedName name="BExSFBWJOCPLHAQSAMRI905HXIBS" hidden="1">#REF!</definedName>
    <definedName name="BExSGEEWSM6V6B3J3F29MN7WAH14" hidden="1">#REF!</definedName>
    <definedName name="BExSGJT4LF1CNH5RN5GZ373ISW9D" hidden="1">#REF!</definedName>
    <definedName name="BExSH4HLTQVL4MI545VJL4WFN9U2" hidden="1">#REF!</definedName>
    <definedName name="BExSH4HMJS0TXSYHRWJRFTJ7NOSN" hidden="1">#REF!</definedName>
    <definedName name="BExSHDS3RJMD6MEJ67RL63M0SEIC" hidden="1">#REF!</definedName>
    <definedName name="BExSHUKBQVT2G9G0K9ORVIJO6TU8" hidden="1">#REF!</definedName>
    <definedName name="BExTUOOMC43GH95KQ1PJ86MN9XDF" hidden="1">#REF!</definedName>
    <definedName name="BExTUY9WNSJ91GV8CP0SKJTEIV82" hidden="1">#REF!</definedName>
    <definedName name="BExTVTLH2E1SH7Z2XBYHUOQBWWLI" hidden="1">#REF!</definedName>
    <definedName name="BExTWDIXNM0MKX6S284JB5PT2D6I" hidden="1">#REF!</definedName>
    <definedName name="BExTWFX8OYD9IX59PTP73YAC8O9G" hidden="1">#REF!</definedName>
    <definedName name="BExTWI0R31187AOWYLZ1W1WNI84K" hidden="1">#REF!</definedName>
    <definedName name="BExTWJTGTEM42YMMOXES1DOPT9UG" hidden="1">#REF!</definedName>
    <definedName name="BExTWTERU1SE8R3LRC2C4HQMOIB1" hidden="1">#REF!</definedName>
    <definedName name="BExTY1WXTBXUD0M1NWE12NMAUGCO" hidden="1">#REF!</definedName>
    <definedName name="BExTY8T41OBZ32MRCWT76H4XO1YE" hidden="1">#REF!</definedName>
    <definedName name="BExU091A10QVE7583Q5CAHW138RD" hidden="1">#REF!</definedName>
    <definedName name="BExU0FMLYKBHXH0JHAD0FA64EF92" hidden="1">#REF!</definedName>
    <definedName name="BExU1DN4RELJSQTQUF8YK7BNGXKO" hidden="1">#REF!</definedName>
    <definedName name="BExU2941Z7GTMQ5O1VVPEU7YRR7P" hidden="1">#REF!</definedName>
    <definedName name="BExU3D9R4DRJADX0E7E2OZ3T6J9D" hidden="1">#REF!</definedName>
    <definedName name="BExU3HX1IEJGNDJI6N6CLR8ZJK9D" hidden="1">#REF!</definedName>
    <definedName name="BExU3QWQVA35KFNEQYRLU0ZG2TZ0" hidden="1">#REF!</definedName>
    <definedName name="BExU4MIZMMFZZWTK4WHGFZSMWPS8" hidden="1">#REF!</definedName>
    <definedName name="BExU4V7ULXBIGK8FV26V6C0059N5" hidden="1">#REF!</definedName>
    <definedName name="BExU4XWZRGDFLCPK6HI2B3EXIQNU" hidden="1">#REF!</definedName>
    <definedName name="BExU529CJ5AWHU0WNPZUYLVVT9GO" hidden="1">#REF!</definedName>
    <definedName name="BExU5N8L0E2WDEBA4ITD4A8FT8ON" hidden="1">#REF!</definedName>
    <definedName name="BExU67BIP4IDGLTCZMUKNEA7DFWZ" hidden="1">#REF!</definedName>
    <definedName name="BExU6MWL30NHY8I1G97R2SU1TD1Y" hidden="1">#REF!</definedName>
    <definedName name="BExU77L1ZM2BRJB4M5RWTLREPRBO" hidden="1">#REF!</definedName>
    <definedName name="BExU7DVMNLPZ8DIZKTOS0GLZESXN" hidden="1">#REF!</definedName>
    <definedName name="BExU7VUWIK7942LR3XULMKX3BJWZ" hidden="1">#REF!</definedName>
    <definedName name="BExU85AUW6RSKQIVXFO60KKE5T20" hidden="1">#REF!</definedName>
    <definedName name="BExU89XZ24NAEGSD8GN6NKO3596G" hidden="1">#REF!</definedName>
    <definedName name="BExU8FSGATXULCM675VF1KYAHGP1" hidden="1">#REF!</definedName>
    <definedName name="BExU8S2O68RLH6LUDGJKFXMKKE5J" hidden="1">#REF!</definedName>
    <definedName name="BExU8V2QEONF9R0X2D3R15MZ0GVY" hidden="1">#REF!</definedName>
    <definedName name="BExU9B98E0WUJ89KDTIKL2K0JEM7" hidden="1">#REF!</definedName>
    <definedName name="BExUB33FJHDI3XKPQSVL75HO9RQ3" hidden="1">#REF!</definedName>
    <definedName name="BExUB3JHDL430WKBOVB9KNTSWU3Q" hidden="1">#REF!</definedName>
    <definedName name="BExUBN64LPXX4Z738WO97YQ5MXMX" hidden="1">#REF!</definedName>
    <definedName name="BExUBNRVHXRIJBHKA2TWL10IFYUF" hidden="1">#REF!</definedName>
    <definedName name="BExUBPV8GB3LLCKQZCK9OFOFPN4G" hidden="1">#REF!</definedName>
    <definedName name="BExUCAEGQZ6PB4AG64761OAR17RY" hidden="1">#REF!</definedName>
    <definedName name="BExUDQ3JPLF15XXZMZ6T43VLXCV3" hidden="1">#REF!</definedName>
    <definedName name="BExVR15ITEN8TF2H5MGLG77YNGFE" hidden="1">#REF!</definedName>
    <definedName name="BExVR8NAH73TVNEQ6TXX8GAYA4RX" hidden="1">#REF!</definedName>
    <definedName name="BExVS6TAND82CBJNY4L4SO9LKEMV" hidden="1">#REF!</definedName>
    <definedName name="BExVTUAYUR922VXBNO4MN569BULR" hidden="1">#REF!</definedName>
    <definedName name="BExVTW3OZ04QHKTFPPDM5JDNT6C1" hidden="1">#REF!</definedName>
    <definedName name="BExVU6QMM5J49S1312H8AMNK3Y8U" hidden="1">#REF!</definedName>
    <definedName name="BExVV5YCKK0MXE0YK4RAVU70NQ9J" hidden="1">#REF!</definedName>
    <definedName name="BExVVA033OB71P301YYKYS90S2LK" hidden="1">#REF!</definedName>
    <definedName name="BExVVNMYH2AL4KNO33ZBGZMFPOT0" hidden="1">#REF!</definedName>
    <definedName name="BExVX3HJPV9ZPAY12RMBV261NE68" hidden="1">#REF!</definedName>
    <definedName name="BExVY7N7APOSX562C86T41J73BNN" hidden="1">#REF!</definedName>
    <definedName name="BExVY7XZS7ZEEEI66TWUYUKRGMHJ" hidden="1">#REF!</definedName>
    <definedName name="BExVYHJ8EVLAN4DTEXKNBKT2QX9B" hidden="1">#REF!</definedName>
    <definedName name="BExVZESW4KWQ72XZ6AAT3JSAGMMO" hidden="1">#REF!</definedName>
    <definedName name="BExW08X7MUCAUZUT84HH2K0HG8JM" hidden="1">#REF!</definedName>
    <definedName name="BExW0HBAR94L0RTT4FLGEJ88FO94" hidden="1">#REF!</definedName>
    <definedName name="BExW0HBC1RMZ2GDGOGDTNAOOFO74" hidden="1">#REF!</definedName>
    <definedName name="BExW0PJY0QT1YYHEOQPDHHNJJOC5" hidden="1">#REF!</definedName>
    <definedName name="BExW0ZFZK22WVH1ET2MVEUVKIIWF" hidden="1">#REF!</definedName>
    <definedName name="BExW22PGTQTO5C5TK1RQUWPR4X8X" hidden="1">#REF!</definedName>
    <definedName name="BExW27CKTHXIQCUL3RSLAFEQV8VT" hidden="1">#REF!</definedName>
    <definedName name="BExW29WF535OHEG91SW5OF7MQBU2" hidden="1">#REF!</definedName>
    <definedName name="BExW35YV9V70DFOPLUGI2W7IYOU2" hidden="1">#REF!</definedName>
    <definedName name="BExW4L7R1NVUKEQSVWZPXWCI6NVN" hidden="1">#REF!</definedName>
    <definedName name="BExW4S980QVHHT7SZ0CMVH1Z25PN" hidden="1">#REF!</definedName>
    <definedName name="BExW4W5HHUEZ3O9DYN9KJZWC1FEL" hidden="1">#REF!</definedName>
    <definedName name="BExW5EFO6R6U4UQLT4G2G4W9SX94" hidden="1">#REF!</definedName>
    <definedName name="BExW5X64UZDAB8GEIIQBWQV66NV9" hidden="1">#REF!</definedName>
    <definedName name="BExW61NYOHBXEBCZ80ZJTB38E7BS" hidden="1">#REF!</definedName>
    <definedName name="BExW64T5GUYKW4V1314DJGUR4ABG" hidden="1">#REF!</definedName>
    <definedName name="BExW6QE0VJ5RRAQZB4SWWF8JTHCL" hidden="1">#REF!</definedName>
    <definedName name="BExW6WJ2VW51JNF32JZF98WJDRR3" hidden="1">#REF!</definedName>
    <definedName name="BExW74MG1WIOS7FRGX4CXWYNPZV1" hidden="1">#REF!</definedName>
    <definedName name="BExW782LBJUIVCV6ACRLJBIKVJFQ" hidden="1">#REF!</definedName>
    <definedName name="BExW7NSY9CQA1O23DAZ9TYTC0PAO" hidden="1">#REF!</definedName>
    <definedName name="BExW7Q79RJWXCSWJIY4GLGGQXX5G" hidden="1">#REF!</definedName>
    <definedName name="BExW89DT2OUQ24LOFUS7BMP44P4B" hidden="1">#REF!</definedName>
    <definedName name="BExW9G39X58B5FGJEE8EY65TJ80A" hidden="1">#REF!</definedName>
    <definedName name="BExW9JZK2CSFMKED1TX7YD9FRDO3" hidden="1">#REF!</definedName>
    <definedName name="BExXLDOYNIS8GLKISUIBXIOW06CA" hidden="1">#REF!</definedName>
    <definedName name="BExXNRUWHTVKJZUNKVBFHLNVSDV2" hidden="1">#REF!</definedName>
    <definedName name="BExXNSLYWITH4246M4YVOUIV04ZJ" hidden="1">#REF!</definedName>
    <definedName name="BExXO1G5TG80TSHNS86X0DXO6YHY" hidden="1">#REF!</definedName>
    <definedName name="BExXO6E9ABFOYA2LVN6RLW4BO9G6" hidden="1">#REF!</definedName>
    <definedName name="BExXO6ZP85325PSLSXWM38N73O6V" hidden="1">#REF!</definedName>
    <definedName name="BExXOJQBVBDGLVEYZAE7AL8F0VWX" hidden="1">#REF!</definedName>
    <definedName name="BExXOMQ9421Y32TZ81U6YGIP35QU" hidden="1">#REF!</definedName>
    <definedName name="BExXPDUMN4B85QFXGPSJPII52QR3" hidden="1">#REF!</definedName>
    <definedName name="BExXPUMU4BLFWI2L0MHMM5F3OUPL" hidden="1">#REF!</definedName>
    <definedName name="BExXQ06J7OF0O2FO4WR0QK93RJ17" hidden="1">#REF!</definedName>
    <definedName name="BExXQHPNAFE4M6C2HYRCQNIU9D31" hidden="1">#REF!</definedName>
    <definedName name="BExXQMYEOGRO69K9BLZF14USRMVP" hidden="1">#REF!</definedName>
    <definedName name="BExXQS1SGPIQX0ESRMCECOYMUQQJ" hidden="1">#REF!</definedName>
    <definedName name="BExXRHIY77F53DUYX7CMZPXGRDAG" hidden="1">#REF!</definedName>
    <definedName name="BExXS406J7AGMJP1O0FOF1T8C1TH" hidden="1">#REF!</definedName>
    <definedName name="BExXSBY0S70HRJ1R0POASBK3RJTG" hidden="1">#REF!</definedName>
    <definedName name="BExXTINEGPKZ75DCUCEF3QOV6OES" hidden="1">#REF!</definedName>
    <definedName name="BExXTKAV4Y4JQ7D62LKGD89F9WMF" hidden="1">#REF!</definedName>
    <definedName name="BExXV1HWKTB46UXT08JLMPP8P4SP" hidden="1">#REF!</definedName>
    <definedName name="BExXWCEFPM2UFC3LC37H8GSMA5GA" hidden="1">#REF!</definedName>
    <definedName name="BExXY0SAZOPJMDG9GOR625UDCCS8" hidden="1">#REF!</definedName>
    <definedName name="BExXY2FR7PFLXNGA6J0Z6IQF8TYJ" hidden="1">#REF!</definedName>
    <definedName name="BExXZ3WEYVVV9XKKD5E86QEX5U57" hidden="1">#REF!</definedName>
    <definedName name="BExXZ4CKWN3R9HA311KINBA3R2K4" hidden="1">#REF!</definedName>
    <definedName name="BExXZ6QU5C0UMWY7U4BHVZNIPANK" hidden="1">#REF!</definedName>
    <definedName name="BExXZM14XID3OAA88OURJ7QSZW1E" hidden="1">#REF!</definedName>
    <definedName name="BExY05T95YHBLI9ZYWFFT2O2B871" hidden="1">#REF!</definedName>
    <definedName name="BExY1FIMLW9L499KIE7ZJ706UYLM" hidden="1">#REF!</definedName>
    <definedName name="BExY1ONMI973LYH6W67SZIDXWDA0" hidden="1">#REF!</definedName>
    <definedName name="BExY3BUHF49HBMC20Z30YPLFCPS7" hidden="1">#REF!</definedName>
    <definedName name="BExY3C59PDF2BON135CH8LLYNO9W" hidden="1">#REF!</definedName>
    <definedName name="BExY3FAME3HIN2RXBJJ7BFZOQELW" hidden="1">#REF!</definedName>
    <definedName name="BExY3JXT10HDV8IRQXYNHEEU49VD" hidden="1">#REF!</definedName>
    <definedName name="BExY3PS9FF16S8QWSYU89GM4E8VB" hidden="1">#REF!</definedName>
    <definedName name="BExY3YMHKXSM8ZA6J2QVK2F5QV01" hidden="1">#REF!</definedName>
    <definedName name="BExY4DRA1NB56I6KHB22C0U0NKPH" hidden="1">#REF!</definedName>
    <definedName name="BExY4PQUTBYZGBCOH80JJH5VLRD6" hidden="1">#REF!</definedName>
    <definedName name="BExY4SW8AV0ZS8G2TZLIRJTOBSGD" hidden="1">#REF!</definedName>
    <definedName name="BExY5BXBLQUW4SOF44M3WMGHRNE2" hidden="1">#REF!</definedName>
    <definedName name="BExZJA22HQFUO0AXG89KJGS2WE03" hidden="1">#REF!</definedName>
    <definedName name="BExZJU4ZJUO53Z0ZDKXRX3KI682X" hidden="1">#REF!</definedName>
    <definedName name="BExZJUFR8ZD3MXOX1G4GG5XP2KED" hidden="1">#REF!</definedName>
    <definedName name="BExZKGRIH1C8XY2R7Z1LHBXCBRJC" hidden="1">#REF!</definedName>
    <definedName name="BExZKSGC7HMLNQ93MWD3WL1IC9CB" hidden="1">#REF!</definedName>
    <definedName name="BExZLCDWOXSAL3E45Y87GOH1NUUX" hidden="1">#REF!</definedName>
    <definedName name="BExZLHRZMB1LAT56CZDZRRPS2Q5E" hidden="1">#REF!</definedName>
    <definedName name="BExZLT5ZPFGYISDYWOPOK90JLRBR" hidden="1">#REF!</definedName>
    <definedName name="BExZNIB2Z0PW4MJVTRVEDQX8NTGC" hidden="1">#REF!</definedName>
    <definedName name="BExZNJ1Y8RSOGU7HCLNI4JJ9WA8U" hidden="1">#REF!</definedName>
    <definedName name="BExZNT3IENBP4PJ3O1VRGS96XB1T" hidden="1">#REF!</definedName>
    <definedName name="BExZOEIVPQXLMQIOFZKVB6QU4PL2" hidden="1">#REF!</definedName>
    <definedName name="BExZOGBLV9VKIJSZA9FTH6F6I902" hidden="1">#REF!</definedName>
    <definedName name="BExZPFU3AP7RASS5X21Q6MTP5DI1" hidden="1">#REF!</definedName>
    <definedName name="BExZPUO3WXZZLJS5CMNV98Z7IUYV" hidden="1">#REF!</definedName>
    <definedName name="BExZPWBJ4H8RND8XVKNCJ474L2J6" hidden="1">#REF!</definedName>
    <definedName name="BExZQ97GRS1JT451BUNZG7OVGF7Q" hidden="1">#REF!</definedName>
    <definedName name="BExZRGNSUPG6TBX2L292MP1PLVMU" hidden="1">#REF!</definedName>
    <definedName name="BExZRYN6TKLS1N70DLRI2IKWN37Q" hidden="1">#REF!</definedName>
    <definedName name="BExZS1CBTC8QC8S2HIB93A2TPFQA" hidden="1">#REF!</definedName>
    <definedName name="BExZSYRAL38T8SFTHLEC94VZAPTB" hidden="1">#REF!</definedName>
    <definedName name="BExZSZ21VX9ESDG8PFXHDLT82KLO" hidden="1">#REF!</definedName>
    <definedName name="BExZT099CSLD6DJMIKJKIXDO8GD5" hidden="1">#REF!</definedName>
    <definedName name="BExZT4G9XWEXQ18D0PEKSEHI6WID" hidden="1">#REF!</definedName>
    <definedName name="BExZTC8S1L60TW34BLBQLDKD9RH4" hidden="1">#REF!</definedName>
    <definedName name="BExZTCP3AS1RQUH3NNZGOJY7ORHW" hidden="1">#REF!</definedName>
    <definedName name="BExZTYQ1JEJ7OY2XU5OVPIV2ST7B" hidden="1">#REF!</definedName>
    <definedName name="BExZUSZSJZU49WES7TCI0N0HW4M5" hidden="1">#REF!</definedName>
    <definedName name="BExZV4OFC4E044NV2AK8G2UA1XAF" hidden="1">#REF!</definedName>
    <definedName name="BExZV9H1B6HQ3CTT36TSBPJVPBCC" hidden="1">#REF!</definedName>
    <definedName name="BExZVCRRWDAEMKOMWLKW8Y589BTB" hidden="1">#REF!</definedName>
    <definedName name="BExZVW92BIGOE7S7BGNAK369OBAA" hidden="1">#REF!</definedName>
    <definedName name="BExZVY1T5KQPQN14OA9DGHD5LQ73" hidden="1">#REF!</definedName>
    <definedName name="BExZWO4ITR24TI60TY7ZB4VTJJ3K" hidden="1">#REF!</definedName>
    <definedName name="BExZWTO13WI5HYOD923V9HWRJYKJ" hidden="1">#REF!</definedName>
    <definedName name="BExZX1WSR48BBWSFW7QP7EUMPQM7" hidden="1">#REF!</definedName>
    <definedName name="BExZX4GH35RKUS1J9QYCED707B40" hidden="1">#REF!</definedName>
    <definedName name="BExZX6UR1O56BWA6BQC4BXY0VH5A" hidden="1">#REF!</definedName>
    <definedName name="BExZX8I6XYE9MJFC5JUG3ZJE9YCS" hidden="1">#REF!</definedName>
    <definedName name="BExZXYA4YA3LROELPDUCJ8SP9YM0" hidden="1">#REF!</definedName>
    <definedName name="BExZZ24YQOBUJTDPVU4JE2DI81OU" hidden="1">#REF!</definedName>
    <definedName name="BExZZC6HAIITD2LG9VYL7VF2213L" hidden="1">#REF!</definedName>
    <definedName name="BExZZX5LNMXWHX5WKP9XRZI1YZA1" hidden="1">#REF!</definedName>
    <definedName name="BGCurrencySelected" localSheetId="13">#REF!</definedName>
    <definedName name="BGCurrencySelected">[7]Control!$K$6</definedName>
    <definedName name="BGDetailSpendCategory" localSheetId="13">#REF!</definedName>
    <definedName name="BGDetailSpendCategory">#REF!</definedName>
    <definedName name="BGOffset" localSheetId="13">#REF!</definedName>
    <definedName name="BGOffset">[7]Control!$K$7</definedName>
    <definedName name="BGSelected" localSheetId="13">#REF!</definedName>
    <definedName name="BGSelected">[7]Control!$K$3</definedName>
    <definedName name="BGSelectedList" localSheetId="13">#REF!</definedName>
    <definedName name="BGSelectedList">[7]Control!$K$11:$K$15</definedName>
    <definedName name="BGSpendCategory" localSheetId="13">#REF!</definedName>
    <definedName name="BGSpendCategory">#REF!</definedName>
    <definedName name="bidones" localSheetId="13">#REF!</definedName>
    <definedName name="bidones">#REF!</definedName>
    <definedName name="Bidones2" localSheetId="13">#REF!</definedName>
    <definedName name="Bidones2">#REF!</definedName>
    <definedName name="BLOKCAV">#REF!</definedName>
    <definedName name="BlowEffic">#REF!</definedName>
    <definedName name="bom" localSheetId="13">#REF!</definedName>
    <definedName name="bom">[9]BOM!$A$4:$AS$22</definedName>
    <definedName name="BPC" localSheetId="13">#REF!</definedName>
    <definedName name="BPC">[10]Hoja1!$F$3:$F$62</definedName>
    <definedName name="BUD" localSheetId="13">#REF!</definedName>
    <definedName name="BUD">#REF!</definedName>
    <definedName name="BudFY" localSheetId="13">#REF!</definedName>
    <definedName name="BudFY">#REF!</definedName>
    <definedName name="BudHY" localSheetId="13">#REF!</definedName>
    <definedName name="BudHY">#REF!</definedName>
    <definedName name="BUDNY_USD" localSheetId="13">#REF!</definedName>
    <definedName name="BUDNY_USD">'[7]HQ Control'!$B$70</definedName>
    <definedName name="BudYTD" localSheetId="13">#REF!</definedName>
    <definedName name="BudYTD">#REF!</definedName>
    <definedName name="BusinessGroupCodes" localSheetId="13">#REF!</definedName>
    <definedName name="BusinessGroupCodes">[11]Control!$P$11:$P$19</definedName>
    <definedName name="BusinessGroupCurrency" localSheetId="13">#REF!</definedName>
    <definedName name="BusinessGroupCurrency">[11]Control!$T$11:$T$19</definedName>
    <definedName name="BusinessGroups" localSheetId="13">#REF!</definedName>
    <definedName name="BusinessGroups">[11]Control!$O$11:$O$19</definedName>
    <definedName name="BUSpendCategory" localSheetId="13">#REF!</definedName>
    <definedName name="BUSpendCategory">#REF!</definedName>
    <definedName name="CAP_STD">#REF!</definedName>
    <definedName name="CAP_SUMMARY" localSheetId="13">#REF!</definedName>
    <definedName name="CAP_SUMMARY">#REF!</definedName>
    <definedName name="Cap1a" localSheetId="13">#REF!</definedName>
    <definedName name="Cap1a">#REF!</definedName>
    <definedName name="Cap1b">#REF!</definedName>
    <definedName name="Cap1c">#REF!</definedName>
    <definedName name="Cap1d">#REF!</definedName>
    <definedName name="Cap1e">#REF!</definedName>
    <definedName name="Cap1f">#REF!</definedName>
    <definedName name="Cap1g">#REF!</definedName>
    <definedName name="Cap1h">#REF!</definedName>
    <definedName name="Cap1i">#REF!</definedName>
    <definedName name="Cap1j">#REF!</definedName>
    <definedName name="Cap1k">#REF!</definedName>
    <definedName name="Cap1l">#REF!</definedName>
    <definedName name="capacity">#REF!</definedName>
    <definedName name="CapAct">#REF!</definedName>
    <definedName name="CapBud">#REF!</definedName>
    <definedName name="CapFct">#REF!</definedName>
    <definedName name="CAPITAL">#REF!</definedName>
    <definedName name="CAPITAL_RANGE">#REF!</definedName>
    <definedName name="CASHFLOW">#REF!</definedName>
    <definedName name="CE">#REF!</definedName>
    <definedName name="CEÇ">#REF!</definedName>
    <definedName name="CEN">#REF!</definedName>
    <definedName name="CLIENTE">#REF!</definedName>
    <definedName name="CLIENTES_RECYPET">#REF!</definedName>
    <definedName name="cod.preformas">#REF!</definedName>
    <definedName name="COD_MAQ">#REF!</definedName>
    <definedName name="CODIGO">OFFSET(#REF!,0,0,COUNTA(#REF!),1)</definedName>
    <definedName name="colHide" localSheetId="13">#REF!</definedName>
    <definedName name="colHide">#REF!</definedName>
    <definedName name="COLORES" localSheetId="13">#REF!</definedName>
    <definedName name="COLORES">[12]DATA!$A$2:$A$7</definedName>
    <definedName name="COVER_SHEET" localSheetId="13">#REF!</definedName>
    <definedName name="COVER_SHEET">#REF!</definedName>
    <definedName name="crecim" localSheetId="13">#REF!</definedName>
    <definedName name="crecim">[13]Ventas!#REF!</definedName>
    <definedName name="cur_list_2" localSheetId="13">#REF!</definedName>
    <definedName name="cur_list_2">[14]FXRates!$B$10:$C$20</definedName>
    <definedName name="Currency" localSheetId="13">#REF!</definedName>
    <definedName name="Currency">#REF!</definedName>
    <definedName name="CUSMIX" localSheetId="13">#REF!</definedName>
    <definedName name="CUSMIX">'[5]CUS 97'!#REF!</definedName>
    <definedName name="dACC" localSheetId="13">#REF!</definedName>
    <definedName name="dACC">#REF!</definedName>
    <definedName name="_xlnm.Database" localSheetId="13">#REF!</definedName>
    <definedName name="_xlnm.Database">#REF!</definedName>
    <definedName name="DataSpendCategory" localSheetId="13">#REF!</definedName>
    <definedName name="DataSpendCategory">#REF!</definedName>
    <definedName name="DCol1" localSheetId="13">#REF!</definedName>
    <definedName name="DCol1">#REF!</definedName>
    <definedName name="DCol10">#REF!</definedName>
    <definedName name="DCol11">#REF!</definedName>
    <definedName name="DCol12">#REF!</definedName>
    <definedName name="DCol13">#REF!</definedName>
    <definedName name="DCol14">#REF!</definedName>
    <definedName name="DCol15">#REF!</definedName>
    <definedName name="DCol16">#REF!</definedName>
    <definedName name="DCol17">#REF!</definedName>
    <definedName name="DCol18">#REF!</definedName>
    <definedName name="DCol19">#REF!</definedName>
    <definedName name="DCol2">#REF!</definedName>
    <definedName name="DCol20">#REF!</definedName>
    <definedName name="DCol21">#REF!</definedName>
    <definedName name="DCol22">#REF!</definedName>
    <definedName name="DCol23">#REF!</definedName>
    <definedName name="DCol24">#REF!</definedName>
    <definedName name="DCol3">#REF!</definedName>
    <definedName name="DCol30">#REF!</definedName>
    <definedName name="DCol31">#REF!</definedName>
    <definedName name="DCol4">#REF!</definedName>
    <definedName name="DCol5">#REF!</definedName>
    <definedName name="DCol6">#REF!</definedName>
    <definedName name="DCol7">#REF!</definedName>
    <definedName name="DCol8">#REF!</definedName>
    <definedName name="DCol9">#REF!</definedName>
    <definedName name="DColBG">#REF!</definedName>
    <definedName name="dCTM1">#REF!</definedName>
    <definedName name="dCTM2">#REF!</definedName>
    <definedName name="dCTM3">#REF!</definedName>
    <definedName name="dCTM4">#REF!</definedName>
    <definedName name="DEFECTOSPYS" localSheetId="13">#REF!</definedName>
    <definedName name="DEFECTOSPYS">[12]DATA!$C$2:$C$65</definedName>
    <definedName name="dENT" localSheetId="13">#REF!</definedName>
    <definedName name="dENT">#REF!</definedName>
    <definedName name="DEPR" localSheetId="13">#REF!</definedName>
    <definedName name="DEPR">#REF!</definedName>
    <definedName name="DEPR1" localSheetId="13">#REF!</definedName>
    <definedName name="DEPR1">#REF!</definedName>
    <definedName name="Descripción">#REF!</definedName>
    <definedName name="DESCUENTOS">#REF!</definedName>
    <definedName name="dICP">#REF!</definedName>
    <definedName name="DivSpendCategory">#REF!</definedName>
    <definedName name="dPER">#REF!</definedName>
    <definedName name="dSCE">#REF!</definedName>
    <definedName name="dVAL">#REF!</definedName>
    <definedName name="dVIEW">#REF!</definedName>
    <definedName name="dYEAR">#REF!</definedName>
    <definedName name="ea" localSheetId="13" hidden="1">{"RF_1",#N/A,FALSE,"RF Forms";"RF_2",#N/A,FALSE,"RF Forms";"RF_3",#N/A,FALSE,"RF Forms";"RF_4",#N/A,FALSE,"RF Forms";"RF_5",#N/A,FALSE,"RF Forms";"RF_6",#N/A,FALSE,"RF Forms";"RF_8",#N/A,FALSE,"RF Forms";"RF_9",#N/A,FALSE,"RF Forms";"RF_10",#N/A,FALSE,"RF Forms";"RF_11",#N/A,FALSE,"RF Forms";"RF_11.1",#N/A,FALSE,"RF Forms"}</definedName>
    <definedName name="ea" hidden="1">{"RF_1",#N/A,FALSE,"RF Forms";"RF_2",#N/A,FALSE,"RF Forms";"RF_3",#N/A,FALSE,"RF Forms";"RF_4",#N/A,FALSE,"RF Forms";"RF_5",#N/A,FALSE,"RF Forms";"RF_6",#N/A,FALSE,"RF Forms";"RF_8",#N/A,FALSE,"RF Forms";"RF_9",#N/A,FALSE,"RF Forms";"RF_10",#N/A,FALSE,"RF Forms";"RF_11",#N/A,FALSE,"RF Forms";"RF_11.1",#N/A,FALSE,"RF Forms"}</definedName>
    <definedName name="Efficiency">#REF!</definedName>
    <definedName name="el" localSheetId="13" hidden="1">{"MA_1",#N/A,FALSE,"Mgt Att";"MA_2",#N/A,FALSE,"Mgt Att"}</definedName>
    <definedName name="el" hidden="1">{"MA_1",#N/A,FALSE,"Mgt Att";"MA_2",#N/A,FALSE,"Mgt Att"}</definedName>
    <definedName name="ENT">#REF!</definedName>
    <definedName name="ENVASES" localSheetId="13">#REF!</definedName>
    <definedName name="ENVASES">[15]Varios!$B$2:$B$116</definedName>
    <definedName name="Equipo1" localSheetId="13">#REF!</definedName>
    <definedName name="Equipo1">[16]listas!$F$1:$F$27</definedName>
    <definedName name="es" localSheetId="13"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e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estac_mix" localSheetId="13">#REF!</definedName>
    <definedName name="estac_mix">[13]Ventas!#REF!</definedName>
    <definedName name="et" localSheetId="13" hidden="1">{"RA_1",#N/A,FALSE,"RF Att";"RA_2",#N/A,FALSE,"RF Att";"RA_2.1",#N/A,FALSE,"RF Att"}</definedName>
    <definedName name="et" hidden="1">{"RA_1",#N/A,FALSE,"RF Att";"RA_2",#N/A,FALSE,"RF Att";"RA_2.1",#N/A,FALSE,"RF Att"}</definedName>
    <definedName name="EV__CVPARAMS__" hidden="1">"Any by Any!$B$17:$C$38;"</definedName>
    <definedName name="EV__EVCOM_OPTIONS__" hidden="1">8</definedName>
    <definedName name="EV__EXPOPTIONS__" hidden="1">0</definedName>
    <definedName name="EV__LASTREFTIME__" hidden="1">40365.740775463</definedName>
    <definedName name="EV__MAXEXPCOLS__" hidden="1">100</definedName>
    <definedName name="EV__MAXEXPROWS__" hidden="1">3000</definedName>
    <definedName name="EV__MEMORYCVW__" hidden="1">0</definedName>
    <definedName name="EV__MEMORYCVW__BOOK3" hidden="1">"FINANCE"</definedName>
    <definedName name="EV__MEMORYCVW__BOOK3_ACCOUNT" hidden="1">"Financials"</definedName>
    <definedName name="EV__MEMORYCVW__BOOK3_CATEGORY" hidden="1">"PERActual"</definedName>
    <definedName name="EV__MEMORYCVW__BOOK3_DATASRC" hidden="1">"TOTALADJ"</definedName>
    <definedName name="EV__MEMORYCVW__BOOK3_DEPARTMENT" hidden="1">"TotalDept"</definedName>
    <definedName name="EV__MEMORYCVW__BOOK3_ENTITY" hidden="1">"PPUS"</definedName>
    <definedName name="EV__MEMORYCVW__BOOK3_INTCO" hidden="1">"All_InterCo"</definedName>
    <definedName name="EV__MEMORYCVW__BOOK3_MEASURES" hidden="1">"Periodic"</definedName>
    <definedName name="EV__MEMORYCVW__BOOK3_MFGTYPE" hidden="1">"TotalMfgType"</definedName>
    <definedName name="EV__MEMORYCVW__BOOK3_MOVEMENT" hidden="1">"EB"</definedName>
    <definedName name="EV__MEMORYCVW__BOOK3_RPTCURRENCY" hidden="1">"LC"</definedName>
    <definedName name="EV__MEMORYCVW__BOOK3_SEGMENT" hidden="1">"TotalSegment"</definedName>
    <definedName name="EV__MEMORYCVW__BOOK3_TIME" hidden="1">"2009.JUL"</definedName>
    <definedName name="EV__WBEVMODE__" hidden="1">1</definedName>
    <definedName name="EV__WBREFOPTIONS__" hidden="1">134217742</definedName>
    <definedName name="EV__WBVERSION__" hidden="1">0</definedName>
    <definedName name="EXTRAHRS">#REF!</definedName>
    <definedName name="FC_Jun_EUR" localSheetId="13">#REF!</definedName>
    <definedName name="FC_Jun_EUR">'[7]HQ Control'!#REF!</definedName>
    <definedName name="FC_Jun_SGD" localSheetId="13">#REF!</definedName>
    <definedName name="FC_Jun_SGD">'[7]HQ Control'!#REF!</definedName>
    <definedName name="FC_Jun_USD" localSheetId="13">#REF!</definedName>
    <definedName name="FC_Jun_USD">'[7]HQ Control'!#REF!</definedName>
    <definedName name="FCDEC_USD" localSheetId="13">#REF!</definedName>
    <definedName name="FCDEC_USD">'[7]HQ Control'!$B$57</definedName>
    <definedName name="FCJUN_USD" localSheetId="13">#REF!</definedName>
    <definedName name="FCJUN_USD">'[7]HQ Control'!$B$58</definedName>
    <definedName name="Fcst" localSheetId="13" hidden="1">{"RA_1",#N/A,FALSE,"RF Att";"RA_2",#N/A,FALSE,"RF Att";"RA_2.1",#N/A,FALSE,"RF Att"}</definedName>
    <definedName name="Fcst" hidden="1">{"RA_1",#N/A,FALSE,"RF Att";"RA_2",#N/A,FALSE,"RF Att";"RA_2.1",#N/A,FALSE,"RF Att"}</definedName>
    <definedName name="FctFY">#REF!</definedName>
    <definedName name="FctHY">#REF!</definedName>
    <definedName name="Feb" localSheetId="13">#REF!</definedName>
    <definedName name="Feb">[17]ENE07!$A$1:$C$65536</definedName>
    <definedName name="fecha" localSheetId="13">#REF!</definedName>
    <definedName name="fecha">[12]DATA!$N$2:$N$32</definedName>
    <definedName name="FHYrs" localSheetId="13">#REF!</definedName>
    <definedName name="FHYrs">[11]Control!$C$11:$C$16</definedName>
    <definedName name="FISICA" localSheetId="13">#REF!</definedName>
    <definedName name="FISICA">#REF!</definedName>
    <definedName name="Form_17" localSheetId="13">#REF!</definedName>
    <definedName name="Form_17">#REF!</definedName>
    <definedName name="Form_18" localSheetId="13">#REF!</definedName>
    <definedName name="Form_18">#REF!</definedName>
    <definedName name="GGGR">OFFSET(#REF!,0,0,COUNTA(#REF!))</definedName>
    <definedName name="GRAFCAT" localSheetId="13">#REF!</definedName>
    <definedName name="GRAFCAT">#REF!</definedName>
    <definedName name="GRAFTOTAL" localSheetId="13">#REF!</definedName>
    <definedName name="GRAFTOTAL">#REF!</definedName>
    <definedName name="gruposcargos" localSheetId="13">#REF!</definedName>
    <definedName name="gruposcargos">[6]Sheet3!$G$4:$G$14</definedName>
    <definedName name="hA" localSheetId="13">#REF!</definedName>
    <definedName name="hA">[18]XA!$C$3</definedName>
    <definedName name="hB" localSheetId="13">#REF!</definedName>
    <definedName name="hB">[3]Admin!$B$15</definedName>
    <definedName name="hC" localSheetId="13">#REF!</definedName>
    <definedName name="hC">[18]XA!$C$18</definedName>
    <definedName name="hC_B" localSheetId="13">#REF!</definedName>
    <definedName name="hC_B">[18]XA!$C$22</definedName>
    <definedName name="hCUR" localSheetId="13">#REF!</definedName>
    <definedName name="hCUR">[3]Admin!$D$12</definedName>
    <definedName name="hdrData" localSheetId="13">#REF!</definedName>
    <definedName name="hdrData">#REF!</definedName>
    <definedName name="hE" localSheetId="13">#REF!</definedName>
    <definedName name="hE">[18]XA!$C$5</definedName>
    <definedName name="hED" localSheetId="13">#REF!</definedName>
    <definedName name="hED">[18]XA!$C$6</definedName>
    <definedName name="hEDB_OFFSET" localSheetId="13">#REF!</definedName>
    <definedName name="hEDB_OFFSET">[18]XA!#REF!</definedName>
    <definedName name="hEDB_PKG" localSheetId="13">#REF!</definedName>
    <definedName name="hEDB_PKG">[18]XA!#REF!</definedName>
    <definedName name="hEDB_PMILLS" localSheetId="13">#REF!</definedName>
    <definedName name="hEDB_PMILLS">[18]XA!#REF!</definedName>
    <definedName name="hENTITY" localSheetId="13">#REF!</definedName>
    <definedName name="hENTITY">[3]Admin!$C$12</definedName>
    <definedName name="hF" localSheetId="13">#REF!</definedName>
    <definedName name="hF">[3]Admin!$B$19</definedName>
    <definedName name="HFI_Causas">#REF!</definedName>
    <definedName name="hFP" localSheetId="13">#REF!</definedName>
    <definedName name="hFP">[3]Admin!$B$18</definedName>
    <definedName name="hFY" localSheetId="13">#REF!</definedName>
    <definedName name="hFY">[18]XA!$C$11</definedName>
    <definedName name="HideShowBusUnits" localSheetId="13">#REF!</definedName>
    <definedName name="HideShowBusUnits">[11]Control!$X$11:$X$16</definedName>
    <definedName name="HideShowPeriods" localSheetId="13">#REF!</definedName>
    <definedName name="HideShowPeriods">[11]Control!$E$11:$E$16</definedName>
    <definedName name="HOJA1" localSheetId="13">#REF!</definedName>
    <definedName name="HOJA1">#REF!</definedName>
    <definedName name="hP" localSheetId="13">#REF!</definedName>
    <definedName name="hP">[3]Admin!$B$17</definedName>
    <definedName name="hP_CMONTH" localSheetId="13">#REF!</definedName>
    <definedName name="hP_CMONTH">[18]XA!$G$6</definedName>
    <definedName name="hP_CYEAR" localSheetId="13">#REF!</definedName>
    <definedName name="hP_CYEAR">[18]XA!$M$6</definedName>
    <definedName name="hP_MNO" localSheetId="13">#REF!</definedName>
    <definedName name="hP_MNO">[18]XA!$F$6</definedName>
    <definedName name="hRound" localSheetId="13">#REF!</definedName>
    <definedName name="hRound">#REF!</definedName>
    <definedName name="hSCALE" localSheetId="13">#REF!</definedName>
    <definedName name="hSCALE">[18]XA!$C$13</definedName>
    <definedName name="I" localSheetId="13">#REF!</definedName>
    <definedName name="I">#REF!</definedName>
    <definedName name="ICAMIX" localSheetId="13">#REF!</definedName>
    <definedName name="ICAMIX">'[5]ICA 97 '!#REF!</definedName>
    <definedName name="ICP" localSheetId="13">#REF!</definedName>
    <definedName name="ICP">#REF!</definedName>
    <definedName name="II" localSheetId="13">#REF!</definedName>
    <definedName name="II">#REF!</definedName>
    <definedName name="Imprimir_área_IM" localSheetId="13">#REF!</definedName>
    <definedName name="Imprimir_área_IM">#REF!</definedName>
    <definedName name="Imprimir_títulos_IM">#REF!</definedName>
    <definedName name="IN09_M">#REF!</definedName>
    <definedName name="InjEffic">#REF!</definedName>
    <definedName name="IntercompanyListing" localSheetId="13">#REF!</definedName>
    <definedName name="IntercompanyListing">'[19]Bal Sheet'!#REF!</definedName>
    <definedName name="Inventory" localSheetId="13">#REF!</definedName>
    <definedName name="Inventory">#REF!</definedName>
    <definedName name="INY_GENER">#REF!</definedName>
    <definedName name="INYECTORAS">#REF!</definedName>
    <definedName name="INYECTORAS_BD">#REF!</definedName>
    <definedName name="IT" localSheetId="13">#REF!</definedName>
    <definedName name="IT">[10]Hoja3!$B$2:$B$88</definedName>
    <definedName name="item" localSheetId="13">#REF!</definedName>
    <definedName name="item">#REF!</definedName>
    <definedName name="JULMIX" localSheetId="13">#REF!</definedName>
    <definedName name="JULMIX">'[5]JUL 97'!#REF!</definedName>
    <definedName name="K2_WBEVMODE" hidden="1">0</definedName>
    <definedName name="LA" localSheetId="13">#REF!</definedName>
    <definedName name="LA">[10]Hoja3!#REF!</definedName>
    <definedName name="LEFT" localSheetId="13">#REF!</definedName>
    <definedName name="LEFT">#REF!</definedName>
    <definedName name="LIQUIDATION" localSheetId="13">#REF!</definedName>
    <definedName name="LIQUIDATION">#REF!</definedName>
    <definedName name="LISTA_1">#REF!</definedName>
    <definedName name="LISTA_2">#REF!</definedName>
    <definedName name="LISTAPLANTAS">#REF!</definedName>
    <definedName name="LY" localSheetId="13">#REF!</definedName>
    <definedName name="LY">#REF!</definedName>
    <definedName name="MACRO">#REF!</definedName>
    <definedName name="MANNING">#REF!</definedName>
    <definedName name="MAQ">#REF!</definedName>
    <definedName name="MAQUINAS">#REF!</definedName>
    <definedName name="material">#REF!</definedName>
    <definedName name="MATRIZ_BD">#REF!</definedName>
    <definedName name="matriz_produccion">#REF!</definedName>
    <definedName name="Mix_estac" localSheetId="13">#REF!</definedName>
    <definedName name="Mix_estac">[20]Ventas!#REF!</definedName>
    <definedName name="MonthSelected" localSheetId="13">#REF!</definedName>
    <definedName name="MonthSelected">#REF!</definedName>
    <definedName name="MOR" localSheetId="13">#REF!</definedName>
    <definedName name="MOR">#REF!</definedName>
    <definedName name="MOT" localSheetId="13">#REF!</definedName>
    <definedName name="MOT">#REF!</definedName>
    <definedName name="MOY">#REF!</definedName>
    <definedName name="MTH" localSheetId="13">#REF!</definedName>
    <definedName name="MTH">'[7]HQ Control'!$B$32</definedName>
    <definedName name="mw" localSheetId="13">OFFSET(#REF!,0,0,COUNTA(#REF!),1)</definedName>
    <definedName name="mw">OFFSET('[21]Base GGGR'!$E$1,0,0,COUNTA('[21]Base GGGR'!$E:$E),1)</definedName>
    <definedName name="N" localSheetId="13">#REF!</definedName>
    <definedName name="N">#REF!</definedName>
    <definedName name="NetCap1a" localSheetId="13">#REF!</definedName>
    <definedName name="NetCap1a">#REF!</definedName>
    <definedName name="NetCap1b">#REF!</definedName>
    <definedName name="NetCap1c">#REF!</definedName>
    <definedName name="NetCap2a">#REF!</definedName>
    <definedName name="NetCap2b">#REF!</definedName>
    <definedName name="NetCap2c">#REF!</definedName>
    <definedName name="NetCap3a">#REF!</definedName>
    <definedName name="NetCap3b">#REF!</definedName>
    <definedName name="NetCap3c">#REF!</definedName>
    <definedName name="NombreTabla">"Dummy"</definedName>
    <definedName name="NON_LABOR_SAVINGS">#REF!</definedName>
    <definedName name="NOV" localSheetId="13">#REF!</definedName>
    <definedName name="NOV">[22]NOV!$A$1:$C$65536</definedName>
    <definedName name="NYFGDSA" localSheetId="13">#REF!</definedName>
    <definedName name="NYFGDSA">#REF!</definedName>
    <definedName name="O" localSheetId="13">#REF!</definedName>
    <definedName name="O">#REF!</definedName>
    <definedName name="Operativo" localSheetId="13">#REF!</definedName>
    <definedName name="Operativo">[2]Hoja1!$H$2:$H$4</definedName>
    <definedName name="OUTLITHO" localSheetId="13">#REF!</definedName>
    <definedName name="OUTLITHO">#REF!</definedName>
    <definedName name="Owner" localSheetId="13">#REF!</definedName>
    <definedName name="Owner">[23]Hoja1!$N$2:$N$10</definedName>
    <definedName name="P" localSheetId="13">#REF!</definedName>
    <definedName name="P">#REF!</definedName>
    <definedName name="pagina1" localSheetId="13">#REF!</definedName>
    <definedName name="pagina1">#REF!</definedName>
    <definedName name="País" localSheetId="13">#REF!</definedName>
    <definedName name="País">[2]Hoja1!$B$2:$B$7</definedName>
    <definedName name="PAPET" localSheetId="13">OFFSET(#REF!,0,0,COUNTA(#REF!),1)</definedName>
    <definedName name="PAPET">OFFSET('[24]Base GGGR'!$I$1,0,0,COUNTA('[24]Base GGGR'!$I$1:$I$65536),1)</definedName>
    <definedName name="PARADAS" localSheetId="13">#REF!</definedName>
    <definedName name="PARADAS">'[25]CARGA PARADAS'!$B$8:$E$1003</definedName>
    <definedName name="PE" localSheetId="13">#REF!</definedName>
    <definedName name="PE">#REF!</definedName>
    <definedName name="PER" localSheetId="13">#REF!</definedName>
    <definedName name="PER">#REF!</definedName>
    <definedName name="PeriodMonths" localSheetId="13">#REF!</definedName>
    <definedName name="PeriodMonths">[7]Control!$H$11:$H$22</definedName>
    <definedName name="PG" localSheetId="13">OFFSET(#REF!,0,0,COUNTA(#REF!),1)</definedName>
    <definedName name="PG">OFFSET('[26]Base GGGR'!$E$1,0,0,COUNTA('[26]Base GGGR'!$E$1:$E$65536),1)</definedName>
    <definedName name="Planta" localSheetId="13">#REF!</definedName>
    <definedName name="Planta">[2]Hoja1!$D$2:$D$11</definedName>
    <definedName name="PlantSelectedList" localSheetId="13">#REF!</definedName>
    <definedName name="PlantSelectedList">[7]Control!$X$11:$X$17</definedName>
    <definedName name="PMAINT" localSheetId="13">#REF!</definedName>
    <definedName name="PMAINT">#REF!</definedName>
    <definedName name="PREFORMA">#REF!</definedName>
    <definedName name="_xlnm.Print_Area" localSheetId="11">'IHS PCR'!$A$1:$X$53</definedName>
    <definedName name="Print_F07" localSheetId="13">#REF!</definedName>
    <definedName name="Print_F07">#REF!</definedName>
    <definedName name="Productos">#REF!</definedName>
    <definedName name="PSUM_BUD" localSheetId="13">#REF!</definedName>
    <definedName name="PSUM_BUD">#REF!</definedName>
    <definedName name="qq" localSheetId="13">#REF!</definedName>
    <definedName name="qq">[27]XA!#REF!</definedName>
    <definedName name="RANGE1_ATT1" localSheetId="13">#REF!</definedName>
    <definedName name="RANGE1_ATT1">#REF!</definedName>
    <definedName name="RANGE1_CAPEX" localSheetId="13">#REF!</definedName>
    <definedName name="RANGE1_CAPEX">#REF!</definedName>
    <definedName name="RANGE1_F01" localSheetId="13">#REF!</definedName>
    <definedName name="RANGE1_F01">#REF!</definedName>
    <definedName name="RANGE1_F05">#REF!</definedName>
    <definedName name="RANGE1_F06">#REF!</definedName>
    <definedName name="RANGE1_F07">#REF!</definedName>
    <definedName name="RANGE1_F08">#REF!</definedName>
    <definedName name="RANGE1_F1">#REF!</definedName>
    <definedName name="RANGE1_F5">#REF!</definedName>
    <definedName name="RANGE1_F7">#REF!</definedName>
    <definedName name="RANGE1_INDEX">#REF!</definedName>
    <definedName name="RANGE1_INSTRUCTIONS">#REF!</definedName>
    <definedName name="RANGE1_INTERCOY">#REF!</definedName>
    <definedName name="RANGE1_TAX">#REF!</definedName>
    <definedName name="RANGE1_VAL">#REF!</definedName>
    <definedName name="RANGE1_WCAP">#REF!</definedName>
    <definedName name="RANGE2_ATT1">#REF!</definedName>
    <definedName name="RANGE2_CAPEX">#REF!</definedName>
    <definedName name="RANGE2_F01">#REF!</definedName>
    <definedName name="RANGE2_F06">#REF!</definedName>
    <definedName name="RANGE2_F07">#REF!</definedName>
    <definedName name="RANGE2_f08">#REF!</definedName>
    <definedName name="RANGE2_F1">#REF!</definedName>
    <definedName name="RANGE2_F5">#REF!</definedName>
    <definedName name="RANGE2_F7">#REF!</definedName>
    <definedName name="RANGE2_INTERCOY">#REF!</definedName>
    <definedName name="RANGE2_VAL">#REF!</definedName>
    <definedName name="RANGE2_WCAP">#REF!</definedName>
    <definedName name="reporteOEE">#REF!</definedName>
    <definedName name="Reportexdia2">#REF!</definedName>
    <definedName name="resina">#REF!</definedName>
    <definedName name="RESINAS">OFFSET(#REF!,0,0,COUNTA(#REF!),1)</definedName>
    <definedName name="ResinInventory" localSheetId="13">#REF!</definedName>
    <definedName name="ResinInventory">#REF!</definedName>
    <definedName name="Resumen" hidden="1">#REF!</definedName>
    <definedName name="resumen_diario">#REF!</definedName>
    <definedName name="RI">#REF!</definedName>
    <definedName name="rowHide">#REF!</definedName>
    <definedName name="rownumber">#REF!</definedName>
    <definedName name="s" hidden="1">#REF!</definedName>
    <definedName name="salestax">#REF!</definedName>
    <definedName name="SAPBEXhrIndnt" hidden="1">"Wide"</definedName>
    <definedName name="SAPsysID" hidden="1">"708C5W7SBKP804JT78WJ0JNKI"</definedName>
    <definedName name="SAPwbID" hidden="1">"ARS"</definedName>
    <definedName name="SCALE" localSheetId="13">#REF!</definedName>
    <definedName name="SCALE">[28]Retrieve!$A$2</definedName>
    <definedName name="SCE" localSheetId="13">#REF!</definedName>
    <definedName name="SCE">#REF!</definedName>
    <definedName name="SCRAP">#REF!</definedName>
    <definedName name="sdfasdf" localSheetId="13">#REF!</definedName>
    <definedName name="sdfasdf">'[29]Any by Any'!#REF!</definedName>
    <definedName name="ShowDataColumnsSelector" localSheetId="13">#REF!</definedName>
    <definedName name="ShowDataColumnsSelector">[7]Control!$B$11</definedName>
    <definedName name="SHYrs" localSheetId="13">#REF!</definedName>
    <definedName name="SHYrs">[11]Control!$B$11:$B$16</definedName>
    <definedName name="SIDEL10" localSheetId="13">#REF!</definedName>
    <definedName name="SIDEL10">'[1]Sidel 1014'!$E$4:$E$213</definedName>
    <definedName name="SIDEL2" localSheetId="13">#REF!</definedName>
    <definedName name="SIDEL2">'[1]Sidel 1032'!$E$4:$E$210</definedName>
    <definedName name="SIDEL4" localSheetId="13">#REF!</definedName>
    <definedName name="SIDEL4">'[1]Sidel 302'!$E$4:$E$185</definedName>
    <definedName name="SpendCategories" localSheetId="13">#REF!</definedName>
    <definedName name="SpendCategories">[7]Control!$D$11:$D$21</definedName>
    <definedName name="SPOILAGE" localSheetId="13">#REF!</definedName>
    <definedName name="SPOILAGE">#REF!</definedName>
    <definedName name="STARTUP" localSheetId="13">#REF!</definedName>
    <definedName name="STARTUP">#REF!</definedName>
    <definedName name="StratOptionTypes" localSheetId="13">#REF!</definedName>
    <definedName name="StratOptionTypes">[11]Control!$Z$11:$Z$13</definedName>
    <definedName name="subareaops" localSheetId="13">#REF!</definedName>
    <definedName name="subareaops">[6]Sheet3!$F$4:$F$7</definedName>
    <definedName name="SummarySpendCategory" localSheetId="13">#REF!</definedName>
    <definedName name="SummarySpendCategory">#REF!</definedName>
    <definedName name="sup_bwn">#REF!</definedName>
    <definedName name="SUPERVISOR">OFFSET(#REF!,0,0,COUNTA(#REF!),1)</definedName>
    <definedName name="SUPERVISORES">#REF!</definedName>
    <definedName name="TACMIX" localSheetId="13">#REF!</definedName>
    <definedName name="TACMIX">'[5]TAC 97'!#REF!</definedName>
    <definedName name="TAXABLE" localSheetId="13">#REF!</definedName>
    <definedName name="TAXABLE">#REF!</definedName>
    <definedName name="TC" localSheetId="13">#REF!</definedName>
    <definedName name="TC">'[30]BD$'!$C$1</definedName>
    <definedName name="Test" localSheetId="13" hidden="1">{"RA_1",#N/A,FALSE,"RF Att";"RA_2",#N/A,FALSE,"RF Att";"RA_2.1",#N/A,FALSE,"RF Att"}</definedName>
    <definedName name="Test" hidden="1">{"RA_1",#N/A,FALSE,"RF Att";"RA_2",#N/A,FALSE,"RF Att";"RA_2.1",#N/A,FALSE,"RF Att"}</definedName>
    <definedName name="TF">#REF!</definedName>
    <definedName name="TIME_A">#REF!</definedName>
    <definedName name="TIME_B">#REF!</definedName>
    <definedName name="TIME_C">#REF!</definedName>
    <definedName name="TIME_D">#REF!</definedName>
    <definedName name="TIME_E">#REF!</definedName>
    <definedName name="Tipo" localSheetId="13">#REF!</definedName>
    <definedName name="Tipo">[2]Hoja1!$F$2:$F$7</definedName>
    <definedName name="tipoempleado" localSheetId="13">#REF!</definedName>
    <definedName name="tipoempleado">[6]Sheet3!$D$4:$D$6</definedName>
    <definedName name="total_savings" localSheetId="13">#REF!</definedName>
    <definedName name="total_savings">#REF!</definedName>
    <definedName name="UNPROGMACH" localSheetId="13">#REF!</definedName>
    <definedName name="UNPROGMACH">#REF!</definedName>
    <definedName name="UPDATE" localSheetId="13">#REF!</definedName>
    <definedName name="UPDATE">#REF!</definedName>
    <definedName name="usd">#REF!</definedName>
    <definedName name="UTILITY___REPAIR">#REF!</definedName>
    <definedName name="VAL">#REF!</definedName>
    <definedName name="VAL_CAPEX">#REF!</definedName>
    <definedName name="VAL_F1">#REF!</definedName>
    <definedName name="VAL_F10_1">#REF!</definedName>
    <definedName name="VAL_F5">#REF!</definedName>
    <definedName name="VAL_F7">#REF!</definedName>
    <definedName name="VAL_INTERCOY">#REF!</definedName>
    <definedName name="VAL_WCAP">#REF!</definedName>
    <definedName name="VATTEM">#REF!</definedName>
    <definedName name="VB_CHECK">#REF!</definedName>
    <definedName name="VB_CHECKRANGE">#REF!</definedName>
    <definedName name="VB_INDEX">#REF!</definedName>
    <definedName name="VB_PAPERSIZE">#REF!</definedName>
    <definedName name="VB_SHEETNAME">#REF!</definedName>
    <definedName name="VIEW">#REF!</definedName>
    <definedName name="VLOOKUP_RANGE">#REF!</definedName>
    <definedName name="Volume" hidden="1">40773.7581134259</definedName>
    <definedName name="VTACCP">#REF!</definedName>
    <definedName name="VTACONS">#REF!</definedName>
    <definedName name="VTADIA">#REF!</definedName>
    <definedName name="VTAEWB" localSheetId="13">#REF!</definedName>
    <definedName name="VTAEWB">[31]Centro!$B$12:$G$37</definedName>
    <definedName name="VTAEXPR" localSheetId="13">#REF!</definedName>
    <definedName name="VTAEXPR">#REF!</definedName>
    <definedName name="VTAPMONTT" localSheetId="13">#REF!</definedName>
    <definedName name="VTAPMONTT">#REF!</definedName>
    <definedName name="VTATAL" localSheetId="13">#REF!</definedName>
    <definedName name="VTATAL">#REF!</definedName>
    <definedName name="VTAVIÑ">#REF!</definedName>
    <definedName name="VTAVIÑA">#REF!</definedName>
    <definedName name="VTOL" localSheetId="13">#REF!</definedName>
    <definedName name="VTOL">[32]XA!$C$19</definedName>
    <definedName name="w" localSheetId="13">#REF!</definedName>
    <definedName name="w">'[21]Produccion codigos SAP'!$EZ$3:$EZ$1004</definedName>
    <definedName name="WITH" localSheetId="13">#REF!</definedName>
    <definedName name="WITH">#REF!</definedName>
    <definedName name="WITHOUT" localSheetId="13">#REF!</definedName>
    <definedName name="WITHOUT">#REF!</definedName>
    <definedName name="WkgCap" localSheetId="13">#REF!</definedName>
    <definedName name="WkgCap">#REF!</definedName>
    <definedName name="wm" localSheetId="13">OFFSET(#REF!,0,0,COUNTA(#REF!),1)</definedName>
    <definedName name="wm">OFFSET('[21]Base GGGR'!$E$1,0,0,COUNTA('[21]Base GGGR'!$E:$E),1)</definedName>
    <definedName name="wrn.Management._.Attachments." localSheetId="13" hidden="1">{"MA_1",#N/A,FALSE,"Mgt Att";"MA_2",#N/A,FALSE,"Mgt Att"}</definedName>
    <definedName name="wrn.Management._.Attachments." hidden="1">{"MA_1",#N/A,FALSE,"Mgt Att";"MA_2",#N/A,FALSE,"Mgt Att"}</definedName>
    <definedName name="wrn.Management._.Reports." localSheetId="13"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Management._.Reports." hidden="1">{"MF_1",#N/A,FALSE,"Mgt Forms";"MF_2",#N/A,FALSE,"Mgt Forms";"MF_3",#N/A,FALSE,"Mgt Forms";"MF_4",#N/A,FALSE,"Mgt Forms";"MF_5",#N/A,FALSE,"Mgt Forms";"MF_6",#N/A,FALSE,"Mgt Forms";"MF_7",#N/A,FALSE,"Mgt Forms";"MF_8",#N/A,FALSE,"Mgt Forms";"MF_9",#N/A,FALSE,"Mgt Forms";"MF_10",#N/A,FALSE,"Mgt Forms";"MF_11",#N/A,FALSE,"Mgt Forms";"MF_111",#N/A,FALSE,"Mgt Forms"}</definedName>
    <definedName name="wrn.Revised._.Forecast._.1._.Attachments." localSheetId="13" hidden="1">{"RA_1",#N/A,FALSE,"RF Att";"RA_2",#N/A,FALSE,"RF Att";"RA_2.1",#N/A,FALSE,"RF Att"}</definedName>
    <definedName name="wrn.Revised._.Forecast._.1._.Attachments." hidden="1">{"RA_1",#N/A,FALSE,"RF Att";"RA_2",#N/A,FALSE,"RF Att";"RA_2.1",#N/A,FALSE,"RF Att"}</definedName>
    <definedName name="wrn.Revised._.Forecast._.1._.Forms." localSheetId="13" hidden="1">{"RF_1",#N/A,FALSE,"RF Forms";"RF_2",#N/A,FALSE,"RF Forms";"RF_3",#N/A,FALSE,"RF Forms";"RF_4",#N/A,FALSE,"RF Forms";"RF_5",#N/A,FALSE,"RF Forms";"RF_6",#N/A,FALSE,"RF Forms";"RF_8",#N/A,FALSE,"RF Forms";"RF_9",#N/A,FALSE,"RF Forms";"RF_10",#N/A,FALSE,"RF Forms";"RF_11",#N/A,FALSE,"RF Forms";"RF_11.1",#N/A,FALSE,"RF Forms"}</definedName>
    <definedName name="wrn.Revised._.Forecast._.1._.Forms." hidden="1">{"RF_1",#N/A,FALSE,"RF Forms";"RF_2",#N/A,FALSE,"RF Forms";"RF_3",#N/A,FALSE,"RF Forms";"RF_4",#N/A,FALSE,"RF Forms";"RF_5",#N/A,FALSE,"RF Forms";"RF_6",#N/A,FALSE,"RF Forms";"RF_8",#N/A,FALSE,"RF Forms";"RF_9",#N/A,FALSE,"RF Forms";"RF_10",#N/A,FALSE,"RF Forms";"RF_11",#N/A,FALSE,"RF Forms";"RF_11.1",#N/A,FALSE,"RF Forms"}</definedName>
    <definedName name="XAQ">#REF!</definedName>
    <definedName name="XASDDF">#REF!</definedName>
    <definedName name="XCol1">#REF!</definedName>
    <definedName name="XCol2">#REF!</definedName>
    <definedName name="XCol3">#REF!</definedName>
    <definedName name="XCol4">#REF!</definedName>
    <definedName name="XCol5">#REF!</definedName>
    <definedName name="XCol6">#REF!</definedName>
    <definedName name="XCol7">#REF!</definedName>
    <definedName name="XE">#REF!</definedName>
    <definedName name="XET">#REF!</definedName>
    <definedName name="XQ">#REF!</definedName>
    <definedName name="XS">#REF!</definedName>
    <definedName name="y" localSheetId="13" hidden="1">{"RA_1",#N/A,FALSE,"RF Att";"RA_2",#N/A,FALSE,"RF Att";"RA_2.1",#N/A,FALSE,"RF Att"}</definedName>
    <definedName name="y" hidden="1">{"RA_1",#N/A,FALSE,"RF Att";"RA_2",#N/A,FALSE,"RF Att";"RA_2.1",#N/A,FALSE,"RF Att"}</definedName>
    <definedName name="YEAR">#REF!</definedName>
    <definedName name="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V27" i="28" l="1"/>
  <c r="CV26" i="28"/>
  <c r="CV24" i="28"/>
  <c r="CU24" i="28"/>
  <c r="CV23" i="28"/>
  <c r="CV22" i="28" l="1"/>
  <c r="CV21" i="28"/>
  <c r="CV20" i="28"/>
  <c r="CV19" i="28"/>
  <c r="BG4" i="15"/>
  <c r="BG3" i="15" s="1"/>
  <c r="CV16" i="28"/>
  <c r="CV17" i="28" s="1"/>
  <c r="D62" i="29"/>
  <c r="AQ68" i="28"/>
  <c r="AP68" i="28"/>
  <c r="AO68" i="28"/>
  <c r="AN68" i="28"/>
  <c r="AM68" i="28"/>
  <c r="AL68" i="28"/>
  <c r="AK68" i="28"/>
  <c r="AJ68" i="28"/>
  <c r="AI68" i="28"/>
  <c r="AH68" i="28"/>
  <c r="AG68" i="28"/>
  <c r="AF68" i="28"/>
  <c r="AE68" i="28"/>
  <c r="AD68" i="28"/>
  <c r="AC68" i="28"/>
  <c r="AC61" i="28" s="1"/>
  <c r="AC62" i="28" s="1"/>
  <c r="AC63" i="28" s="1"/>
  <c r="AB68" i="28"/>
  <c r="AB61" i="28" s="1"/>
  <c r="AB62" i="28" s="1"/>
  <c r="AB63" i="28" s="1"/>
  <c r="AA68" i="28"/>
  <c r="AA61" i="28" s="1"/>
  <c r="AA62" i="28" s="1"/>
  <c r="AA63" i="28" s="1"/>
  <c r="Z68" i="28"/>
  <c r="Z61" i="28" s="1"/>
  <c r="Y68" i="28"/>
  <c r="X68" i="28"/>
  <c r="W68" i="28"/>
  <c r="V68" i="28"/>
  <c r="U68" i="28"/>
  <c r="T68" i="28"/>
  <c r="S68" i="28"/>
  <c r="R68" i="28"/>
  <c r="Q68" i="28"/>
  <c r="P68" i="28"/>
  <c r="O68" i="28"/>
  <c r="N68" i="28"/>
  <c r="M68" i="28"/>
  <c r="L68" i="28"/>
  <c r="K68" i="28"/>
  <c r="J68" i="28"/>
  <c r="I68" i="28"/>
  <c r="H68" i="28"/>
  <c r="G68" i="28"/>
  <c r="F68" i="28"/>
  <c r="E68" i="28"/>
  <c r="D68" i="28"/>
  <c r="Z62" i="28"/>
  <c r="Z63" i="28" s="1"/>
  <c r="CU45" i="28"/>
  <c r="CU46" i="28" s="1"/>
  <c r="CU47" i="28" s="1"/>
  <c r="CS45" i="28"/>
  <c r="CS46" i="28" s="1"/>
  <c r="CS47" i="28" s="1"/>
  <c r="CR45" i="28"/>
  <c r="CR46" i="28" s="1"/>
  <c r="CR47" i="28" s="1"/>
  <c r="CO45" i="28"/>
  <c r="CO46" i="28" s="1"/>
  <c r="CO47" i="28" s="1"/>
  <c r="CL45" i="28"/>
  <c r="CL46" i="28" s="1"/>
  <c r="CL47" i="28" s="1"/>
  <c r="CK45" i="28"/>
  <c r="CK46" i="28" s="1"/>
  <c r="CK47" i="28" s="1"/>
  <c r="BV45" i="28"/>
  <c r="BV46" i="28" s="1"/>
  <c r="BV47" i="28" s="1"/>
  <c r="AG45" i="28"/>
  <c r="AG46" i="28" s="1"/>
  <c r="AG47" i="28" s="1"/>
  <c r="CU39" i="28"/>
  <c r="CT39" i="28"/>
  <c r="CS39" i="28"/>
  <c r="CR39" i="28"/>
  <c r="CQ39" i="28"/>
  <c r="CP39" i="28"/>
  <c r="CO39" i="28"/>
  <c r="CN39" i="28"/>
  <c r="CM39" i="28"/>
  <c r="CL39" i="28"/>
  <c r="CK39" i="28"/>
  <c r="CG39" i="28"/>
  <c r="CF39" i="28"/>
  <c r="CE39" i="28"/>
  <c r="CD39" i="28"/>
  <c r="CC39" i="28"/>
  <c r="CB39" i="28"/>
  <c r="CA39" i="28"/>
  <c r="BZ39" i="28"/>
  <c r="BY39" i="28"/>
  <c r="BX39" i="28"/>
  <c r="BW39" i="28"/>
  <c r="BV39" i="28"/>
  <c r="BU39" i="28"/>
  <c r="BT39" i="28"/>
  <c r="BS39" i="28"/>
  <c r="BR39" i="28"/>
  <c r="BQ39" i="28"/>
  <c r="BP39" i="28"/>
  <c r="BO39" i="28"/>
  <c r="BN39" i="28"/>
  <c r="BM39" i="28"/>
  <c r="BL39" i="28"/>
  <c r="CU38" i="28"/>
  <c r="CT38" i="28"/>
  <c r="CS38" i="28"/>
  <c r="CR38" i="28"/>
  <c r="CQ38" i="28"/>
  <c r="CP38" i="28"/>
  <c r="CO38" i="28"/>
  <c r="CN38" i="28"/>
  <c r="CM38" i="28"/>
  <c r="CL38" i="28"/>
  <c r="CK38" i="28"/>
  <c r="CG38" i="28"/>
  <c r="CF38" i="28"/>
  <c r="CE38" i="28"/>
  <c r="CD38" i="28"/>
  <c r="CC38" i="28"/>
  <c r="CB38" i="28"/>
  <c r="CA38" i="28"/>
  <c r="BZ38" i="28"/>
  <c r="BY38" i="28"/>
  <c r="BX38" i="28"/>
  <c r="BW38" i="28"/>
  <c r="BV38" i="28"/>
  <c r="BU38" i="28"/>
  <c r="BT38" i="28"/>
  <c r="BS38" i="28"/>
  <c r="BR38" i="28"/>
  <c r="BQ38" i="28"/>
  <c r="BP38" i="28"/>
  <c r="BO38" i="28"/>
  <c r="BN38" i="28"/>
  <c r="BM38" i="28"/>
  <c r="BL38" i="28"/>
  <c r="BK38" i="28"/>
  <c r="BJ38" i="28"/>
  <c r="BI38" i="28"/>
  <c r="BH38" i="28"/>
  <c r="BG38" i="28"/>
  <c r="BF38" i="28"/>
  <c r="BE38" i="28"/>
  <c r="BD38" i="28"/>
  <c r="BC38" i="28"/>
  <c r="BB38" i="28"/>
  <c r="BA38" i="28"/>
  <c r="AZ38" i="28"/>
  <c r="AX38" i="28"/>
  <c r="AU38" i="28"/>
  <c r="AT38" i="28"/>
  <c r="AS38" i="28"/>
  <c r="AR38" i="28"/>
  <c r="AQ38" i="28"/>
  <c r="AP38" i="28"/>
  <c r="AO38" i="28"/>
  <c r="AN38" i="28"/>
  <c r="AM38" i="28"/>
  <c r="AL38" i="28"/>
  <c r="AK38" i="28"/>
  <c r="AJ38" i="28"/>
  <c r="AI38" i="28"/>
  <c r="AH38" i="28"/>
  <c r="AF38" i="28"/>
  <c r="AE38" i="28"/>
  <c r="AD38" i="28"/>
  <c r="AC38" i="28"/>
  <c r="AB38" i="28"/>
  <c r="AA38" i="28"/>
  <c r="Z38" i="28"/>
  <c r="CU37" i="28"/>
  <c r="CT37" i="28"/>
  <c r="CS37" i="28"/>
  <c r="CR37" i="28"/>
  <c r="CQ37" i="28"/>
  <c r="CP37" i="28"/>
  <c r="CO37" i="28"/>
  <c r="CN37" i="28"/>
  <c r="CM37" i="28"/>
  <c r="CL37" i="28"/>
  <c r="CK37" i="28"/>
  <c r="CG37" i="28"/>
  <c r="CF37" i="28"/>
  <c r="CE37" i="28"/>
  <c r="CD37" i="28"/>
  <c r="CC37" i="28"/>
  <c r="CB37" i="28"/>
  <c r="CA37" i="28"/>
  <c r="BZ37" i="28"/>
  <c r="BY37" i="28"/>
  <c r="BX37" i="28"/>
  <c r="BW37" i="28"/>
  <c r="BV37" i="28"/>
  <c r="BU37" i="28"/>
  <c r="BT37" i="28"/>
  <c r="BS37" i="28"/>
  <c r="BR37" i="28"/>
  <c r="BQ37" i="28"/>
  <c r="BP37" i="28"/>
  <c r="BO37" i="28"/>
  <c r="BN37" i="28"/>
  <c r="BM37" i="28"/>
  <c r="BL37" i="28"/>
  <c r="CU36" i="28"/>
  <c r="CT36" i="28"/>
  <c r="CS36" i="28"/>
  <c r="CR36" i="28"/>
  <c r="CQ36" i="28"/>
  <c r="CP36" i="28"/>
  <c r="CO36" i="28"/>
  <c r="CN36" i="28"/>
  <c r="CM36" i="28"/>
  <c r="CL36" i="28"/>
  <c r="CK36" i="28"/>
  <c r="CG36" i="28"/>
  <c r="CF36" i="28"/>
  <c r="CE36" i="28"/>
  <c r="CD36" i="28"/>
  <c r="CC36" i="28"/>
  <c r="CB36" i="28"/>
  <c r="CA36" i="28"/>
  <c r="BZ36" i="28"/>
  <c r="BY36" i="28"/>
  <c r="BX36" i="28"/>
  <c r="BW36" i="28"/>
  <c r="BV36" i="28"/>
  <c r="BU36" i="28"/>
  <c r="BT36" i="28"/>
  <c r="BS36" i="28"/>
  <c r="BR36" i="28"/>
  <c r="BQ36" i="28"/>
  <c r="BP36" i="28"/>
  <c r="BO36" i="28"/>
  <c r="BN36" i="28"/>
  <c r="BM36" i="28"/>
  <c r="BL36" i="28"/>
  <c r="BK36" i="28"/>
  <c r="BJ36" i="28"/>
  <c r="BI36" i="28"/>
  <c r="BH36" i="28"/>
  <c r="BG36" i="28"/>
  <c r="BF36" i="28"/>
  <c r="BE36" i="28"/>
  <c r="BD36" i="28"/>
  <c r="BC36" i="28"/>
  <c r="BB36" i="28"/>
  <c r="BA36" i="28"/>
  <c r="AZ36" i="28"/>
  <c r="AX36" i="28"/>
  <c r="AU36" i="28"/>
  <c r="AT36" i="28"/>
  <c r="AS36" i="28"/>
  <c r="AR36" i="28"/>
  <c r="AQ36" i="28"/>
  <c r="AP36" i="28"/>
  <c r="AO36" i="28"/>
  <c r="AN36" i="28"/>
  <c r="AM36" i="28"/>
  <c r="AL36" i="28"/>
  <c r="AK36" i="28"/>
  <c r="AJ36" i="28"/>
  <c r="AI36" i="28"/>
  <c r="AH36" i="28"/>
  <c r="AF36" i="28"/>
  <c r="AE36" i="28"/>
  <c r="AD36" i="28"/>
  <c r="AC36" i="28"/>
  <c r="AB36" i="28"/>
  <c r="AA36" i="28"/>
  <c r="Z36" i="28"/>
  <c r="CU35" i="28"/>
  <c r="CT35" i="28"/>
  <c r="CS35" i="28"/>
  <c r="CR35" i="28"/>
  <c r="CQ35" i="28"/>
  <c r="CQ45" i="28" s="1"/>
  <c r="CQ46" i="28" s="1"/>
  <c r="CQ47" i="28" s="1"/>
  <c r="CP35" i="28"/>
  <c r="CP45" i="28" s="1"/>
  <c r="CP46" i="28" s="1"/>
  <c r="CP47" i="28" s="1"/>
  <c r="CO35" i="28"/>
  <c r="CN35" i="28"/>
  <c r="CM35" i="28"/>
  <c r="CM45" i="28" s="1"/>
  <c r="CM46" i="28" s="1"/>
  <c r="CM47" i="28" s="1"/>
  <c r="CL35" i="28"/>
  <c r="CK35" i="28"/>
  <c r="CJ35" i="28"/>
  <c r="CI35" i="28"/>
  <c r="CH35" i="28"/>
  <c r="CG35" i="28"/>
  <c r="CF35" i="28"/>
  <c r="CE35" i="28"/>
  <c r="CE45" i="28" s="1"/>
  <c r="CE46" i="28" s="1"/>
  <c r="CE47" i="28" s="1"/>
  <c r="CD35" i="28"/>
  <c r="CC35" i="28"/>
  <c r="CB35" i="28"/>
  <c r="CA35" i="28"/>
  <c r="BZ35" i="28"/>
  <c r="BY35" i="28"/>
  <c r="BX35" i="28"/>
  <c r="BW35" i="28"/>
  <c r="BV35" i="28"/>
  <c r="BU35" i="28"/>
  <c r="BT35" i="28"/>
  <c r="BS35" i="28"/>
  <c r="BR35" i="28"/>
  <c r="BR45" i="28" s="1"/>
  <c r="BR46" i="28" s="1"/>
  <c r="BR47" i="28" s="1"/>
  <c r="BQ35" i="28"/>
  <c r="BQ45" i="28" s="1"/>
  <c r="BQ46" i="28" s="1"/>
  <c r="BQ47" i="28" s="1"/>
  <c r="BP35" i="28"/>
  <c r="BO35" i="28"/>
  <c r="BO45" i="28" s="1"/>
  <c r="BO46" i="28" s="1"/>
  <c r="BO47" i="28" s="1"/>
  <c r="BN35" i="28"/>
  <c r="BM35" i="28"/>
  <c r="BM45" i="28" s="1"/>
  <c r="BM46" i="28" s="1"/>
  <c r="BM47" i="28" s="1"/>
  <c r="BL35" i="28"/>
  <c r="CU34" i="28"/>
  <c r="CT34" i="28"/>
  <c r="CS34" i="28"/>
  <c r="CR34" i="28"/>
  <c r="CQ34" i="28"/>
  <c r="CP34" i="28"/>
  <c r="CO34" i="28"/>
  <c r="CN34" i="28"/>
  <c r="CM34" i="28"/>
  <c r="CL34" i="28"/>
  <c r="CK34" i="28"/>
  <c r="CJ34" i="28"/>
  <c r="CI34" i="28"/>
  <c r="CH34" i="28"/>
  <c r="CG34" i="28"/>
  <c r="CF34" i="28"/>
  <c r="CE34" i="28"/>
  <c r="CD34" i="28"/>
  <c r="CC34" i="28"/>
  <c r="CB34" i="28"/>
  <c r="CA34" i="28"/>
  <c r="BZ34" i="28"/>
  <c r="BY34" i="28"/>
  <c r="BX34" i="28"/>
  <c r="BW34" i="28"/>
  <c r="BV34" i="28"/>
  <c r="BU34" i="28"/>
  <c r="BT34" i="28"/>
  <c r="BS34" i="28"/>
  <c r="BR34" i="28"/>
  <c r="BQ34" i="28"/>
  <c r="BP34" i="28"/>
  <c r="BO34" i="28"/>
  <c r="BN34" i="28"/>
  <c r="BM34" i="28"/>
  <c r="BL34" i="28"/>
  <c r="BK34" i="28"/>
  <c r="BK45" i="28" s="1"/>
  <c r="BK46" i="28" s="1"/>
  <c r="BK47" i="28" s="1"/>
  <c r="BJ34" i="28"/>
  <c r="BJ45" i="28" s="1"/>
  <c r="BJ46" i="28" s="1"/>
  <c r="BJ47" i="28" s="1"/>
  <c r="BI34" i="28"/>
  <c r="BI45" i="28" s="1"/>
  <c r="BI46" i="28" s="1"/>
  <c r="BI47" i="28" s="1"/>
  <c r="BH34" i="28"/>
  <c r="BH45" i="28" s="1"/>
  <c r="BH46" i="28" s="1"/>
  <c r="BH47" i="28" s="1"/>
  <c r="BG34" i="28"/>
  <c r="BG45" i="28" s="1"/>
  <c r="BG46" i="28" s="1"/>
  <c r="BG47" i="28" s="1"/>
  <c r="BF34" i="28"/>
  <c r="BE34" i="28"/>
  <c r="BD34" i="28"/>
  <c r="BC34" i="28"/>
  <c r="BB34" i="28"/>
  <c r="BB45" i="28" s="1"/>
  <c r="BB46" i="28" s="1"/>
  <c r="BB47" i="28" s="1"/>
  <c r="BA34" i="28"/>
  <c r="BA45" i="28" s="1"/>
  <c r="BA46" i="28" s="1"/>
  <c r="BA47" i="28" s="1"/>
  <c r="AZ34" i="28"/>
  <c r="AX34" i="28"/>
  <c r="AU34" i="28"/>
  <c r="AT34" i="28"/>
  <c r="AS34" i="28"/>
  <c r="AR34" i="28"/>
  <c r="AQ34" i="28"/>
  <c r="AQ45" i="28" s="1"/>
  <c r="AQ46" i="28" s="1"/>
  <c r="AQ47" i="28" s="1"/>
  <c r="AP34" i="28"/>
  <c r="AP45" i="28" s="1"/>
  <c r="AP46" i="28" s="1"/>
  <c r="AP47" i="28" s="1"/>
  <c r="AO34" i="28"/>
  <c r="AO45" i="28" s="1"/>
  <c r="AO46" i="28" s="1"/>
  <c r="AO47" i="28" s="1"/>
  <c r="AN34" i="28"/>
  <c r="AN45" i="28" s="1"/>
  <c r="AN46" i="28" s="1"/>
  <c r="AN47" i="28" s="1"/>
  <c r="AM34" i="28"/>
  <c r="AM45" i="28" s="1"/>
  <c r="AM46" i="28" s="1"/>
  <c r="AM47" i="28" s="1"/>
  <c r="AL34" i="28"/>
  <c r="AL45" i="28" s="1"/>
  <c r="AL46" i="28" s="1"/>
  <c r="AL47" i="28" s="1"/>
  <c r="AK34" i="28"/>
  <c r="AK45" i="28" s="1"/>
  <c r="AK46" i="28" s="1"/>
  <c r="AK47" i="28" s="1"/>
  <c r="AJ34" i="28"/>
  <c r="AJ45" i="28" s="1"/>
  <c r="AJ46" i="28" s="1"/>
  <c r="AJ47" i="28" s="1"/>
  <c r="AI34" i="28"/>
  <c r="AI45" i="28" s="1"/>
  <c r="AI46" i="28" s="1"/>
  <c r="AI47" i="28" s="1"/>
  <c r="AH34" i="28"/>
  <c r="AH45" i="28" s="1"/>
  <c r="AH46" i="28" s="1"/>
  <c r="AH47" i="28" s="1"/>
  <c r="AF34" i="28"/>
  <c r="AF45" i="28" s="1"/>
  <c r="AF46" i="28" s="1"/>
  <c r="AF47" i="28" s="1"/>
  <c r="AE34" i="28"/>
  <c r="AE45" i="28" s="1"/>
  <c r="AE46" i="28" s="1"/>
  <c r="AE47" i="28" s="1"/>
  <c r="AD34" i="28"/>
  <c r="AD45" i="28" s="1"/>
  <c r="AD46" i="28" s="1"/>
  <c r="AD47" i="28" s="1"/>
  <c r="AC34" i="28"/>
  <c r="AC45" i="28" s="1"/>
  <c r="AC46" i="28" s="1"/>
  <c r="AC47" i="28" s="1"/>
  <c r="AB34" i="28"/>
  <c r="AB45" i="28" s="1"/>
  <c r="AB46" i="28" s="1"/>
  <c r="AB47" i="28" s="1"/>
  <c r="AA34" i="28"/>
  <c r="AA45" i="28" s="1"/>
  <c r="AA46" i="28" s="1"/>
  <c r="AA47" i="28" s="1"/>
  <c r="Z34" i="28"/>
  <c r="Z45" i="28" s="1"/>
  <c r="Z46" i="28" s="1"/>
  <c r="Z47" i="28" s="1"/>
  <c r="CY33" i="28"/>
  <c r="CU33" i="28"/>
  <c r="CU53" i="28" s="1"/>
  <c r="CU54" i="28" s="1"/>
  <c r="CU55" i="28" s="1"/>
  <c r="CT33" i="28"/>
  <c r="CT53" i="28" s="1"/>
  <c r="CT54" i="28" s="1"/>
  <c r="CT55" i="28" s="1"/>
  <c r="CS33" i="28"/>
  <c r="CS53" i="28" s="1"/>
  <c r="CS54" i="28" s="1"/>
  <c r="CS55" i="28" s="1"/>
  <c r="CR33" i="28"/>
  <c r="CR53" i="28" s="1"/>
  <c r="CR54" i="28" s="1"/>
  <c r="CR55" i="28" s="1"/>
  <c r="CQ33" i="28"/>
  <c r="CQ53" i="28" s="1"/>
  <c r="CQ54" i="28" s="1"/>
  <c r="CQ55" i="28" s="1"/>
  <c r="CP33" i="28"/>
  <c r="CP53" i="28" s="1"/>
  <c r="CP54" i="28" s="1"/>
  <c r="CP55" i="28" s="1"/>
  <c r="CO33" i="28"/>
  <c r="CO53" i="28" s="1"/>
  <c r="CO54" i="28" s="1"/>
  <c r="CO55" i="28" s="1"/>
  <c r="CN33" i="28"/>
  <c r="CN53" i="28" s="1"/>
  <c r="CN54" i="28" s="1"/>
  <c r="CN55" i="28" s="1"/>
  <c r="CM33" i="28"/>
  <c r="CM53" i="28" s="1"/>
  <c r="CM54" i="28" s="1"/>
  <c r="CM55" i="28" s="1"/>
  <c r="CL33" i="28"/>
  <c r="CL53" i="28" s="1"/>
  <c r="CL54" i="28" s="1"/>
  <c r="CL55" i="28" s="1"/>
  <c r="CK33" i="28"/>
  <c r="CK53" i="28" s="1"/>
  <c r="CK54" i="28" s="1"/>
  <c r="CK55" i="28" s="1"/>
  <c r="CJ33" i="28"/>
  <c r="CJ53" i="28" s="1"/>
  <c r="CJ54" i="28" s="1"/>
  <c r="CJ55" i="28" s="1"/>
  <c r="CI33" i="28"/>
  <c r="CI53" i="28" s="1"/>
  <c r="CI54" i="28" s="1"/>
  <c r="CI55" i="28" s="1"/>
  <c r="CH33" i="28"/>
  <c r="CH53" i="28" s="1"/>
  <c r="CH54" i="28" s="1"/>
  <c r="CH55" i="28" s="1"/>
  <c r="CG33" i="28"/>
  <c r="CG53" i="28" s="1"/>
  <c r="CG54" i="28" s="1"/>
  <c r="CG55" i="28" s="1"/>
  <c r="CF33" i="28"/>
  <c r="CF53" i="28" s="1"/>
  <c r="CF54" i="28" s="1"/>
  <c r="CF55" i="28" s="1"/>
  <c r="CE33" i="28"/>
  <c r="CE53" i="28" s="1"/>
  <c r="CE54" i="28" s="1"/>
  <c r="CE55" i="28" s="1"/>
  <c r="CD33" i="28"/>
  <c r="CD53" i="28" s="1"/>
  <c r="CD54" i="28" s="1"/>
  <c r="CD55" i="28" s="1"/>
  <c r="CC33" i="28"/>
  <c r="CC53" i="28" s="1"/>
  <c r="CC54" i="28" s="1"/>
  <c r="CC55" i="28" s="1"/>
  <c r="CB33" i="28"/>
  <c r="CB53" i="28" s="1"/>
  <c r="CB54" i="28" s="1"/>
  <c r="CB55" i="28" s="1"/>
  <c r="CA33" i="28"/>
  <c r="CA53" i="28" s="1"/>
  <c r="CA54" i="28" s="1"/>
  <c r="CA55" i="28" s="1"/>
  <c r="BZ33" i="28"/>
  <c r="BZ53" i="28" s="1"/>
  <c r="BZ54" i="28" s="1"/>
  <c r="BZ55" i="28" s="1"/>
  <c r="BY33" i="28"/>
  <c r="BY53" i="28" s="1"/>
  <c r="BY54" i="28" s="1"/>
  <c r="BY55" i="28" s="1"/>
  <c r="BX33" i="28"/>
  <c r="BX53" i="28" s="1"/>
  <c r="BX54" i="28" s="1"/>
  <c r="BX55" i="28" s="1"/>
  <c r="BW33" i="28"/>
  <c r="BW53" i="28" s="1"/>
  <c r="BW54" i="28" s="1"/>
  <c r="BW55" i="28" s="1"/>
  <c r="BV33" i="28"/>
  <c r="BV53" i="28" s="1"/>
  <c r="BV54" i="28" s="1"/>
  <c r="BV55" i="28" s="1"/>
  <c r="BU33" i="28"/>
  <c r="BU53" i="28" s="1"/>
  <c r="BU54" i="28" s="1"/>
  <c r="BU55" i="28" s="1"/>
  <c r="BT33" i="28"/>
  <c r="BT53" i="28" s="1"/>
  <c r="BT54" i="28" s="1"/>
  <c r="BT55" i="28" s="1"/>
  <c r="BS33" i="28"/>
  <c r="BS53" i="28" s="1"/>
  <c r="BS54" i="28" s="1"/>
  <c r="BS55" i="28" s="1"/>
  <c r="BR33" i="28"/>
  <c r="BR53" i="28" s="1"/>
  <c r="BR54" i="28" s="1"/>
  <c r="BR55" i="28" s="1"/>
  <c r="BQ33" i="28"/>
  <c r="BQ53" i="28" s="1"/>
  <c r="BQ54" i="28" s="1"/>
  <c r="BQ55" i="28" s="1"/>
  <c r="BP33" i="28"/>
  <c r="BP53" i="28" s="1"/>
  <c r="BP54" i="28" s="1"/>
  <c r="BP55" i="28" s="1"/>
  <c r="BO33" i="28"/>
  <c r="BO53" i="28" s="1"/>
  <c r="BO54" i="28" s="1"/>
  <c r="BO55" i="28" s="1"/>
  <c r="BN33" i="28"/>
  <c r="BN53" i="28" s="1"/>
  <c r="BN54" i="28" s="1"/>
  <c r="BN55" i="28" s="1"/>
  <c r="BM33" i="28"/>
  <c r="BM53" i="28" s="1"/>
  <c r="BM54" i="28" s="1"/>
  <c r="BM55" i="28" s="1"/>
  <c r="BL33" i="28"/>
  <c r="BL53" i="28" s="1"/>
  <c r="BL54" i="28" s="1"/>
  <c r="BL55" i="28" s="1"/>
  <c r="CU32" i="28"/>
  <c r="CT32" i="28"/>
  <c r="CS32" i="28"/>
  <c r="CR32" i="28"/>
  <c r="CQ32" i="28"/>
  <c r="CP32" i="28"/>
  <c r="CO32" i="28"/>
  <c r="CN32" i="28"/>
  <c r="CM32" i="28"/>
  <c r="CL32" i="28"/>
  <c r="CK32" i="28"/>
  <c r="CJ32" i="28"/>
  <c r="CI32" i="28"/>
  <c r="CH32" i="28"/>
  <c r="CG32" i="28"/>
  <c r="CF32" i="28"/>
  <c r="CE32" i="28"/>
  <c r="CD32" i="28"/>
  <c r="CC32" i="28"/>
  <c r="CB32" i="28"/>
  <c r="CA32" i="28"/>
  <c r="BZ32" i="28"/>
  <c r="BY32" i="28"/>
  <c r="BX32" i="28"/>
  <c r="BW32" i="28"/>
  <c r="BV32" i="28"/>
  <c r="BU32" i="28"/>
  <c r="BT32" i="28"/>
  <c r="BS32" i="28"/>
  <c r="BR32" i="28"/>
  <c r="BQ32" i="28"/>
  <c r="BP32" i="28"/>
  <c r="BO32" i="28"/>
  <c r="BN32" i="28"/>
  <c r="BM32" i="28"/>
  <c r="BL32" i="28"/>
  <c r="BK32" i="28"/>
  <c r="BK33" i="28" s="1"/>
  <c r="BK53" i="28" s="1"/>
  <c r="BK54" i="28" s="1"/>
  <c r="BK55" i="28" s="1"/>
  <c r="BJ32" i="28"/>
  <c r="BJ33" i="28" s="1"/>
  <c r="BJ53" i="28" s="1"/>
  <c r="BJ54" i="28" s="1"/>
  <c r="BJ55" i="28" s="1"/>
  <c r="BI32" i="28"/>
  <c r="BI33" i="28" s="1"/>
  <c r="BI53" i="28" s="1"/>
  <c r="BI54" i="28" s="1"/>
  <c r="BI55" i="28" s="1"/>
  <c r="BH32" i="28"/>
  <c r="BH33" i="28" s="1"/>
  <c r="BH53" i="28" s="1"/>
  <c r="BH54" i="28" s="1"/>
  <c r="BH55" i="28" s="1"/>
  <c r="BG32" i="28"/>
  <c r="BG33" i="28" s="1"/>
  <c r="BG53" i="28" s="1"/>
  <c r="BG54" i="28" s="1"/>
  <c r="BG55" i="28" s="1"/>
  <c r="BF32" i="28"/>
  <c r="BF33" i="28" s="1"/>
  <c r="BF53" i="28" s="1"/>
  <c r="BF54" i="28" s="1"/>
  <c r="BF55" i="28" s="1"/>
  <c r="BE32" i="28"/>
  <c r="BE33" i="28" s="1"/>
  <c r="BE53" i="28" s="1"/>
  <c r="BE54" i="28" s="1"/>
  <c r="BE55" i="28" s="1"/>
  <c r="BD32" i="28"/>
  <c r="BD33" i="28" s="1"/>
  <c r="BD53" i="28" s="1"/>
  <c r="BD54" i="28" s="1"/>
  <c r="BD55" i="28" s="1"/>
  <c r="BC32" i="28"/>
  <c r="BC33" i="28" s="1"/>
  <c r="BC53" i="28" s="1"/>
  <c r="BC54" i="28" s="1"/>
  <c r="BC55" i="28" s="1"/>
  <c r="BB32" i="28"/>
  <c r="BB33" i="28" s="1"/>
  <c r="BB53" i="28" s="1"/>
  <c r="BB54" i="28" s="1"/>
  <c r="BB55" i="28" s="1"/>
  <c r="BA32" i="28"/>
  <c r="BA33" i="28" s="1"/>
  <c r="BA53" i="28" s="1"/>
  <c r="BA54" i="28" s="1"/>
  <c r="BA55" i="28" s="1"/>
  <c r="AZ32" i="28"/>
  <c r="AZ33" i="28" s="1"/>
  <c r="AZ53" i="28" s="1"/>
  <c r="AZ54" i="28" s="1"/>
  <c r="AZ55" i="28" s="1"/>
  <c r="AX32" i="28"/>
  <c r="AX33" i="28" s="1"/>
  <c r="AX53" i="28" s="1"/>
  <c r="AX54" i="28" s="1"/>
  <c r="AX55" i="28" s="1"/>
  <c r="AU32" i="28"/>
  <c r="AU33" i="28" s="1"/>
  <c r="AU53" i="28" s="1"/>
  <c r="AU54" i="28" s="1"/>
  <c r="AU55" i="28" s="1"/>
  <c r="AT32" i="28"/>
  <c r="AT33" i="28" s="1"/>
  <c r="AT53" i="28" s="1"/>
  <c r="AT54" i="28" s="1"/>
  <c r="AT55" i="28" s="1"/>
  <c r="AQ32" i="28"/>
  <c r="AR32" i="28" s="1"/>
  <c r="AN32" i="28"/>
  <c r="AO32" i="28" s="1"/>
  <c r="AO53" i="28" s="1"/>
  <c r="AO54" i="28" s="1"/>
  <c r="AO55" i="28" s="1"/>
  <c r="AK32" i="28"/>
  <c r="AL32" i="28" s="1"/>
  <c r="AJ32" i="28"/>
  <c r="AJ53" i="28" s="1"/>
  <c r="AJ54" i="28" s="1"/>
  <c r="AJ55" i="28" s="1"/>
  <c r="AG32" i="28"/>
  <c r="AG53" i="28" s="1"/>
  <c r="AG54" i="28" s="1"/>
  <c r="AG55" i="28" s="1"/>
  <c r="AF32" i="28"/>
  <c r="AF53" i="28" s="1"/>
  <c r="AF54" i="28" s="1"/>
  <c r="AF55" i="28" s="1"/>
  <c r="AE32" i="28"/>
  <c r="AE53" i="28" s="1"/>
  <c r="AE54" i="28" s="1"/>
  <c r="AE55" i="28" s="1"/>
  <c r="Z32" i="28"/>
  <c r="AA32" i="28" s="1"/>
  <c r="Y32" i="28"/>
  <c r="Y53" i="28" s="1"/>
  <c r="Y54" i="28" s="1"/>
  <c r="Y55" i="28" s="1"/>
  <c r="BJ30" i="28"/>
  <c r="BJ57" i="28" s="1"/>
  <c r="BJ58" i="28" s="1"/>
  <c r="BJ59" i="28" s="1"/>
  <c r="BS28" i="28"/>
  <c r="BR28" i="28"/>
  <c r="BQ28" i="28"/>
  <c r="BQ30" i="28" s="1"/>
  <c r="BP28" i="28"/>
  <c r="BP30" i="28" s="1"/>
  <c r="BO28" i="28"/>
  <c r="BO30" i="28" s="1"/>
  <c r="BN28" i="28"/>
  <c r="BN30" i="28" s="1"/>
  <c r="BM28" i="28"/>
  <c r="BM30" i="28" s="1"/>
  <c r="BL28" i="28"/>
  <c r="BL30" i="28" s="1"/>
  <c r="BK28" i="28"/>
  <c r="BK30" i="28" s="1"/>
  <c r="BJ28" i="28"/>
  <c r="BI28" i="28"/>
  <c r="BH28" i="28"/>
  <c r="BG28" i="28"/>
  <c r="BF28" i="28"/>
  <c r="BE28" i="28"/>
  <c r="BE30" i="28" s="1"/>
  <c r="BD28" i="28"/>
  <c r="BC28" i="28"/>
  <c r="BB28" i="28"/>
  <c r="BA28" i="28"/>
  <c r="AZ28" i="28"/>
  <c r="AX28" i="28"/>
  <c r="AU28" i="28"/>
  <c r="AT28" i="28"/>
  <c r="AS28" i="28"/>
  <c r="AR28" i="28"/>
  <c r="AQ28" i="28"/>
  <c r="AP28" i="28"/>
  <c r="AO28" i="28"/>
  <c r="AN28" i="28"/>
  <c r="AM28" i="28"/>
  <c r="AL28" i="28"/>
  <c r="AK28" i="28"/>
  <c r="CT24" i="28"/>
  <c r="CS24" i="28"/>
  <c r="CR24" i="28"/>
  <c r="CQ24" i="28"/>
  <c r="CP24" i="28"/>
  <c r="CO24" i="28"/>
  <c r="CN24" i="28"/>
  <c r="CM24" i="28"/>
  <c r="CL24" i="28"/>
  <c r="CK24" i="28"/>
  <c r="CJ24" i="28"/>
  <c r="CI24" i="28"/>
  <c r="CH24" i="28"/>
  <c r="CG24" i="28"/>
  <c r="CF24" i="28"/>
  <c r="CE24" i="28"/>
  <c r="CD24" i="28"/>
  <c r="CC24" i="28"/>
  <c r="CB24" i="28"/>
  <c r="CA24" i="28"/>
  <c r="BZ24" i="28"/>
  <c r="BY24" i="28"/>
  <c r="BX24" i="28"/>
  <c r="BW24" i="28"/>
  <c r="BV24" i="28"/>
  <c r="BB23" i="28"/>
  <c r="BA23" i="28"/>
  <c r="AZ23" i="28"/>
  <c r="BB22" i="28"/>
  <c r="BA22" i="28"/>
  <c r="AZ22" i="28"/>
  <c r="DH21" i="28"/>
  <c r="CF21" i="28"/>
  <c r="CF23" i="28" s="1"/>
  <c r="CE21" i="28"/>
  <c r="CE23" i="28" s="1"/>
  <c r="CD21" i="28"/>
  <c r="CD23" i="28" s="1"/>
  <c r="CC21" i="28"/>
  <c r="CC23" i="28" s="1"/>
  <c r="CB21" i="28"/>
  <c r="CB23" i="28" s="1"/>
  <c r="CA21" i="28"/>
  <c r="CA23" i="28" s="1"/>
  <c r="BZ21" i="28"/>
  <c r="BZ23" i="28" s="1"/>
  <c r="BT21" i="28"/>
  <c r="BT23" i="28" s="1"/>
  <c r="BS21" i="28"/>
  <c r="BS23" i="28" s="1"/>
  <c r="BR21" i="28"/>
  <c r="BR23" i="28" s="1"/>
  <c r="BQ21" i="28"/>
  <c r="BQ23" i="28" s="1"/>
  <c r="BP21" i="28"/>
  <c r="BP23" i="28" s="1"/>
  <c r="BO21" i="28"/>
  <c r="BO23" i="28" s="1"/>
  <c r="BN21" i="28"/>
  <c r="BN23" i="28" s="1"/>
  <c r="BM21" i="28"/>
  <c r="BM23" i="28" s="1"/>
  <c r="BL21" i="28"/>
  <c r="BL23" i="28" s="1"/>
  <c r="BK21" i="28"/>
  <c r="BK23" i="28" s="1"/>
  <c r="BJ21" i="28"/>
  <c r="BJ23" i="28" s="1"/>
  <c r="BI21" i="28"/>
  <c r="BI23" i="28" s="1"/>
  <c r="BH21" i="28"/>
  <c r="BH23" i="28" s="1"/>
  <c r="BG21" i="28"/>
  <c r="BG23" i="28" s="1"/>
  <c r="BF21" i="28"/>
  <c r="BF23" i="28" s="1"/>
  <c r="BE21" i="28"/>
  <c r="BE23" i="28" s="1"/>
  <c r="BD21" i="28"/>
  <c r="BD23" i="28" s="1"/>
  <c r="BC21" i="28"/>
  <c r="BC23" i="28" s="1"/>
  <c r="AX21" i="28"/>
  <c r="AX23" i="28" s="1"/>
  <c r="AU21" i="28"/>
  <c r="AU23" i="28" s="1"/>
  <c r="AT21" i="28"/>
  <c r="AT23" i="28" s="1"/>
  <c r="AS21" i="28"/>
  <c r="AS23" i="28" s="1"/>
  <c r="AR21" i="28"/>
  <c r="AR23" i="28" s="1"/>
  <c r="AQ21" i="28"/>
  <c r="AQ23" i="28" s="1"/>
  <c r="CU19" i="28"/>
  <c r="CT19" i="28"/>
  <c r="CS19" i="28"/>
  <c r="CR19" i="28"/>
  <c r="CQ19" i="28"/>
  <c r="CP19" i="28"/>
  <c r="CO19" i="28"/>
  <c r="CO17" i="28" s="1"/>
  <c r="CN19" i="28"/>
  <c r="CN17" i="28" s="1"/>
  <c r="CM19" i="28"/>
  <c r="CM17" i="28" s="1"/>
  <c r="CL19" i="28"/>
  <c r="CK19" i="28"/>
  <c r="CK17" i="28" s="1"/>
  <c r="CK20" i="28" s="1"/>
  <c r="CJ19" i="28"/>
  <c r="CJ17" i="28" s="1"/>
  <c r="CJ21" i="28" s="1"/>
  <c r="CJ23" i="28" s="1"/>
  <c r="CI19" i="28"/>
  <c r="CI17" i="28" s="1"/>
  <c r="CH19" i="28"/>
  <c r="CH17" i="28" s="1"/>
  <c r="CH21" i="28" s="1"/>
  <c r="CH23" i="28" s="1"/>
  <c r="CG19" i="28"/>
  <c r="CG17" i="28" s="1"/>
  <c r="CF19" i="28"/>
  <c r="CF20" i="28" s="1"/>
  <c r="CE19" i="28"/>
  <c r="CE20" i="28" s="1"/>
  <c r="CD19" i="28"/>
  <c r="CD20" i="28" s="1"/>
  <c r="CC19" i="28"/>
  <c r="CC20" i="28" s="1"/>
  <c r="CC22" i="28" s="1"/>
  <c r="CB19" i="28"/>
  <c r="CB20" i="28" s="1"/>
  <c r="CA19" i="28"/>
  <c r="CA20" i="28" s="1"/>
  <c r="BZ19" i="28"/>
  <c r="BZ20" i="28" s="1"/>
  <c r="BY19" i="28"/>
  <c r="BY17" i="28" s="1"/>
  <c r="BX19" i="28"/>
  <c r="BX17" i="28" s="1"/>
  <c r="BX20" i="28" s="1"/>
  <c r="BW19" i="28"/>
  <c r="BW17" i="28" s="1"/>
  <c r="BV19" i="28"/>
  <c r="BU19" i="28"/>
  <c r="BU17" i="28" s="1"/>
  <c r="BU21" i="28" s="1"/>
  <c r="BU23" i="28" s="1"/>
  <c r="BT19" i="28"/>
  <c r="BT20" i="28" s="1"/>
  <c r="BS19" i="28"/>
  <c r="BS20" i="28" s="1"/>
  <c r="BR19" i="28"/>
  <c r="BR20" i="28" s="1"/>
  <c r="BQ19" i="28"/>
  <c r="BQ20" i="28" s="1"/>
  <c r="BP19" i="28"/>
  <c r="BP20" i="28" s="1"/>
  <c r="BO19" i="28"/>
  <c r="BO20" i="28" s="1"/>
  <c r="BN19" i="28"/>
  <c r="BN20" i="28" s="1"/>
  <c r="BM19" i="28"/>
  <c r="BM20" i="28" s="1"/>
  <c r="BM22" i="28" s="1"/>
  <c r="BL19" i="28"/>
  <c r="BL20" i="28" s="1"/>
  <c r="BK19" i="28"/>
  <c r="BK20" i="28" s="1"/>
  <c r="BK22" i="28" s="1"/>
  <c r="BJ19" i="28"/>
  <c r="BJ20" i="28" s="1"/>
  <c r="BJ22" i="28" s="1"/>
  <c r="BI19" i="28"/>
  <c r="BI20" i="28" s="1"/>
  <c r="BH19" i="28"/>
  <c r="BH20" i="28" s="1"/>
  <c r="BH22" i="28" s="1"/>
  <c r="BG19" i="28"/>
  <c r="BG20" i="28" s="1"/>
  <c r="BF19" i="28"/>
  <c r="BF20" i="28" s="1"/>
  <c r="BE19" i="28"/>
  <c r="BE20" i="28" s="1"/>
  <c r="BD19" i="28"/>
  <c r="BD20" i="28" s="1"/>
  <c r="BC19" i="28"/>
  <c r="BC20" i="28" s="1"/>
  <c r="AX19" i="28"/>
  <c r="AX20" i="28" s="1"/>
  <c r="AU19" i="28"/>
  <c r="AU20" i="28" s="1"/>
  <c r="AT19" i="28"/>
  <c r="AT20" i="28" s="1"/>
  <c r="AS19" i="28"/>
  <c r="AS20" i="28" s="1"/>
  <c r="AR19" i="28"/>
  <c r="AR20" i="28" s="1"/>
  <c r="AQ19" i="28"/>
  <c r="AQ20" i="28" s="1"/>
  <c r="AQ22" i="28" s="1"/>
  <c r="V18" i="28"/>
  <c r="W18" i="28" s="1"/>
  <c r="X18" i="28" s="1"/>
  <c r="DY17" i="28"/>
  <c r="DX17" i="28"/>
  <c r="DW17" i="28"/>
  <c r="DV17" i="28"/>
  <c r="CL17" i="28"/>
  <c r="CL21" i="28" s="1"/>
  <c r="CL23" i="28" s="1"/>
  <c r="BV17" i="28"/>
  <c r="BV21" i="28" s="1"/>
  <c r="BV23" i="28" s="1"/>
  <c r="AH17" i="28"/>
  <c r="AG17" i="28"/>
  <c r="AF17" i="28"/>
  <c r="AE17" i="28"/>
  <c r="AD17" i="28"/>
  <c r="AC17" i="28"/>
  <c r="AB17" i="28"/>
  <c r="AA17" i="28"/>
  <c r="Z17" i="28"/>
  <c r="Y17" i="28"/>
  <c r="X17" i="28"/>
  <c r="W17" i="28"/>
  <c r="V17" i="28"/>
  <c r="U17" i="28"/>
  <c r="U20" i="28" s="1"/>
  <c r="T17" i="28"/>
  <c r="T20" i="28" s="1"/>
  <c r="S17" i="28"/>
  <c r="S20" i="28" s="1"/>
  <c r="R17" i="28"/>
  <c r="R20" i="28" s="1"/>
  <c r="Q17" i="28"/>
  <c r="Q20" i="28" s="1"/>
  <c r="P17" i="28"/>
  <c r="P20" i="28" s="1"/>
  <c r="O17" i="28"/>
  <c r="O20" i="28" s="1"/>
  <c r="N17" i="28"/>
  <c r="N20" i="28" s="1"/>
  <c r="M17" i="28"/>
  <c r="M20" i="28" s="1"/>
  <c r="L17" i="28"/>
  <c r="L20" i="28" s="1"/>
  <c r="K17" i="28"/>
  <c r="K20" i="28" s="1"/>
  <c r="J17" i="28"/>
  <c r="J20" i="28" s="1"/>
  <c r="I17" i="28"/>
  <c r="I20" i="28" s="1"/>
  <c r="I22" i="28" s="1"/>
  <c r="H17" i="28"/>
  <c r="H20" i="28" s="1"/>
  <c r="H22" i="28" s="1"/>
  <c r="G17" i="28"/>
  <c r="G20" i="28" s="1"/>
  <c r="F17" i="28"/>
  <c r="F20" i="28" s="1"/>
  <c r="F23" i="28" s="1"/>
  <c r="E17" i="28"/>
  <c r="E20" i="28" s="1"/>
  <c r="D17" i="28"/>
  <c r="D20" i="28" s="1"/>
  <c r="DH16" i="28"/>
  <c r="DH19" i="28" s="1"/>
  <c r="DI16" i="28" s="1"/>
  <c r="DI19" i="28" s="1"/>
  <c r="CU16" i="28"/>
  <c r="CT16" i="28"/>
  <c r="CS16" i="28"/>
  <c r="CR16" i="28"/>
  <c r="CQ16" i="28"/>
  <c r="CP16" i="28"/>
  <c r="BC1" i="15"/>
  <c r="BD1" i="15"/>
  <c r="BE1" i="15"/>
  <c r="BF1" i="15"/>
  <c r="BB1" i="15"/>
  <c r="BF3" i="15"/>
  <c r="A21" i="10" a="1"/>
  <c r="CP17" i="28" l="1"/>
  <c r="CP20" i="28" s="1"/>
  <c r="V20" i="28"/>
  <c r="V23" i="28" s="1"/>
  <c r="CU17" i="28"/>
  <c r="AS65" i="28"/>
  <c r="AS66" i="28" s="1"/>
  <c r="AS67" i="28" s="1"/>
  <c r="AS68" i="28" s="1"/>
  <c r="CR17" i="28"/>
  <c r="W20" i="28"/>
  <c r="BL73" i="28"/>
  <c r="BL74" i="28" s="1"/>
  <c r="BL75" i="28" s="1"/>
  <c r="BN49" i="28"/>
  <c r="BN50" i="28" s="1"/>
  <c r="BN51" i="28" s="1"/>
  <c r="CQ17" i="28"/>
  <c r="BO49" i="28"/>
  <c r="BO50" i="28" s="1"/>
  <c r="BO51" i="28" s="1"/>
  <c r="AZ49" i="28"/>
  <c r="AZ50" i="28" s="1"/>
  <c r="AZ51" i="28" s="1"/>
  <c r="AN53" i="28"/>
  <c r="AN54" i="28" s="1"/>
  <c r="AN55" i="28" s="1"/>
  <c r="BF69" i="28"/>
  <c r="BF70" i="28" s="1"/>
  <c r="BF71" i="28" s="1"/>
  <c r="BG69" i="28"/>
  <c r="BG70" i="28" s="1"/>
  <c r="BG71" i="28" s="1"/>
  <c r="CS17" i="28"/>
  <c r="CS20" i="28" s="1"/>
  <c r="CS22" i="28" s="1"/>
  <c r="BH69" i="28"/>
  <c r="BH70" i="28" s="1"/>
  <c r="BH71" i="28" s="1"/>
  <c r="BI69" i="28"/>
  <c r="BI70" i="28" s="1"/>
  <c r="BI71" i="28" s="1"/>
  <c r="BE69" i="28"/>
  <c r="BE70" i="28" s="1"/>
  <c r="BE71" i="28" s="1"/>
  <c r="BK69" i="28"/>
  <c r="BK70" i="28" s="1"/>
  <c r="BK71" i="28" s="1"/>
  <c r="BL69" i="28"/>
  <c r="BL70" i="28" s="1"/>
  <c r="BL71" i="28" s="1"/>
  <c r="AT65" i="28"/>
  <c r="AT66" i="28" s="1"/>
  <c r="AT67" i="28" s="1"/>
  <c r="AT68" i="28" s="1"/>
  <c r="BM69" i="28"/>
  <c r="BM70" i="28" s="1"/>
  <c r="BM71" i="28" s="1"/>
  <c r="AQ33" i="28"/>
  <c r="AQ53" i="28" s="1"/>
  <c r="AQ54" i="28" s="1"/>
  <c r="AQ55" i="28" s="1"/>
  <c r="CP21" i="28"/>
  <c r="CP23" i="28" s="1"/>
  <c r="AU41" i="28"/>
  <c r="AU42" i="28" s="1"/>
  <c r="AU43" i="28" s="1"/>
  <c r="AX65" i="28"/>
  <c r="AX66" i="28" s="1"/>
  <c r="AX67" i="28" s="1"/>
  <c r="AX68" i="28" s="1"/>
  <c r="CR21" i="28"/>
  <c r="CR23" i="28" s="1"/>
  <c r="BL65" i="28"/>
  <c r="BL66" i="28" s="1"/>
  <c r="BL67" i="28" s="1"/>
  <c r="BL68" i="28" s="1"/>
  <c r="AZ41" i="28"/>
  <c r="AZ42" i="28" s="1"/>
  <c r="AZ43" i="28" s="1"/>
  <c r="CU21" i="28"/>
  <c r="CU23" i="28" s="1"/>
  <c r="CK21" i="28"/>
  <c r="CK23" i="28" s="1"/>
  <c r="BO65" i="28"/>
  <c r="BO66" i="28" s="1"/>
  <c r="BO67" i="28" s="1"/>
  <c r="BO68" i="28" s="1"/>
  <c r="Z53" i="28"/>
  <c r="Z54" i="28" s="1"/>
  <c r="Z55" i="28" s="1"/>
  <c r="BJ69" i="28"/>
  <c r="BJ70" i="28" s="1"/>
  <c r="BJ71" i="28" s="1"/>
  <c r="BP49" i="28"/>
  <c r="BP50" i="28" s="1"/>
  <c r="BP51" i="28" s="1"/>
  <c r="AH32" i="28"/>
  <c r="AI32" i="28" s="1"/>
  <c r="AI53" i="28" s="1"/>
  <c r="AI54" i="28" s="1"/>
  <c r="AI55" i="28" s="1"/>
  <c r="AK53" i="28"/>
  <c r="AK54" i="28" s="1"/>
  <c r="AK55" i="28" s="1"/>
  <c r="AZ26" i="28"/>
  <c r="AZ27" i="28" s="1"/>
  <c r="BA26" i="28"/>
  <c r="BA27" i="28" s="1"/>
  <c r="BF30" i="28"/>
  <c r="BF73" i="28" s="1"/>
  <c r="BF74" i="28" s="1"/>
  <c r="BF75" i="28" s="1"/>
  <c r="AP32" i="28"/>
  <c r="AP53" i="28" s="1"/>
  <c r="AP54" i="28" s="1"/>
  <c r="AP55" i="28" s="1"/>
  <c r="BB26" i="28"/>
  <c r="BB27" i="28" s="1"/>
  <c r="BG30" i="28"/>
  <c r="BG77" i="28" s="1"/>
  <c r="BG78" i="28" s="1"/>
  <c r="BG79" i="28" s="1"/>
  <c r="CG21" i="28"/>
  <c r="CG23" i="28" s="1"/>
  <c r="CG20" i="28"/>
  <c r="BR22" i="28"/>
  <c r="BR26" i="28" s="1"/>
  <c r="BR27" i="28" s="1"/>
  <c r="W23" i="28"/>
  <c r="W22" i="28"/>
  <c r="CI21" i="28"/>
  <c r="CI23" i="28" s="1"/>
  <c r="CI20" i="28"/>
  <c r="BT22" i="28"/>
  <c r="BT26" i="28" s="1"/>
  <c r="K22" i="28"/>
  <c r="K23" i="28"/>
  <c r="CM21" i="28"/>
  <c r="CM23" i="28" s="1"/>
  <c r="CM20" i="28"/>
  <c r="N22" i="28"/>
  <c r="N23" i="28"/>
  <c r="BQ22" i="28"/>
  <c r="BQ26" i="28" s="1"/>
  <c r="BQ27" i="28" s="1"/>
  <c r="CK22" i="28"/>
  <c r="BC22" i="28"/>
  <c r="BC26" i="28" s="1"/>
  <c r="BC27" i="28" s="1"/>
  <c r="BD22" i="28"/>
  <c r="BD26" i="28" s="1"/>
  <c r="BD27" i="28" s="1"/>
  <c r="BE22" i="28"/>
  <c r="BE26" i="28" s="1"/>
  <c r="BE27" i="28" s="1"/>
  <c r="L22" i="28"/>
  <c r="L23" i="28"/>
  <c r="BW20" i="28"/>
  <c r="BW21" i="28"/>
  <c r="BW23" i="28" s="1"/>
  <c r="CN21" i="28"/>
  <c r="CN23" i="28" s="1"/>
  <c r="CN20" i="28"/>
  <c r="BY20" i="28"/>
  <c r="BY21" i="28"/>
  <c r="BY23" i="28" s="1"/>
  <c r="AA53" i="28"/>
  <c r="AA54" i="28" s="1"/>
  <c r="AA55" i="28" s="1"/>
  <c r="AB32" i="28"/>
  <c r="AU22" i="28"/>
  <c r="AU26" i="28" s="1"/>
  <c r="AU27" i="28" s="1"/>
  <c r="BI22" i="28"/>
  <c r="BI26" i="28" s="1"/>
  <c r="BI27" i="28" s="1"/>
  <c r="G23" i="28"/>
  <c r="G22" i="28"/>
  <c r="AX22" i="28"/>
  <c r="AX26" i="28" s="1"/>
  <c r="AX27" i="28" s="1"/>
  <c r="AS32" i="28"/>
  <c r="AS33" i="28" s="1"/>
  <c r="AS49" i="28" s="1"/>
  <c r="AS50" i="28" s="1"/>
  <c r="AS51" i="28" s="1"/>
  <c r="AR33" i="28"/>
  <c r="AR53" i="28" s="1"/>
  <c r="AR54" i="28" s="1"/>
  <c r="AR55" i="28" s="1"/>
  <c r="BG22" i="28"/>
  <c r="BG26" i="28" s="1"/>
  <c r="BG27" i="28" s="1"/>
  <c r="BL22" i="28"/>
  <c r="BL26" i="28" s="1"/>
  <c r="BL27" i="28" s="1"/>
  <c r="BS22" i="28"/>
  <c r="BS26" i="28" s="1"/>
  <c r="BS27" i="28" s="1"/>
  <c r="J22" i="28"/>
  <c r="J23" i="28"/>
  <c r="BF22" i="28"/>
  <c r="BF26" i="28" s="1"/>
  <c r="BF27" i="28" s="1"/>
  <c r="M22" i="28"/>
  <c r="M23" i="28"/>
  <c r="O22" i="28"/>
  <c r="O23" i="28"/>
  <c r="CB22" i="28"/>
  <c r="CB26" i="28" s="1"/>
  <c r="CP22" i="28"/>
  <c r="CO20" i="28"/>
  <c r="CO21" i="28"/>
  <c r="CO23" i="28" s="1"/>
  <c r="R23" i="28"/>
  <c r="R22" i="28"/>
  <c r="R26" i="28" s="1"/>
  <c r="R32" i="28" s="1"/>
  <c r="Y18" i="28"/>
  <c r="X20" i="28"/>
  <c r="S23" i="28"/>
  <c r="S22" i="28"/>
  <c r="D23" i="28"/>
  <c r="D22" i="28"/>
  <c r="T23" i="28"/>
  <c r="T22" i="28"/>
  <c r="AR22" i="28"/>
  <c r="AR26" i="28" s="1"/>
  <c r="AR27" i="28" s="1"/>
  <c r="BN22" i="28"/>
  <c r="BN26" i="28" s="1"/>
  <c r="BN27" i="28" s="1"/>
  <c r="CD22" i="28"/>
  <c r="CD26" i="28" s="1"/>
  <c r="P22" i="28"/>
  <c r="P23" i="28"/>
  <c r="Q23" i="28"/>
  <c r="Q22" i="28"/>
  <c r="E23" i="28"/>
  <c r="E22" i="28"/>
  <c r="U23" i="28"/>
  <c r="U22" i="28"/>
  <c r="BX22" i="28"/>
  <c r="AS22" i="28"/>
  <c r="AS26" i="28" s="1"/>
  <c r="AS27" i="28" s="1"/>
  <c r="BO22" i="28"/>
  <c r="BO26" i="28"/>
  <c r="BO27" i="28" s="1"/>
  <c r="CE22" i="28"/>
  <c r="CE26" i="28" s="1"/>
  <c r="AT22" i="28"/>
  <c r="AT26" i="28" s="1"/>
  <c r="AT27" i="28" s="1"/>
  <c r="BP22" i="28"/>
  <c r="BP26" i="28" s="1"/>
  <c r="BP27" i="28" s="1"/>
  <c r="CF22" i="28"/>
  <c r="CF26" i="28" s="1"/>
  <c r="DK16" i="28"/>
  <c r="DK19" i="28" s="1"/>
  <c r="DL16" i="28" s="1"/>
  <c r="DL19" i="28" s="1"/>
  <c r="DM16" i="28" s="1"/>
  <c r="DM19" i="28" s="1"/>
  <c r="DN16" i="28" s="1"/>
  <c r="DN19" i="28" s="1"/>
  <c r="DO16" i="28" s="1"/>
  <c r="DO19" i="28" s="1"/>
  <c r="DP16" i="28" s="1"/>
  <c r="DP19" i="28" s="1"/>
  <c r="DQ16" i="28" s="1"/>
  <c r="DQ19" i="28" s="1"/>
  <c r="DR16" i="28" s="1"/>
  <c r="DR19" i="28" s="1"/>
  <c r="DS16" i="28" s="1"/>
  <c r="DS19" i="28" s="1"/>
  <c r="DT16" i="28" s="1"/>
  <c r="DT19" i="28" s="1"/>
  <c r="DU16" i="28" s="1"/>
  <c r="DU19" i="28" s="1"/>
  <c r="DV16" i="28" s="1"/>
  <c r="DJ16" i="28"/>
  <c r="DJ19" i="28" s="1"/>
  <c r="CQ20" i="28"/>
  <c r="BX21" i="28"/>
  <c r="BX23" i="28" s="1"/>
  <c r="CT17" i="28"/>
  <c r="CT20" i="28" s="1"/>
  <c r="CR20" i="28"/>
  <c r="H23" i="28"/>
  <c r="H26" i="28" s="1"/>
  <c r="H32" i="28" s="1"/>
  <c r="AO69" i="28"/>
  <c r="AO70" i="28" s="1"/>
  <c r="AO71" i="28" s="1"/>
  <c r="AO73" i="28"/>
  <c r="AO74" i="28" s="1"/>
  <c r="AO75" i="28" s="1"/>
  <c r="BE77" i="28"/>
  <c r="BE78" i="28" s="1"/>
  <c r="BE79" i="28" s="1"/>
  <c r="BE73" i="28"/>
  <c r="BE74" i="28" s="1"/>
  <c r="BE75" i="28" s="1"/>
  <c r="BE57" i="28"/>
  <c r="BE58" i="28" s="1"/>
  <c r="BE59" i="28" s="1"/>
  <c r="BE49" i="28"/>
  <c r="BE50" i="28" s="1"/>
  <c r="BE51" i="28" s="1"/>
  <c r="BE61" i="28"/>
  <c r="BE62" i="28" s="1"/>
  <c r="BE63" i="28" s="1"/>
  <c r="AT45" i="28"/>
  <c r="AT46" i="28" s="1"/>
  <c r="AT47" i="28" s="1"/>
  <c r="I23" i="28"/>
  <c r="I26" i="28" s="1"/>
  <c r="I32" i="28" s="1"/>
  <c r="CC26" i="28"/>
  <c r="AP73" i="28"/>
  <c r="AP74" i="28" s="1"/>
  <c r="AP75" i="28" s="1"/>
  <c r="AX45" i="28"/>
  <c r="AX46" i="28" s="1"/>
  <c r="AX47" i="28" s="1"/>
  <c r="AU49" i="28"/>
  <c r="AU50" i="28" s="1"/>
  <c r="AU51" i="28" s="1"/>
  <c r="CQ21" i="28"/>
  <c r="CQ23" i="28" s="1"/>
  <c r="BJ26" i="28"/>
  <c r="BJ27" i="28" s="1"/>
  <c r="AQ69" i="28"/>
  <c r="AQ70" i="28" s="1"/>
  <c r="AQ71" i="28" s="1"/>
  <c r="AQ61" i="28"/>
  <c r="AQ62" i="28" s="1"/>
  <c r="AQ63" i="28" s="1"/>
  <c r="AQ73" i="28"/>
  <c r="AQ74" i="28" s="1"/>
  <c r="AQ75" i="28" s="1"/>
  <c r="AQ57" i="28"/>
  <c r="AQ58" i="28" s="1"/>
  <c r="AQ59" i="28" s="1"/>
  <c r="AX49" i="28"/>
  <c r="AX50" i="28" s="1"/>
  <c r="AX51" i="28" s="1"/>
  <c r="CU20" i="28"/>
  <c r="BK26" i="28"/>
  <c r="BK27" i="28" s="1"/>
  <c r="AR69" i="28"/>
  <c r="AR70" i="28" s="1"/>
  <c r="AR71" i="28" s="1"/>
  <c r="AR61" i="28"/>
  <c r="AR62" i="28" s="1"/>
  <c r="AR63" i="28" s="1"/>
  <c r="AR73" i="28"/>
  <c r="AR74" i="28" s="1"/>
  <c r="AR75" i="28" s="1"/>
  <c r="AR57" i="28"/>
  <c r="AR58" i="28" s="1"/>
  <c r="AR59" i="28" s="1"/>
  <c r="BH30" i="28"/>
  <c r="AS61" i="28"/>
  <c r="AS62" i="28" s="1"/>
  <c r="AS63" i="28" s="1"/>
  <c r="AS57" i="28"/>
  <c r="AS58" i="28" s="1"/>
  <c r="AS59" i="28" s="1"/>
  <c r="AS73" i="28"/>
  <c r="AS74" i="28" s="1"/>
  <c r="AS75" i="28" s="1"/>
  <c r="BI30" i="28"/>
  <c r="AR65" i="28"/>
  <c r="AR66" i="28" s="1"/>
  <c r="AR67" i="28" s="1"/>
  <c r="AR68" i="28" s="1"/>
  <c r="BK65" i="28"/>
  <c r="BK66" i="28" s="1"/>
  <c r="BK67" i="28" s="1"/>
  <c r="BK68" i="28" s="1"/>
  <c r="BA49" i="28"/>
  <c r="BA50" i="28" s="1"/>
  <c r="BA51" i="28" s="1"/>
  <c r="BP61" i="28"/>
  <c r="BP62" i="28" s="1"/>
  <c r="BP63" i="28" s="1"/>
  <c r="F22" i="28"/>
  <c r="F26" i="28" s="1"/>
  <c r="F32" i="28" s="1"/>
  <c r="V22" i="28"/>
  <c r="V26" i="28" s="1"/>
  <c r="V32" i="28" s="1"/>
  <c r="BM26" i="28"/>
  <c r="BM27" i="28" s="1"/>
  <c r="AT69" i="28"/>
  <c r="AT70" i="28" s="1"/>
  <c r="AT71" i="28" s="1"/>
  <c r="AT61" i="28"/>
  <c r="AT62" i="28" s="1"/>
  <c r="AT63" i="28" s="1"/>
  <c r="AT77" i="28"/>
  <c r="AT78" i="28" s="1"/>
  <c r="AT79" i="28" s="1"/>
  <c r="AT73" i="28"/>
  <c r="AT74" i="28" s="1"/>
  <c r="AT75" i="28" s="1"/>
  <c r="AT57" i="28"/>
  <c r="AT58" i="28" s="1"/>
  <c r="AT59" i="28" s="1"/>
  <c r="AT41" i="28"/>
  <c r="AT42" i="28" s="1"/>
  <c r="AT43" i="28" s="1"/>
  <c r="AT49" i="28"/>
  <c r="AT50" i="28" s="1"/>
  <c r="AT51" i="28" s="1"/>
  <c r="BJ61" i="28"/>
  <c r="BJ62" i="28" s="1"/>
  <c r="BJ63" i="28" s="1"/>
  <c r="BJ49" i="28"/>
  <c r="BJ50" i="28" s="1"/>
  <c r="BJ51" i="28" s="1"/>
  <c r="BJ73" i="28"/>
  <c r="BJ74" i="28" s="1"/>
  <c r="BJ75" i="28" s="1"/>
  <c r="BX45" i="28"/>
  <c r="BX46" i="28" s="1"/>
  <c r="BX47" i="28" s="1"/>
  <c r="CN45" i="28"/>
  <c r="CN46" i="28" s="1"/>
  <c r="CN47" i="28" s="1"/>
  <c r="BE41" i="28"/>
  <c r="BE42" i="28" s="1"/>
  <c r="BE43" i="28" s="1"/>
  <c r="CH20" i="28"/>
  <c r="AQ26" i="28"/>
  <c r="AQ27" i="28" s="1"/>
  <c r="BK61" i="28"/>
  <c r="BK62" i="28" s="1"/>
  <c r="BK63" i="28" s="1"/>
  <c r="BK77" i="28"/>
  <c r="BK78" i="28" s="1"/>
  <c r="BK79" i="28" s="1"/>
  <c r="BK41" i="28"/>
  <c r="BK42" i="28" s="1"/>
  <c r="BK43" i="28" s="1"/>
  <c r="BK73" i="28"/>
  <c r="BK74" i="28" s="1"/>
  <c r="BK75" i="28" s="1"/>
  <c r="BK57" i="28"/>
  <c r="BK58" i="28" s="1"/>
  <c r="BK59" i="28" s="1"/>
  <c r="AH53" i="28"/>
  <c r="AH54" i="28" s="1"/>
  <c r="AH55" i="28" s="1"/>
  <c r="BY45" i="28"/>
  <c r="BY46" i="28" s="1"/>
  <c r="BY47" i="28" s="1"/>
  <c r="BK49" i="28"/>
  <c r="BK50" i="28" s="1"/>
  <c r="BK51" i="28" s="1"/>
  <c r="AX41" i="28"/>
  <c r="AX42" i="28" s="1"/>
  <c r="AX43" i="28" s="1"/>
  <c r="BL61" i="28"/>
  <c r="BL62" i="28" s="1"/>
  <c r="BL63" i="28" s="1"/>
  <c r="BL77" i="28"/>
  <c r="BL78" i="28" s="1"/>
  <c r="BL79" i="28" s="1"/>
  <c r="BL57" i="28"/>
  <c r="BL58" i="28" s="1"/>
  <c r="BL59" i="28" s="1"/>
  <c r="BL49" i="28"/>
  <c r="BL50" i="28" s="1"/>
  <c r="BL51" i="28" s="1"/>
  <c r="AU65" i="28"/>
  <c r="AU66" i="28" s="1"/>
  <c r="AU67" i="28" s="1"/>
  <c r="AU68" i="28" s="1"/>
  <c r="AU45" i="28"/>
  <c r="AU46" i="28" s="1"/>
  <c r="AU47" i="28" s="1"/>
  <c r="BL45" i="28"/>
  <c r="BL46" i="28" s="1"/>
  <c r="BL47" i="28" s="1"/>
  <c r="CJ20" i="28"/>
  <c r="BM61" i="28"/>
  <c r="BM62" i="28" s="1"/>
  <c r="BM63" i="28" s="1"/>
  <c r="BM77" i="28"/>
  <c r="BM78" i="28" s="1"/>
  <c r="BM79" i="28" s="1"/>
  <c r="BM73" i="28"/>
  <c r="BM74" i="28" s="1"/>
  <c r="BM75" i="28" s="1"/>
  <c r="BM57" i="28"/>
  <c r="BM58" i="28" s="1"/>
  <c r="BM59" i="28" s="1"/>
  <c r="BM41" i="28"/>
  <c r="BM42" i="28" s="1"/>
  <c r="BM43" i="28" s="1"/>
  <c r="BM49" i="28"/>
  <c r="BM50" i="28" s="1"/>
  <c r="BM51" i="28" s="1"/>
  <c r="AM32" i="28"/>
  <c r="AM53" i="28" s="1"/>
  <c r="AM54" i="28" s="1"/>
  <c r="AM55" i="28" s="1"/>
  <c r="AL53" i="28"/>
  <c r="AL54" i="28" s="1"/>
  <c r="AL55" i="28" s="1"/>
  <c r="BU20" i="28"/>
  <c r="BA41" i="28"/>
  <c r="BA42" i="28" s="1"/>
  <c r="BA43" i="28" s="1"/>
  <c r="BQ77" i="28"/>
  <c r="BQ78" i="28" s="1"/>
  <c r="BQ79" i="28" s="1"/>
  <c r="BQ73" i="28"/>
  <c r="BQ74" i="28" s="1"/>
  <c r="BQ75" i="28" s="1"/>
  <c r="BQ57" i="28"/>
  <c r="BQ58" i="28" s="1"/>
  <c r="BQ59" i="28" s="1"/>
  <c r="BQ61" i="28"/>
  <c r="BQ62" i="28" s="1"/>
  <c r="BQ63" i="28" s="1"/>
  <c r="BQ41" i="28"/>
  <c r="BQ42" i="28" s="1"/>
  <c r="BQ43" i="28" s="1"/>
  <c r="BN61" i="28"/>
  <c r="BN62" i="28" s="1"/>
  <c r="BN63" i="28" s="1"/>
  <c r="BN77" i="28"/>
  <c r="BN78" i="28" s="1"/>
  <c r="BN79" i="28" s="1"/>
  <c r="BN73" i="28"/>
  <c r="BN74" i="28" s="1"/>
  <c r="BN75" i="28" s="1"/>
  <c r="BN57" i="28"/>
  <c r="BN58" i="28" s="1"/>
  <c r="BN59" i="28" s="1"/>
  <c r="BN41" i="28"/>
  <c r="BN42" i="28" s="1"/>
  <c r="BN43" i="28" s="1"/>
  <c r="AZ45" i="28"/>
  <c r="AZ46" i="28" s="1"/>
  <c r="AZ47" i="28" s="1"/>
  <c r="AZ65" i="28"/>
  <c r="AZ66" i="28" s="1"/>
  <c r="AZ67" i="28" s="1"/>
  <c r="AZ68" i="28" s="1"/>
  <c r="BV20" i="28"/>
  <c r="CL20" i="28"/>
  <c r="BZ22" i="28"/>
  <c r="BZ26" i="28" s="1"/>
  <c r="BB77" i="28"/>
  <c r="BB78" i="28" s="1"/>
  <c r="BB79" i="28" s="1"/>
  <c r="BB73" i="28"/>
  <c r="BB74" i="28" s="1"/>
  <c r="BB75" i="28" s="1"/>
  <c r="BB57" i="28"/>
  <c r="BB58" i="28" s="1"/>
  <c r="BB59" i="28" s="1"/>
  <c r="BB61" i="28"/>
  <c r="BB62" i="28" s="1"/>
  <c r="BB63" i="28" s="1"/>
  <c r="BB41" i="28"/>
  <c r="BB42" i="28" s="1"/>
  <c r="BB43" i="28" s="1"/>
  <c r="BB69" i="28"/>
  <c r="BB70" i="28" s="1"/>
  <c r="BB71" i="28" s="1"/>
  <c r="BB49" i="28"/>
  <c r="BB50" i="28" s="1"/>
  <c r="BB51" i="28" s="1"/>
  <c r="BR30" i="28"/>
  <c r="BR69" i="28"/>
  <c r="BR70" i="28" s="1"/>
  <c r="BR71" i="28" s="1"/>
  <c r="BM65" i="28"/>
  <c r="BM66" i="28" s="1"/>
  <c r="BM67" i="28" s="1"/>
  <c r="BM68" i="28" s="1"/>
  <c r="BJ41" i="28"/>
  <c r="BJ42" i="28" s="1"/>
  <c r="BJ43" i="28" s="1"/>
  <c r="BQ49" i="28"/>
  <c r="BQ50" i="28" s="1"/>
  <c r="BQ51" i="28" s="1"/>
  <c r="CA22" i="28"/>
  <c r="CA26" i="28" s="1"/>
  <c r="BC30" i="28"/>
  <c r="BC69" i="28"/>
  <c r="BC70" i="28" s="1"/>
  <c r="BC71" i="28" s="1"/>
  <c r="BS30" i="28"/>
  <c r="BS69" i="28"/>
  <c r="BS70" i="28" s="1"/>
  <c r="BS71" i="28" s="1"/>
  <c r="BP77" i="28"/>
  <c r="BP78" i="28" s="1"/>
  <c r="BP79" i="28" s="1"/>
  <c r="BP73" i="28"/>
  <c r="BP74" i="28" s="1"/>
  <c r="BP75" i="28" s="1"/>
  <c r="BP57" i="28"/>
  <c r="BP58" i="28" s="1"/>
  <c r="BP59" i="28" s="1"/>
  <c r="BP41" i="28"/>
  <c r="BP42" i="28" s="1"/>
  <c r="BP43" i="28" s="1"/>
  <c r="BN65" i="28"/>
  <c r="BN66" i="28" s="1"/>
  <c r="BN67" i="28" s="1"/>
  <c r="BN68" i="28" s="1"/>
  <c r="BN45" i="28"/>
  <c r="BN46" i="28" s="1"/>
  <c r="BN47" i="28" s="1"/>
  <c r="CD45" i="28"/>
  <c r="CD46" i="28" s="1"/>
  <c r="CD47" i="28" s="1"/>
  <c r="CT45" i="28"/>
  <c r="CT46" i="28" s="1"/>
  <c r="CT47" i="28" s="1"/>
  <c r="BL41" i="28"/>
  <c r="BL42" i="28" s="1"/>
  <c r="BL43" i="28" s="1"/>
  <c r="BW45" i="28"/>
  <c r="BW46" i="28" s="1"/>
  <c r="BW47" i="28" s="1"/>
  <c r="AK73" i="28"/>
  <c r="AK74" i="28" s="1"/>
  <c r="AK75" i="28" s="1"/>
  <c r="AK69" i="28"/>
  <c r="AK70" i="28" s="1"/>
  <c r="AK71" i="28" s="1"/>
  <c r="BD69" i="28"/>
  <c r="BD70" i="28" s="1"/>
  <c r="BD71" i="28" s="1"/>
  <c r="BD30" i="28"/>
  <c r="BC65" i="28"/>
  <c r="BC66" i="28" s="1"/>
  <c r="BC67" i="28" s="1"/>
  <c r="BC68" i="28" s="1"/>
  <c r="BC45" i="28"/>
  <c r="BC46" i="28" s="1"/>
  <c r="BC47" i="28" s="1"/>
  <c r="BZ45" i="28"/>
  <c r="BZ46" i="28" s="1"/>
  <c r="BZ47" i="28" s="1"/>
  <c r="BJ77" i="28"/>
  <c r="BJ78" i="28" s="1"/>
  <c r="BJ79" i="28" s="1"/>
  <c r="BH26" i="28"/>
  <c r="BH27" i="28" s="1"/>
  <c r="AL73" i="28"/>
  <c r="AL74" i="28" s="1"/>
  <c r="AL75" i="28" s="1"/>
  <c r="AL69" i="28"/>
  <c r="AL70" i="28" s="1"/>
  <c r="AL71" i="28" s="1"/>
  <c r="BD65" i="28"/>
  <c r="BD66" i="28" s="1"/>
  <c r="BD67" i="28" s="1"/>
  <c r="BD68" i="28" s="1"/>
  <c r="BD45" i="28"/>
  <c r="BD46" i="28" s="1"/>
  <c r="BD47" i="28" s="1"/>
  <c r="BP45" i="28"/>
  <c r="BP46" i="28" s="1"/>
  <c r="BP47" i="28" s="1"/>
  <c r="BP65" i="28"/>
  <c r="BP66" i="28" s="1"/>
  <c r="BP67" i="28" s="1"/>
  <c r="BP68" i="28" s="1"/>
  <c r="CF45" i="28"/>
  <c r="CF46" i="28" s="1"/>
  <c r="CF47" i="28" s="1"/>
  <c r="CA45" i="28"/>
  <c r="CA46" i="28" s="1"/>
  <c r="CA47" i="28" s="1"/>
  <c r="AM73" i="28"/>
  <c r="AM74" i="28" s="1"/>
  <c r="AM75" i="28" s="1"/>
  <c r="AM69" i="28"/>
  <c r="AM70" i="28" s="1"/>
  <c r="AM71" i="28" s="1"/>
  <c r="AR45" i="28"/>
  <c r="AR46" i="28" s="1"/>
  <c r="AR47" i="28" s="1"/>
  <c r="CB45" i="28"/>
  <c r="CB46" i="28" s="1"/>
  <c r="CB47" i="28" s="1"/>
  <c r="BA65" i="28"/>
  <c r="BA66" i="28" s="1"/>
  <c r="BA67" i="28" s="1"/>
  <c r="BA68" i="28" s="1"/>
  <c r="AN69" i="28"/>
  <c r="AN70" i="28" s="1"/>
  <c r="AN71" i="28" s="1"/>
  <c r="AN73" i="28"/>
  <c r="AN74" i="28" s="1"/>
  <c r="AN75" i="28" s="1"/>
  <c r="AS45" i="28"/>
  <c r="AS46" i="28" s="1"/>
  <c r="AS47" i="28" s="1"/>
  <c r="CC45" i="28"/>
  <c r="CC46" i="28" s="1"/>
  <c r="CC47" i="28" s="1"/>
  <c r="BB65" i="28"/>
  <c r="BB66" i="28" s="1"/>
  <c r="BB67" i="28" s="1"/>
  <c r="BB68" i="28" s="1"/>
  <c r="AZ61" i="28"/>
  <c r="AZ62" i="28" s="1"/>
  <c r="AZ63" i="28" s="1"/>
  <c r="BA69" i="28"/>
  <c r="BA70" i="28" s="1"/>
  <c r="BA71" i="28" s="1"/>
  <c r="BQ65" i="28"/>
  <c r="BQ66" i="28" s="1"/>
  <c r="BQ67" i="28" s="1"/>
  <c r="BQ68" i="28" s="1"/>
  <c r="BR65" i="28"/>
  <c r="BR66" i="28" s="1"/>
  <c r="BR67" i="28" s="1"/>
  <c r="BR68" i="28" s="1"/>
  <c r="BO61" i="28"/>
  <c r="BO62" i="28" s="1"/>
  <c r="BO63" i="28" s="1"/>
  <c r="BO77" i="28"/>
  <c r="BO78" i="28" s="1"/>
  <c r="BO79" i="28" s="1"/>
  <c r="BO73" i="28"/>
  <c r="BO74" i="28" s="1"/>
  <c r="BO75" i="28" s="1"/>
  <c r="BO57" i="28"/>
  <c r="BO58" i="28" s="1"/>
  <c r="BO59" i="28" s="1"/>
  <c r="BE65" i="28"/>
  <c r="BE66" i="28" s="1"/>
  <c r="BE67" i="28" s="1"/>
  <c r="BE68" i="28" s="1"/>
  <c r="CG45" i="28"/>
  <c r="CG46" i="28" s="1"/>
  <c r="CG47" i="28" s="1"/>
  <c r="BQ69" i="28"/>
  <c r="BQ70" i="28" s="1"/>
  <c r="BQ71" i="28" s="1"/>
  <c r="BF65" i="28"/>
  <c r="BF66" i="28" s="1"/>
  <c r="BF67" i="28" s="1"/>
  <c r="BF68" i="28" s="1"/>
  <c r="BO41" i="28"/>
  <c r="BO42" i="28" s="1"/>
  <c r="BO43" i="28" s="1"/>
  <c r="CH45" i="28"/>
  <c r="CH46" i="28" s="1"/>
  <c r="CH47" i="28" s="1"/>
  <c r="AU61" i="28"/>
  <c r="AU62" i="28" s="1"/>
  <c r="AU63" i="28" s="1"/>
  <c r="AU77" i="28"/>
  <c r="AU78" i="28" s="1"/>
  <c r="AU79" i="28" s="1"/>
  <c r="AU73" i="28"/>
  <c r="AU74" i="28" s="1"/>
  <c r="AU75" i="28" s="1"/>
  <c r="AU57" i="28"/>
  <c r="AU58" i="28" s="1"/>
  <c r="AU59" i="28" s="1"/>
  <c r="AU69" i="28"/>
  <c r="AU70" i="28" s="1"/>
  <c r="AU71" i="28" s="1"/>
  <c r="BN69" i="28"/>
  <c r="BN70" i="28" s="1"/>
  <c r="BN71" i="28" s="1"/>
  <c r="BG65" i="28"/>
  <c r="BG66" i="28" s="1"/>
  <c r="BG67" i="28" s="1"/>
  <c r="BG68" i="28" s="1"/>
  <c r="BS65" i="28"/>
  <c r="BS66" i="28" s="1"/>
  <c r="BS67" i="28" s="1"/>
  <c r="BS68" i="28" s="1"/>
  <c r="BS45" i="28"/>
  <c r="BS46" i="28" s="1"/>
  <c r="BS47" i="28" s="1"/>
  <c r="CI45" i="28"/>
  <c r="CI46" i="28" s="1"/>
  <c r="CI47" i="28" s="1"/>
  <c r="AX61" i="28"/>
  <c r="AX62" i="28" s="1"/>
  <c r="AX63" i="28" s="1"/>
  <c r="AX77" i="28"/>
  <c r="AX78" i="28" s="1"/>
  <c r="AX79" i="28" s="1"/>
  <c r="AX73" i="28"/>
  <c r="AX74" i="28" s="1"/>
  <c r="AX75" i="28" s="1"/>
  <c r="AX57" i="28"/>
  <c r="AX58" i="28" s="1"/>
  <c r="AX59" i="28" s="1"/>
  <c r="AX69" i="28"/>
  <c r="AX70" i="28" s="1"/>
  <c r="AX71" i="28" s="1"/>
  <c r="BO69" i="28"/>
  <c r="BO70" i="28" s="1"/>
  <c r="BO71" i="28" s="1"/>
  <c r="BH65" i="28"/>
  <c r="BH66" i="28" s="1"/>
  <c r="BH67" i="28" s="1"/>
  <c r="BH68" i="28" s="1"/>
  <c r="BT45" i="28"/>
  <c r="BT46" i="28" s="1"/>
  <c r="BT47" i="28" s="1"/>
  <c r="CJ45" i="28"/>
  <c r="CJ46" i="28" s="1"/>
  <c r="CJ47" i="28" s="1"/>
  <c r="AZ77" i="28"/>
  <c r="AZ78" i="28" s="1"/>
  <c r="AZ79" i="28" s="1"/>
  <c r="AZ73" i="28"/>
  <c r="AZ74" i="28" s="1"/>
  <c r="AZ75" i="28" s="1"/>
  <c r="AZ57" i="28"/>
  <c r="AZ58" i="28" s="1"/>
  <c r="AZ59" i="28" s="1"/>
  <c r="AZ69" i="28"/>
  <c r="AZ70" i="28" s="1"/>
  <c r="AZ71" i="28" s="1"/>
  <c r="BP69" i="28"/>
  <c r="BP70" i="28" s="1"/>
  <c r="BP71" i="28" s="1"/>
  <c r="BI65" i="28"/>
  <c r="BI66" i="28" s="1"/>
  <c r="BI67" i="28" s="1"/>
  <c r="BI68" i="28" s="1"/>
  <c r="BE45" i="28"/>
  <c r="BE46" i="28" s="1"/>
  <c r="BE47" i="28" s="1"/>
  <c r="BU45" i="28"/>
  <c r="BU46" i="28" s="1"/>
  <c r="BU47" i="28" s="1"/>
  <c r="BA77" i="28"/>
  <c r="BA78" i="28" s="1"/>
  <c r="BA79" i="28" s="1"/>
  <c r="BA73" i="28"/>
  <c r="BA74" i="28" s="1"/>
  <c r="BA75" i="28" s="1"/>
  <c r="BA57" i="28"/>
  <c r="BA58" i="28" s="1"/>
  <c r="BA59" i="28" s="1"/>
  <c r="BA61" i="28"/>
  <c r="BA62" i="28" s="1"/>
  <c r="BA63" i="28" s="1"/>
  <c r="BJ65" i="28"/>
  <c r="BJ66" i="28" s="1"/>
  <c r="BJ67" i="28" s="1"/>
  <c r="BJ68" i="28" s="1"/>
  <c r="BF45" i="28"/>
  <c r="BF46" i="28" s="1"/>
  <c r="BF47" i="28" s="1"/>
  <c r="A21" i="10"/>
  <c r="K14" i="27"/>
  <c r="K16" i="27" s="1"/>
  <c r="CV24" i="2"/>
  <c r="AS69" i="28" l="1"/>
  <c r="AS70" i="28" s="1"/>
  <c r="AS71" i="28" s="1"/>
  <c r="L26" i="28"/>
  <c r="L32" i="28" s="1"/>
  <c r="W26" i="28"/>
  <c r="Q26" i="28"/>
  <c r="Q32" i="28" s="1"/>
  <c r="O26" i="28"/>
  <c r="O32" i="28" s="1"/>
  <c r="BG41" i="28"/>
  <c r="BG42" i="28" s="1"/>
  <c r="BG43" i="28" s="1"/>
  <c r="U26" i="28"/>
  <c r="U32" i="28" s="1"/>
  <c r="E26" i="28"/>
  <c r="E32" i="28" s="1"/>
  <c r="G26" i="28"/>
  <c r="G32" i="28" s="1"/>
  <c r="CS21" i="28"/>
  <c r="CS23" i="28" s="1"/>
  <c r="CS26" i="28" s="1"/>
  <c r="CK26" i="28"/>
  <c r="DY22" i="28" s="1"/>
  <c r="BG61" i="28"/>
  <c r="BG62" i="28" s="1"/>
  <c r="BG63" i="28" s="1"/>
  <c r="M26" i="28"/>
  <c r="M32" i="28" s="1"/>
  <c r="BX26" i="28"/>
  <c r="DL22" i="28" s="1"/>
  <c r="S26" i="28"/>
  <c r="S32" i="28" s="1"/>
  <c r="N26" i="28"/>
  <c r="N32" i="28" s="1"/>
  <c r="CP26" i="28"/>
  <c r="ED22" i="28" s="1"/>
  <c r="AQ41" i="28"/>
  <c r="AQ42" i="28" s="1"/>
  <c r="AQ43" i="28" s="1"/>
  <c r="AP69" i="28"/>
  <c r="AP70" i="28" s="1"/>
  <c r="AP71" i="28" s="1"/>
  <c r="K26" i="28"/>
  <c r="K32" i="28" s="1"/>
  <c r="AQ49" i="28"/>
  <c r="AQ50" i="28" s="1"/>
  <c r="AQ51" i="28" s="1"/>
  <c r="D26" i="28"/>
  <c r="D32" i="28" s="1"/>
  <c r="BF49" i="28"/>
  <c r="BF50" i="28" s="1"/>
  <c r="BF51" i="28" s="1"/>
  <c r="BF77" i="28"/>
  <c r="BF78" i="28" s="1"/>
  <c r="BF79" i="28" s="1"/>
  <c r="J26" i="28"/>
  <c r="J32" i="28" s="1"/>
  <c r="BG49" i="28"/>
  <c r="BG50" i="28" s="1"/>
  <c r="BG51" i="28" s="1"/>
  <c r="BF61" i="28"/>
  <c r="BF62" i="28" s="1"/>
  <c r="BF63" i="28" s="1"/>
  <c r="T26" i="28"/>
  <c r="T32" i="28" s="1"/>
  <c r="BG57" i="28"/>
  <c r="BG58" i="28" s="1"/>
  <c r="BG59" i="28" s="1"/>
  <c r="BF57" i="28"/>
  <c r="BF58" i="28" s="1"/>
  <c r="BF59" i="28" s="1"/>
  <c r="P26" i="28"/>
  <c r="P32" i="28" s="1"/>
  <c r="BF41" i="28"/>
  <c r="BF42" i="28" s="1"/>
  <c r="BF43" i="28" s="1"/>
  <c r="BG73" i="28"/>
  <c r="BG74" i="28" s="1"/>
  <c r="BG75" i="28" s="1"/>
  <c r="CA27" i="28"/>
  <c r="DO22" i="28"/>
  <c r="CT22" i="28"/>
  <c r="BT27" i="28"/>
  <c r="DH22" i="28"/>
  <c r="DH23" i="28" s="1"/>
  <c r="DH24" i="28" s="1"/>
  <c r="W32" i="28"/>
  <c r="W53" i="28" s="1"/>
  <c r="W54" i="28" s="1"/>
  <c r="W55" i="28" s="1"/>
  <c r="W41" i="28"/>
  <c r="W42" i="28" s="1"/>
  <c r="W43" i="28" s="1"/>
  <c r="DT22" i="28"/>
  <c r="CF27" i="28"/>
  <c r="CQ22" i="28"/>
  <c r="CQ26" i="28" s="1"/>
  <c r="Z18" i="28"/>
  <c r="Y20" i="28"/>
  <c r="AB53" i="28"/>
  <c r="AB54" i="28" s="1"/>
  <c r="AB55" i="28" s="1"/>
  <c r="AC32" i="28"/>
  <c r="AR49" i="28"/>
  <c r="AR50" i="28" s="1"/>
  <c r="AR51" i="28" s="1"/>
  <c r="BH61" i="28"/>
  <c r="BH62" i="28" s="1"/>
  <c r="BH63" i="28" s="1"/>
  <c r="BH77" i="28"/>
  <c r="BH78" i="28" s="1"/>
  <c r="BH79" i="28" s="1"/>
  <c r="BH73" i="28"/>
  <c r="BH74" i="28" s="1"/>
  <c r="BH75" i="28" s="1"/>
  <c r="BH57" i="28"/>
  <c r="BH58" i="28" s="1"/>
  <c r="BH59" i="28" s="1"/>
  <c r="BH49" i="28"/>
  <c r="BH50" i="28" s="1"/>
  <c r="BH51" i="28" s="1"/>
  <c r="BH41" i="28"/>
  <c r="BH42" i="28" s="1"/>
  <c r="BH43" i="28" s="1"/>
  <c r="CC27" i="28"/>
  <c r="DQ22" i="28"/>
  <c r="DV19" i="28"/>
  <c r="DW16" i="28" s="1"/>
  <c r="CT21" i="28"/>
  <c r="CT23" i="28" s="1"/>
  <c r="AS53" i="28"/>
  <c r="AS54" i="28" s="1"/>
  <c r="AS55" i="28" s="1"/>
  <c r="AS41" i="28"/>
  <c r="AS42" i="28" s="1"/>
  <c r="AS43" i="28" s="1"/>
  <c r="CI22" i="28"/>
  <c r="CI26" i="28" s="1"/>
  <c r="CH22" i="28"/>
  <c r="CH26" i="28" s="1"/>
  <c r="AR41" i="28"/>
  <c r="AR42" i="28" s="1"/>
  <c r="AR43" i="28" s="1"/>
  <c r="CK27" i="28"/>
  <c r="BY22" i="28"/>
  <c r="BY26" i="28" s="1"/>
  <c r="CR22" i="28"/>
  <c r="CR26" i="28" s="1"/>
  <c r="CO22" i="28"/>
  <c r="CO26" i="28" s="1"/>
  <c r="CN22" i="28"/>
  <c r="CN26" i="28" s="1"/>
  <c r="BI61" i="28"/>
  <c r="BI62" i="28" s="1"/>
  <c r="BI63" i="28" s="1"/>
  <c r="BI73" i="28"/>
  <c r="BI74" i="28" s="1"/>
  <c r="BI75" i="28" s="1"/>
  <c r="BI57" i="28"/>
  <c r="BI58" i="28" s="1"/>
  <c r="BI59" i="28" s="1"/>
  <c r="BI49" i="28"/>
  <c r="BI50" i="28" s="1"/>
  <c r="BI51" i="28" s="1"/>
  <c r="BI77" i="28"/>
  <c r="BI78" i="28" s="1"/>
  <c r="BI79" i="28" s="1"/>
  <c r="BI41" i="28"/>
  <c r="BI42" i="28" s="1"/>
  <c r="BI43" i="28" s="1"/>
  <c r="BD77" i="28"/>
  <c r="BD78" i="28" s="1"/>
  <c r="BD79" i="28" s="1"/>
  <c r="BD73" i="28"/>
  <c r="BD74" i="28" s="1"/>
  <c r="BD75" i="28" s="1"/>
  <c r="BD57" i="28"/>
  <c r="BD58" i="28" s="1"/>
  <c r="BD59" i="28" s="1"/>
  <c r="BD49" i="28"/>
  <c r="BD50" i="28" s="1"/>
  <c r="BD51" i="28" s="1"/>
  <c r="BD41" i="28"/>
  <c r="BD42" i="28" s="1"/>
  <c r="BD43" i="28" s="1"/>
  <c r="BD61" i="28"/>
  <c r="BD62" i="28" s="1"/>
  <c r="BD63" i="28" s="1"/>
  <c r="BV22" i="28"/>
  <c r="BV26" i="28" s="1"/>
  <c r="V53" i="28"/>
  <c r="V54" i="28" s="1"/>
  <c r="V55" i="28" s="1"/>
  <c r="V41" i="28"/>
  <c r="V42" i="28" s="1"/>
  <c r="V43" i="28" s="1"/>
  <c r="BZ27" i="28"/>
  <c r="DN22" i="28"/>
  <c r="BU22" i="28"/>
  <c r="BU26" i="28" s="1"/>
  <c r="X22" i="28"/>
  <c r="X23" i="28"/>
  <c r="BS77" i="28"/>
  <c r="BS78" i="28" s="1"/>
  <c r="BS79" i="28" s="1"/>
  <c r="BS73" i="28"/>
  <c r="BS74" i="28" s="1"/>
  <c r="BS75" i="28" s="1"/>
  <c r="BS57" i="28"/>
  <c r="BS58" i="28" s="1"/>
  <c r="BS59" i="28" s="1"/>
  <c r="BS41" i="28"/>
  <c r="BS42" i="28" s="1"/>
  <c r="BS43" i="28" s="1"/>
  <c r="BS61" i="28"/>
  <c r="BS62" i="28" s="1"/>
  <c r="BS63" i="28" s="1"/>
  <c r="BS49" i="28"/>
  <c r="BS50" i="28" s="1"/>
  <c r="BS51" i="28" s="1"/>
  <c r="BW22" i="28"/>
  <c r="BW26" i="28" s="1"/>
  <c r="CD27" i="28"/>
  <c r="DR22" i="28"/>
  <c r="BR77" i="28"/>
  <c r="BR78" i="28" s="1"/>
  <c r="BR79" i="28" s="1"/>
  <c r="BR73" i="28"/>
  <c r="BR74" i="28" s="1"/>
  <c r="BR75" i="28" s="1"/>
  <c r="BR57" i="28"/>
  <c r="BR58" i="28" s="1"/>
  <c r="BR59" i="28" s="1"/>
  <c r="BR61" i="28"/>
  <c r="BR62" i="28" s="1"/>
  <c r="BR63" i="28" s="1"/>
  <c r="BR41" i="28"/>
  <c r="BR42" i="28" s="1"/>
  <c r="BR43" i="28" s="1"/>
  <c r="BR49" i="28"/>
  <c r="BR50" i="28" s="1"/>
  <c r="BR51" i="28" s="1"/>
  <c r="CU22" i="28"/>
  <c r="CU26" i="28" s="1"/>
  <c r="CE27" i="28"/>
  <c r="DS22" i="28"/>
  <c r="CB27" i="28"/>
  <c r="DP22" i="28"/>
  <c r="CM22" i="28"/>
  <c r="CM26" i="28" s="1"/>
  <c r="CG22" i="28"/>
  <c r="CG26" i="28" s="1"/>
  <c r="CL22" i="28"/>
  <c r="CL26" i="28" s="1"/>
  <c r="BC77" i="28"/>
  <c r="BC78" i="28" s="1"/>
  <c r="BC79" i="28" s="1"/>
  <c r="BC73" i="28"/>
  <c r="BC74" i="28" s="1"/>
  <c r="BC75" i="28" s="1"/>
  <c r="BC57" i="28"/>
  <c r="BC58" i="28" s="1"/>
  <c r="BC59" i="28" s="1"/>
  <c r="BC41" i="28"/>
  <c r="BC42" i="28" s="1"/>
  <c r="BC43" i="28" s="1"/>
  <c r="BC49" i="28"/>
  <c r="BC50" i="28" s="1"/>
  <c r="BC51" i="28" s="1"/>
  <c r="BC61" i="28"/>
  <c r="BC62" i="28" s="1"/>
  <c r="BC63" i="28" s="1"/>
  <c r="CJ22" i="28"/>
  <c r="CJ26" i="28" s="1"/>
  <c r="CV16" i="2"/>
  <c r="CV19" i="2"/>
  <c r="AC9" i="25"/>
  <c r="BF134" i="5"/>
  <c r="BF133" i="5"/>
  <c r="BF132" i="5"/>
  <c r="BF131" i="5"/>
  <c r="CV45" i="2"/>
  <c r="EJ19" i="10"/>
  <c r="EJ22" i="10"/>
  <c r="EJ21" i="10"/>
  <c r="EJ23" i="10" s="1"/>
  <c r="EJ24" i="10"/>
  <c r="EJ20" i="10"/>
  <c r="BF128" i="5"/>
  <c r="BF5" i="15"/>
  <c r="CV39" i="2"/>
  <c r="CV37" i="2"/>
  <c r="CV35" i="2"/>
  <c r="CV34" i="2"/>
  <c r="CV33" i="2"/>
  <c r="CV53" i="2" s="1"/>
  <c r="CV54" i="2" s="1"/>
  <c r="CV55" i="2" s="1"/>
  <c r="CV32" i="2"/>
  <c r="EN63" i="10"/>
  <c r="BF130" i="5" s="1"/>
  <c r="CP27" i="28" l="1"/>
  <c r="BX27" i="28"/>
  <c r="EG22" i="28"/>
  <c r="CS27" i="28"/>
  <c r="X26" i="28"/>
  <c r="CT26" i="28"/>
  <c r="CQ27" i="28"/>
  <c r="EE22" i="28"/>
  <c r="CJ27" i="28"/>
  <c r="DX22" i="28"/>
  <c r="BU27" i="28"/>
  <c r="DI22" i="28"/>
  <c r="CN27" i="28"/>
  <c r="EB22" i="28"/>
  <c r="CO27" i="28"/>
  <c r="EC22" i="28"/>
  <c r="BV27" i="28"/>
  <c r="DJ22" i="28"/>
  <c r="BY27" i="28"/>
  <c r="DM22" i="28"/>
  <c r="DU22" i="28"/>
  <c r="CG27" i="28"/>
  <c r="CU27" i="28"/>
  <c r="EI22" i="28"/>
  <c r="X32" i="28"/>
  <c r="X53" i="28" s="1"/>
  <c r="X54" i="28" s="1"/>
  <c r="X55" i="28" s="1"/>
  <c r="X41" i="28"/>
  <c r="X42" i="28" s="1"/>
  <c r="X43" i="28" s="1"/>
  <c r="CR27" i="28"/>
  <c r="EF22" i="28"/>
  <c r="CT27" i="28"/>
  <c r="EH22" i="28"/>
  <c r="BW27" i="28"/>
  <c r="DK22" i="28"/>
  <c r="CM27" i="28"/>
  <c r="EA22" i="28"/>
  <c r="DV22" i="28"/>
  <c r="CH27" i="28"/>
  <c r="DW22" i="28"/>
  <c r="CI27" i="28"/>
  <c r="BT28" i="28"/>
  <c r="DI21" i="28"/>
  <c r="CL27" i="28"/>
  <c r="DZ22" i="28"/>
  <c r="AC53" i="28"/>
  <c r="AC54" i="28" s="1"/>
  <c r="AC55" i="28" s="1"/>
  <c r="AD32" i="28"/>
  <c r="AD53" i="28" s="1"/>
  <c r="AD54" i="28" s="1"/>
  <c r="AD55" i="28" s="1"/>
  <c r="Y22" i="28"/>
  <c r="Y23" i="28"/>
  <c r="AA18" i="28"/>
  <c r="Z20" i="28"/>
  <c r="DW19" i="28"/>
  <c r="DX16" i="28" s="1"/>
  <c r="CV17" i="2"/>
  <c r="CV20" i="2" s="1"/>
  <c r="CV46" i="2"/>
  <c r="CV47" i="2" s="1"/>
  <c r="EJ25" i="10"/>
  <c r="EJ26" i="10" s="1"/>
  <c r="AC10" i="25"/>
  <c r="Y26" i="28" l="1"/>
  <c r="Y69" i="28" s="1"/>
  <c r="Y70" i="28" s="1"/>
  <c r="Y71" i="28" s="1"/>
  <c r="Z22" i="28"/>
  <c r="Z23" i="28"/>
  <c r="DX19" i="28"/>
  <c r="DY16" i="28" s="1"/>
  <c r="AA20" i="28"/>
  <c r="AB18" i="28"/>
  <c r="DI23" i="28"/>
  <c r="DI24" i="28" s="1"/>
  <c r="BT69" i="28"/>
  <c r="BT70" i="28" s="1"/>
  <c r="BT71" i="28" s="1"/>
  <c r="BT30" i="28"/>
  <c r="BT65" i="28"/>
  <c r="BT66" i="28" s="1"/>
  <c r="BT67" i="28" s="1"/>
  <c r="BT68" i="28" s="1"/>
  <c r="CV21" i="2"/>
  <c r="CV23" i="2" s="1"/>
  <c r="CV22" i="2"/>
  <c r="Z26" i="28" l="1"/>
  <c r="Y41" i="28"/>
  <c r="Y42" i="28" s="1"/>
  <c r="Y43" i="28" s="1"/>
  <c r="Y57" i="28"/>
  <c r="Y58" i="28" s="1"/>
  <c r="Y59" i="28" s="1"/>
  <c r="BU28" i="28"/>
  <c r="DK21" i="28"/>
  <c r="DJ21" i="28"/>
  <c r="Z69" i="28"/>
  <c r="Z70" i="28" s="1"/>
  <c r="Z71" i="28" s="1"/>
  <c r="Z73" i="28"/>
  <c r="Z74" i="28" s="1"/>
  <c r="Z75" i="28" s="1"/>
  <c r="Z57" i="28"/>
  <c r="Z58" i="28" s="1"/>
  <c r="Z59" i="28" s="1"/>
  <c r="Z41" i="28"/>
  <c r="Z42" i="28" s="1"/>
  <c r="Z43" i="28" s="1"/>
  <c r="BT77" i="28"/>
  <c r="BT78" i="28" s="1"/>
  <c r="BT79" i="28" s="1"/>
  <c r="BT73" i="28"/>
  <c r="BT74" i="28" s="1"/>
  <c r="BT75" i="28" s="1"/>
  <c r="BT57" i="28"/>
  <c r="BT58" i="28" s="1"/>
  <c r="BT59" i="28" s="1"/>
  <c r="BT61" i="28"/>
  <c r="BT62" i="28" s="1"/>
  <c r="BT63" i="28" s="1"/>
  <c r="BT49" i="28"/>
  <c r="BT50" i="28" s="1"/>
  <c r="BT51" i="28" s="1"/>
  <c r="BT41" i="28"/>
  <c r="BT42" i="28" s="1"/>
  <c r="BT43" i="28" s="1"/>
  <c r="AC18" i="28"/>
  <c r="AB20" i="28"/>
  <c r="AA22" i="28"/>
  <c r="AA23" i="28"/>
  <c r="DY19" i="28"/>
  <c r="DZ16" i="28" s="1"/>
  <c r="DZ19" i="28" s="1"/>
  <c r="EA16" i="28" s="1"/>
  <c r="EA19" i="28" s="1"/>
  <c r="EB16" i="28" s="1"/>
  <c r="EB19" i="28" s="1"/>
  <c r="EC16" i="28" s="1"/>
  <c r="EC19" i="28" s="1"/>
  <c r="ED16" i="28" s="1"/>
  <c r="ED19" i="28" s="1"/>
  <c r="EE16" i="28" s="1"/>
  <c r="EE19" i="28" s="1"/>
  <c r="EF16" i="28" s="1"/>
  <c r="EF19" i="28" s="1"/>
  <c r="EG16" i="28" s="1"/>
  <c r="EG19" i="28" s="1"/>
  <c r="EH16" i="28" s="1"/>
  <c r="EH19" i="28" s="1"/>
  <c r="EI16" i="28" s="1"/>
  <c r="EI19" i="28" s="1"/>
  <c r="AC36" i="25"/>
  <c r="AC23" i="25"/>
  <c r="AC19" i="25"/>
  <c r="AC20" i="25" s="1"/>
  <c r="AC16" i="25"/>
  <c r="AC12" i="25"/>
  <c r="AC26" i="25"/>
  <c r="AC11" i="25"/>
  <c r="AB12" i="25"/>
  <c r="AA12" i="25"/>
  <c r="CU39" i="2"/>
  <c r="CT39" i="2"/>
  <c r="CS39" i="2"/>
  <c r="CR39" i="2"/>
  <c r="CQ39" i="2"/>
  <c r="CP39" i="2"/>
  <c r="CO39" i="2"/>
  <c r="CN39" i="2"/>
  <c r="CM39" i="2"/>
  <c r="CS38" i="2"/>
  <c r="CR38" i="2"/>
  <c r="CQ38" i="2"/>
  <c r="CP38" i="2"/>
  <c r="CO38" i="2"/>
  <c r="CN38" i="2"/>
  <c r="CM38" i="2"/>
  <c r="CL38" i="2"/>
  <c r="BU38" i="2"/>
  <c r="BT38" i="2"/>
  <c r="BS38" i="2"/>
  <c r="BR38" i="2"/>
  <c r="BQ38" i="2"/>
  <c r="BP38" i="2"/>
  <c r="BO38" i="2"/>
  <c r="BN38" i="2"/>
  <c r="BM38" i="2"/>
  <c r="BL38" i="2"/>
  <c r="BK38" i="2"/>
  <c r="BJ38" i="2"/>
  <c r="BI38" i="2"/>
  <c r="BH38" i="2"/>
  <c r="BG38" i="2"/>
  <c r="BF38" i="2"/>
  <c r="BE38" i="2"/>
  <c r="BD38" i="2"/>
  <c r="BC38" i="2"/>
  <c r="BB38" i="2"/>
  <c r="BA38" i="2"/>
  <c r="AY38" i="2"/>
  <c r="AV38" i="2"/>
  <c r="AU38" i="2"/>
  <c r="AT38" i="2"/>
  <c r="AS38" i="2"/>
  <c r="AR38" i="2"/>
  <c r="AQ38" i="2"/>
  <c r="AP38" i="2"/>
  <c r="AO38" i="2"/>
  <c r="AN38" i="2"/>
  <c r="AM38" i="2"/>
  <c r="AL38" i="2"/>
  <c r="AK38" i="2"/>
  <c r="AJ38" i="2"/>
  <c r="AI38" i="2"/>
  <c r="AG38" i="2"/>
  <c r="AF38" i="2"/>
  <c r="AE38" i="2"/>
  <c r="AD38" i="2"/>
  <c r="AC38" i="2"/>
  <c r="AB38" i="2"/>
  <c r="AA38" i="2"/>
  <c r="BW21" i="20"/>
  <c r="BY38" i="20"/>
  <c r="BZ33" i="20"/>
  <c r="BZ38" i="20" s="1"/>
  <c r="BY30" i="20"/>
  <c r="BY25" i="20"/>
  <c r="BZ20" i="20"/>
  <c r="BZ25" i="20" s="1"/>
  <c r="BZ12" i="20"/>
  <c r="BY12" i="20"/>
  <c r="BZ7" i="20"/>
  <c r="BY4" i="20"/>
  <c r="BW38" i="20"/>
  <c r="BX33" i="20"/>
  <c r="BX38" i="20" s="1"/>
  <c r="BW30" i="20"/>
  <c r="BW25" i="20"/>
  <c r="BX20" i="20"/>
  <c r="BX25" i="20" s="1"/>
  <c r="BW12" i="20"/>
  <c r="BX7" i="20"/>
  <c r="BX12" i="20" s="1"/>
  <c r="BW4" i="20"/>
  <c r="CT16" i="2"/>
  <c r="CU16" i="2"/>
  <c r="AA26" i="28" l="1"/>
  <c r="AB22" i="28"/>
  <c r="AB23" i="28"/>
  <c r="DJ23" i="28"/>
  <c r="DJ24" i="28" s="1"/>
  <c r="AA69" i="28"/>
  <c r="AA70" i="28" s="1"/>
  <c r="AA71" i="28" s="1"/>
  <c r="AA73" i="28"/>
  <c r="AA74" i="28" s="1"/>
  <c r="AA75" i="28" s="1"/>
  <c r="AA57" i="28"/>
  <c r="AA58" i="28" s="1"/>
  <c r="AA59" i="28" s="1"/>
  <c r="AA41" i="28"/>
  <c r="AA42" i="28" s="1"/>
  <c r="AA43" i="28" s="1"/>
  <c r="AD18" i="28"/>
  <c r="AC20" i="28"/>
  <c r="DK23" i="28"/>
  <c r="DK24" i="28" s="1"/>
  <c r="BU69" i="28"/>
  <c r="BU70" i="28" s="1"/>
  <c r="BU71" i="28" s="1"/>
  <c r="BU30" i="28"/>
  <c r="BU65" i="28"/>
  <c r="BU66" i="28" s="1"/>
  <c r="BU67" i="28" s="1"/>
  <c r="BU68" i="28" s="1"/>
  <c r="AC32" i="25"/>
  <c r="AC33" i="25" s="1"/>
  <c r="AC34" i="25" s="1"/>
  <c r="AC28" i="25"/>
  <c r="AC27" i="25"/>
  <c r="AC35" i="25"/>
  <c r="AC25" i="25"/>
  <c r="AC13" i="25"/>
  <c r="AC14" i="25" s="1"/>
  <c r="AC17" i="25" s="1"/>
  <c r="AC21" i="25" s="1"/>
  <c r="BE3" i="15"/>
  <c r="CU19" i="2" s="1"/>
  <c r="BE5" i="15"/>
  <c r="AB36" i="25"/>
  <c r="AB23" i="25"/>
  <c r="AB19" i="25"/>
  <c r="AB20" i="25" s="1"/>
  <c r="AB16" i="25"/>
  <c r="AB9" i="25"/>
  <c r="EI21" i="10"/>
  <c r="EI23" i="10" s="1"/>
  <c r="BE131" i="5" s="1"/>
  <c r="EI20" i="10"/>
  <c r="EI24" i="10"/>
  <c r="BE132" i="5" s="1"/>
  <c r="BE128" i="5"/>
  <c r="CU37" i="2"/>
  <c r="CU33" i="2"/>
  <c r="CU53" i="2" s="1"/>
  <c r="CU54" i="2" s="1"/>
  <c r="CU55" i="2" s="1"/>
  <c r="EL63" i="10"/>
  <c r="EI22" i="10" s="1"/>
  <c r="BE130" i="5" s="1"/>
  <c r="AB10" i="25" s="1"/>
  <c r="AB26" i="25" s="1"/>
  <c r="AB26" i="28" l="1"/>
  <c r="BW28" i="28"/>
  <c r="BV28" i="28"/>
  <c r="DL21" i="28"/>
  <c r="AB69" i="28"/>
  <c r="AB70" i="28" s="1"/>
  <c r="AB71" i="28" s="1"/>
  <c r="AB73" i="28"/>
  <c r="AB74" i="28" s="1"/>
  <c r="AB75" i="28" s="1"/>
  <c r="AB57" i="28"/>
  <c r="AB58" i="28" s="1"/>
  <c r="AB59" i="28" s="1"/>
  <c r="AB41" i="28"/>
  <c r="AB42" i="28" s="1"/>
  <c r="AB43" i="28" s="1"/>
  <c r="AC22" i="28"/>
  <c r="AC23" i="28"/>
  <c r="AE18" i="28"/>
  <c r="AD20" i="28"/>
  <c r="BU77" i="28"/>
  <c r="BU78" i="28" s="1"/>
  <c r="BU73" i="28"/>
  <c r="BU74" i="28" s="1"/>
  <c r="BU75" i="28" s="1"/>
  <c r="BU57" i="28"/>
  <c r="BU58" i="28" s="1"/>
  <c r="BU59" i="28" s="1"/>
  <c r="BU61" i="28"/>
  <c r="BU62" i="28" s="1"/>
  <c r="BU63" i="28" s="1"/>
  <c r="BU49" i="28"/>
  <c r="BU41" i="28"/>
  <c r="BU42" i="28" s="1"/>
  <c r="BU43" i="28" s="1"/>
  <c r="AI9" i="25"/>
  <c r="AC29" i="25"/>
  <c r="AC30" i="25" s="1"/>
  <c r="AC38" i="25"/>
  <c r="AC37" i="25"/>
  <c r="CU17" i="2"/>
  <c r="CU20" i="2" s="1"/>
  <c r="CU22" i="2" s="1"/>
  <c r="AB11" i="25"/>
  <c r="AB13" i="25" s="1"/>
  <c r="AB14" i="25" s="1"/>
  <c r="AB17" i="25" s="1"/>
  <c r="AB21" i="25" s="1"/>
  <c r="AB32" i="25"/>
  <c r="AB33" i="25" s="1"/>
  <c r="AB34" i="25" s="1"/>
  <c r="AB27" i="25"/>
  <c r="AB28" i="25"/>
  <c r="AB35" i="25"/>
  <c r="AB25" i="25"/>
  <c r="EI25" i="10"/>
  <c r="AA36" i="25"/>
  <c r="AA9" i="25"/>
  <c r="AC26" i="28" l="1"/>
  <c r="AC69" i="28"/>
  <c r="AC70" i="28" s="1"/>
  <c r="AC71" i="28" s="1"/>
  <c r="AC73" i="28"/>
  <c r="AC74" i="28" s="1"/>
  <c r="AC75" i="28" s="1"/>
  <c r="AC57" i="28"/>
  <c r="AC58" i="28" s="1"/>
  <c r="AC59" i="28" s="1"/>
  <c r="AC41" i="28"/>
  <c r="AC42" i="28" s="1"/>
  <c r="AC43" i="28" s="1"/>
  <c r="AD22" i="28"/>
  <c r="AD23" i="28"/>
  <c r="BV69" i="28"/>
  <c r="BV70" i="28" s="1"/>
  <c r="BV71" i="28" s="1"/>
  <c r="BV30" i="28"/>
  <c r="BV65" i="28"/>
  <c r="BV66" i="28" s="1"/>
  <c r="BV67" i="28" s="1"/>
  <c r="BV68" i="28" s="1"/>
  <c r="AF18" i="28"/>
  <c r="AE20" i="28"/>
  <c r="DL23" i="28"/>
  <c r="DL24" i="28" s="1"/>
  <c r="BU50" i="28"/>
  <c r="BU51" i="28" s="1"/>
  <c r="BW69" i="28"/>
  <c r="BW70" i="28" s="1"/>
  <c r="BW71" i="28" s="1"/>
  <c r="BW30" i="28"/>
  <c r="BW65" i="28"/>
  <c r="BW66" i="28" s="1"/>
  <c r="BW67" i="28" s="1"/>
  <c r="BW68" i="28" s="1"/>
  <c r="EI26" i="10"/>
  <c r="BE133" i="5"/>
  <c r="AC40" i="25"/>
  <c r="CV36" i="2" s="1"/>
  <c r="CU21" i="2"/>
  <c r="CU23" i="2" s="1"/>
  <c r="AB29" i="25"/>
  <c r="AB30" i="25" s="1"/>
  <c r="AB38" i="25" s="1"/>
  <c r="DX21" i="10"/>
  <c r="BD128" i="5"/>
  <c r="AD26" i="28" l="1"/>
  <c r="DM21" i="28"/>
  <c r="BY28" i="28"/>
  <c r="BX28" i="28"/>
  <c r="AD69" i="28"/>
  <c r="AD70" i="28" s="1"/>
  <c r="AD71" i="28" s="1"/>
  <c r="AD61" i="28"/>
  <c r="AD62" i="28" s="1"/>
  <c r="AD63" i="28" s="1"/>
  <c r="AD73" i="28"/>
  <c r="AD74" i="28" s="1"/>
  <c r="AD75" i="28" s="1"/>
  <c r="AD57" i="28"/>
  <c r="AD58" i="28" s="1"/>
  <c r="AD59" i="28" s="1"/>
  <c r="AD41" i="28"/>
  <c r="AD42" i="28" s="1"/>
  <c r="AD43" i="28" s="1"/>
  <c r="AG18" i="28"/>
  <c r="AF20" i="28"/>
  <c r="BV73" i="28"/>
  <c r="BV74" i="28" s="1"/>
  <c r="BV75" i="28" s="1"/>
  <c r="BV57" i="28"/>
  <c r="BV58" i="28" s="1"/>
  <c r="BV59" i="28" s="1"/>
  <c r="BV61" i="28"/>
  <c r="BV62" i="28" s="1"/>
  <c r="BV63" i="28" s="1"/>
  <c r="BV77" i="28"/>
  <c r="BV78" i="28" s="1"/>
  <c r="BV49" i="28"/>
  <c r="BV41" i="28"/>
  <c r="BV42" i="28" s="1"/>
  <c r="BV43" i="28" s="1"/>
  <c r="BU79" i="28"/>
  <c r="AE22" i="28"/>
  <c r="AE23" i="28"/>
  <c r="BW61" i="28"/>
  <c r="BW62" i="28" s="1"/>
  <c r="BW63" i="28" s="1"/>
  <c r="BW77" i="28"/>
  <c r="BW78" i="28" s="1"/>
  <c r="BW73" i="28"/>
  <c r="BW74" i="28" s="1"/>
  <c r="BW75" i="28" s="1"/>
  <c r="BW49" i="28"/>
  <c r="BW41" i="28"/>
  <c r="BW42" i="28" s="1"/>
  <c r="BW43" i="28" s="1"/>
  <c r="BW57" i="28"/>
  <c r="BW58" i="28" s="1"/>
  <c r="BW59" i="28" s="1"/>
  <c r="EI19" i="10"/>
  <c r="CU34" i="2"/>
  <c r="BE134" i="5"/>
  <c r="AC42" i="25"/>
  <c r="CV38" i="2" s="1"/>
  <c r="AC44" i="25"/>
  <c r="AB37" i="25"/>
  <c r="AB40" i="25" s="1"/>
  <c r="DX20" i="10"/>
  <c r="AA23" i="25"/>
  <c r="AA16" i="25"/>
  <c r="AA19" i="25"/>
  <c r="AA20" i="25" s="1"/>
  <c r="CQ16" i="2"/>
  <c r="CR16" i="2"/>
  <c r="CS16" i="2"/>
  <c r="CT37" i="2"/>
  <c r="CT33" i="2"/>
  <c r="CT53" i="2" s="1"/>
  <c r="CT54" i="2" s="1"/>
  <c r="CT55" i="2" s="1"/>
  <c r="CC24" i="10"/>
  <c r="CD24" i="10"/>
  <c r="AE26" i="28" l="1"/>
  <c r="AE61" i="28"/>
  <c r="AE62" i="28" s="1"/>
  <c r="AE63" i="28" s="1"/>
  <c r="AE73" i="28"/>
  <c r="AE74" i="28" s="1"/>
  <c r="AE75" i="28" s="1"/>
  <c r="AE57" i="28"/>
  <c r="AE58" i="28" s="1"/>
  <c r="AE59" i="28" s="1"/>
  <c r="AE69" i="28"/>
  <c r="AE70" i="28" s="1"/>
  <c r="AE71" i="28" s="1"/>
  <c r="AE41" i="28"/>
  <c r="AE42" i="28" s="1"/>
  <c r="AE43" i="28" s="1"/>
  <c r="BV50" i="28"/>
  <c r="BV51" i="28" s="1"/>
  <c r="AF22" i="28"/>
  <c r="AF23" i="28"/>
  <c r="AH18" i="28"/>
  <c r="AG20" i="28"/>
  <c r="BW50" i="28"/>
  <c r="BW51" i="28" s="1"/>
  <c r="BX69" i="28"/>
  <c r="BX70" i="28" s="1"/>
  <c r="BX71" i="28" s="1"/>
  <c r="BX30" i="28"/>
  <c r="BX65" i="28"/>
  <c r="BX66" i="28" s="1"/>
  <c r="BX67" i="28" s="1"/>
  <c r="BX68" i="28" s="1"/>
  <c r="BY69" i="28"/>
  <c r="BY70" i="28" s="1"/>
  <c r="BY71" i="28" s="1"/>
  <c r="BY30" i="28"/>
  <c r="BY65" i="28"/>
  <c r="BY66" i="28" s="1"/>
  <c r="BY67" i="28" s="1"/>
  <c r="BY68" i="28" s="1"/>
  <c r="DM23" i="28"/>
  <c r="DM24" i="28" s="1"/>
  <c r="DN21" i="28" s="1"/>
  <c r="AB42" i="25"/>
  <c r="CU38" i="2" s="1"/>
  <c r="CU36" i="2"/>
  <c r="AB44" i="25"/>
  <c r="AF26" i="28" l="1"/>
  <c r="AF61" i="28" s="1"/>
  <c r="AF62" i="28" s="1"/>
  <c r="AF63" i="28" s="1"/>
  <c r="AF73" i="28"/>
  <c r="AF74" i="28" s="1"/>
  <c r="AF75" i="28" s="1"/>
  <c r="AF69" i="28"/>
  <c r="AF70" i="28" s="1"/>
  <c r="AF71" i="28" s="1"/>
  <c r="AF41" i="28"/>
  <c r="AF42" i="28" s="1"/>
  <c r="AF43" i="28" s="1"/>
  <c r="DN23" i="28"/>
  <c r="DN24" i="28" s="1"/>
  <c r="BX61" i="28"/>
  <c r="BX62" i="28" s="1"/>
  <c r="BX63" i="28" s="1"/>
  <c r="BX77" i="28"/>
  <c r="BX78" i="28" s="1"/>
  <c r="BX73" i="28"/>
  <c r="BX74" i="28" s="1"/>
  <c r="BX75" i="28" s="1"/>
  <c r="BX57" i="28"/>
  <c r="BX58" i="28" s="1"/>
  <c r="BX59" i="28" s="1"/>
  <c r="BX49" i="28"/>
  <c r="BX41" i="28"/>
  <c r="BX42" i="28" s="1"/>
  <c r="BX43" i="28" s="1"/>
  <c r="BW79" i="28"/>
  <c r="AI18" i="28"/>
  <c r="AH20" i="28"/>
  <c r="BV79" i="28"/>
  <c r="AG23" i="28"/>
  <c r="AG22" i="28"/>
  <c r="BY61" i="28"/>
  <c r="BY62" i="28" s="1"/>
  <c r="BY63" i="28" s="1"/>
  <c r="BY73" i="28"/>
  <c r="BY74" i="28" s="1"/>
  <c r="BY75" i="28" s="1"/>
  <c r="BY57" i="28"/>
  <c r="BY58" i="28" s="1"/>
  <c r="BY59" i="28" s="1"/>
  <c r="BY49" i="28"/>
  <c r="BY77" i="28"/>
  <c r="BY78" i="28" s="1"/>
  <c r="BY41" i="28"/>
  <c r="BY42" i="28" s="1"/>
  <c r="BY43" i="28" s="1"/>
  <c r="DX24" i="10"/>
  <c r="BD132" i="5" s="1"/>
  <c r="EJ63" i="10"/>
  <c r="DX22" i="10" s="1"/>
  <c r="DX23" i="10" s="1"/>
  <c r="BD131" i="5" s="1"/>
  <c r="BD5" i="15"/>
  <c r="BD3" i="15"/>
  <c r="CT19" i="2" s="1"/>
  <c r="CT17" i="2" s="1"/>
  <c r="AG26" i="28" l="1"/>
  <c r="AF57" i="28"/>
  <c r="AF58" i="28" s="1"/>
  <c r="AF59" i="28" s="1"/>
  <c r="DO21" i="28"/>
  <c r="BZ28" i="28"/>
  <c r="AG73" i="28"/>
  <c r="AG74" i="28" s="1"/>
  <c r="AG75" i="28" s="1"/>
  <c r="AG57" i="28"/>
  <c r="AG58" i="28" s="1"/>
  <c r="AG59" i="28" s="1"/>
  <c r="AG69" i="28"/>
  <c r="AG70" i="28" s="1"/>
  <c r="AG71" i="28" s="1"/>
  <c r="AG41" i="28"/>
  <c r="AG42" i="28" s="1"/>
  <c r="AG43" i="28" s="1"/>
  <c r="AG61" i="28"/>
  <c r="AG62" i="28" s="1"/>
  <c r="AG63" i="28" s="1"/>
  <c r="AH23" i="28"/>
  <c r="AH22" i="28"/>
  <c r="AH26" i="28" s="1"/>
  <c r="AI20" i="28"/>
  <c r="AJ18" i="28"/>
  <c r="BY50" i="28"/>
  <c r="BY51" i="28" s="1"/>
  <c r="BX50" i="28"/>
  <c r="BX51" i="28" s="1"/>
  <c r="CT21" i="2"/>
  <c r="CT23" i="2" s="1"/>
  <c r="CT20" i="2"/>
  <c r="CT22" i="2" s="1"/>
  <c r="BD130" i="5"/>
  <c r="AA10" i="25"/>
  <c r="DX25" i="10"/>
  <c r="BS21" i="20"/>
  <c r="BU38" i="20"/>
  <c r="BV33" i="20"/>
  <c r="BV38" i="20" s="1"/>
  <c r="BU30" i="20"/>
  <c r="BU25" i="20"/>
  <c r="BV20" i="20"/>
  <c r="BV25" i="20" s="1"/>
  <c r="BU12" i="20"/>
  <c r="BV7" i="20"/>
  <c r="BV12" i="20" s="1"/>
  <c r="BU4" i="20"/>
  <c r="BS38" i="20"/>
  <c r="BT33" i="20"/>
  <c r="BT38" i="20" s="1"/>
  <c r="BS30" i="20"/>
  <c r="BS25" i="20"/>
  <c r="BS12" i="20"/>
  <c r="BT7" i="20"/>
  <c r="BT12" i="20" s="1"/>
  <c r="BS4" i="20"/>
  <c r="AH73" i="28" l="1"/>
  <c r="AH74" i="28" s="1"/>
  <c r="AH75" i="28" s="1"/>
  <c r="AH57" i="28"/>
  <c r="AH58" i="28" s="1"/>
  <c r="AH59" i="28" s="1"/>
  <c r="AH61" i="28"/>
  <c r="AH62" i="28" s="1"/>
  <c r="AH63" i="28" s="1"/>
  <c r="AH41" i="28"/>
  <c r="AH42" i="28" s="1"/>
  <c r="AH43" i="28" s="1"/>
  <c r="AH69" i="28"/>
  <c r="AH70" i="28" s="1"/>
  <c r="AH71" i="28" s="1"/>
  <c r="BX79" i="28"/>
  <c r="BY79" i="28"/>
  <c r="AI23" i="28"/>
  <c r="AI22" i="28"/>
  <c r="AI26" i="28" s="1"/>
  <c r="BZ69" i="28"/>
  <c r="BZ70" i="28" s="1"/>
  <c r="BZ71" i="28" s="1"/>
  <c r="BZ30" i="28"/>
  <c r="BZ65" i="28"/>
  <c r="BZ66" i="28" s="1"/>
  <c r="BZ67" i="28" s="1"/>
  <c r="BZ68" i="28" s="1"/>
  <c r="AJ20" i="28"/>
  <c r="AK18" i="28"/>
  <c r="DO23" i="28"/>
  <c r="DO24" i="28" s="1"/>
  <c r="AA26" i="25"/>
  <c r="AA11" i="25"/>
  <c r="AA13" i="25" s="1"/>
  <c r="AA14" i="25" s="1"/>
  <c r="AA17" i="25" s="1"/>
  <c r="AA21" i="25" s="1"/>
  <c r="DX26" i="10"/>
  <c r="BD133" i="5"/>
  <c r="Z9" i="25"/>
  <c r="DW21" i="10"/>
  <c r="DX19" i="10" s="1"/>
  <c r="DW20" i="10"/>
  <c r="BC128" i="5"/>
  <c r="Z36" i="25"/>
  <c r="Z23" i="25"/>
  <c r="Z16" i="25"/>
  <c r="CS37" i="2"/>
  <c r="CS33" i="2"/>
  <c r="CS53" i="2" s="1"/>
  <c r="CS54" i="2" s="1"/>
  <c r="CS55" i="2" s="1"/>
  <c r="CS19" i="2"/>
  <c r="EH63" i="10"/>
  <c r="DW22" i="10" s="1"/>
  <c r="BC5" i="15"/>
  <c r="BC3" i="15"/>
  <c r="AI73" i="28" l="1"/>
  <c r="AI74" i="28" s="1"/>
  <c r="AI75" i="28" s="1"/>
  <c r="AI57" i="28"/>
  <c r="AI58" i="28" s="1"/>
  <c r="AI59" i="28" s="1"/>
  <c r="AI61" i="28"/>
  <c r="AI62" i="28" s="1"/>
  <c r="AI63" i="28" s="1"/>
  <c r="AI41" i="28"/>
  <c r="AI42" i="28" s="1"/>
  <c r="AI43" i="28" s="1"/>
  <c r="AI49" i="28"/>
  <c r="AI50" i="28" s="1"/>
  <c r="AI51" i="28" s="1"/>
  <c r="AI69" i="28"/>
  <c r="AI70" i="28" s="1"/>
  <c r="AI71" i="28" s="1"/>
  <c r="DP21" i="28"/>
  <c r="CA28" i="28"/>
  <c r="AK20" i="28"/>
  <c r="AL18" i="28"/>
  <c r="AJ23" i="28"/>
  <c r="AJ22" i="28"/>
  <c r="AJ26" i="28" s="1"/>
  <c r="BZ61" i="28"/>
  <c r="BZ62" i="28" s="1"/>
  <c r="BZ63" i="28" s="1"/>
  <c r="BZ49" i="28"/>
  <c r="BZ77" i="28"/>
  <c r="BZ78" i="28" s="1"/>
  <c r="BZ73" i="28"/>
  <c r="BZ74" i="28" s="1"/>
  <c r="BZ75" i="28" s="1"/>
  <c r="BZ57" i="28"/>
  <c r="BZ58" i="28" s="1"/>
  <c r="BZ59" i="28" s="1"/>
  <c r="BZ41" i="28"/>
  <c r="BZ42" i="28" s="1"/>
  <c r="BZ43" i="28" s="1"/>
  <c r="AA32" i="25"/>
  <c r="AA33" i="25" s="1"/>
  <c r="AA34" i="25" s="1"/>
  <c r="AA28" i="25"/>
  <c r="AA25" i="25"/>
  <c r="AA27" i="25"/>
  <c r="AA35" i="25"/>
  <c r="BD134" i="5"/>
  <c r="CT45" i="2"/>
  <c r="CT46" i="2" s="1"/>
  <c r="CT47" i="2" s="1"/>
  <c r="Z10" i="25"/>
  <c r="Z26" i="25" s="1"/>
  <c r="Z32" i="25" s="1"/>
  <c r="Z33" i="25" s="1"/>
  <c r="Z34" i="25" s="1"/>
  <c r="BC130" i="5"/>
  <c r="DW23" i="10"/>
  <c r="BC131" i="5" s="1"/>
  <c r="Y9" i="25"/>
  <c r="AJ73" i="28" l="1"/>
  <c r="AJ74" i="28" s="1"/>
  <c r="AJ75" i="28" s="1"/>
  <c r="AJ57" i="28"/>
  <c r="AJ58" i="28" s="1"/>
  <c r="AJ59" i="28" s="1"/>
  <c r="AJ41" i="28"/>
  <c r="AJ42" i="28" s="1"/>
  <c r="AJ43" i="28" s="1"/>
  <c r="AJ61" i="28"/>
  <c r="AJ62" i="28" s="1"/>
  <c r="AJ63" i="28" s="1"/>
  <c r="AJ49" i="28"/>
  <c r="AJ50" i="28" s="1"/>
  <c r="AJ51" i="28" s="1"/>
  <c r="AJ69" i="28"/>
  <c r="AJ70" i="28" s="1"/>
  <c r="AJ71" i="28" s="1"/>
  <c r="AL20" i="28"/>
  <c r="AM18" i="28"/>
  <c r="AK23" i="28"/>
  <c r="AK22" i="28"/>
  <c r="AK26" i="28" s="1"/>
  <c r="AK27" i="28" s="1"/>
  <c r="BZ50" i="28"/>
  <c r="BZ51" i="28" s="1"/>
  <c r="CA69" i="28"/>
  <c r="CA70" i="28" s="1"/>
  <c r="CA71" i="28" s="1"/>
  <c r="CA30" i="28"/>
  <c r="CA65" i="28"/>
  <c r="CA66" i="28" s="1"/>
  <c r="CA67" i="28" s="1"/>
  <c r="CA68" i="28" s="1"/>
  <c r="DP23" i="28"/>
  <c r="DP24" i="28" s="1"/>
  <c r="AA29" i="25"/>
  <c r="AA30" i="25" s="1"/>
  <c r="AA38" i="25" s="1"/>
  <c r="Z35" i="25"/>
  <c r="Z28" i="25"/>
  <c r="Z25" i="25"/>
  <c r="Z27" i="25"/>
  <c r="Z11" i="25"/>
  <c r="DV21" i="10"/>
  <c r="DW19" i="10" s="1"/>
  <c r="DV20" i="10"/>
  <c r="BB128" i="5"/>
  <c r="Y36" i="25"/>
  <c r="Y23" i="25"/>
  <c r="Y16" i="25"/>
  <c r="CR37" i="2"/>
  <c r="BB5" i="15"/>
  <c r="BB3" i="15"/>
  <c r="CR19" i="2" s="1"/>
  <c r="DU20" i="10"/>
  <c r="CB28" i="28" l="1"/>
  <c r="DQ21" i="28"/>
  <c r="AK57" i="28"/>
  <c r="AK58" i="28" s="1"/>
  <c r="AK59" i="28" s="1"/>
  <c r="AK49" i="28"/>
  <c r="AK50" i="28" s="1"/>
  <c r="AK51" i="28" s="1"/>
  <c r="AK61" i="28"/>
  <c r="AK62" i="28" s="1"/>
  <c r="AK63" i="28" s="1"/>
  <c r="AK41" i="28"/>
  <c r="AK42" i="28" s="1"/>
  <c r="AK43" i="28" s="1"/>
  <c r="CA61" i="28"/>
  <c r="CA62" i="28" s="1"/>
  <c r="CA63" i="28" s="1"/>
  <c r="CA77" i="28"/>
  <c r="CA78" i="28" s="1"/>
  <c r="CA41" i="28"/>
  <c r="CA42" i="28" s="1"/>
  <c r="CA43" i="28" s="1"/>
  <c r="CA49" i="28"/>
  <c r="CA73" i="28"/>
  <c r="CA74" i="28" s="1"/>
  <c r="CA75" i="28" s="1"/>
  <c r="CA57" i="28"/>
  <c r="CA58" i="28" s="1"/>
  <c r="CA59" i="28" s="1"/>
  <c r="AL23" i="28"/>
  <c r="AL22" i="28"/>
  <c r="AL26" i="28" s="1"/>
  <c r="AL27" i="28" s="1"/>
  <c r="BZ79" i="28"/>
  <c r="AM20" i="28"/>
  <c r="AN18" i="28"/>
  <c r="AA37" i="25"/>
  <c r="AA40" i="25" s="1"/>
  <c r="CT36" i="2" s="1"/>
  <c r="Z29" i="25"/>
  <c r="Z30" i="25" s="1"/>
  <c r="Z37" i="25" s="1"/>
  <c r="EF63" i="10"/>
  <c r="DV22" i="10" s="1"/>
  <c r="DV23" i="10" s="1"/>
  <c r="CP33" i="2"/>
  <c r="CW33" i="2"/>
  <c r="BQ4" i="20"/>
  <c r="AL57" i="28" l="1"/>
  <c r="AL58" i="28" s="1"/>
  <c r="AL59" i="28" s="1"/>
  <c r="AL49" i="28"/>
  <c r="AL50" i="28" s="1"/>
  <c r="AL51" i="28" s="1"/>
  <c r="AL41" i="28"/>
  <c r="AL42" i="28" s="1"/>
  <c r="AL43" i="28" s="1"/>
  <c r="AL61" i="28"/>
  <c r="AL62" i="28" s="1"/>
  <c r="AL63" i="28" s="1"/>
  <c r="CA50" i="28"/>
  <c r="CA51" i="28" s="1"/>
  <c r="AO18" i="28"/>
  <c r="AN20" i="28"/>
  <c r="DQ23" i="28"/>
  <c r="DQ24" i="28" s="1"/>
  <c r="AM23" i="28"/>
  <c r="AM22" i="28"/>
  <c r="AM26" i="28" s="1"/>
  <c r="AM27" i="28" s="1"/>
  <c r="CB69" i="28"/>
  <c r="CB70" i="28" s="1"/>
  <c r="CB71" i="28" s="1"/>
  <c r="CB30" i="28"/>
  <c r="CB65" i="28"/>
  <c r="CB66" i="28" s="1"/>
  <c r="CB67" i="28" s="1"/>
  <c r="CB68" i="28" s="1"/>
  <c r="Z38" i="25"/>
  <c r="AA42" i="25"/>
  <c r="CT38" i="2" s="1"/>
  <c r="CT34" i="2"/>
  <c r="AA44" i="25"/>
  <c r="Z40" i="25"/>
  <c r="CS36" i="2" s="1"/>
  <c r="BB131" i="5"/>
  <c r="BB130" i="5"/>
  <c r="Y10" i="25"/>
  <c r="Y11" i="25" s="1"/>
  <c r="BA128" i="5"/>
  <c r="AM57" i="28" l="1"/>
  <c r="AM58" i="28" s="1"/>
  <c r="AM59" i="28" s="1"/>
  <c r="AM61" i="28"/>
  <c r="AM62" i="28" s="1"/>
  <c r="AM63" i="28" s="1"/>
  <c r="AM49" i="28"/>
  <c r="AM50" i="28" s="1"/>
  <c r="AM51" i="28" s="1"/>
  <c r="AM41" i="28"/>
  <c r="AM42" i="28" s="1"/>
  <c r="AM43" i="28" s="1"/>
  <c r="CC28" i="28"/>
  <c r="DR21" i="28"/>
  <c r="AN22" i="28"/>
  <c r="AN23" i="28"/>
  <c r="AO20" i="28"/>
  <c r="AP18" i="28"/>
  <c r="AP20" i="28" s="1"/>
  <c r="CA79" i="28"/>
  <c r="CB61" i="28"/>
  <c r="CB62" i="28" s="1"/>
  <c r="CB63" i="28" s="1"/>
  <c r="CB77" i="28"/>
  <c r="CB78" i="28" s="1"/>
  <c r="CB49" i="28"/>
  <c r="CB73" i="28"/>
  <c r="CB74" i="28" s="1"/>
  <c r="CB75" i="28" s="1"/>
  <c r="CB57" i="28"/>
  <c r="CB58" i="28" s="1"/>
  <c r="CB59" i="28" s="1"/>
  <c r="CB41" i="28"/>
  <c r="CB42" i="28" s="1"/>
  <c r="CB43" i="28" s="1"/>
  <c r="Y26" i="25"/>
  <c r="BQ38" i="20"/>
  <c r="BR33" i="20"/>
  <c r="BR38" i="20" s="1"/>
  <c r="BQ30" i="20"/>
  <c r="BQ25" i="20"/>
  <c r="BQ12" i="20"/>
  <c r="BR7" i="20"/>
  <c r="BR12" i="20" s="1"/>
  <c r="CQ19" i="2"/>
  <c r="X36" i="25"/>
  <c r="X23" i="25"/>
  <c r="X16" i="25"/>
  <c r="X9" i="25"/>
  <c r="DU21" i="10"/>
  <c r="BA5" i="15"/>
  <c r="BA3" i="15"/>
  <c r="AN26" i="28" l="1"/>
  <c r="AN27" i="28" s="1"/>
  <c r="AN61" i="28" s="1"/>
  <c r="AN62" i="28" s="1"/>
  <c r="AN63" i="28" s="1"/>
  <c r="CB50" i="28"/>
  <c r="CB51" i="28" s="1"/>
  <c r="AP22" i="28"/>
  <c r="AP23" i="28"/>
  <c r="AO22" i="28"/>
  <c r="AO23" i="28"/>
  <c r="DR23" i="28"/>
  <c r="DR24" i="28" s="1"/>
  <c r="CC69" i="28"/>
  <c r="CC70" i="28" s="1"/>
  <c r="CC71" i="28" s="1"/>
  <c r="CC30" i="28"/>
  <c r="CC65" i="28"/>
  <c r="CC66" i="28" s="1"/>
  <c r="CC67" i="28" s="1"/>
  <c r="CC68" i="28" s="1"/>
  <c r="DV19" i="10"/>
  <c r="Y32" i="25"/>
  <c r="Y33" i="25" s="1"/>
  <c r="Y34" i="25" s="1"/>
  <c r="Y28" i="25"/>
  <c r="Y35" i="25"/>
  <c r="Y25" i="25"/>
  <c r="Y27" i="25"/>
  <c r="CQ37" i="2"/>
  <c r="ED63" i="10"/>
  <c r="AN41" i="28" l="1"/>
  <c r="AN42" i="28" s="1"/>
  <c r="AN43" i="28" s="1"/>
  <c r="AN57" i="28"/>
  <c r="AN58" i="28" s="1"/>
  <c r="AN59" i="28" s="1"/>
  <c r="AN49" i="28"/>
  <c r="AN50" i="28" s="1"/>
  <c r="AN51" i="28" s="1"/>
  <c r="AP26" i="28"/>
  <c r="AP27" i="28" s="1"/>
  <c r="AO26" i="28"/>
  <c r="AO27" i="28" s="1"/>
  <c r="CD28" i="28"/>
  <c r="DS21" i="28"/>
  <c r="AO61" i="28"/>
  <c r="AO62" i="28" s="1"/>
  <c r="AO63" i="28" s="1"/>
  <c r="AO57" i="28"/>
  <c r="AO58" i="28" s="1"/>
  <c r="AO59" i="28" s="1"/>
  <c r="AO49" i="28"/>
  <c r="AO50" i="28" s="1"/>
  <c r="AO51" i="28" s="1"/>
  <c r="AO41" i="28"/>
  <c r="AO42" i="28" s="1"/>
  <c r="AO43" i="28" s="1"/>
  <c r="AP61" i="28"/>
  <c r="AP62" i="28" s="1"/>
  <c r="AP63" i="28" s="1"/>
  <c r="AP49" i="28"/>
  <c r="AP50" i="28" s="1"/>
  <c r="AP51" i="28" s="1"/>
  <c r="AP57" i="28"/>
  <c r="AP58" i="28" s="1"/>
  <c r="AP59" i="28" s="1"/>
  <c r="AP41" i="28"/>
  <c r="AP42" i="28" s="1"/>
  <c r="AP43" i="28" s="1"/>
  <c r="CC61" i="28"/>
  <c r="CC62" i="28" s="1"/>
  <c r="CC63" i="28" s="1"/>
  <c r="CC77" i="28"/>
  <c r="CC78" i="28" s="1"/>
  <c r="CC73" i="28"/>
  <c r="CC74" i="28" s="1"/>
  <c r="CC75" i="28" s="1"/>
  <c r="CC57" i="28"/>
  <c r="CC58" i="28" s="1"/>
  <c r="CC59" i="28" s="1"/>
  <c r="CC41" i="28"/>
  <c r="CC42" i="28" s="1"/>
  <c r="CC43" i="28" s="1"/>
  <c r="CC49" i="28"/>
  <c r="CB79" i="28"/>
  <c r="Y29" i="25"/>
  <c r="Y30" i="25" s="1"/>
  <c r="Y37" i="25" s="1"/>
  <c r="BA130" i="5"/>
  <c r="X10" i="25" s="1"/>
  <c r="DU22" i="10"/>
  <c r="DU23" i="10" s="1"/>
  <c r="W9" i="25"/>
  <c r="CC50" i="28" l="1"/>
  <c r="CC51" i="28" s="1"/>
  <c r="DS23" i="28"/>
  <c r="DS24" i="28" s="1"/>
  <c r="CD69" i="28"/>
  <c r="CD70" i="28" s="1"/>
  <c r="CD71" i="28" s="1"/>
  <c r="CD30" i="28"/>
  <c r="CD65" i="28"/>
  <c r="CD66" i="28" s="1"/>
  <c r="CD67" i="28" s="1"/>
  <c r="CD68" i="28" s="1"/>
  <c r="Y38" i="25"/>
  <c r="Y40" i="25" s="1"/>
  <c r="CR36" i="2" s="1"/>
  <c r="X26" i="25"/>
  <c r="X11" i="25"/>
  <c r="BA131" i="5"/>
  <c r="BO38" i="20"/>
  <c r="BP33" i="20"/>
  <c r="BP38" i="20" s="1"/>
  <c r="BO30" i="20"/>
  <c r="BO25" i="20"/>
  <c r="BO12" i="20"/>
  <c r="BP7" i="20"/>
  <c r="BP12" i="20" s="1"/>
  <c r="BO4" i="20"/>
  <c r="CP53" i="2"/>
  <c r="CP54" i="2" s="1"/>
  <c r="CP55" i="2" s="1"/>
  <c r="DT21" i="10"/>
  <c r="DU19" i="10" s="1"/>
  <c r="AZ128" i="5"/>
  <c r="DT20" i="10"/>
  <c r="EB63" i="10"/>
  <c r="DT22" i="10" s="1"/>
  <c r="AZ130" i="5" s="1"/>
  <c r="W10" i="25" s="1"/>
  <c r="W26" i="25" s="1"/>
  <c r="W25" i="25" s="1"/>
  <c r="W36" i="25"/>
  <c r="W23" i="25"/>
  <c r="W16" i="25"/>
  <c r="AZ5" i="15"/>
  <c r="AZ3" i="15"/>
  <c r="CP19" i="2" s="1"/>
  <c r="CP37" i="2"/>
  <c r="DS21" i="10"/>
  <c r="DS20" i="10"/>
  <c r="V36" i="25"/>
  <c r="V23" i="25"/>
  <c r="V16" i="25"/>
  <c r="V9" i="25"/>
  <c r="AY5" i="15"/>
  <c r="AY3" i="15"/>
  <c r="CO19" i="2" s="1"/>
  <c r="BM38" i="20"/>
  <c r="BN33" i="20"/>
  <c r="BN38" i="20" s="1"/>
  <c r="BM30" i="20"/>
  <c r="BM25" i="20"/>
  <c r="BM12" i="20"/>
  <c r="BN7" i="20"/>
  <c r="BN12" i="20" s="1"/>
  <c r="BM4" i="20"/>
  <c r="AY128" i="5"/>
  <c r="CO37" i="2"/>
  <c r="DZ63" i="10"/>
  <c r="DS22" i="10" s="1"/>
  <c r="CE28" i="28" l="1"/>
  <c r="DT21" i="28"/>
  <c r="CD61" i="28"/>
  <c r="CD62" i="28" s="1"/>
  <c r="CD63" i="28" s="1"/>
  <c r="CD77" i="28"/>
  <c r="CD78" i="28" s="1"/>
  <c r="CD73" i="28"/>
  <c r="CD74" i="28" s="1"/>
  <c r="CD75" i="28" s="1"/>
  <c r="CD57" i="28"/>
  <c r="CD58" i="28" s="1"/>
  <c r="CD59" i="28" s="1"/>
  <c r="CD41" i="28"/>
  <c r="CD42" i="28" s="1"/>
  <c r="CD43" i="28" s="1"/>
  <c r="CD49" i="28"/>
  <c r="CC79" i="28"/>
  <c r="X27" i="25"/>
  <c r="X25" i="25"/>
  <c r="X32" i="25"/>
  <c r="X33" i="25" s="1"/>
  <c r="X34" i="25" s="1"/>
  <c r="X35" i="25"/>
  <c r="X28" i="25"/>
  <c r="AY130" i="5"/>
  <c r="V10" i="25" s="1"/>
  <c r="V26" i="25" s="1"/>
  <c r="V25" i="25" s="1"/>
  <c r="DT23" i="10"/>
  <c r="AZ131" i="5" s="1"/>
  <c r="DT19" i="10"/>
  <c r="W11" i="25"/>
  <c r="W32" i="25"/>
  <c r="W33" i="25" s="1"/>
  <c r="W34" i="25" s="1"/>
  <c r="W35" i="25"/>
  <c r="W27" i="25"/>
  <c r="W28" i="25"/>
  <c r="DS23" i="10"/>
  <c r="CD50" i="28" l="1"/>
  <c r="CD51" i="28" s="1"/>
  <c r="DT23" i="28"/>
  <c r="DT24" i="28" s="1"/>
  <c r="CE69" i="28"/>
  <c r="CE70" i="28" s="1"/>
  <c r="CE71" i="28" s="1"/>
  <c r="CE30" i="28"/>
  <c r="CE65" i="28"/>
  <c r="CE66" i="28" s="1"/>
  <c r="CE67" i="28" s="1"/>
  <c r="CE68" i="28" s="1"/>
  <c r="V28" i="25"/>
  <c r="X29" i="25"/>
  <c r="X30" i="25" s="1"/>
  <c r="X38" i="25" s="1"/>
  <c r="V27" i="25"/>
  <c r="V35" i="25"/>
  <c r="V11" i="25"/>
  <c r="V32" i="25"/>
  <c r="V33" i="25" s="1"/>
  <c r="V34" i="25" s="1"/>
  <c r="W29" i="25"/>
  <c r="W30" i="25" s="1"/>
  <c r="AY131" i="5"/>
  <c r="CF28" i="28" l="1"/>
  <c r="DU21" i="28"/>
  <c r="CE61" i="28"/>
  <c r="CE62" i="28" s="1"/>
  <c r="CE63" i="28" s="1"/>
  <c r="CE77" i="28"/>
  <c r="CE78" i="28" s="1"/>
  <c r="CE73" i="28"/>
  <c r="CE74" i="28" s="1"/>
  <c r="CE75" i="28" s="1"/>
  <c r="CE57" i="28"/>
  <c r="CE58" i="28" s="1"/>
  <c r="CE59" i="28" s="1"/>
  <c r="CE41" i="28"/>
  <c r="CE42" i="28" s="1"/>
  <c r="CE43" i="28" s="1"/>
  <c r="CE49" i="28"/>
  <c r="CD79" i="28"/>
  <c r="V29" i="25"/>
  <c r="V30" i="25" s="1"/>
  <c r="V38" i="25" s="1"/>
  <c r="X37" i="25"/>
  <c r="X40" i="25" s="1"/>
  <c r="W38" i="25"/>
  <c r="W37" i="25"/>
  <c r="CE50" i="28" l="1"/>
  <c r="CE51" i="28" s="1"/>
  <c r="DU23" i="28"/>
  <c r="DU24" i="28" s="1"/>
  <c r="CF69" i="28"/>
  <c r="CF70" i="28" s="1"/>
  <c r="CF71" i="28" s="1"/>
  <c r="CF30" i="28"/>
  <c r="CF65" i="28"/>
  <c r="CF66" i="28" s="1"/>
  <c r="CF67" i="28" s="1"/>
  <c r="CF68" i="28" s="1"/>
  <c r="V37" i="25"/>
  <c r="V40" i="25" s="1"/>
  <c r="CQ36" i="2"/>
  <c r="W40" i="25"/>
  <c r="CN33" i="2"/>
  <c r="DR20" i="10"/>
  <c r="DR21" i="10"/>
  <c r="DS19" i="10" s="1"/>
  <c r="U9" i="25"/>
  <c r="BK30" i="20"/>
  <c r="BI30" i="20"/>
  <c r="BK38" i="20"/>
  <c r="BI38" i="20"/>
  <c r="BG38" i="20"/>
  <c r="BE38" i="20"/>
  <c r="BC38" i="20"/>
  <c r="BA38" i="20"/>
  <c r="AY38" i="20"/>
  <c r="AW38" i="20"/>
  <c r="AU38" i="20"/>
  <c r="AS38" i="20"/>
  <c r="AQ38" i="20"/>
  <c r="AO38" i="20"/>
  <c r="AM38" i="20"/>
  <c r="AK38" i="20"/>
  <c r="AI38" i="20"/>
  <c r="AG38" i="20"/>
  <c r="AE38" i="20"/>
  <c r="AC38" i="20"/>
  <c r="AA38" i="20"/>
  <c r="Y38" i="20"/>
  <c r="W38" i="20"/>
  <c r="U38" i="20"/>
  <c r="Q38" i="20"/>
  <c r="O38" i="20"/>
  <c r="M38" i="20"/>
  <c r="K38" i="20"/>
  <c r="I38" i="20"/>
  <c r="G38" i="20"/>
  <c r="E38" i="20"/>
  <c r="C38" i="20"/>
  <c r="BF33" i="20"/>
  <c r="BF38" i="20" s="1"/>
  <c r="BD33" i="20"/>
  <c r="BD38" i="20" s="1"/>
  <c r="BB33" i="20"/>
  <c r="BB38" i="20" s="1"/>
  <c r="AZ33" i="20"/>
  <c r="AZ38" i="20" s="1"/>
  <c r="AX33" i="20"/>
  <c r="AX38" i="20" s="1"/>
  <c r="AV33" i="20"/>
  <c r="AV38" i="20" s="1"/>
  <c r="AT33" i="20"/>
  <c r="AT38" i="20" s="1"/>
  <c r="AR33" i="20"/>
  <c r="AR38" i="20" s="1"/>
  <c r="AP33" i="20"/>
  <c r="AP38" i="20" s="1"/>
  <c r="AN33" i="20"/>
  <c r="AN38" i="20" s="1"/>
  <c r="AL33" i="20"/>
  <c r="AL38" i="20" s="1"/>
  <c r="AJ33" i="20"/>
  <c r="AJ38" i="20" s="1"/>
  <c r="AH33" i="20"/>
  <c r="AH38" i="20" s="1"/>
  <c r="AF33" i="20"/>
  <c r="AF38" i="20" s="1"/>
  <c r="AD33" i="20"/>
  <c r="AD38" i="20" s="1"/>
  <c r="AB33" i="20"/>
  <c r="AB38" i="20" s="1"/>
  <c r="Z33" i="20"/>
  <c r="Z38" i="20" s="1"/>
  <c r="X33" i="20"/>
  <c r="X38" i="20" s="1"/>
  <c r="V33" i="20"/>
  <c r="V38" i="20" s="1"/>
  <c r="T33" i="20"/>
  <c r="T38" i="20" s="1"/>
  <c r="S33" i="20"/>
  <c r="S38" i="20" s="1"/>
  <c r="R33" i="20"/>
  <c r="R38" i="20" s="1"/>
  <c r="P33" i="20"/>
  <c r="P38" i="20" s="1"/>
  <c r="N33" i="20"/>
  <c r="N38" i="20" s="1"/>
  <c r="L33" i="20"/>
  <c r="L38" i="20" s="1"/>
  <c r="J33" i="20"/>
  <c r="J38" i="20" s="1"/>
  <c r="H33" i="20"/>
  <c r="H38" i="20" s="1"/>
  <c r="F33" i="20"/>
  <c r="F38" i="20" s="1"/>
  <c r="D33" i="20"/>
  <c r="D32" i="20"/>
  <c r="D37" i="20" s="1"/>
  <c r="C32" i="20"/>
  <c r="C37" i="20" s="1"/>
  <c r="BK25" i="20"/>
  <c r="BK12" i="20"/>
  <c r="BL7" i="20"/>
  <c r="BL12" i="20" s="1"/>
  <c r="BK4" i="20"/>
  <c r="AX128" i="5"/>
  <c r="CG28" i="28" l="1"/>
  <c r="DV21" i="28"/>
  <c r="CF77" i="28"/>
  <c r="CF78" i="28" s="1"/>
  <c r="CF73" i="28"/>
  <c r="CF74" i="28" s="1"/>
  <c r="CF75" i="28" s="1"/>
  <c r="CF57" i="28"/>
  <c r="CF58" i="28" s="1"/>
  <c r="CF59" i="28" s="1"/>
  <c r="CF61" i="28"/>
  <c r="CF62" i="28" s="1"/>
  <c r="CF63" i="28" s="1"/>
  <c r="CF41" i="28"/>
  <c r="CF42" i="28" s="1"/>
  <c r="CF43" i="28" s="1"/>
  <c r="CF49" i="28"/>
  <c r="CE79" i="28"/>
  <c r="CO36" i="2"/>
  <c r="CP36" i="2"/>
  <c r="C35" i="20"/>
  <c r="E32" i="20" s="1"/>
  <c r="E35" i="20" s="1"/>
  <c r="G32" i="20" s="1"/>
  <c r="C39" i="20"/>
  <c r="D38" i="20"/>
  <c r="D39" i="20" s="1"/>
  <c r="D34" i="20" s="1"/>
  <c r="D35" i="20" s="1"/>
  <c r="F32" i="20" s="1"/>
  <c r="CF50" i="28" l="1"/>
  <c r="CF51" i="28" s="1"/>
  <c r="DV23" i="28"/>
  <c r="DV24" i="28" s="1"/>
  <c r="CG69" i="28"/>
  <c r="CG70" i="28" s="1"/>
  <c r="CG71" i="28" s="1"/>
  <c r="CG30" i="28"/>
  <c r="CG65" i="28"/>
  <c r="CG66" i="28" s="1"/>
  <c r="CG67" i="28" s="1"/>
  <c r="CG68" i="28" s="1"/>
  <c r="E37" i="20"/>
  <c r="E39" i="20" s="1"/>
  <c r="F37" i="20"/>
  <c r="G37" i="20"/>
  <c r="G35" i="20"/>
  <c r="I32" i="20" s="1"/>
  <c r="DW21" i="28" l="1"/>
  <c r="CH28" i="28"/>
  <c r="CG77" i="28"/>
  <c r="CG78" i="28" s="1"/>
  <c r="CG73" i="28"/>
  <c r="CG74" i="28" s="1"/>
  <c r="CG75" i="28" s="1"/>
  <c r="CG57" i="28"/>
  <c r="CG58" i="28" s="1"/>
  <c r="CG59" i="28" s="1"/>
  <c r="CG61" i="28"/>
  <c r="CG62" i="28" s="1"/>
  <c r="CG63" i="28" s="1"/>
  <c r="CG41" i="28"/>
  <c r="CG42" i="28" s="1"/>
  <c r="CG43" i="28" s="1"/>
  <c r="CG49" i="28"/>
  <c r="CF79" i="28"/>
  <c r="F39" i="20"/>
  <c r="F34" i="20" s="1"/>
  <c r="F35" i="20" s="1"/>
  <c r="H32" i="20" s="1"/>
  <c r="H37" i="20" s="1"/>
  <c r="I35" i="20"/>
  <c r="K32" i="20" s="1"/>
  <c r="I37" i="20"/>
  <c r="I39" i="20" s="1"/>
  <c r="G39" i="20"/>
  <c r="CG50" i="28" l="1"/>
  <c r="CG51" i="28" s="1"/>
  <c r="CH69" i="28"/>
  <c r="CH70" i="28" s="1"/>
  <c r="CH71" i="28" s="1"/>
  <c r="CH30" i="28"/>
  <c r="CH65" i="28"/>
  <c r="CH66" i="28" s="1"/>
  <c r="CH67" i="28" s="1"/>
  <c r="CH68" i="28" s="1"/>
  <c r="DW23" i="28"/>
  <c r="DW24" i="28" s="1"/>
  <c r="H39" i="20"/>
  <c r="H34" i="20" s="1"/>
  <c r="H35" i="20" s="1"/>
  <c r="J32" i="20" s="1"/>
  <c r="J37" i="20" s="1"/>
  <c r="J39" i="20" s="1"/>
  <c r="J34" i="20" s="1"/>
  <c r="J35" i="20" s="1"/>
  <c r="L32" i="20" s="1"/>
  <c r="K37" i="20"/>
  <c r="K39" i="20" s="1"/>
  <c r="K35" i="20"/>
  <c r="M32" i="20" s="1"/>
  <c r="DX21" i="28" l="1"/>
  <c r="DX23" i="28" s="1"/>
  <c r="DX24" i="28" s="1"/>
  <c r="CI28" i="28"/>
  <c r="CH77" i="28"/>
  <c r="CH78" i="28" s="1"/>
  <c r="CH73" i="28"/>
  <c r="CH74" i="28" s="1"/>
  <c r="CH75" i="28" s="1"/>
  <c r="CH57" i="28"/>
  <c r="CH58" i="28" s="1"/>
  <c r="CH59" i="28" s="1"/>
  <c r="CH61" i="28"/>
  <c r="CH62" i="28" s="1"/>
  <c r="CH63" i="28" s="1"/>
  <c r="CH41" i="28"/>
  <c r="CH42" i="28" s="1"/>
  <c r="CH43" i="28" s="1"/>
  <c r="CH49" i="28"/>
  <c r="CG79" i="28"/>
  <c r="L37" i="20"/>
  <c r="L39" i="20" s="1"/>
  <c r="L34" i="20" s="1"/>
  <c r="L35" i="20" s="1"/>
  <c r="N32" i="20" s="1"/>
  <c r="N37" i="20" s="1"/>
  <c r="M35" i="20"/>
  <c r="O32" i="20" s="1"/>
  <c r="M37" i="20"/>
  <c r="CH50" i="28" l="1"/>
  <c r="CH51" i="28" s="1"/>
  <c r="CI69" i="28"/>
  <c r="CI70" i="28" s="1"/>
  <c r="CI71" i="28" s="1"/>
  <c r="CI30" i="28"/>
  <c r="CI65" i="28"/>
  <c r="CI66" i="28" s="1"/>
  <c r="CI67" i="28" s="1"/>
  <c r="CI68" i="28" s="1"/>
  <c r="DY21" i="28"/>
  <c r="DY23" i="28" s="1"/>
  <c r="DY24" i="28" s="1"/>
  <c r="CJ28" i="28"/>
  <c r="O35" i="20"/>
  <c r="Q32" i="20" s="1"/>
  <c r="O37" i="20"/>
  <c r="M39" i="20"/>
  <c r="N39" i="20" s="1"/>
  <c r="N34" i="20" s="1"/>
  <c r="N35" i="20" s="1"/>
  <c r="P32" i="20" s="1"/>
  <c r="CH79" i="28" l="1"/>
  <c r="CJ69" i="28"/>
  <c r="CJ70" i="28" s="1"/>
  <c r="CJ71" i="28" s="1"/>
  <c r="CJ30" i="28"/>
  <c r="CJ65" i="28"/>
  <c r="CJ66" i="28" s="1"/>
  <c r="CJ67" i="28" s="1"/>
  <c r="CJ68" i="28" s="1"/>
  <c r="DZ21" i="28"/>
  <c r="CK28" i="28"/>
  <c r="CI77" i="28"/>
  <c r="CI78" i="28" s="1"/>
  <c r="CI73" i="28"/>
  <c r="CI74" i="28" s="1"/>
  <c r="CI75" i="28" s="1"/>
  <c r="CI57" i="28"/>
  <c r="CI58" i="28" s="1"/>
  <c r="CI59" i="28" s="1"/>
  <c r="CI41" i="28"/>
  <c r="CI42" i="28" s="1"/>
  <c r="CI43" i="28" s="1"/>
  <c r="CI61" i="28"/>
  <c r="CI62" i="28" s="1"/>
  <c r="CI63" i="28" s="1"/>
  <c r="CI49" i="28"/>
  <c r="P37" i="20"/>
  <c r="Q35" i="20"/>
  <c r="S32" i="20" s="1"/>
  <c r="Q37" i="20"/>
  <c r="Q39" i="20" s="1"/>
  <c r="O39" i="20"/>
  <c r="CI50" i="28" l="1"/>
  <c r="CI51" i="28" s="1"/>
  <c r="CK69" i="28"/>
  <c r="CK70" i="28" s="1"/>
  <c r="CK71" i="28" s="1"/>
  <c r="CK30" i="28"/>
  <c r="CK65" i="28"/>
  <c r="CK66" i="28" s="1"/>
  <c r="CK67" i="28" s="1"/>
  <c r="CK68" i="28" s="1"/>
  <c r="DZ23" i="28"/>
  <c r="DZ24" i="28" s="1"/>
  <c r="CJ77" i="28"/>
  <c r="CJ78" i="28" s="1"/>
  <c r="CJ73" i="28"/>
  <c r="CJ74" i="28" s="1"/>
  <c r="CJ75" i="28" s="1"/>
  <c r="CJ57" i="28"/>
  <c r="CJ58" i="28" s="1"/>
  <c r="CJ59" i="28" s="1"/>
  <c r="CJ61" i="28"/>
  <c r="CJ62" i="28" s="1"/>
  <c r="CJ63" i="28" s="1"/>
  <c r="CJ49" i="28"/>
  <c r="CJ41" i="28"/>
  <c r="CJ42" i="28" s="1"/>
  <c r="CJ43" i="28" s="1"/>
  <c r="P39" i="20"/>
  <c r="P34" i="20" s="1"/>
  <c r="P35" i="20" s="1"/>
  <c r="R32" i="20" s="1"/>
  <c r="R37" i="20" s="1"/>
  <c r="R39" i="20" s="1"/>
  <c r="R34" i="20" s="1"/>
  <c r="R35" i="20" s="1"/>
  <c r="T32" i="20" s="1"/>
  <c r="S37" i="20"/>
  <c r="S35" i="20"/>
  <c r="U32" i="20" s="1"/>
  <c r="EA21" i="28" l="1"/>
  <c r="CL28" i="28"/>
  <c r="CJ50" i="28"/>
  <c r="CJ51" i="28" s="1"/>
  <c r="CK77" i="28"/>
  <c r="CK78" i="28" s="1"/>
  <c r="CK73" i="28"/>
  <c r="CK74" i="28" s="1"/>
  <c r="CK75" i="28" s="1"/>
  <c r="CK57" i="28"/>
  <c r="CK58" i="28" s="1"/>
  <c r="CK59" i="28" s="1"/>
  <c r="CK61" i="28"/>
  <c r="CK62" i="28" s="1"/>
  <c r="CK63" i="28" s="1"/>
  <c r="CK49" i="28"/>
  <c r="CK41" i="28"/>
  <c r="CK42" i="28" s="1"/>
  <c r="CK43" i="28" s="1"/>
  <c r="CI79" i="28"/>
  <c r="T37" i="20"/>
  <c r="U35" i="20"/>
  <c r="W32" i="20" s="1"/>
  <c r="U37" i="20"/>
  <c r="S39" i="20"/>
  <c r="CJ79" i="28" l="1"/>
  <c r="CK50" i="28"/>
  <c r="CK51" i="28" s="1"/>
  <c r="CL69" i="28"/>
  <c r="CL70" i="28" s="1"/>
  <c r="CL71" i="28" s="1"/>
  <c r="CL30" i="28"/>
  <c r="CL65" i="28"/>
  <c r="CL66" i="28" s="1"/>
  <c r="CL67" i="28" s="1"/>
  <c r="CL68" i="28" s="1"/>
  <c r="EA23" i="28"/>
  <c r="EA24" i="28" s="1"/>
  <c r="T39" i="20"/>
  <c r="T34" i="20" s="1"/>
  <c r="T35" i="20" s="1"/>
  <c r="V32" i="20" s="1"/>
  <c r="V37" i="20" s="1"/>
  <c r="U39" i="20"/>
  <c r="W37" i="20"/>
  <c r="W35" i="20"/>
  <c r="Y32" i="20" s="1"/>
  <c r="EB21" i="28" l="1"/>
  <c r="CM28" i="28"/>
  <c r="CL73" i="28"/>
  <c r="CL74" i="28" s="1"/>
  <c r="CL75" i="28" s="1"/>
  <c r="CL57" i="28"/>
  <c r="CL58" i="28" s="1"/>
  <c r="CL59" i="28" s="1"/>
  <c r="CL61" i="28"/>
  <c r="CL62" i="28" s="1"/>
  <c r="CL63" i="28" s="1"/>
  <c r="CL77" i="28"/>
  <c r="CL78" i="28" s="1"/>
  <c r="CL49" i="28"/>
  <c r="CL41" i="28"/>
  <c r="CL42" i="28" s="1"/>
  <c r="CL43" i="28" s="1"/>
  <c r="CK79" i="28"/>
  <c r="V39" i="20"/>
  <c r="V34" i="20" s="1"/>
  <c r="V35" i="20" s="1"/>
  <c r="X32" i="20" s="1"/>
  <c r="X37" i="20" s="1"/>
  <c r="Y35" i="20"/>
  <c r="AA32" i="20" s="1"/>
  <c r="Y37" i="20"/>
  <c r="Y39" i="20" s="1"/>
  <c r="W39" i="20"/>
  <c r="CL50" i="28" l="1"/>
  <c r="CL51" i="28" s="1"/>
  <c r="CM69" i="28"/>
  <c r="CM70" i="28" s="1"/>
  <c r="CM71" i="28" s="1"/>
  <c r="CM30" i="28"/>
  <c r="CM65" i="28"/>
  <c r="CM66" i="28" s="1"/>
  <c r="CM67" i="28" s="1"/>
  <c r="CM68" i="28" s="1"/>
  <c r="EB23" i="28"/>
  <c r="EB24" i="28" s="1"/>
  <c r="X39" i="20"/>
  <c r="X34" i="20" s="1"/>
  <c r="X35" i="20" s="1"/>
  <c r="Z32" i="20" s="1"/>
  <c r="Z37" i="20" s="1"/>
  <c r="Z39" i="20" s="1"/>
  <c r="Z34" i="20" s="1"/>
  <c r="Z35" i="20" s="1"/>
  <c r="AB32" i="20" s="1"/>
  <c r="AA37" i="20"/>
  <c r="AA39" i="20" s="1"/>
  <c r="AA35" i="20"/>
  <c r="AC32" i="20" s="1"/>
  <c r="EC21" i="28" l="1"/>
  <c r="CN28" i="28"/>
  <c r="CM61" i="28"/>
  <c r="CM62" i="28" s="1"/>
  <c r="CM63" i="28" s="1"/>
  <c r="CM77" i="28"/>
  <c r="CM78" i="28" s="1"/>
  <c r="CM73" i="28"/>
  <c r="CM74" i="28" s="1"/>
  <c r="CM75" i="28" s="1"/>
  <c r="CM49" i="28"/>
  <c r="CM57" i="28"/>
  <c r="CM58" i="28" s="1"/>
  <c r="CM59" i="28" s="1"/>
  <c r="CM41" i="28"/>
  <c r="CM42" i="28" s="1"/>
  <c r="CM43" i="28" s="1"/>
  <c r="CL79" i="28"/>
  <c r="AB37" i="20"/>
  <c r="AB39" i="20" s="1"/>
  <c r="AB34" i="20" s="1"/>
  <c r="AB35" i="20" s="1"/>
  <c r="AD32" i="20" s="1"/>
  <c r="AC37" i="20"/>
  <c r="AC35" i="20"/>
  <c r="AE32" i="20" s="1"/>
  <c r="CM50" i="28" l="1"/>
  <c r="CM51" i="28" s="1"/>
  <c r="CN69" i="28"/>
  <c r="CN70" i="28" s="1"/>
  <c r="CN71" i="28" s="1"/>
  <c r="CN30" i="28"/>
  <c r="CN65" i="28"/>
  <c r="CN66" i="28" s="1"/>
  <c r="CN67" i="28" s="1"/>
  <c r="CN68" i="28" s="1"/>
  <c r="EC23" i="28"/>
  <c r="EC24" i="28" s="1"/>
  <c r="AD37" i="20"/>
  <c r="AE37" i="20"/>
  <c r="AE35" i="20"/>
  <c r="AG32" i="20" s="1"/>
  <c r="AC39" i="20"/>
  <c r="ED21" i="28" l="1"/>
  <c r="CO28" i="28"/>
  <c r="CN61" i="28"/>
  <c r="CN62" i="28" s="1"/>
  <c r="CN63" i="28" s="1"/>
  <c r="CN77" i="28"/>
  <c r="CN78" i="28" s="1"/>
  <c r="CN73" i="28"/>
  <c r="CN74" i="28" s="1"/>
  <c r="CN75" i="28" s="1"/>
  <c r="CN57" i="28"/>
  <c r="CN58" i="28" s="1"/>
  <c r="CN59" i="28" s="1"/>
  <c r="CN49" i="28"/>
  <c r="CN41" i="28"/>
  <c r="CN42" i="28" s="1"/>
  <c r="CN43" i="28" s="1"/>
  <c r="CM79" i="28"/>
  <c r="AD39" i="20"/>
  <c r="AD34" i="20" s="1"/>
  <c r="AD35" i="20" s="1"/>
  <c r="AF32" i="20" s="1"/>
  <c r="AF37" i="20" s="1"/>
  <c r="AG35" i="20"/>
  <c r="AI32" i="20" s="1"/>
  <c r="AG37" i="20"/>
  <c r="AG39" i="20" s="1"/>
  <c r="AE39" i="20"/>
  <c r="CN50" i="28" l="1"/>
  <c r="CN51" i="28" s="1"/>
  <c r="CO69" i="28"/>
  <c r="CO70" i="28" s="1"/>
  <c r="CO71" i="28" s="1"/>
  <c r="CO30" i="28"/>
  <c r="CO65" i="28"/>
  <c r="CO66" i="28" s="1"/>
  <c r="CO67" i="28" s="1"/>
  <c r="CO68" i="28" s="1"/>
  <c r="ED23" i="28"/>
  <c r="ED24" i="28" s="1"/>
  <c r="AF39" i="20"/>
  <c r="AF34" i="20" s="1"/>
  <c r="AF35" i="20" s="1"/>
  <c r="AH32" i="20" s="1"/>
  <c r="AH37" i="20" s="1"/>
  <c r="AH39" i="20" s="1"/>
  <c r="AH34" i="20" s="1"/>
  <c r="AH35" i="20" s="1"/>
  <c r="AJ32" i="20" s="1"/>
  <c r="AI37" i="20"/>
  <c r="AI39" i="20" s="1"/>
  <c r="AI35" i="20"/>
  <c r="AK32" i="20" s="1"/>
  <c r="EE21" i="28" l="1"/>
  <c r="CP28" i="28"/>
  <c r="CO61" i="28"/>
  <c r="CO62" i="28" s="1"/>
  <c r="CO63" i="28" s="1"/>
  <c r="CO73" i="28"/>
  <c r="CO74" i="28" s="1"/>
  <c r="CO75" i="28" s="1"/>
  <c r="CO57" i="28"/>
  <c r="CO58" i="28" s="1"/>
  <c r="CO59" i="28" s="1"/>
  <c r="CO49" i="28"/>
  <c r="CO77" i="28"/>
  <c r="CO78" i="28" s="1"/>
  <c r="CO41" i="28"/>
  <c r="CO42" i="28" s="1"/>
  <c r="CO43" i="28" s="1"/>
  <c r="CN79" i="28"/>
  <c r="AJ37" i="20"/>
  <c r="AJ39" i="20" s="1"/>
  <c r="AJ34" i="20" s="1"/>
  <c r="AJ35" i="20" s="1"/>
  <c r="AL32" i="20" s="1"/>
  <c r="AK37" i="20"/>
  <c r="AK35" i="20"/>
  <c r="AM32" i="20" s="1"/>
  <c r="CO50" i="28" l="1"/>
  <c r="CO51" i="28" s="1"/>
  <c r="CP69" i="28"/>
  <c r="CP70" i="28" s="1"/>
  <c r="CP71" i="28" s="1"/>
  <c r="CP30" i="28"/>
  <c r="CP65" i="28"/>
  <c r="CP66" i="28" s="1"/>
  <c r="CP67" i="28" s="1"/>
  <c r="CP68" i="28" s="1"/>
  <c r="EE23" i="28"/>
  <c r="EE24" i="28" s="1"/>
  <c r="AL37" i="20"/>
  <c r="AM37" i="20"/>
  <c r="AM35" i="20"/>
  <c r="AO32" i="20" s="1"/>
  <c r="AK39" i="20"/>
  <c r="EF21" i="28" l="1"/>
  <c r="CQ28" i="28"/>
  <c r="CP61" i="28"/>
  <c r="CP62" i="28" s="1"/>
  <c r="CP63" i="28" s="1"/>
  <c r="CP49" i="28"/>
  <c r="CP77" i="28"/>
  <c r="CP78" i="28" s="1"/>
  <c r="CP73" i="28"/>
  <c r="CP74" i="28" s="1"/>
  <c r="CP75" i="28" s="1"/>
  <c r="CP41" i="28"/>
  <c r="CP42" i="28" s="1"/>
  <c r="CP43" i="28" s="1"/>
  <c r="CP57" i="28"/>
  <c r="CP58" i="28" s="1"/>
  <c r="CP59" i="28" s="1"/>
  <c r="CO79" i="28"/>
  <c r="AL39" i="20"/>
  <c r="AL34" i="20" s="1"/>
  <c r="AL35" i="20" s="1"/>
  <c r="AN32" i="20" s="1"/>
  <c r="AN37" i="20" s="1"/>
  <c r="AO35" i="20"/>
  <c r="AQ32" i="20" s="1"/>
  <c r="AO37" i="20"/>
  <c r="AO39" i="20" s="1"/>
  <c r="AM39" i="20"/>
  <c r="CP50" i="28" l="1"/>
  <c r="CP51" i="28" s="1"/>
  <c r="CQ69" i="28"/>
  <c r="CQ70" i="28" s="1"/>
  <c r="CQ71" i="28" s="1"/>
  <c r="CQ30" i="28"/>
  <c r="CQ65" i="28"/>
  <c r="CQ66" i="28" s="1"/>
  <c r="CQ67" i="28" s="1"/>
  <c r="CQ68" i="28" s="1"/>
  <c r="EF23" i="28"/>
  <c r="EF24" i="28" s="1"/>
  <c r="AN39" i="20"/>
  <c r="AN34" i="20" s="1"/>
  <c r="AN35" i="20" s="1"/>
  <c r="AP32" i="20" s="1"/>
  <c r="AP37" i="20" s="1"/>
  <c r="AP39" i="20" s="1"/>
  <c r="AP34" i="20" s="1"/>
  <c r="AP35" i="20" s="1"/>
  <c r="AR32" i="20" s="1"/>
  <c r="AQ37" i="20"/>
  <c r="AQ39" i="20" s="1"/>
  <c r="AQ35" i="20"/>
  <c r="AS32" i="20" s="1"/>
  <c r="CR28" i="28" l="1"/>
  <c r="EG21" i="28"/>
  <c r="CQ61" i="28"/>
  <c r="CQ62" i="28" s="1"/>
  <c r="CQ63" i="28" s="1"/>
  <c r="CQ77" i="28"/>
  <c r="CQ78" i="28" s="1"/>
  <c r="CQ57" i="28"/>
  <c r="CQ58" i="28" s="1"/>
  <c r="CQ59" i="28" s="1"/>
  <c r="CQ73" i="28"/>
  <c r="CQ74" i="28" s="1"/>
  <c r="CQ75" i="28" s="1"/>
  <c r="CQ41" i="28"/>
  <c r="CQ42" i="28" s="1"/>
  <c r="CQ43" i="28" s="1"/>
  <c r="CQ49" i="28"/>
  <c r="CP79" i="28"/>
  <c r="AR37" i="20"/>
  <c r="AR39" i="20" s="1"/>
  <c r="AR34" i="20" s="1"/>
  <c r="AR35" i="20" s="1"/>
  <c r="AT32" i="20" s="1"/>
  <c r="AT37" i="20" s="1"/>
  <c r="AS35" i="20"/>
  <c r="AU32" i="20" s="1"/>
  <c r="AS37" i="20"/>
  <c r="CQ50" i="28" l="1"/>
  <c r="CQ51" i="28" s="1"/>
  <c r="EG23" i="28"/>
  <c r="EG24" i="28" s="1"/>
  <c r="CR69" i="28"/>
  <c r="CR70" i="28" s="1"/>
  <c r="CR71" i="28" s="1"/>
  <c r="CR30" i="28"/>
  <c r="CR65" i="28"/>
  <c r="CR66" i="28" s="1"/>
  <c r="CR67" i="28" s="1"/>
  <c r="CR68" i="28" s="1"/>
  <c r="AU35" i="20"/>
  <c r="AW32" i="20" s="1"/>
  <c r="AU37" i="20"/>
  <c r="AS39" i="20"/>
  <c r="AT39" i="20" s="1"/>
  <c r="AT34" i="20" s="1"/>
  <c r="AT35" i="20" s="1"/>
  <c r="AV32" i="20" s="1"/>
  <c r="CS28" i="28" l="1"/>
  <c r="EH21" i="28"/>
  <c r="CR61" i="28"/>
  <c r="CR62" i="28" s="1"/>
  <c r="CR63" i="28" s="1"/>
  <c r="CR77" i="28"/>
  <c r="CR78" i="28" s="1"/>
  <c r="CR57" i="28"/>
  <c r="CR58" i="28" s="1"/>
  <c r="CR59" i="28" s="1"/>
  <c r="CR73" i="28"/>
  <c r="CR74" i="28" s="1"/>
  <c r="CR75" i="28" s="1"/>
  <c r="CR49" i="28"/>
  <c r="CR41" i="28"/>
  <c r="CR42" i="28" s="1"/>
  <c r="CR43" i="28" s="1"/>
  <c r="CQ79" i="28"/>
  <c r="AV37" i="20"/>
  <c r="AW35" i="20"/>
  <c r="AY32" i="20" s="1"/>
  <c r="AW37" i="20"/>
  <c r="AW39" i="20" s="1"/>
  <c r="AU39" i="20"/>
  <c r="CR50" i="28" l="1"/>
  <c r="CR51" i="28" s="1"/>
  <c r="EH23" i="28"/>
  <c r="EH24" i="28" s="1"/>
  <c r="CS69" i="28"/>
  <c r="CS70" i="28" s="1"/>
  <c r="CS71" i="28" s="1"/>
  <c r="CS30" i="28"/>
  <c r="CS65" i="28"/>
  <c r="CS66" i="28" s="1"/>
  <c r="CS67" i="28" s="1"/>
  <c r="CS68" i="28" s="1"/>
  <c r="AV39" i="20"/>
  <c r="AV34" i="20" s="1"/>
  <c r="AV35" i="20" s="1"/>
  <c r="AX32" i="20" s="1"/>
  <c r="AX37" i="20" s="1"/>
  <c r="AX39" i="20" s="1"/>
  <c r="AX34" i="20" s="1"/>
  <c r="AX35" i="20" s="1"/>
  <c r="AZ32" i="20" s="1"/>
  <c r="AY35" i="20"/>
  <c r="BA32" i="20" s="1"/>
  <c r="AY37" i="20"/>
  <c r="AY39" i="20" s="1"/>
  <c r="CT28" i="28" l="1"/>
  <c r="EI21" i="28"/>
  <c r="CS61" i="28"/>
  <c r="CS62" i="28" s="1"/>
  <c r="CS63" i="28" s="1"/>
  <c r="CS77" i="28"/>
  <c r="CS78" i="28" s="1"/>
  <c r="CS73" i="28"/>
  <c r="CS74" i="28" s="1"/>
  <c r="CS75" i="28" s="1"/>
  <c r="CS57" i="28"/>
  <c r="CS58" i="28" s="1"/>
  <c r="CS59" i="28" s="1"/>
  <c r="CS41" i="28"/>
  <c r="CS42" i="28" s="1"/>
  <c r="CS43" i="28" s="1"/>
  <c r="CS49" i="28"/>
  <c r="CR79" i="28"/>
  <c r="AZ37" i="20"/>
  <c r="AZ39" i="20" s="1"/>
  <c r="AZ34" i="20" s="1"/>
  <c r="AZ35" i="20" s="1"/>
  <c r="BB32" i="20" s="1"/>
  <c r="BA35" i="20"/>
  <c r="BA37" i="20"/>
  <c r="CS50" i="28" l="1"/>
  <c r="CS51" i="28" s="1"/>
  <c r="EI23" i="28"/>
  <c r="EI24" i="28" s="1"/>
  <c r="CU28" i="28" s="1"/>
  <c r="CT69" i="28"/>
  <c r="CT70" i="28" s="1"/>
  <c r="CT71" i="28" s="1"/>
  <c r="CT30" i="28"/>
  <c r="CT65" i="28"/>
  <c r="CT66" i="28" s="1"/>
  <c r="CT67" i="28" s="1"/>
  <c r="CT68" i="28" s="1"/>
  <c r="BB37" i="20"/>
  <c r="BC32" i="20"/>
  <c r="BA39" i="20"/>
  <c r="CU69" i="28" l="1"/>
  <c r="CU70" i="28" s="1"/>
  <c r="CU71" i="28" s="1"/>
  <c r="CU30" i="28"/>
  <c r="CU65" i="28"/>
  <c r="CU66" i="28" s="1"/>
  <c r="CU67" i="28" s="1"/>
  <c r="CU68" i="28" s="1"/>
  <c r="CT61" i="28"/>
  <c r="CT62" i="28" s="1"/>
  <c r="CT63" i="28" s="1"/>
  <c r="CT77" i="28"/>
  <c r="CT78" i="28" s="1"/>
  <c r="CT73" i="28"/>
  <c r="CT74" i="28" s="1"/>
  <c r="CT75" i="28" s="1"/>
  <c r="CT57" i="28"/>
  <c r="CT58" i="28" s="1"/>
  <c r="CT59" i="28" s="1"/>
  <c r="CT41" i="28"/>
  <c r="CT42" i="28" s="1"/>
  <c r="CT43" i="28" s="1"/>
  <c r="CT49" i="28"/>
  <c r="CS79" i="28"/>
  <c r="BB39" i="20"/>
  <c r="BB34" i="20" s="1"/>
  <c r="BB35" i="20" s="1"/>
  <c r="BF32" i="20" s="1"/>
  <c r="BF37" i="20" s="1"/>
  <c r="BC37" i="20"/>
  <c r="BC35" i="20"/>
  <c r="BE35" i="20"/>
  <c r="BE37" i="20"/>
  <c r="CT50" i="28" l="1"/>
  <c r="CT51" i="28" s="1"/>
  <c r="CU61" i="28"/>
  <c r="CU62" i="28" s="1"/>
  <c r="CU63" i="28" s="1"/>
  <c r="CU77" i="28"/>
  <c r="CU78" i="28" s="1"/>
  <c r="CU73" i="28"/>
  <c r="CU74" i="28" s="1"/>
  <c r="CU75" i="28" s="1"/>
  <c r="CU57" i="28"/>
  <c r="CU58" i="28" s="1"/>
  <c r="CU59" i="28" s="1"/>
  <c r="CU41" i="28"/>
  <c r="CU42" i="28" s="1"/>
  <c r="CU43" i="28" s="1"/>
  <c r="CU49" i="28"/>
  <c r="BD32" i="20"/>
  <c r="BD37" i="20" s="1"/>
  <c r="BE39" i="20"/>
  <c r="BF39" i="20" s="1"/>
  <c r="BF34" i="20" s="1"/>
  <c r="BF35" i="20" s="1"/>
  <c r="BG37" i="20"/>
  <c r="BG39" i="20" s="1"/>
  <c r="BG35" i="20"/>
  <c r="BI32" i="20" s="1"/>
  <c r="BI37" i="20" s="1"/>
  <c r="BC39" i="20"/>
  <c r="BD39" i="20" s="1"/>
  <c r="BD34" i="20" s="1"/>
  <c r="BD35" i="20" s="1"/>
  <c r="BH32" i="20" s="1"/>
  <c r="CU50" i="28" l="1"/>
  <c r="CU51" i="28" s="1"/>
  <c r="CT79" i="28"/>
  <c r="BI35" i="20"/>
  <c r="BK32" i="20" s="1"/>
  <c r="BK37" i="20" s="1"/>
  <c r="BH37" i="20"/>
  <c r="BI39" i="20"/>
  <c r="CU79" i="28" l="1"/>
  <c r="BK35" i="20"/>
  <c r="BM32" i="20" s="1"/>
  <c r="BM37" i="20" s="1"/>
  <c r="BK39" i="20"/>
  <c r="BM35" i="20" l="1"/>
  <c r="BO32" i="20" s="1"/>
  <c r="BO35" i="20" s="1"/>
  <c r="BQ32" i="20" s="1"/>
  <c r="BM39" i="20"/>
  <c r="AX5" i="15"/>
  <c r="AX3" i="15"/>
  <c r="CN19" i="2" s="1"/>
  <c r="CN37" i="2"/>
  <c r="CN53" i="2"/>
  <c r="CN54" i="2" s="1"/>
  <c r="CN55" i="2" s="1"/>
  <c r="DX63" i="10"/>
  <c r="DR22" i="10" s="1"/>
  <c r="U36" i="25"/>
  <c r="U23" i="25"/>
  <c r="U16" i="25"/>
  <c r="BO37" i="20" l="1"/>
  <c r="BO39" i="20" s="1"/>
  <c r="BQ35" i="20"/>
  <c r="BS32" i="20" s="1"/>
  <c r="BQ37" i="20"/>
  <c r="AX130" i="5"/>
  <c r="U10" i="25"/>
  <c r="U11" i="25" s="1"/>
  <c r="U26" i="25"/>
  <c r="U32" i="25" s="1"/>
  <c r="U33" i="25" s="1"/>
  <c r="U34" i="25" s="1"/>
  <c r="DR23" i="10"/>
  <c r="AX131" i="5" s="1"/>
  <c r="BS35" i="20" l="1"/>
  <c r="BU32" i="20" s="1"/>
  <c r="BS37" i="20"/>
  <c r="BS39" i="20" s="1"/>
  <c r="BQ39" i="20"/>
  <c r="U24" i="25"/>
  <c r="U28" i="25"/>
  <c r="U27" i="25"/>
  <c r="U35" i="25"/>
  <c r="BI4" i="20"/>
  <c r="BI25" i="20"/>
  <c r="BI12" i="20"/>
  <c r="BJ7" i="20"/>
  <c r="BJ12" i="20" s="1"/>
  <c r="BU37" i="20" l="1"/>
  <c r="BU35" i="20"/>
  <c r="BW32" i="20" s="1"/>
  <c r="U29" i="25"/>
  <c r="U30" i="25" s="1"/>
  <c r="U38" i="25" s="1"/>
  <c r="AW5" i="15"/>
  <c r="AW3" i="15"/>
  <c r="CM19" i="2" s="1"/>
  <c r="T9" i="25"/>
  <c r="DQ21" i="10"/>
  <c r="DQ20" i="10"/>
  <c r="AW128" i="5"/>
  <c r="T23" i="25"/>
  <c r="T16" i="25"/>
  <c r="T36" i="25"/>
  <c r="CM37" i="2"/>
  <c r="CM33" i="2"/>
  <c r="CM53" i="2" s="1"/>
  <c r="CM54" i="2" s="1"/>
  <c r="CM55" i="2" s="1"/>
  <c r="DV63" i="10"/>
  <c r="T26" i="25" s="1"/>
  <c r="T32" i="25" s="1"/>
  <c r="T33" i="25" s="1"/>
  <c r="T34" i="25" s="1"/>
  <c r="BW37" i="20" l="1"/>
  <c r="BW35" i="20"/>
  <c r="BY32" i="20" s="1"/>
  <c r="BU39" i="20"/>
  <c r="U37" i="25"/>
  <c r="U40" i="25" s="1"/>
  <c r="CN36" i="2" s="1"/>
  <c r="DR19" i="10"/>
  <c r="DQ22" i="10"/>
  <c r="T24" i="25"/>
  <c r="T35" i="25"/>
  <c r="T27" i="25"/>
  <c r="T28" i="25"/>
  <c r="BY37" i="20" l="1"/>
  <c r="BY35" i="20"/>
  <c r="BW39" i="20"/>
  <c r="AW130" i="5"/>
  <c r="T10" i="25"/>
  <c r="DQ23" i="10"/>
  <c r="T29" i="25"/>
  <c r="BY39" i="20" l="1"/>
  <c r="T11" i="25"/>
  <c r="AW131" i="5"/>
  <c r="T30" i="25"/>
  <c r="T38" i="25" s="1"/>
  <c r="T37" i="25" l="1"/>
  <c r="T40" i="25" s="1"/>
  <c r="CM36" i="2" s="1"/>
  <c r="CL37" i="2" l="1"/>
  <c r="CH37" i="2"/>
  <c r="CG37" i="2"/>
  <c r="CF37" i="2"/>
  <c r="CE37" i="2"/>
  <c r="CD37" i="2"/>
  <c r="CC37" i="2"/>
  <c r="CB37" i="2"/>
  <c r="CA37" i="2"/>
  <c r="BZ37" i="2"/>
  <c r="BY37" i="2"/>
  <c r="BX37" i="2"/>
  <c r="BW37" i="2"/>
  <c r="BU37" i="2"/>
  <c r="BT37" i="2"/>
  <c r="BS37" i="2"/>
  <c r="BR37" i="2"/>
  <c r="BQ37" i="2"/>
  <c r="BP37" i="2"/>
  <c r="BU36" i="2"/>
  <c r="BT36" i="2"/>
  <c r="BS36" i="2"/>
  <c r="BR36" i="2"/>
  <c r="BQ36" i="2"/>
  <c r="BP36" i="2"/>
  <c r="BO36" i="2"/>
  <c r="BN36" i="2"/>
  <c r="BM36" i="2"/>
  <c r="BL36" i="2"/>
  <c r="BK36" i="2"/>
  <c r="BJ36" i="2"/>
  <c r="BI36" i="2"/>
  <c r="BH36" i="2"/>
  <c r="BG36" i="2"/>
  <c r="BF36" i="2"/>
  <c r="BE36" i="2"/>
  <c r="BD36" i="2"/>
  <c r="BC36" i="2"/>
  <c r="BB36" i="2"/>
  <c r="BA36" i="2"/>
  <c r="AY36" i="2"/>
  <c r="AV36" i="2"/>
  <c r="AU36" i="2"/>
  <c r="AT36" i="2"/>
  <c r="AS36" i="2"/>
  <c r="AR36" i="2"/>
  <c r="AQ36" i="2"/>
  <c r="AP36" i="2"/>
  <c r="AO36" i="2"/>
  <c r="AN36" i="2"/>
  <c r="AM36" i="2"/>
  <c r="AL36" i="2"/>
  <c r="AK36" i="2"/>
  <c r="AJ36" i="2"/>
  <c r="AI36" i="2"/>
  <c r="AG36" i="2"/>
  <c r="AF36" i="2"/>
  <c r="AE36" i="2"/>
  <c r="AD36" i="2"/>
  <c r="AC36" i="2"/>
  <c r="AB36" i="2"/>
  <c r="AA36" i="2"/>
  <c r="S26" i="25" l="1"/>
  <c r="S32" i="25" s="1"/>
  <c r="Q32" i="25"/>
  <c r="S35" i="25" l="1"/>
  <c r="R36" i="25"/>
  <c r="S36" i="25"/>
  <c r="S33" i="25"/>
  <c r="S34" i="25" s="1"/>
  <c r="S27" i="25"/>
  <c r="S28" i="25"/>
  <c r="R26" i="25"/>
  <c r="R32" i="25" s="1"/>
  <c r="R11" i="25"/>
  <c r="S11" i="25"/>
  <c r="Q56" i="25"/>
  <c r="P56" i="25"/>
  <c r="O56" i="25"/>
  <c r="N56" i="25"/>
  <c r="M56" i="25"/>
  <c r="L56" i="25"/>
  <c r="K56" i="25"/>
  <c r="J56" i="25"/>
  <c r="I56" i="25"/>
  <c r="H56" i="25"/>
  <c r="G56" i="25"/>
  <c r="F56" i="25"/>
  <c r="E56" i="25"/>
  <c r="Q55" i="25"/>
  <c r="P55" i="25"/>
  <c r="O55" i="25"/>
  <c r="N55" i="25"/>
  <c r="M55" i="25"/>
  <c r="L55" i="25"/>
  <c r="K55" i="25"/>
  <c r="J55" i="25"/>
  <c r="I55" i="25"/>
  <c r="H55" i="25"/>
  <c r="G55" i="25"/>
  <c r="F55" i="25"/>
  <c r="E55" i="25"/>
  <c r="Q50" i="25"/>
  <c r="Q51" i="25" s="1"/>
  <c r="P50" i="25"/>
  <c r="P52" i="25" s="1"/>
  <c r="O50" i="25"/>
  <c r="O49" i="25" s="1"/>
  <c r="N50" i="25"/>
  <c r="N49" i="25" s="1"/>
  <c r="M50" i="25"/>
  <c r="M51" i="25" s="1"/>
  <c r="L50" i="25"/>
  <c r="L51" i="25" s="1"/>
  <c r="K50" i="25"/>
  <c r="K51" i="25" s="1"/>
  <c r="J50" i="25"/>
  <c r="J51" i="25" s="1"/>
  <c r="I50" i="25"/>
  <c r="I51" i="25" s="1"/>
  <c r="H50" i="25"/>
  <c r="H52" i="25" s="1"/>
  <c r="G50" i="25"/>
  <c r="G51" i="25" s="1"/>
  <c r="F50" i="25"/>
  <c r="F49" i="25" s="1"/>
  <c r="E50" i="25"/>
  <c r="E51" i="25" s="1"/>
  <c r="Q36" i="25"/>
  <c r="Q60" i="25" s="1"/>
  <c r="P36" i="25"/>
  <c r="P60" i="25" s="1"/>
  <c r="O36" i="25"/>
  <c r="O60" i="25" s="1"/>
  <c r="N36" i="25"/>
  <c r="N60" i="25" s="1"/>
  <c r="M36" i="25"/>
  <c r="M60" i="25" s="1"/>
  <c r="L36" i="25"/>
  <c r="L60" i="25" s="1"/>
  <c r="K36" i="25"/>
  <c r="K60" i="25" s="1"/>
  <c r="J36" i="25"/>
  <c r="J60" i="25" s="1"/>
  <c r="I36" i="25"/>
  <c r="I60" i="25" s="1"/>
  <c r="H36" i="25"/>
  <c r="H60" i="25" s="1"/>
  <c r="G36" i="25"/>
  <c r="G60" i="25" s="1"/>
  <c r="F36" i="25"/>
  <c r="F60" i="25" s="1"/>
  <c r="E36" i="25"/>
  <c r="E60" i="25" s="1"/>
  <c r="Q35" i="25"/>
  <c r="Q59" i="25" s="1"/>
  <c r="P35" i="25"/>
  <c r="P59" i="25" s="1"/>
  <c r="O35" i="25"/>
  <c r="O59" i="25" s="1"/>
  <c r="N35" i="25"/>
  <c r="N59" i="25" s="1"/>
  <c r="M35" i="25"/>
  <c r="M59" i="25" s="1"/>
  <c r="L35" i="25"/>
  <c r="L59" i="25" s="1"/>
  <c r="K35" i="25"/>
  <c r="K59" i="25" s="1"/>
  <c r="J35" i="25"/>
  <c r="J59" i="25" s="1"/>
  <c r="I35" i="25"/>
  <c r="I59" i="25" s="1"/>
  <c r="H35" i="25"/>
  <c r="H59" i="25" s="1"/>
  <c r="G35" i="25"/>
  <c r="G59" i="25" s="1"/>
  <c r="F35" i="25"/>
  <c r="F59" i="25" s="1"/>
  <c r="E35" i="25"/>
  <c r="E59" i="25" s="1"/>
  <c r="Q33" i="25"/>
  <c r="Q34" i="25" s="1"/>
  <c r="P33" i="25"/>
  <c r="P34" i="25" s="1"/>
  <c r="O33" i="25"/>
  <c r="O34" i="25" s="1"/>
  <c r="N33" i="25"/>
  <c r="N34" i="25" s="1"/>
  <c r="M33" i="25"/>
  <c r="M34" i="25" s="1"/>
  <c r="L33" i="25"/>
  <c r="L34" i="25" s="1"/>
  <c r="K33" i="25"/>
  <c r="K34" i="25" s="1"/>
  <c r="J33" i="25"/>
  <c r="J34" i="25" s="1"/>
  <c r="I33" i="25"/>
  <c r="I34" i="25" s="1"/>
  <c r="H33" i="25"/>
  <c r="H34" i="25" s="1"/>
  <c r="G33" i="25"/>
  <c r="G34" i="25" s="1"/>
  <c r="F33" i="25"/>
  <c r="F34" i="25" s="1"/>
  <c r="E33" i="25"/>
  <c r="E34" i="25" s="1"/>
  <c r="Q28" i="25"/>
  <c r="P28" i="25"/>
  <c r="O28" i="25"/>
  <c r="N28" i="25"/>
  <c r="M28" i="25"/>
  <c r="L28" i="25"/>
  <c r="K28" i="25"/>
  <c r="J28" i="25"/>
  <c r="I28" i="25"/>
  <c r="H28" i="25"/>
  <c r="G28" i="25"/>
  <c r="F28" i="25"/>
  <c r="E28" i="25"/>
  <c r="Q27" i="25"/>
  <c r="P27" i="25"/>
  <c r="O27" i="25"/>
  <c r="N27" i="25"/>
  <c r="M27" i="25"/>
  <c r="L27" i="25"/>
  <c r="K27" i="25"/>
  <c r="J27" i="25"/>
  <c r="I27" i="25"/>
  <c r="H27" i="25"/>
  <c r="G27" i="25"/>
  <c r="F27" i="25"/>
  <c r="E27" i="25"/>
  <c r="Q25" i="25"/>
  <c r="P25" i="25"/>
  <c r="O25" i="25"/>
  <c r="N25" i="25"/>
  <c r="M25" i="25"/>
  <c r="L25" i="25"/>
  <c r="K25" i="25"/>
  <c r="J25" i="25"/>
  <c r="I25" i="25"/>
  <c r="H25" i="25"/>
  <c r="G25" i="25"/>
  <c r="F25" i="25"/>
  <c r="E25" i="25"/>
  <c r="Q19" i="25"/>
  <c r="Q20" i="25" s="1"/>
  <c r="P19" i="25"/>
  <c r="P20" i="25" s="1"/>
  <c r="O19" i="25"/>
  <c r="O20" i="25" s="1"/>
  <c r="N19" i="25"/>
  <c r="N20" i="25" s="1"/>
  <c r="M19" i="25"/>
  <c r="M20" i="25" s="1"/>
  <c r="L19" i="25"/>
  <c r="L20" i="25" s="1"/>
  <c r="K12" i="25"/>
  <c r="J12" i="25"/>
  <c r="J19" i="25" s="1"/>
  <c r="J20" i="25" s="1"/>
  <c r="I12" i="25"/>
  <c r="H12" i="25"/>
  <c r="G12" i="25"/>
  <c r="F12" i="25"/>
  <c r="E12" i="25"/>
  <c r="Q11" i="25"/>
  <c r="Q13" i="25" s="1"/>
  <c r="P11" i="25"/>
  <c r="P13" i="25" s="1"/>
  <c r="O11" i="25"/>
  <c r="O13" i="25" s="1"/>
  <c r="O14" i="25" s="1"/>
  <c r="O17" i="25" s="1"/>
  <c r="N11" i="25"/>
  <c r="N13" i="25" s="1"/>
  <c r="M11" i="25"/>
  <c r="L11" i="25"/>
  <c r="L13" i="25" s="1"/>
  <c r="K11" i="25"/>
  <c r="J11" i="25"/>
  <c r="I11" i="25"/>
  <c r="H11" i="25"/>
  <c r="G11" i="25"/>
  <c r="F11" i="25"/>
  <c r="E11" i="25"/>
  <c r="M29" i="25" l="1"/>
  <c r="R27" i="25"/>
  <c r="E57" i="25"/>
  <c r="E58" i="25" s="1"/>
  <c r="E13" i="25"/>
  <c r="E14" i="25" s="1"/>
  <c r="E17" i="25" s="1"/>
  <c r="F57" i="25"/>
  <c r="F58" i="25" s="1"/>
  <c r="R24" i="25"/>
  <c r="R33" i="25"/>
  <c r="R34" i="25" s="1"/>
  <c r="H57" i="25"/>
  <c r="H58" i="25" s="1"/>
  <c r="P57" i="25"/>
  <c r="P58" i="25" s="1"/>
  <c r="R28" i="25"/>
  <c r="R29" i="25" s="1"/>
  <c r="R30" i="25" s="1"/>
  <c r="M57" i="25"/>
  <c r="M58" i="25" s="1"/>
  <c r="I52" i="25"/>
  <c r="N57" i="25"/>
  <c r="N58" i="25" s="1"/>
  <c r="O52" i="25"/>
  <c r="I49" i="25"/>
  <c r="I57" i="25"/>
  <c r="I58" i="25" s="1"/>
  <c r="R35" i="25"/>
  <c r="F13" i="25"/>
  <c r="F14" i="25" s="1"/>
  <c r="F17" i="25" s="1"/>
  <c r="Q49" i="25"/>
  <c r="H13" i="25"/>
  <c r="H14" i="25" s="1"/>
  <c r="H17" i="25" s="1"/>
  <c r="Q52" i="25"/>
  <c r="I13" i="25"/>
  <c r="I14" i="25" s="1"/>
  <c r="I17" i="25" s="1"/>
  <c r="J29" i="25"/>
  <c r="J30" i="25" s="1"/>
  <c r="J37" i="25" s="1"/>
  <c r="J40" i="25" s="1"/>
  <c r="O21" i="25"/>
  <c r="J57" i="25"/>
  <c r="J58" i="25" s="1"/>
  <c r="L29" i="25"/>
  <c r="L30" i="25" s="1"/>
  <c r="L37" i="25" s="1"/>
  <c r="L40" i="25" s="1"/>
  <c r="K57" i="25"/>
  <c r="K58" i="25" s="1"/>
  <c r="J13" i="25"/>
  <c r="J14" i="25" s="1"/>
  <c r="J17" i="25" s="1"/>
  <c r="J21" i="25" s="1"/>
  <c r="E29" i="25"/>
  <c r="M30" i="25"/>
  <c r="M37" i="25" s="1"/>
  <c r="M40" i="25" s="1"/>
  <c r="H29" i="25"/>
  <c r="H30" i="25" s="1"/>
  <c r="H37" i="25" s="1"/>
  <c r="H40" i="25" s="1"/>
  <c r="P29" i="25"/>
  <c r="P30" i="25" s="1"/>
  <c r="H49" i="25"/>
  <c r="F51" i="25"/>
  <c r="Q57" i="25"/>
  <c r="Q58" i="25" s="1"/>
  <c r="E19" i="25"/>
  <c r="E20" i="25" s="1"/>
  <c r="K13" i="25"/>
  <c r="K14" i="25" s="1"/>
  <c r="K17" i="25" s="1"/>
  <c r="F19" i="25"/>
  <c r="F20" i="25" s="1"/>
  <c r="K52" i="25"/>
  <c r="O51" i="25"/>
  <c r="K19" i="25"/>
  <c r="K20" i="25" s="1"/>
  <c r="I29" i="25"/>
  <c r="I30" i="25" s="1"/>
  <c r="I37" i="25" s="1"/>
  <c r="I40" i="25" s="1"/>
  <c r="Q29" i="25"/>
  <c r="G49" i="25"/>
  <c r="N51" i="25"/>
  <c r="L52" i="25"/>
  <c r="P51" i="25"/>
  <c r="L14" i="25"/>
  <c r="L17" i="25" s="1"/>
  <c r="L21" i="25" s="1"/>
  <c r="G13" i="25"/>
  <c r="G14" i="25" s="1"/>
  <c r="G17" i="25" s="1"/>
  <c r="M13" i="25"/>
  <c r="M14" i="25" s="1"/>
  <c r="M17" i="25" s="1"/>
  <c r="M21" i="25" s="1"/>
  <c r="G29" i="25"/>
  <c r="G30" i="25" s="1"/>
  <c r="G37" i="25" s="1"/>
  <c r="O29" i="25"/>
  <c r="O30" i="25" s="1"/>
  <c r="O38" i="25" s="1"/>
  <c r="J49" i="25"/>
  <c r="L57" i="25"/>
  <c r="L58" i="25" s="1"/>
  <c r="K29" i="25"/>
  <c r="K30" i="25" s="1"/>
  <c r="K37" i="25" s="1"/>
  <c r="G52" i="25"/>
  <c r="F29" i="25"/>
  <c r="F30" i="25" s="1"/>
  <c r="F37" i="25" s="1"/>
  <c r="F40" i="25" s="1"/>
  <c r="N29" i="25"/>
  <c r="N30" i="25" s="1"/>
  <c r="N37" i="25" s="1"/>
  <c r="N40" i="25" s="1"/>
  <c r="P49" i="25"/>
  <c r="H51" i="25"/>
  <c r="J52" i="25"/>
  <c r="G57" i="25"/>
  <c r="G58" i="25" s="1"/>
  <c r="O57" i="25"/>
  <c r="O58" i="25" s="1"/>
  <c r="N14" i="25"/>
  <c r="N17" i="25" s="1"/>
  <c r="N21" i="25" s="1"/>
  <c r="K49" i="25"/>
  <c r="Q14" i="25"/>
  <c r="Q17" i="25" s="1"/>
  <c r="Q21" i="25" s="1"/>
  <c r="G19" i="25"/>
  <c r="G20" i="25" s="1"/>
  <c r="L49" i="25"/>
  <c r="E52" i="25"/>
  <c r="M52" i="25"/>
  <c r="H19" i="25"/>
  <c r="H20" i="25" s="1"/>
  <c r="E49" i="25"/>
  <c r="M49" i="25"/>
  <c r="F52" i="25"/>
  <c r="N52" i="25"/>
  <c r="P14" i="25"/>
  <c r="P17" i="25" s="1"/>
  <c r="P21" i="25" s="1"/>
  <c r="I19" i="25"/>
  <c r="I20" i="25" s="1"/>
  <c r="Q30" i="25" l="1"/>
  <c r="Q38" i="25" s="1"/>
  <c r="E30" i="25"/>
  <c r="E37" i="25" s="1"/>
  <c r="E40" i="25" s="1"/>
  <c r="J53" i="25"/>
  <c r="J54" i="25" s="1"/>
  <c r="J61" i="25" s="1"/>
  <c r="J62" i="25" s="1"/>
  <c r="J65" i="25" s="1"/>
  <c r="O53" i="25"/>
  <c r="O54" i="25" s="1"/>
  <c r="O61" i="25" s="1"/>
  <c r="O62" i="25" s="1"/>
  <c r="K53" i="25"/>
  <c r="K54" i="25" s="1"/>
  <c r="K61" i="25" s="1"/>
  <c r="K62" i="25" s="1"/>
  <c r="R38" i="25"/>
  <c r="P37" i="25"/>
  <c r="P38" i="25"/>
  <c r="E21" i="25"/>
  <c r="Q53" i="25"/>
  <c r="Q54" i="25" s="1"/>
  <c r="Q61" i="25" s="1"/>
  <c r="Q62" i="25" s="1"/>
  <c r="F21" i="25"/>
  <c r="F44" i="25" s="1"/>
  <c r="I53" i="25"/>
  <c r="I54" i="25" s="1"/>
  <c r="I61" i="25" s="1"/>
  <c r="I62" i="25" s="1"/>
  <c r="I65" i="25" s="1"/>
  <c r="R37" i="25"/>
  <c r="G21" i="25"/>
  <c r="K21" i="25"/>
  <c r="H21" i="25"/>
  <c r="H44" i="25" s="1"/>
  <c r="H53" i="25"/>
  <c r="H54" i="25" s="1"/>
  <c r="H61" i="25" s="1"/>
  <c r="H62" i="25" s="1"/>
  <c r="H65" i="25" s="1"/>
  <c r="P53" i="25"/>
  <c r="P54" i="25" s="1"/>
  <c r="P61" i="25" s="1"/>
  <c r="P62" i="25" s="1"/>
  <c r="I21" i="25"/>
  <c r="I44" i="25" s="1"/>
  <c r="F53" i="25"/>
  <c r="F54" i="25" s="1"/>
  <c r="F61" i="25" s="1"/>
  <c r="F62" i="25" s="1"/>
  <c r="F65" i="25" s="1"/>
  <c r="L44" i="25"/>
  <c r="K40" i="25"/>
  <c r="G40" i="25"/>
  <c r="L53" i="25"/>
  <c r="L54" i="25" s="1"/>
  <c r="L61" i="25" s="1"/>
  <c r="L62" i="25" s="1"/>
  <c r="L65" i="25" s="1"/>
  <c r="N44" i="25"/>
  <c r="M44" i="25"/>
  <c r="G53" i="25"/>
  <c r="G54" i="25" s="1"/>
  <c r="O37" i="25"/>
  <c r="N53" i="25"/>
  <c r="N54" i="25" s="1"/>
  <c r="N61" i="25" s="1"/>
  <c r="N62" i="25" s="1"/>
  <c r="N65" i="25" s="1"/>
  <c r="M53" i="25"/>
  <c r="M54" i="25" s="1"/>
  <c r="M61" i="25" s="1"/>
  <c r="M62" i="25" s="1"/>
  <c r="M65" i="25" s="1"/>
  <c r="E53" i="25"/>
  <c r="E54" i="25" s="1"/>
  <c r="J44" i="25"/>
  <c r="G44" i="25" l="1"/>
  <c r="E44" i="25"/>
  <c r="R40" i="25"/>
  <c r="Q37" i="25"/>
  <c r="Q40" i="25" s="1"/>
  <c r="P40" i="25"/>
  <c r="P44" i="25" s="1"/>
  <c r="K44" i="25"/>
  <c r="O40" i="25"/>
  <c r="O44" i="25" s="1"/>
  <c r="K65" i="25"/>
  <c r="G61" i="25"/>
  <c r="G62" i="25" s="1"/>
  <c r="G65" i="25" s="1"/>
  <c r="E61" i="25"/>
  <c r="E62" i="25" s="1"/>
  <c r="E65" i="25" s="1"/>
  <c r="P65" i="25" l="1"/>
  <c r="Q44" i="25"/>
  <c r="Q65" i="25"/>
  <c r="O65" i="25"/>
  <c r="BE25" i="20"/>
  <c r="BE17" i="20"/>
  <c r="BE12" i="20"/>
  <c r="BG25" i="20"/>
  <c r="BG17" i="20"/>
  <c r="BG12" i="20"/>
  <c r="AV5" i="15"/>
  <c r="AV3" i="15"/>
  <c r="CL19" i="2" s="1"/>
  <c r="AU5" i="15"/>
  <c r="AU3" i="15"/>
  <c r="CK19" i="2" s="1"/>
  <c r="DP21" i="10"/>
  <c r="DT63" i="10"/>
  <c r="DP22" i="10" s="1"/>
  <c r="DR63" i="10"/>
  <c r="DO22" i="10" s="1"/>
  <c r="DQ19" i="10" l="1"/>
  <c r="AV130" i="5"/>
  <c r="DP23" i="10"/>
  <c r="AV131" i="5" s="1"/>
  <c r="DP20" i="10"/>
  <c r="DO20" i="10"/>
  <c r="AV128" i="5"/>
  <c r="AU128" i="5"/>
  <c r="DW17" i="2"/>
  <c r="DV17" i="2"/>
  <c r="AU130" i="5"/>
  <c r="DO21" i="10"/>
  <c r="DO23" i="10" l="1"/>
  <c r="AU131" i="5" s="1"/>
  <c r="DP19" i="10"/>
  <c r="BA21" i="20"/>
  <c r="DT17" i="2" l="1"/>
  <c r="DU17" i="2"/>
  <c r="DN21" i="10" l="1"/>
  <c r="DN20" i="10"/>
  <c r="AT128" i="5"/>
  <c r="DP63" i="10"/>
  <c r="DN22" i="10" s="1"/>
  <c r="AT130" i="5" s="1"/>
  <c r="BC25" i="20"/>
  <c r="BC17" i="20"/>
  <c r="BC12" i="20"/>
  <c r="AT5" i="15"/>
  <c r="AT3" i="15"/>
  <c r="CJ19" i="2" s="1"/>
  <c r="AS5" i="15"/>
  <c r="AS3" i="15"/>
  <c r="DO19" i="10" l="1"/>
  <c r="DN23" i="10"/>
  <c r="AT131" i="5" s="1"/>
  <c r="CI19" i="2"/>
  <c r="DM20" i="10"/>
  <c r="CE5" i="3"/>
  <c r="CF5" i="3"/>
  <c r="DM21" i="10"/>
  <c r="DN19" i="10" s="1"/>
  <c r="AS128" i="5"/>
  <c r="DN63" i="10"/>
  <c r="DM22" i="10" s="1"/>
  <c r="AS130" i="5" s="1"/>
  <c r="BA25" i="20"/>
  <c r="BA17" i="20"/>
  <c r="BA12" i="20"/>
  <c r="AY25" i="20"/>
  <c r="AY17" i="20"/>
  <c r="AY12" i="20"/>
  <c r="DM23" i="10" l="1"/>
  <c r="AS131" i="5" s="1"/>
  <c r="DL63" i="10"/>
  <c r="DL22" i="10" s="1"/>
  <c r="AR130" i="5" s="1"/>
  <c r="DL21" i="10" l="1"/>
  <c r="DL23" i="10" s="1"/>
  <c r="AR131" i="5" s="1"/>
  <c r="DL20" i="10"/>
  <c r="AR128" i="5"/>
  <c r="CD5" i="3"/>
  <c r="AR5" i="15"/>
  <c r="AR3" i="15"/>
  <c r="CH19" i="2" s="1"/>
  <c r="AW17" i="20"/>
  <c r="AW25" i="20" l="1"/>
  <c r="AW12" i="20"/>
  <c r="DK21" i="10"/>
  <c r="DK20" i="10"/>
  <c r="DJ63" i="10"/>
  <c r="DK22" i="10" s="1"/>
  <c r="AQ130" i="5" s="1"/>
  <c r="AQ128" i="5"/>
  <c r="CC5" i="3"/>
  <c r="AQ5" i="15"/>
  <c r="AQ3" i="15"/>
  <c r="CG19" i="2" s="1"/>
  <c r="AP5" i="15"/>
  <c r="AP3" i="15"/>
  <c r="CF19" i="2" s="1"/>
  <c r="F3" i="14"/>
  <c r="DH63" i="10"/>
  <c r="DJ22" i="10" s="1"/>
  <c r="DJ21" i="10"/>
  <c r="DJ20" i="10"/>
  <c r="AP128" i="5"/>
  <c r="CB5" i="3"/>
  <c r="CS17" i="2" l="1"/>
  <c r="CR17" i="2"/>
  <c r="CQ17" i="2"/>
  <c r="CO17" i="2"/>
  <c r="CP17" i="2"/>
  <c r="CN17" i="2"/>
  <c r="CM17" i="2"/>
  <c r="CL17" i="2"/>
  <c r="CK17" i="2"/>
  <c r="CJ17" i="2"/>
  <c r="CI17" i="2"/>
  <c r="AP132" i="5"/>
  <c r="CH17" i="2"/>
  <c r="AQ132" i="5"/>
  <c r="DK23" i="10"/>
  <c r="AQ131" i="5" s="1"/>
  <c r="AP130" i="5"/>
  <c r="CF20" i="2"/>
  <c r="CG20" i="2"/>
  <c r="DJ23" i="10"/>
  <c r="AP131" i="5" s="1"/>
  <c r="CF21" i="2"/>
  <c r="CF23" i="2" s="1"/>
  <c r="AY132" i="5" l="1"/>
  <c r="V12" i="25" s="1"/>
  <c r="DS25" i="10"/>
  <c r="AZ132" i="5"/>
  <c r="W12" i="25" s="1"/>
  <c r="DT25" i="10"/>
  <c r="CQ20" i="2"/>
  <c r="CQ22" i="2" s="1"/>
  <c r="CQ21" i="2"/>
  <c r="CQ23" i="2" s="1"/>
  <c r="BA132" i="5"/>
  <c r="X12" i="25" s="1"/>
  <c r="DU25" i="10"/>
  <c r="BB132" i="5"/>
  <c r="Y12" i="25" s="1"/>
  <c r="DV25" i="10"/>
  <c r="CP20" i="2"/>
  <c r="CP22" i="2" s="1"/>
  <c r="CP21" i="2"/>
  <c r="CP23" i="2" s="1"/>
  <c r="CS20" i="2"/>
  <c r="CS21" i="2"/>
  <c r="CS23" i="2" s="1"/>
  <c r="CO21" i="2"/>
  <c r="CO23" i="2" s="1"/>
  <c r="CO20" i="2"/>
  <c r="CO22" i="2" s="1"/>
  <c r="BC132" i="5"/>
  <c r="Z12" i="25" s="1"/>
  <c r="DW25" i="10"/>
  <c r="AT132" i="5"/>
  <c r="DN25" i="10"/>
  <c r="CK20" i="2"/>
  <c r="CK22" i="2" s="1"/>
  <c r="CK21" i="2"/>
  <c r="CK23" i="2" s="1"/>
  <c r="CL21" i="2"/>
  <c r="CL23" i="2" s="1"/>
  <c r="CL20" i="2"/>
  <c r="CL22" i="2" s="1"/>
  <c r="AU132" i="5"/>
  <c r="R12" i="25" s="1"/>
  <c r="DO25" i="10"/>
  <c r="CM20" i="2"/>
  <c r="CM22" i="2" s="1"/>
  <c r="CM21" i="2"/>
  <c r="CM23" i="2" s="1"/>
  <c r="CI21" i="2"/>
  <c r="CI23" i="2" s="1"/>
  <c r="CI20" i="2"/>
  <c r="CI22" i="2" s="1"/>
  <c r="AV132" i="5"/>
  <c r="S12" i="25" s="1"/>
  <c r="DP25" i="10"/>
  <c r="AS132" i="5"/>
  <c r="DM25" i="10"/>
  <c r="AW132" i="5"/>
  <c r="T12" i="25" s="1"/>
  <c r="DQ25" i="10"/>
  <c r="CJ21" i="2"/>
  <c r="CJ23" i="2" s="1"/>
  <c r="CJ20" i="2"/>
  <c r="CJ22" i="2" s="1"/>
  <c r="CN20" i="2"/>
  <c r="CN22" i="2" s="1"/>
  <c r="CN21" i="2"/>
  <c r="CN23" i="2" s="1"/>
  <c r="AX132" i="5"/>
  <c r="U12" i="25" s="1"/>
  <c r="DR25" i="10"/>
  <c r="AR132" i="5"/>
  <c r="DL25" i="10"/>
  <c r="DK25" i="10"/>
  <c r="AQ133" i="5" s="1"/>
  <c r="CH21" i="2"/>
  <c r="CH23" i="2" s="1"/>
  <c r="CH20" i="2"/>
  <c r="CH22" i="2" s="1"/>
  <c r="CG21" i="2"/>
  <c r="CG23" i="2" s="1"/>
  <c r="DJ25" i="10"/>
  <c r="CG22" i="2"/>
  <c r="CF22" i="2"/>
  <c r="DU26" i="10" l="1"/>
  <c r="BA133" i="5"/>
  <c r="X19" i="25"/>
  <c r="X20" i="25" s="1"/>
  <c r="X13" i="25"/>
  <c r="X14" i="25" s="1"/>
  <c r="DT26" i="10"/>
  <c r="AZ134" i="5" s="1"/>
  <c r="AZ133" i="5"/>
  <c r="W19" i="25"/>
  <c r="W20" i="25" s="1"/>
  <c r="W13" i="25"/>
  <c r="W14" i="25" s="1"/>
  <c r="DW26" i="10"/>
  <c r="BC133" i="5"/>
  <c r="BB133" i="5"/>
  <c r="DV26" i="10"/>
  <c r="BB134" i="5" s="1"/>
  <c r="AY133" i="5"/>
  <c r="DS26" i="10"/>
  <c r="CS22" i="2"/>
  <c r="Z19" i="25"/>
  <c r="Z20" i="25" s="1"/>
  <c r="Z13" i="25"/>
  <c r="Z14" i="25" s="1"/>
  <c r="Y19" i="25"/>
  <c r="Y20" i="25" s="1"/>
  <c r="Y13" i="25"/>
  <c r="Y14" i="25" s="1"/>
  <c r="V19" i="25"/>
  <c r="V20" i="25" s="1"/>
  <c r="V13" i="25"/>
  <c r="V14" i="25" s="1"/>
  <c r="V17" i="25" s="1"/>
  <c r="DM26" i="10"/>
  <c r="AS134" i="5" s="1"/>
  <c r="AS133" i="5"/>
  <c r="R13" i="25"/>
  <c r="R14" i="25" s="1"/>
  <c r="R17" i="25" s="1"/>
  <c r="R19" i="25"/>
  <c r="R20" i="25" s="1"/>
  <c r="AV133" i="5"/>
  <c r="DP26" i="10"/>
  <c r="AX133" i="5"/>
  <c r="DR26" i="10"/>
  <c r="AX134" i="5" s="1"/>
  <c r="BL20" i="20" s="1"/>
  <c r="BL25" i="20" s="1"/>
  <c r="DO26" i="10"/>
  <c r="AU133" i="5"/>
  <c r="S13" i="25"/>
  <c r="S14" i="25" s="1"/>
  <c r="S17" i="25" s="1"/>
  <c r="S19" i="25"/>
  <c r="S20" i="25" s="1"/>
  <c r="T19" i="25"/>
  <c r="T20" i="25" s="1"/>
  <c r="T13" i="25"/>
  <c r="T14" i="25" s="1"/>
  <c r="T17" i="25" s="1"/>
  <c r="U19" i="25"/>
  <c r="U20" i="25" s="1"/>
  <c r="U13" i="25"/>
  <c r="U14" i="25" s="1"/>
  <c r="DQ26" i="10"/>
  <c r="AW133" i="5"/>
  <c r="AT133" i="5"/>
  <c r="DN26" i="10"/>
  <c r="DK26" i="10"/>
  <c r="AQ134" i="5" s="1"/>
  <c r="AX20" i="20" s="1"/>
  <c r="AX25" i="20" s="1"/>
  <c r="CG39" i="2" s="1"/>
  <c r="DL26" i="10"/>
  <c r="AR134" i="5" s="1"/>
  <c r="AR133" i="5"/>
  <c r="DJ26" i="10"/>
  <c r="AP134" i="5" s="1"/>
  <c r="AP133" i="5"/>
  <c r="AU25" i="20"/>
  <c r="AU12" i="20"/>
  <c r="V21" i="25" l="1"/>
  <c r="V44" i="25" s="1"/>
  <c r="CP34" i="2"/>
  <c r="W17" i="25"/>
  <c r="W21" i="25" s="1"/>
  <c r="BP20" i="20"/>
  <c r="CQ34" i="2"/>
  <c r="X17" i="25"/>
  <c r="X21" i="25" s="1"/>
  <c r="Y17" i="25"/>
  <c r="Y21" i="25" s="1"/>
  <c r="CR34" i="2"/>
  <c r="BN20" i="20"/>
  <c r="CO34" i="2"/>
  <c r="AY134" i="5"/>
  <c r="CS34" i="2"/>
  <c r="CS45" i="2"/>
  <c r="CS46" i="2" s="1"/>
  <c r="CS47" i="2" s="1"/>
  <c r="Z17" i="25"/>
  <c r="Z21" i="25" s="1"/>
  <c r="BC134" i="5"/>
  <c r="BT20" i="20"/>
  <c r="BT25" i="20" s="1"/>
  <c r="BA134" i="5"/>
  <c r="BR20" i="20"/>
  <c r="BR25" i="20" s="1"/>
  <c r="T21" i="25"/>
  <c r="T44" i="25" s="1"/>
  <c r="U17" i="25"/>
  <c r="U21" i="25" s="1"/>
  <c r="U44" i="25" s="1"/>
  <c r="CN34" i="2"/>
  <c r="S21" i="25"/>
  <c r="AW134" i="5"/>
  <c r="CM34" i="2" s="1"/>
  <c r="BJ20" i="20"/>
  <c r="BJ25" i="20" s="1"/>
  <c r="AT134" i="5"/>
  <c r="CJ34" i="2" s="1"/>
  <c r="BD20" i="20"/>
  <c r="BD25" i="20" s="1"/>
  <c r="AV134" i="5"/>
  <c r="BH20" i="20"/>
  <c r="R21" i="25"/>
  <c r="R44" i="25" s="1"/>
  <c r="AU134" i="5"/>
  <c r="CK34" i="2" s="1"/>
  <c r="BF20" i="20"/>
  <c r="BF25" i="20" s="1"/>
  <c r="BB20" i="20"/>
  <c r="BB25" i="20" s="1"/>
  <c r="CI34" i="2"/>
  <c r="CG34" i="2"/>
  <c r="CH34" i="2"/>
  <c r="AZ20" i="20"/>
  <c r="AZ25" i="20" s="1"/>
  <c r="CH39" i="2" s="1"/>
  <c r="CF34" i="2"/>
  <c r="AV20" i="20"/>
  <c r="AV25" i="20" s="1"/>
  <c r="CF39" i="2" s="1"/>
  <c r="AS25" i="20"/>
  <c r="AS17" i="20"/>
  <c r="AS12" i="20"/>
  <c r="CA5" i="3"/>
  <c r="AO132" i="5"/>
  <c r="DI21" i="10"/>
  <c r="DI20" i="10"/>
  <c r="DF63" i="10"/>
  <c r="DI22" i="10" s="1"/>
  <c r="AO130" i="5" s="1"/>
  <c r="BN25" i="20" l="1"/>
  <c r="CR32" i="2"/>
  <c r="Y44" i="25"/>
  <c r="CQ32" i="2"/>
  <c r="X44" i="25"/>
  <c r="CP45" i="2"/>
  <c r="CP46" i="2" s="1"/>
  <c r="CP47" i="2" s="1"/>
  <c r="BP25" i="20"/>
  <c r="CP32" i="2"/>
  <c r="W44" i="25"/>
  <c r="CS32" i="2"/>
  <c r="Z44" i="25"/>
  <c r="BH25" i="20"/>
  <c r="CL39" i="2" s="1"/>
  <c r="CL34" i="2"/>
  <c r="DI23" i="10"/>
  <c r="DI25" i="10" l="1"/>
  <c r="AO131" i="5"/>
  <c r="DI26" i="10" l="1"/>
  <c r="AO134" i="5" s="1"/>
  <c r="AO133" i="5"/>
  <c r="CE34" i="2" l="1"/>
  <c r="AT20" i="20"/>
  <c r="AT25" i="20" s="1"/>
  <c r="CE39" i="2" s="1"/>
  <c r="AO128" i="5"/>
  <c r="AO5" i="15"/>
  <c r="AO3" i="15"/>
  <c r="CE19" i="2" s="1"/>
  <c r="CE21" i="2" l="1"/>
  <c r="CE23" i="2" s="1"/>
  <c r="AN5" i="15"/>
  <c r="AQ25" i="20"/>
  <c r="AQ17" i="20"/>
  <c r="AQ12" i="20"/>
  <c r="BZ5" i="3"/>
  <c r="DD63" i="10"/>
  <c r="DH22" i="10" s="1"/>
  <c r="AN130" i="5" s="1"/>
  <c r="DH21" i="10"/>
  <c r="DH20" i="10"/>
  <c r="DG21" i="10"/>
  <c r="CE20" i="2" l="1"/>
  <c r="AN3" i="15"/>
  <c r="DH23" i="10"/>
  <c r="DH25" i="10" s="1"/>
  <c r="DH26" i="10" s="1"/>
  <c r="CE22" i="2" l="1"/>
  <c r="AN131" i="5"/>
  <c r="AN134" i="5" l="1"/>
  <c r="AN133" i="5"/>
  <c r="AN132" i="5"/>
  <c r="AN128" i="5"/>
  <c r="CD19" i="2"/>
  <c r="CD34" i="2" l="1"/>
  <c r="AR20" i="20"/>
  <c r="AR25" i="20" s="1"/>
  <c r="CD39" i="2" s="1"/>
  <c r="CD20" i="2"/>
  <c r="AM5" i="15"/>
  <c r="AM3" i="15"/>
  <c r="CC19" i="2" s="1"/>
  <c r="BY5" i="3"/>
  <c r="DB63" i="10"/>
  <c r="DG22" i="10" s="1"/>
  <c r="AM128" i="5"/>
  <c r="AL128" i="5"/>
  <c r="DG20" i="10"/>
  <c r="AM132" i="5"/>
  <c r="AO25" i="20"/>
  <c r="AO17" i="20"/>
  <c r="AO12" i="20"/>
  <c r="CD21" i="2" l="1"/>
  <c r="CD23" i="2" s="1"/>
  <c r="CD22" i="2"/>
  <c r="DG23" i="10"/>
  <c r="AM131" i="5" s="1"/>
  <c r="AM130" i="5"/>
  <c r="CC21" i="2"/>
  <c r="CC23" i="2" s="1"/>
  <c r="AL5" i="15"/>
  <c r="AL3" i="15"/>
  <c r="CB19" i="2" s="1"/>
  <c r="BX5" i="3"/>
  <c r="DF21" i="10"/>
  <c r="DF20" i="10"/>
  <c r="CZ63" i="10"/>
  <c r="AL130" i="5" s="1"/>
  <c r="AM25" i="20"/>
  <c r="AM17" i="20"/>
  <c r="AM12" i="20"/>
  <c r="AK5" i="15"/>
  <c r="AJ5" i="15"/>
  <c r="AI5" i="15"/>
  <c r="AK3" i="15"/>
  <c r="CA19" i="2" s="1"/>
  <c r="BW5" i="3"/>
  <c r="DG25" i="10" l="1"/>
  <c r="AM133" i="5" s="1"/>
  <c r="CC20" i="2"/>
  <c r="DF22" i="10"/>
  <c r="DF23" i="10" s="1"/>
  <c r="AK17" i="20"/>
  <c r="AI17" i="20"/>
  <c r="AG17" i="20"/>
  <c r="AE17" i="20"/>
  <c r="AK25" i="20"/>
  <c r="AL20" i="20"/>
  <c r="AL25" i="20" s="1"/>
  <c r="CA39" i="2" s="1"/>
  <c r="AK12" i="20"/>
  <c r="DE20" i="10"/>
  <c r="DD20" i="10"/>
  <c r="DE21" i="10"/>
  <c r="AK128" i="5"/>
  <c r="AJ128" i="5"/>
  <c r="CX63" i="10"/>
  <c r="AK130" i="5" s="1"/>
  <c r="AJ3" i="15"/>
  <c r="DG26" i="10" l="1"/>
  <c r="AM134" i="5" s="1"/>
  <c r="CC34" i="2" s="1"/>
  <c r="CC22" i="2"/>
  <c r="AL131" i="5"/>
  <c r="DE22" i="10"/>
  <c r="DE23" i="10" s="1"/>
  <c r="AK131" i="5" s="1"/>
  <c r="CV63" i="10"/>
  <c r="DD22" i="10" s="1"/>
  <c r="AJ130" i="5" s="1"/>
  <c r="AP20" i="20" l="1"/>
  <c r="AP25" i="20" s="1"/>
  <c r="CC39" i="2" s="1"/>
  <c r="BV5" i="3"/>
  <c r="AI12" i="20" l="1"/>
  <c r="AI25" i="20"/>
  <c r="AJ20" i="20"/>
  <c r="AJ25" i="20" s="1"/>
  <c r="BZ39" i="2" s="1"/>
  <c r="DD21" i="10"/>
  <c r="DD23" i="10" s="1"/>
  <c r="AJ131" i="5" s="1"/>
  <c r="BU5" i="3" l="1"/>
  <c r="AG25" i="20" l="1"/>
  <c r="AH20" i="20"/>
  <c r="AH25" i="20" s="1"/>
  <c r="BY39" i="2" s="1"/>
  <c r="AG12" i="20"/>
  <c r="AI3" i="15"/>
  <c r="AH128" i="5"/>
  <c r="AI128" i="5"/>
  <c r="CT63" i="10"/>
  <c r="DC22" i="10" s="1"/>
  <c r="AI130" i="5" s="1"/>
  <c r="DB20" i="10"/>
  <c r="DC20" i="10"/>
  <c r="DC21" i="10"/>
  <c r="AE25" i="20"/>
  <c r="AF20" i="20"/>
  <c r="AF25" i="20" s="1"/>
  <c r="BX39" i="2" s="1"/>
  <c r="AE12" i="20"/>
  <c r="BY19" i="2" l="1"/>
  <c r="BZ19" i="2"/>
  <c r="DC23" i="10"/>
  <c r="AI131" i="5" s="1"/>
  <c r="BT5" i="3"/>
  <c r="AH3" i="15"/>
  <c r="DB21" i="10"/>
  <c r="CR63" i="10"/>
  <c r="AH130" i="5" s="1"/>
  <c r="AG3" i="15"/>
  <c r="BX19" i="2" s="1"/>
  <c r="AC25" i="20"/>
  <c r="AD20" i="20"/>
  <c r="AD25" i="20" s="1"/>
  <c r="BW39" i="2" s="1"/>
  <c r="AC12" i="20"/>
  <c r="BW19" i="2" l="1"/>
  <c r="DB22" i="10"/>
  <c r="DB23" i="10" s="1"/>
  <c r="BS5" i="3"/>
  <c r="CP63" i="10"/>
  <c r="CD22" i="10" s="1"/>
  <c r="CV26" i="2" s="1"/>
  <c r="CD20" i="10"/>
  <c r="CC20" i="10"/>
  <c r="CD21" i="10"/>
  <c r="AG128" i="5"/>
  <c r="F22" i="22"/>
  <c r="F21" i="22"/>
  <c r="F20" i="22"/>
  <c r="F19" i="22"/>
  <c r="F18" i="22"/>
  <c r="F17" i="22"/>
  <c r="F16" i="22"/>
  <c r="F15" i="22"/>
  <c r="F14" i="22"/>
  <c r="F13" i="22"/>
  <c r="F12" i="22"/>
  <c r="G5" i="22"/>
  <c r="H9" i="22" s="1"/>
  <c r="C5" i="22"/>
  <c r="D9" i="22" s="1"/>
  <c r="CV27" i="2" l="1"/>
  <c r="EG22" i="2"/>
  <c r="CR24" i="2"/>
  <c r="CU24" i="2"/>
  <c r="CU26" i="2" s="1"/>
  <c r="CT24" i="2"/>
  <c r="CT26" i="2" s="1"/>
  <c r="CS24" i="2"/>
  <c r="CS26" i="2" s="1"/>
  <c r="CP24" i="2"/>
  <c r="CP26" i="2" s="1"/>
  <c r="EA22" i="2" s="1"/>
  <c r="CQ24" i="2"/>
  <c r="CQ26" i="2" s="1"/>
  <c r="CM24" i="2"/>
  <c r="CM26" i="2" s="1"/>
  <c r="CM27" i="2" s="1"/>
  <c r="CO24" i="2"/>
  <c r="CO26" i="2" s="1"/>
  <c r="CN24" i="2"/>
  <c r="CN26" i="2" s="1"/>
  <c r="CJ24" i="2"/>
  <c r="CJ26" i="2" s="1"/>
  <c r="CJ27" i="2" s="1"/>
  <c r="CL24" i="2"/>
  <c r="CL26" i="2" s="1"/>
  <c r="CK24" i="2"/>
  <c r="CK26" i="2" s="1"/>
  <c r="AH131" i="5"/>
  <c r="AG130" i="5"/>
  <c r="CD23" i="10"/>
  <c r="AG131" i="5" s="1"/>
  <c r="D10" i="22"/>
  <c r="C10" i="22" s="1"/>
  <c r="H10" i="22"/>
  <c r="G10" i="22" s="1"/>
  <c r="D23" i="22"/>
  <c r="D25" i="22" s="1"/>
  <c r="D26" i="22" s="1"/>
  <c r="H23" i="22"/>
  <c r="CI24" i="2" s="1"/>
  <c r="CI26" i="2" s="1"/>
  <c r="CU27" i="2" l="1"/>
  <c r="EF22" i="2"/>
  <c r="ED22" i="2"/>
  <c r="CS27" i="2"/>
  <c r="CT27" i="2"/>
  <c r="EE22" i="2"/>
  <c r="CP27" i="2"/>
  <c r="CQ27" i="2"/>
  <c r="EB22" i="2"/>
  <c r="DX22" i="2"/>
  <c r="CN27" i="2"/>
  <c r="DY22" i="2"/>
  <c r="DZ22" i="2"/>
  <c r="CO27" i="2"/>
  <c r="DU22" i="2"/>
  <c r="DV22" i="2"/>
  <c r="CK27" i="2"/>
  <c r="DW22" i="2"/>
  <c r="CL27" i="2"/>
  <c r="CI27" i="2"/>
  <c r="DT22" i="2"/>
  <c r="CB24" i="2"/>
  <c r="BZ24" i="2"/>
  <c r="CC24" i="2"/>
  <c r="CC26" i="2" s="1"/>
  <c r="DN22" i="2" s="1"/>
  <c r="CE24" i="2"/>
  <c r="CE26" i="2" s="1"/>
  <c r="CE27" i="2" s="1"/>
  <c r="CD24" i="2"/>
  <c r="CD26" i="2" s="1"/>
  <c r="CD27" i="2" s="1"/>
  <c r="BY24" i="2"/>
  <c r="CA24" i="2"/>
  <c r="CH24" i="2"/>
  <c r="CH26" i="2" s="1"/>
  <c r="CH27" i="2" s="1"/>
  <c r="BW24" i="2"/>
  <c r="CF24" i="2"/>
  <c r="CF26" i="2" s="1"/>
  <c r="CF27" i="2" s="1"/>
  <c r="BX24" i="2"/>
  <c r="CG24" i="2"/>
  <c r="CG26" i="2" s="1"/>
  <c r="DR22" i="2" s="1"/>
  <c r="H25" i="22"/>
  <c r="H26" i="22" s="1"/>
  <c r="H27" i="22" s="1"/>
  <c r="D27" i="22"/>
  <c r="C26" i="22"/>
  <c r="CC27" i="2" l="1"/>
  <c r="CG27" i="2"/>
  <c r="DP22" i="2"/>
  <c r="H28" i="22"/>
  <c r="H29" i="22" s="1"/>
  <c r="DO22" i="2"/>
  <c r="G26" i="22"/>
  <c r="G27" i="22" s="1"/>
  <c r="DQ22" i="2"/>
  <c r="DS22" i="2"/>
  <c r="AF3" i="15"/>
  <c r="BV19" i="2" s="1"/>
  <c r="BR5" i="3" l="1"/>
  <c r="CC21" i="10"/>
  <c r="AF128" i="5"/>
  <c r="CN63" i="10"/>
  <c r="CC22" i="10" s="1"/>
  <c r="AF130" i="5" s="1"/>
  <c r="AA25" i="20"/>
  <c r="AB20" i="20"/>
  <c r="AB25" i="20" s="1"/>
  <c r="AA12" i="20"/>
  <c r="CC23" i="10" l="1"/>
  <c r="AF131" i="5" s="1"/>
  <c r="Y12" i="20"/>
  <c r="Y25" i="20"/>
  <c r="AT21" i="10"/>
  <c r="AT20" i="10"/>
  <c r="BQ5" i="3"/>
  <c r="AE128" i="5" l="1"/>
  <c r="CL63" i="10"/>
  <c r="AE130" i="5" l="1"/>
  <c r="AT22" i="10"/>
  <c r="AT23" i="10" s="1"/>
  <c r="AT63" i="10"/>
  <c r="CJ63" i="10"/>
  <c r="AD130" i="5" s="1"/>
  <c r="AS21" i="10"/>
  <c r="AS20" i="10"/>
  <c r="AD128" i="5"/>
  <c r="BP5" i="3"/>
  <c r="W25" i="20"/>
  <c r="W12" i="20"/>
  <c r="S7" i="20"/>
  <c r="AE131" i="5" l="1"/>
  <c r="AS22" i="10"/>
  <c r="AS23" i="10" s="1"/>
  <c r="BO5" i="3"/>
  <c r="U25" i="20"/>
  <c r="AR21" i="10"/>
  <c r="AR20" i="10"/>
  <c r="U12" i="20"/>
  <c r="CH63" i="10"/>
  <c r="AR22" i="10" s="1"/>
  <c r="AC130" i="5" s="1"/>
  <c r="AC128" i="5"/>
  <c r="AD131" i="5" l="1"/>
  <c r="AR23" i="10"/>
  <c r="AC131" i="5" s="1"/>
  <c r="S25" i="20" l="1"/>
  <c r="S12" i="20"/>
  <c r="CF63" i="10"/>
  <c r="AQ22" i="10" s="1"/>
  <c r="AB130" i="5" s="1"/>
  <c r="AQ21" i="10"/>
  <c r="AQ20" i="10"/>
  <c r="AB128" i="5"/>
  <c r="AQ23" i="10" l="1"/>
  <c r="AB131" i="5" s="1"/>
  <c r="BN5" i="3" l="1"/>
  <c r="C6" i="20" l="1"/>
  <c r="Q25" i="20" l="1"/>
  <c r="Q12" i="20"/>
  <c r="BM5" i="3"/>
  <c r="CD63" i="10"/>
  <c r="AP22" i="10" s="1"/>
  <c r="AA130" i="5" s="1"/>
  <c r="AP21" i="10"/>
  <c r="AP20" i="10"/>
  <c r="AA128" i="5"/>
  <c r="AP23" i="10" l="1"/>
  <c r="BL5" i="3"/>
  <c r="AA131" i="5" l="1"/>
  <c r="B6" i="10"/>
  <c r="O25" i="20" l="1"/>
  <c r="O12" i="20"/>
  <c r="AO21" i="10"/>
  <c r="CB63" i="10"/>
  <c r="AO22" i="10" s="1"/>
  <c r="Z130" i="5" s="1"/>
  <c r="AO20" i="10"/>
  <c r="Z128" i="5"/>
  <c r="AJ63" i="10"/>
  <c r="AL63" i="10"/>
  <c r="AN63" i="10"/>
  <c r="AP63" i="10"/>
  <c r="AR63" i="10"/>
  <c r="M25" i="20"/>
  <c r="M12" i="20"/>
  <c r="AN21" i="10"/>
  <c r="BZ63" i="10"/>
  <c r="AN22" i="10" s="1"/>
  <c r="Y130" i="5" s="1"/>
  <c r="BK5" i="3"/>
  <c r="AN20" i="10"/>
  <c r="Y128" i="5"/>
  <c r="AO23" i="10" l="1"/>
  <c r="Z131" i="5" s="1"/>
  <c r="AN23" i="10"/>
  <c r="Y131" i="5" l="1"/>
  <c r="X129" i="5" l="1"/>
  <c r="K25" i="20"/>
  <c r="K12" i="20"/>
  <c r="BJ5" i="3" l="1"/>
  <c r="BI5" i="3"/>
  <c r="BX63" i="10"/>
  <c r="AM22" i="10" s="1"/>
  <c r="AM20" i="10"/>
  <c r="X128" i="5"/>
  <c r="AM23" i="10" l="1"/>
  <c r="X131" i="5" s="1"/>
  <c r="X130" i="5"/>
  <c r="W3" i="15" l="1"/>
  <c r="BM19" i="2" s="1"/>
  <c r="I25" i="20"/>
  <c r="I12" i="20"/>
  <c r="AL20" i="10"/>
  <c r="W128" i="5"/>
  <c r="W129" i="5"/>
  <c r="BV63" i="10"/>
  <c r="AL22" i="10" s="1"/>
  <c r="AL23" i="10" s="1"/>
  <c r="W131" i="5" s="1"/>
  <c r="G12" i="20"/>
  <c r="E12" i="20"/>
  <c r="C12" i="20"/>
  <c r="C11" i="20"/>
  <c r="G25" i="20"/>
  <c r="E25" i="20"/>
  <c r="C25" i="20"/>
  <c r="C24" i="20"/>
  <c r="C13" i="20" l="1"/>
  <c r="W130" i="5"/>
  <c r="C26" i="20"/>
  <c r="C22" i="20" l="1"/>
  <c r="E19" i="20" s="1"/>
  <c r="C9" i="20"/>
  <c r="E6" i="20" s="1"/>
  <c r="E11" i="20" s="1"/>
  <c r="E13" i="20" l="1"/>
  <c r="E22" i="20"/>
  <c r="E24" i="20"/>
  <c r="E9" i="20"/>
  <c r="G6" i="20" s="1"/>
  <c r="G11" i="20" s="1"/>
  <c r="G13" i="20" s="1"/>
  <c r="G19" i="20" l="1"/>
  <c r="G24" i="20" s="1"/>
  <c r="G26" i="20" s="1"/>
  <c r="E26" i="20"/>
  <c r="G9" i="20"/>
  <c r="I6" i="20" s="1"/>
  <c r="G22" i="20" l="1"/>
  <c r="I19" i="20" s="1"/>
  <c r="I24" i="20" s="1"/>
  <c r="I11" i="20"/>
  <c r="I13" i="20" s="1"/>
  <c r="I9" i="20"/>
  <c r="V129" i="5"/>
  <c r="BT63" i="10"/>
  <c r="AK22" i="10" s="1"/>
  <c r="AK20" i="10"/>
  <c r="V128" i="5"/>
  <c r="BH5" i="3"/>
  <c r="V3" i="15"/>
  <c r="BL19" i="2" s="1"/>
  <c r="BG5" i="3"/>
  <c r="U129" i="5"/>
  <c r="U128" i="5"/>
  <c r="BR63" i="10"/>
  <c r="AJ22" i="10" s="1"/>
  <c r="AJ20" i="10"/>
  <c r="U3" i="15"/>
  <c r="BK19" i="2" s="1"/>
  <c r="AI20" i="10"/>
  <c r="T128" i="5"/>
  <c r="T129" i="5"/>
  <c r="AI22" i="10"/>
  <c r="T130" i="5" s="1"/>
  <c r="BP63" i="10"/>
  <c r="BF5" i="3"/>
  <c r="T3" i="15"/>
  <c r="BJ19" i="2" s="1"/>
  <c r="X3" i="15"/>
  <c r="BN19" i="2" s="1"/>
  <c r="Y3" i="15"/>
  <c r="BO19" i="2" s="1"/>
  <c r="Z3" i="15"/>
  <c r="BP19" i="2" s="1"/>
  <c r="AA3" i="15"/>
  <c r="BQ19" i="2" s="1"/>
  <c r="AB3" i="15"/>
  <c r="BR19" i="2" s="1"/>
  <c r="AC3" i="15"/>
  <c r="BS19" i="2" s="1"/>
  <c r="AD3" i="15"/>
  <c r="BT19" i="2" s="1"/>
  <c r="AE3" i="15"/>
  <c r="BU19" i="2" s="1"/>
  <c r="S129" i="5"/>
  <c r="AH22" i="10"/>
  <c r="AH23" i="10" s="1"/>
  <c r="S132" i="5"/>
  <c r="AH20" i="10"/>
  <c r="S128" i="5"/>
  <c r="BI21" i="2"/>
  <c r="BI23" i="2" s="1"/>
  <c r="BN63" i="10"/>
  <c r="BE5" i="3"/>
  <c r="S3" i="15"/>
  <c r="BI19" i="2" s="1"/>
  <c r="R129" i="5"/>
  <c r="AG22" i="10"/>
  <c r="AG23" i="10" s="1"/>
  <c r="R132" i="5"/>
  <c r="AG20" i="10"/>
  <c r="R128" i="5"/>
  <c r="BH21" i="2"/>
  <c r="BH23" i="2" s="1"/>
  <c r="BL63" i="10"/>
  <c r="BD5" i="3"/>
  <c r="R3" i="15"/>
  <c r="BH19" i="2" s="1"/>
  <c r="Q129" i="5"/>
  <c r="AF22" i="10"/>
  <c r="Q130" i="5" s="1"/>
  <c r="Q132" i="5"/>
  <c r="AF20" i="10"/>
  <c r="Q128" i="5"/>
  <c r="O4" i="19" s="1"/>
  <c r="BG21" i="2"/>
  <c r="BG23" i="2" s="1"/>
  <c r="BI63" i="10"/>
  <c r="BC5" i="3"/>
  <c r="Q3" i="15"/>
  <c r="BG19" i="2" s="1"/>
  <c r="P129" i="5"/>
  <c r="P132" i="5"/>
  <c r="AE22" i="10"/>
  <c r="AE23" i="10" s="1"/>
  <c r="AD22" i="10"/>
  <c r="AD23" i="10" s="1"/>
  <c r="AE20" i="10"/>
  <c r="P128" i="5"/>
  <c r="N4" i="19" s="1"/>
  <c r="BE63" i="10"/>
  <c r="P3" i="15"/>
  <c r="BF19" i="2" s="1"/>
  <c r="BB5" i="3"/>
  <c r="BG63" i="10"/>
  <c r="BA5" i="3"/>
  <c r="O132" i="5"/>
  <c r="O129" i="5"/>
  <c r="O128" i="5"/>
  <c r="M4" i="19" s="1"/>
  <c r="AD20" i="10"/>
  <c r="O3" i="15"/>
  <c r="BE19" i="2" s="1"/>
  <c r="BD21" i="2"/>
  <c r="BD23" i="2" s="1"/>
  <c r="N128" i="5"/>
  <c r="L4" i="19" s="1"/>
  <c r="N129" i="5"/>
  <c r="M128" i="5"/>
  <c r="K4" i="19" s="1"/>
  <c r="AZ5" i="3"/>
  <c r="N132" i="5"/>
  <c r="AC22" i="10"/>
  <c r="AC23" i="10" s="1"/>
  <c r="N131" i="5" s="1"/>
  <c r="AC20" i="10"/>
  <c r="AB20" i="10"/>
  <c r="N3" i="15"/>
  <c r="BD19" i="2" s="1"/>
  <c r="M129" i="5"/>
  <c r="AB22" i="10"/>
  <c r="M130" i="5" s="1"/>
  <c r="M3" i="15"/>
  <c r="U20" i="10"/>
  <c r="V20" i="10"/>
  <c r="W20" i="10"/>
  <c r="X20" i="10"/>
  <c r="Y20" i="10"/>
  <c r="Z20" i="10"/>
  <c r="AA20" i="10"/>
  <c r="C128" i="5"/>
  <c r="D128" i="5"/>
  <c r="E128" i="5"/>
  <c r="C4" i="19" s="1"/>
  <c r="F128" i="5"/>
  <c r="D4" i="19" s="1"/>
  <c r="G128" i="5"/>
  <c r="E4" i="19" s="1"/>
  <c r="H128" i="5"/>
  <c r="F4" i="19" s="1"/>
  <c r="I128" i="5"/>
  <c r="G4" i="19" s="1"/>
  <c r="J128" i="5"/>
  <c r="H4" i="19" s="1"/>
  <c r="K128" i="5"/>
  <c r="I4" i="19" s="1"/>
  <c r="L128" i="5"/>
  <c r="J4" i="19" s="1"/>
  <c r="AY5" i="3"/>
  <c r="AX5" i="3"/>
  <c r="L3" i="15"/>
  <c r="AA22" i="10"/>
  <c r="AA23" i="10" s="1"/>
  <c r="L129" i="5"/>
  <c r="L132" i="5"/>
  <c r="BB23" i="2"/>
  <c r="K129" i="5"/>
  <c r="M132" i="5"/>
  <c r="BC23" i="2"/>
  <c r="BC22" i="2"/>
  <c r="J9" i="19"/>
  <c r="BB22" i="2"/>
  <c r="I9" i="19"/>
  <c r="Z22" i="10"/>
  <c r="Z23" i="10" s="1"/>
  <c r="Z25" i="10" s="1"/>
  <c r="K133" i="5" s="1"/>
  <c r="K132" i="5"/>
  <c r="K3" i="15"/>
  <c r="AW5" i="3"/>
  <c r="AV5" i="3"/>
  <c r="BA23" i="2"/>
  <c r="J3" i="15"/>
  <c r="I3" i="15"/>
  <c r="AY19" i="2" s="1"/>
  <c r="I129" i="5"/>
  <c r="I130" i="5"/>
  <c r="I131" i="5"/>
  <c r="I136" i="5"/>
  <c r="J136" i="5" s="1"/>
  <c r="BA22" i="2"/>
  <c r="J131" i="5"/>
  <c r="J130" i="5"/>
  <c r="G3" i="15"/>
  <c r="H3" i="15"/>
  <c r="AU5" i="3"/>
  <c r="AT5" i="3"/>
  <c r="H130" i="5"/>
  <c r="H136" i="5"/>
  <c r="H129" i="5"/>
  <c r="H9" i="19"/>
  <c r="G9" i="19"/>
  <c r="AS5" i="3"/>
  <c r="I132" i="5"/>
  <c r="J132" i="5"/>
  <c r="I133" i="5"/>
  <c r="J133" i="5"/>
  <c r="J134" i="5"/>
  <c r="I134" i="5"/>
  <c r="AY34" i="2"/>
  <c r="AY45" i="2" s="1"/>
  <c r="AY46" i="2" s="1"/>
  <c r="AY47" i="2" s="1"/>
  <c r="AV21" i="2"/>
  <c r="AV23" i="2" s="1"/>
  <c r="F3" i="15"/>
  <c r="AV19" i="2" s="1"/>
  <c r="AR5" i="3"/>
  <c r="G130" i="5"/>
  <c r="G132" i="5"/>
  <c r="F132" i="5"/>
  <c r="F129" i="5"/>
  <c r="F136" i="5"/>
  <c r="G136" i="5"/>
  <c r="G133" i="5"/>
  <c r="F131" i="5"/>
  <c r="F133" i="5"/>
  <c r="G129" i="5"/>
  <c r="F130" i="5"/>
  <c r="C129" i="5"/>
  <c r="H131" i="5"/>
  <c r="G131" i="5"/>
  <c r="E136" i="5"/>
  <c r="G134" i="5"/>
  <c r="F134" i="5"/>
  <c r="AV34" i="2"/>
  <c r="AV45" i="2" s="1"/>
  <c r="AV46" i="2" s="1"/>
  <c r="AV47" i="2" s="1"/>
  <c r="E132" i="5"/>
  <c r="T22" i="10"/>
  <c r="E130" i="5" s="1"/>
  <c r="E3" i="15"/>
  <c r="AU19" i="2" s="1"/>
  <c r="AQ5" i="3"/>
  <c r="AU21" i="2"/>
  <c r="AU23" i="2" s="1"/>
  <c r="AP61" i="18"/>
  <c r="AO61" i="18"/>
  <c r="AN61" i="18"/>
  <c r="AM61" i="18"/>
  <c r="AL61" i="18"/>
  <c r="AK61" i="18"/>
  <c r="AJ61" i="18"/>
  <c r="AI61" i="18"/>
  <c r="AH61" i="18"/>
  <c r="AG61" i="18"/>
  <c r="AF61" i="18"/>
  <c r="AE61" i="18"/>
  <c r="AD61" i="18"/>
  <c r="AC61" i="18"/>
  <c r="AB61" i="18"/>
  <c r="AA61" i="18"/>
  <c r="Z61" i="18"/>
  <c r="Y61" i="18"/>
  <c r="Y54" i="18"/>
  <c r="Y55" i="18"/>
  <c r="Y56" i="18"/>
  <c r="X61" i="18"/>
  <c r="W61" i="18"/>
  <c r="V61" i="18"/>
  <c r="U61" i="18"/>
  <c r="T61" i="18"/>
  <c r="S61" i="18"/>
  <c r="R61" i="18"/>
  <c r="Q61" i="18"/>
  <c r="P61" i="18"/>
  <c r="O61" i="18"/>
  <c r="N61" i="18"/>
  <c r="M61" i="18"/>
  <c r="L61" i="18"/>
  <c r="K61" i="18"/>
  <c r="J61" i="18"/>
  <c r="I61" i="18"/>
  <c r="H61" i="18"/>
  <c r="G61" i="18"/>
  <c r="F61" i="18"/>
  <c r="E61" i="18"/>
  <c r="D61" i="18"/>
  <c r="C61" i="18"/>
  <c r="AB54" i="18"/>
  <c r="AB55" i="18"/>
  <c r="AB56" i="18"/>
  <c r="AA54" i="18"/>
  <c r="AA55" i="18"/>
  <c r="AA56" i="18"/>
  <c r="Z54" i="18"/>
  <c r="Z55" i="18"/>
  <c r="Z56" i="18"/>
  <c r="AY46" i="18"/>
  <c r="AX46" i="18"/>
  <c r="AF38" i="18"/>
  <c r="AF39" i="18"/>
  <c r="AF40" i="18"/>
  <c r="BB31" i="18"/>
  <c r="BA31" i="18"/>
  <c r="AY31" i="18"/>
  <c r="AX31" i="18"/>
  <c r="AW31" i="18"/>
  <c r="AT31" i="18"/>
  <c r="AP38" i="18"/>
  <c r="AP39" i="18"/>
  <c r="AP40" i="18"/>
  <c r="AO38" i="18"/>
  <c r="AO39" i="18"/>
  <c r="AO40" i="18"/>
  <c r="AN38" i="18"/>
  <c r="AN39" i="18"/>
  <c r="AN40" i="18"/>
  <c r="AM38" i="18"/>
  <c r="AM39" i="18"/>
  <c r="AM40" i="18"/>
  <c r="AL38" i="18"/>
  <c r="AL39" i="18"/>
  <c r="AL40" i="18"/>
  <c r="AK38" i="18"/>
  <c r="AK39" i="18"/>
  <c r="AK40" i="18"/>
  <c r="AJ38" i="18"/>
  <c r="AJ39" i="18"/>
  <c r="AJ40" i="18"/>
  <c r="AI38" i="18"/>
  <c r="AI39" i="18"/>
  <c r="AI40" i="18"/>
  <c r="AH38" i="18"/>
  <c r="AH39" i="18"/>
  <c r="AH40" i="18"/>
  <c r="AG38" i="18"/>
  <c r="AG39" i="18"/>
  <c r="AG40" i="18"/>
  <c r="AE38" i="18"/>
  <c r="AE39" i="18"/>
  <c r="AE40" i="18"/>
  <c r="AD38" i="18"/>
  <c r="AD39" i="18"/>
  <c r="AD40" i="18"/>
  <c r="AC38" i="18"/>
  <c r="AC39" i="18"/>
  <c r="AC40" i="18"/>
  <c r="AB38" i="18"/>
  <c r="AB39" i="18"/>
  <c r="AB40" i="18"/>
  <c r="AA38" i="18"/>
  <c r="AA39" i="18"/>
  <c r="AA40" i="18"/>
  <c r="Z38" i="18"/>
  <c r="Z39" i="18"/>
  <c r="Z40" i="18"/>
  <c r="Y38" i="18"/>
  <c r="Y39" i="18"/>
  <c r="Y40" i="18"/>
  <c r="AQ29" i="18"/>
  <c r="AQ30" i="18"/>
  <c r="AQ46" i="18"/>
  <c r="AQ47" i="18"/>
  <c r="AQ48" i="18"/>
  <c r="AM46" i="18"/>
  <c r="AM47" i="18"/>
  <c r="AM48" i="18"/>
  <c r="AJ46" i="18"/>
  <c r="AJ47" i="18"/>
  <c r="AJ48" i="18"/>
  <c r="AI46" i="18"/>
  <c r="AI47" i="18"/>
  <c r="AI48" i="18"/>
  <c r="AF46" i="18"/>
  <c r="AF47" i="18"/>
  <c r="AF48" i="18"/>
  <c r="AE46" i="18"/>
  <c r="AE47" i="18"/>
  <c r="AE48" i="18"/>
  <c r="AD46" i="18"/>
  <c r="AD47" i="18"/>
  <c r="AD48" i="18"/>
  <c r="Y46" i="18"/>
  <c r="Y47" i="18"/>
  <c r="Y48" i="18"/>
  <c r="X29" i="18"/>
  <c r="X46" i="18"/>
  <c r="X47" i="18"/>
  <c r="X48" i="18"/>
  <c r="AW25" i="18"/>
  <c r="AZ23" i="18"/>
  <c r="AZ31" i="18"/>
  <c r="AV23" i="18"/>
  <c r="AV31" i="18"/>
  <c r="AU23" i="18"/>
  <c r="AU31" i="18"/>
  <c r="W19" i="18"/>
  <c r="X19" i="18"/>
  <c r="Y19" i="18"/>
  <c r="Z19" i="18"/>
  <c r="AA19" i="18"/>
  <c r="AB19" i="18"/>
  <c r="AC19" i="18"/>
  <c r="V19" i="18"/>
  <c r="U19" i="18"/>
  <c r="AN18" i="18"/>
  <c r="AE18" i="18"/>
  <c r="AC18" i="18"/>
  <c r="AA18" i="18"/>
  <c r="AM18" i="18"/>
  <c r="AL18" i="18"/>
  <c r="AK18" i="18"/>
  <c r="AD18" i="18"/>
  <c r="Z18" i="18"/>
  <c r="Y18" i="18"/>
  <c r="X17" i="18"/>
  <c r="V18" i="18"/>
  <c r="V21" i="18"/>
  <c r="U18" i="18"/>
  <c r="U21" i="18"/>
  <c r="R18" i="18"/>
  <c r="N18" i="18"/>
  <c r="N21" i="18"/>
  <c r="M18" i="18"/>
  <c r="M21" i="18"/>
  <c r="J18" i="18"/>
  <c r="I18" i="18"/>
  <c r="G18" i="18"/>
  <c r="F18" i="18"/>
  <c r="F21" i="18"/>
  <c r="E18" i="18"/>
  <c r="E21" i="18"/>
  <c r="R21" i="18"/>
  <c r="R24" i="18"/>
  <c r="AK29" i="18"/>
  <c r="W18" i="18"/>
  <c r="W21" i="18"/>
  <c r="Z21" i="18"/>
  <c r="Z23" i="18"/>
  <c r="J21" i="18"/>
  <c r="J24" i="18"/>
  <c r="O18" i="18"/>
  <c r="O21" i="18"/>
  <c r="Z29" i="18"/>
  <c r="G21" i="18"/>
  <c r="G24" i="18"/>
  <c r="I21" i="18"/>
  <c r="I23" i="18"/>
  <c r="Q18" i="18"/>
  <c r="Q21" i="18"/>
  <c r="AP30" i="18"/>
  <c r="AP46" i="18"/>
  <c r="AP47" i="18"/>
  <c r="AP48" i="18"/>
  <c r="N24" i="18"/>
  <c r="N23" i="18"/>
  <c r="N25" i="18"/>
  <c r="N29" i="18"/>
  <c r="AA21" i="18"/>
  <c r="E24" i="18"/>
  <c r="E23" i="18"/>
  <c r="M24" i="18"/>
  <c r="M23" i="18"/>
  <c r="M25" i="18"/>
  <c r="M29" i="18"/>
  <c r="AE21" i="18"/>
  <c r="AD19" i="18"/>
  <c r="AE19" i="18"/>
  <c r="AF19" i="18"/>
  <c r="AG19" i="18"/>
  <c r="AH19" i="18"/>
  <c r="AI19" i="18"/>
  <c r="AC21" i="18"/>
  <c r="U24" i="18"/>
  <c r="U23" i="18"/>
  <c r="I24" i="18"/>
  <c r="X18" i="18"/>
  <c r="X21" i="18"/>
  <c r="F24" i="18"/>
  <c r="F23" i="18"/>
  <c r="V24" i="18"/>
  <c r="V23" i="18"/>
  <c r="Y21" i="18"/>
  <c r="Z24" i="18"/>
  <c r="H18" i="18"/>
  <c r="H21" i="18"/>
  <c r="P18" i="18"/>
  <c r="P21" i="18"/>
  <c r="AF18" i="18"/>
  <c r="AF21" i="18"/>
  <c r="AG18" i="18"/>
  <c r="AG21" i="18"/>
  <c r="AO18" i="18"/>
  <c r="AK46" i="18"/>
  <c r="AK47" i="18"/>
  <c r="AK48" i="18"/>
  <c r="AL29" i="18"/>
  <c r="AL46" i="18"/>
  <c r="AL47" i="18"/>
  <c r="AL48" i="18"/>
  <c r="AH18" i="18"/>
  <c r="AH21" i="18"/>
  <c r="AD21" i="18"/>
  <c r="C18" i="18"/>
  <c r="C21" i="18"/>
  <c r="K18" i="18"/>
  <c r="K21" i="18"/>
  <c r="S18" i="18"/>
  <c r="S21" i="18"/>
  <c r="AI18" i="18"/>
  <c r="AI21" i="18"/>
  <c r="AQ22" i="18"/>
  <c r="AQ24" i="18"/>
  <c r="AP21" i="18"/>
  <c r="D18" i="18"/>
  <c r="D21" i="18"/>
  <c r="L18" i="18"/>
  <c r="L21" i="18"/>
  <c r="T18" i="18"/>
  <c r="T21" i="18"/>
  <c r="AB18" i="18"/>
  <c r="AB21" i="18"/>
  <c r="AJ18" i="18"/>
  <c r="AN29" i="18"/>
  <c r="AG29" i="18"/>
  <c r="AQ38" i="18"/>
  <c r="AQ39" i="18"/>
  <c r="AQ40" i="18"/>
  <c r="F25" i="18"/>
  <c r="F29" i="18"/>
  <c r="R23" i="18"/>
  <c r="R25" i="18"/>
  <c r="R29" i="18"/>
  <c r="G23" i="18"/>
  <c r="Z25" i="18"/>
  <c r="Z66" i="18"/>
  <c r="Z67" i="18"/>
  <c r="Z68" i="18"/>
  <c r="V25" i="18"/>
  <c r="G25" i="18"/>
  <c r="G29" i="18"/>
  <c r="I25" i="18"/>
  <c r="I29" i="18"/>
  <c r="Q24" i="18"/>
  <c r="Q23" i="18"/>
  <c r="O23" i="18"/>
  <c r="O24" i="18"/>
  <c r="U25" i="18"/>
  <c r="U29" i="18"/>
  <c r="U34" i="18"/>
  <c r="U35" i="18"/>
  <c r="U36" i="18"/>
  <c r="E25" i="18"/>
  <c r="E29" i="18"/>
  <c r="J23" i="18"/>
  <c r="J25" i="18"/>
  <c r="J29" i="18"/>
  <c r="AA29" i="18"/>
  <c r="Z46" i="18"/>
  <c r="Z47" i="18"/>
  <c r="Z48" i="18"/>
  <c r="L24" i="18"/>
  <c r="L23" i="18"/>
  <c r="S24" i="18"/>
  <c r="S23" i="18"/>
  <c r="S25" i="18"/>
  <c r="S29" i="18"/>
  <c r="X24" i="18"/>
  <c r="X23" i="18"/>
  <c r="AF24" i="18"/>
  <c r="AF23" i="18"/>
  <c r="P24" i="18"/>
  <c r="P23" i="18"/>
  <c r="H24" i="18"/>
  <c r="H23" i="18"/>
  <c r="AI24" i="18"/>
  <c r="AI23" i="18"/>
  <c r="V29" i="18"/>
  <c r="V46" i="18"/>
  <c r="V47" i="18"/>
  <c r="V48" i="18"/>
  <c r="D24" i="18"/>
  <c r="D23" i="18"/>
  <c r="AP23" i="18"/>
  <c r="AH24" i="18"/>
  <c r="AH23" i="18"/>
  <c r="AB24" i="18"/>
  <c r="AB23" i="18"/>
  <c r="AG24" i="18"/>
  <c r="AG23" i="18"/>
  <c r="K24" i="18"/>
  <c r="K23" i="18"/>
  <c r="C23" i="18"/>
  <c r="C24" i="18"/>
  <c r="AE24" i="18"/>
  <c r="AE23" i="18"/>
  <c r="AE25" i="18"/>
  <c r="Z62" i="18"/>
  <c r="Z63" i="18"/>
  <c r="Z64" i="18"/>
  <c r="Z50" i="18"/>
  <c r="Z51" i="18"/>
  <c r="Z52" i="18"/>
  <c r="Z34" i="18"/>
  <c r="Z35" i="18"/>
  <c r="Z36" i="18"/>
  <c r="AP22" i="18"/>
  <c r="AP24" i="18"/>
  <c r="AD24" i="18"/>
  <c r="AD23" i="18"/>
  <c r="W24" i="18"/>
  <c r="W23" i="18"/>
  <c r="AC24" i="18"/>
  <c r="AC23" i="18"/>
  <c r="AA24" i="18"/>
  <c r="AA23" i="18"/>
  <c r="AA25" i="18"/>
  <c r="Y24" i="18"/>
  <c r="Y23" i="18"/>
  <c r="Y25" i="18"/>
  <c r="AT46" i="18"/>
  <c r="AT47" i="18"/>
  <c r="AJ19" i="18"/>
  <c r="AJ21" i="18"/>
  <c r="AN46" i="18"/>
  <c r="AN47" i="18"/>
  <c r="AN48" i="18"/>
  <c r="AO29" i="18"/>
  <c r="AO46" i="18"/>
  <c r="AO47" i="18"/>
  <c r="AO48" i="18"/>
  <c r="T23" i="18"/>
  <c r="T24" i="18"/>
  <c r="AG46" i="18"/>
  <c r="AG47" i="18"/>
  <c r="AG48" i="18"/>
  <c r="AH29" i="18"/>
  <c r="AH46" i="18"/>
  <c r="AH47" i="18"/>
  <c r="AH48" i="18"/>
  <c r="AQ21" i="18"/>
  <c r="D25" i="18"/>
  <c r="D29" i="18"/>
  <c r="Q25" i="18"/>
  <c r="Q29" i="18"/>
  <c r="AF25" i="18"/>
  <c r="W25" i="18"/>
  <c r="AB25" i="18"/>
  <c r="AG25" i="18"/>
  <c r="AG66" i="18"/>
  <c r="AG67" i="18"/>
  <c r="AG68" i="18"/>
  <c r="L25" i="18"/>
  <c r="L29" i="18"/>
  <c r="K25" i="18"/>
  <c r="K29" i="18"/>
  <c r="P25" i="18"/>
  <c r="P29" i="18"/>
  <c r="O25" i="18"/>
  <c r="O29" i="18"/>
  <c r="AD25" i="18"/>
  <c r="AD66" i="18"/>
  <c r="AD67" i="18"/>
  <c r="AD68" i="18"/>
  <c r="AI25" i="18"/>
  <c r="AI66" i="18"/>
  <c r="AI67" i="18"/>
  <c r="AI68" i="18"/>
  <c r="X25" i="18"/>
  <c r="X50" i="18"/>
  <c r="X51" i="18"/>
  <c r="X52" i="18"/>
  <c r="AH25" i="18"/>
  <c r="AH54" i="18"/>
  <c r="AH55" i="18"/>
  <c r="AH56" i="18"/>
  <c r="H25" i="18"/>
  <c r="H29" i="18"/>
  <c r="C25" i="18"/>
  <c r="C29" i="18"/>
  <c r="AP25" i="18"/>
  <c r="U46" i="18"/>
  <c r="U47" i="18"/>
  <c r="U48" i="18"/>
  <c r="AA46" i="18"/>
  <c r="AA47" i="18"/>
  <c r="AA48" i="18"/>
  <c r="AB29" i="18"/>
  <c r="T25" i="18"/>
  <c r="T29" i="18"/>
  <c r="AC25" i="18"/>
  <c r="AC50" i="18"/>
  <c r="AC51" i="18"/>
  <c r="AC52" i="18"/>
  <c r="Y66" i="18"/>
  <c r="Y67" i="18"/>
  <c r="Y68" i="18"/>
  <c r="Y62" i="18"/>
  <c r="Y63" i="18"/>
  <c r="Y64" i="18"/>
  <c r="Y50" i="18"/>
  <c r="Y51" i="18"/>
  <c r="Y52" i="18"/>
  <c r="Y34" i="18"/>
  <c r="Y35" i="18"/>
  <c r="Y36" i="18"/>
  <c r="AF66" i="18"/>
  <c r="AF67" i="18"/>
  <c r="AF68" i="18"/>
  <c r="AF54" i="18"/>
  <c r="AF55" i="18"/>
  <c r="AF56" i="18"/>
  <c r="AF62" i="18"/>
  <c r="AF63" i="18"/>
  <c r="AF64" i="18"/>
  <c r="AF50" i="18"/>
  <c r="AF51" i="18"/>
  <c r="AF52" i="18"/>
  <c r="AF34" i="18"/>
  <c r="AF35" i="18"/>
  <c r="AF36" i="18"/>
  <c r="AJ24" i="18"/>
  <c r="AJ23" i="18"/>
  <c r="W29" i="18"/>
  <c r="W46" i="18"/>
  <c r="W47" i="18"/>
  <c r="W48" i="18"/>
  <c r="BA24" i="18"/>
  <c r="BA28" i="18"/>
  <c r="AP26" i="18"/>
  <c r="AB62" i="18"/>
  <c r="AB63" i="18"/>
  <c r="AB64" i="18"/>
  <c r="AB50" i="18"/>
  <c r="AB51" i="18"/>
  <c r="AB52" i="18"/>
  <c r="AB66" i="18"/>
  <c r="AB67" i="18"/>
  <c r="AB68" i="18"/>
  <c r="AI50" i="18"/>
  <c r="AI51" i="18"/>
  <c r="AI52" i="18"/>
  <c r="AI34" i="18"/>
  <c r="AI35" i="18"/>
  <c r="AI36" i="18"/>
  <c r="AT24" i="18"/>
  <c r="AT28" i="18"/>
  <c r="AI54" i="18"/>
  <c r="AI55" i="18"/>
  <c r="AI56" i="18"/>
  <c r="V34" i="18"/>
  <c r="V35" i="18"/>
  <c r="V36" i="18"/>
  <c r="AE34" i="18"/>
  <c r="AE35" i="18"/>
  <c r="AE36" i="18"/>
  <c r="AE66" i="18"/>
  <c r="AE67" i="18"/>
  <c r="AE68" i="18"/>
  <c r="AE54" i="18"/>
  <c r="AE55" i="18"/>
  <c r="AE56" i="18"/>
  <c r="AE62" i="18"/>
  <c r="AE63" i="18"/>
  <c r="AE64" i="18"/>
  <c r="AE50" i="18"/>
  <c r="AE51" i="18"/>
  <c r="AE52" i="18"/>
  <c r="AU46" i="18"/>
  <c r="AU47" i="18"/>
  <c r="AK19" i="18"/>
  <c r="AA62" i="18"/>
  <c r="AA63" i="18"/>
  <c r="AA64" i="18"/>
  <c r="AA50" i="18"/>
  <c r="AA51" i="18"/>
  <c r="AA52" i="18"/>
  <c r="AA34" i="18"/>
  <c r="AA35" i="18"/>
  <c r="AA36" i="18"/>
  <c r="AA66" i="18"/>
  <c r="AA67" i="18"/>
  <c r="AA68" i="18"/>
  <c r="AQ23" i="18"/>
  <c r="AQ25" i="18"/>
  <c r="AG50" i="18"/>
  <c r="AG51" i="18"/>
  <c r="AG52" i="18"/>
  <c r="AG62" i="18"/>
  <c r="AG63" i="18"/>
  <c r="AG64" i="18"/>
  <c r="AD62" i="18"/>
  <c r="AD63" i="18"/>
  <c r="AD64" i="18"/>
  <c r="AG34" i="18"/>
  <c r="AG35" i="18"/>
  <c r="AG36" i="18"/>
  <c r="AD50" i="18"/>
  <c r="AD51" i="18"/>
  <c r="AD52" i="18"/>
  <c r="AD54" i="18"/>
  <c r="AD55" i="18"/>
  <c r="AD56" i="18"/>
  <c r="AG54" i="18"/>
  <c r="AG55" i="18"/>
  <c r="AG56" i="18"/>
  <c r="AD34" i="18"/>
  <c r="AD35" i="18"/>
  <c r="AD36" i="18"/>
  <c r="AI42" i="18"/>
  <c r="AI43" i="18"/>
  <c r="AI44" i="18"/>
  <c r="AI62" i="18"/>
  <c r="AI63" i="18"/>
  <c r="AI64" i="18"/>
  <c r="X34" i="18"/>
  <c r="X35" i="18"/>
  <c r="X36" i="18"/>
  <c r="AH66" i="18"/>
  <c r="AH67" i="18"/>
  <c r="AH68" i="18"/>
  <c r="X62" i="18"/>
  <c r="X63" i="18"/>
  <c r="X64" i="18"/>
  <c r="AT17" i="18"/>
  <c r="AT19" i="18"/>
  <c r="AH42" i="18"/>
  <c r="AH43" i="18"/>
  <c r="AH44" i="18"/>
  <c r="AJ25" i="18"/>
  <c r="AJ26" i="18"/>
  <c r="AH34" i="18"/>
  <c r="AH35" i="18"/>
  <c r="AH36" i="18"/>
  <c r="AH50" i="18"/>
  <c r="AH51" i="18"/>
  <c r="AH52" i="18"/>
  <c r="AH62" i="18"/>
  <c r="AH63" i="18"/>
  <c r="AH64" i="18"/>
  <c r="AC54" i="18"/>
  <c r="AC55" i="18"/>
  <c r="AC56" i="18"/>
  <c r="AC29" i="18"/>
  <c r="AC46" i="18"/>
  <c r="AC47" i="18"/>
  <c r="AC48" i="18"/>
  <c r="AB46" i="18"/>
  <c r="AB47" i="18"/>
  <c r="AB48" i="18"/>
  <c r="AC66" i="18"/>
  <c r="AC67" i="18"/>
  <c r="AC68" i="18"/>
  <c r="AB34" i="18"/>
  <c r="AB35" i="18"/>
  <c r="AB36" i="18"/>
  <c r="AQ26" i="18"/>
  <c r="BB24" i="18"/>
  <c r="BB28" i="18"/>
  <c r="AV46" i="18"/>
  <c r="AV47" i="18"/>
  <c r="AL19" i="18"/>
  <c r="AK21" i="18"/>
  <c r="W34" i="18"/>
  <c r="W35" i="18"/>
  <c r="W36" i="18"/>
  <c r="AU24" i="18"/>
  <c r="AU28" i="18"/>
  <c r="AC62" i="18"/>
  <c r="AC63" i="18"/>
  <c r="AC64" i="18"/>
  <c r="AC34" i="18"/>
  <c r="AC35" i="18"/>
  <c r="AC36" i="18"/>
  <c r="AM19" i="18"/>
  <c r="AL21" i="18"/>
  <c r="AW46" i="18"/>
  <c r="AW47" i="18"/>
  <c r="AK24" i="18"/>
  <c r="AK23" i="18"/>
  <c r="AK25" i="18"/>
  <c r="AJ42" i="18"/>
  <c r="AJ43" i="18"/>
  <c r="AJ44" i="18"/>
  <c r="AJ50" i="18"/>
  <c r="AJ51" i="18"/>
  <c r="AJ52" i="18"/>
  <c r="AJ34" i="18"/>
  <c r="AJ35" i="18"/>
  <c r="AJ36" i="18"/>
  <c r="AJ54" i="18"/>
  <c r="AJ55" i="18"/>
  <c r="AJ56" i="18"/>
  <c r="AK26" i="18"/>
  <c r="AV24" i="18"/>
  <c r="AV28" i="18"/>
  <c r="AL24" i="18"/>
  <c r="AL23" i="18"/>
  <c r="AL25" i="18"/>
  <c r="AX25" i="18"/>
  <c r="AN19" i="18"/>
  <c r="AM21" i="18"/>
  <c r="AL26" i="18"/>
  <c r="AW24" i="18"/>
  <c r="AW28" i="18"/>
  <c r="AM24" i="18"/>
  <c r="AM23" i="18"/>
  <c r="AY25" i="18"/>
  <c r="AO19" i="18"/>
  <c r="AO21" i="18"/>
  <c r="AN21" i="18"/>
  <c r="AK50" i="18"/>
  <c r="AK51" i="18"/>
  <c r="AK52" i="18"/>
  <c r="AK34" i="18"/>
  <c r="AK35" i="18"/>
  <c r="AK36" i="18"/>
  <c r="AK54" i="18"/>
  <c r="AK55" i="18"/>
  <c r="AK56" i="18"/>
  <c r="AK42" i="18"/>
  <c r="AK43" i="18"/>
  <c r="AK44" i="18"/>
  <c r="AM25" i="18"/>
  <c r="AX24" i="18"/>
  <c r="AX28" i="18"/>
  <c r="AO24" i="18"/>
  <c r="AO23" i="18"/>
  <c r="AO25" i="18"/>
  <c r="AN24" i="18"/>
  <c r="AN23" i="18"/>
  <c r="AN25" i="18"/>
  <c r="AL34" i="18"/>
  <c r="AL35" i="18"/>
  <c r="AL36" i="18"/>
  <c r="AL54" i="18"/>
  <c r="AL55" i="18"/>
  <c r="AL56" i="18"/>
  <c r="AL42" i="18"/>
  <c r="AL43" i="18"/>
  <c r="AL44" i="18"/>
  <c r="AL50" i="18"/>
  <c r="AL51" i="18"/>
  <c r="AL52" i="18"/>
  <c r="AM26" i="18"/>
  <c r="AZ24" i="18"/>
  <c r="AZ28" i="18"/>
  <c r="AO26" i="18"/>
  <c r="AY24" i="18"/>
  <c r="AY28" i="18"/>
  <c r="AN26" i="18"/>
  <c r="AM34" i="18"/>
  <c r="AM35" i="18"/>
  <c r="AM36" i="18"/>
  <c r="AM54" i="18"/>
  <c r="AM55" i="18"/>
  <c r="AM56" i="18"/>
  <c r="AM42" i="18"/>
  <c r="AM43" i="18"/>
  <c r="AM44" i="18"/>
  <c r="AM50" i="18"/>
  <c r="AM51" i="18"/>
  <c r="AM52" i="18"/>
  <c r="AN54" i="18"/>
  <c r="AN55" i="18"/>
  <c r="AN56" i="18"/>
  <c r="AN42" i="18"/>
  <c r="AN43" i="18"/>
  <c r="AN44" i="18"/>
  <c r="AN50" i="18"/>
  <c r="AN51" i="18"/>
  <c r="AN52" i="18"/>
  <c r="AN34" i="18"/>
  <c r="AN35" i="18"/>
  <c r="AN36" i="18"/>
  <c r="AO54" i="18"/>
  <c r="AO55" i="18"/>
  <c r="AO56" i="18"/>
  <c r="AO42" i="18"/>
  <c r="AO43" i="18"/>
  <c r="AO44" i="18"/>
  <c r="AO50" i="18"/>
  <c r="AO51" i="18"/>
  <c r="AO52" i="18"/>
  <c r="AO34" i="18"/>
  <c r="AO35" i="18"/>
  <c r="AO36" i="18"/>
  <c r="AT29" i="18"/>
  <c r="AT34" i="18"/>
  <c r="AU16" i="18"/>
  <c r="AU29" i="18"/>
  <c r="AU34" i="18"/>
  <c r="AV16" i="18"/>
  <c r="AV29" i="18"/>
  <c r="AT35" i="18"/>
  <c r="AU19" i="18"/>
  <c r="AU35" i="18"/>
  <c r="AV34" i="18"/>
  <c r="AW16" i="18"/>
  <c r="AW29" i="18"/>
  <c r="AW34" i="18"/>
  <c r="AX16" i="18"/>
  <c r="AX29" i="18"/>
  <c r="AX34" i="18"/>
  <c r="AY16" i="18"/>
  <c r="AY29" i="18"/>
  <c r="AY34" i="18"/>
  <c r="AZ16" i="18"/>
  <c r="AZ29" i="18"/>
  <c r="AZ34" i="18"/>
  <c r="BA16" i="18"/>
  <c r="BA29" i="18"/>
  <c r="BA34" i="18"/>
  <c r="BB16" i="18"/>
  <c r="BB29" i="18"/>
  <c r="BB34" i="18"/>
  <c r="AJ27" i="18"/>
  <c r="AV19" i="18"/>
  <c r="AV35" i="18"/>
  <c r="AK27" i="18"/>
  <c r="AW19" i="18"/>
  <c r="AW35" i="18"/>
  <c r="AJ62" i="18"/>
  <c r="AJ63" i="18"/>
  <c r="AJ64" i="18"/>
  <c r="AJ66" i="18"/>
  <c r="AJ67" i="18"/>
  <c r="AJ68" i="18"/>
  <c r="AL27" i="18"/>
  <c r="AX19" i="18"/>
  <c r="AX35" i="18"/>
  <c r="AK66" i="18"/>
  <c r="AK67" i="18"/>
  <c r="AK68" i="18"/>
  <c r="AK62" i="18"/>
  <c r="AK63" i="18"/>
  <c r="AK64" i="18"/>
  <c r="AY19" i="18"/>
  <c r="AY35" i="18"/>
  <c r="AM27" i="18"/>
  <c r="AL66" i="18"/>
  <c r="AL67" i="18"/>
  <c r="AL68" i="18"/>
  <c r="AL62" i="18"/>
  <c r="AL63" i="18"/>
  <c r="AL64" i="18"/>
  <c r="AM66" i="18"/>
  <c r="AM67" i="18"/>
  <c r="AM68" i="18"/>
  <c r="AM62" i="18"/>
  <c r="AM63" i="18"/>
  <c r="AM64" i="18"/>
  <c r="AZ19" i="18"/>
  <c r="AZ35" i="18"/>
  <c r="AN27" i="18"/>
  <c r="AN66" i="18"/>
  <c r="AN67" i="18"/>
  <c r="AN68" i="18"/>
  <c r="AN62" i="18"/>
  <c r="AN63" i="18"/>
  <c r="AN64" i="18"/>
  <c r="BA19" i="18"/>
  <c r="BA35" i="18"/>
  <c r="AO27" i="18"/>
  <c r="AO66" i="18"/>
  <c r="AO67" i="18"/>
  <c r="AO68" i="18"/>
  <c r="AO62" i="18"/>
  <c r="AO63" i="18"/>
  <c r="AO64" i="18"/>
  <c r="AP27" i="18"/>
  <c r="BB19" i="18"/>
  <c r="BB35" i="18"/>
  <c r="AQ27" i="18"/>
  <c r="AQ62" i="18"/>
  <c r="AQ63" i="18"/>
  <c r="AQ64" i="18"/>
  <c r="AQ42" i="18"/>
  <c r="AQ43" i="18"/>
  <c r="AQ44" i="18"/>
  <c r="AQ50" i="18"/>
  <c r="AQ51" i="18"/>
  <c r="AQ52" i="18"/>
  <c r="AQ66" i="18"/>
  <c r="AQ67" i="18"/>
  <c r="AQ68" i="18"/>
  <c r="AQ54" i="18"/>
  <c r="AQ55" i="18"/>
  <c r="AQ56" i="18"/>
  <c r="AQ58" i="18"/>
  <c r="AQ59" i="18"/>
  <c r="AQ60" i="18"/>
  <c r="AQ61" i="18"/>
  <c r="AQ34" i="18"/>
  <c r="AQ35" i="18"/>
  <c r="AQ36" i="18"/>
  <c r="AP62" i="18"/>
  <c r="AP63" i="18"/>
  <c r="AP64" i="18"/>
  <c r="AP42" i="18"/>
  <c r="AP43" i="18"/>
  <c r="AP44" i="18"/>
  <c r="AP50" i="18"/>
  <c r="AP51" i="18"/>
  <c r="AP52" i="18"/>
  <c r="AP34" i="18"/>
  <c r="AP35" i="18"/>
  <c r="AP36" i="18"/>
  <c r="AP66" i="18"/>
  <c r="AP67" i="18"/>
  <c r="AP68" i="18"/>
  <c r="AP54" i="18"/>
  <c r="AP55" i="18"/>
  <c r="AP56" i="18"/>
  <c r="AS21" i="2"/>
  <c r="AS23" i="2" s="1"/>
  <c r="S22" i="10"/>
  <c r="D130" i="5" s="1"/>
  <c r="S21" i="10"/>
  <c r="I119" i="5"/>
  <c r="D3" i="15"/>
  <c r="AT19" i="2" s="1"/>
  <c r="AT21" i="2"/>
  <c r="AT23" i="2" s="1"/>
  <c r="AP5" i="3"/>
  <c r="B4" i="15"/>
  <c r="C3" i="15"/>
  <c r="AS19" i="2" s="1"/>
  <c r="R22" i="10"/>
  <c r="R23" i="10" s="1"/>
  <c r="C131" i="5" s="1"/>
  <c r="AO5" i="3"/>
  <c r="AR19" i="2"/>
  <c r="Q22" i="10"/>
  <c r="F114" i="5"/>
  <c r="F113" i="5"/>
  <c r="F112" i="5"/>
  <c r="E113" i="5"/>
  <c r="E114" i="5"/>
  <c r="E112" i="5"/>
  <c r="D113" i="5"/>
  <c r="D114" i="5"/>
  <c r="D112" i="5"/>
  <c r="AN5" i="3"/>
  <c r="AR21" i="2"/>
  <c r="AR23" i="2" s="1"/>
  <c r="P22" i="10"/>
  <c r="P21" i="10"/>
  <c r="Q21" i="10" s="1"/>
  <c r="AM5" i="3"/>
  <c r="O22" i="10"/>
  <c r="O23" i="10" s="1"/>
  <c r="F98" i="5"/>
  <c r="E98" i="5"/>
  <c r="D98" i="5"/>
  <c r="AL5" i="3"/>
  <c r="E96" i="5"/>
  <c r="E97" i="5"/>
  <c r="N22" i="10"/>
  <c r="F97" i="5"/>
  <c r="F96" i="5"/>
  <c r="D96" i="5"/>
  <c r="D97" i="5"/>
  <c r="N21" i="10"/>
  <c r="AK5" i="3"/>
  <c r="M22" i="10"/>
  <c r="M23" i="10" s="1"/>
  <c r="Y5" i="3"/>
  <c r="Z5" i="3"/>
  <c r="AA5" i="3"/>
  <c r="AB5" i="3"/>
  <c r="AC5" i="3"/>
  <c r="AD5" i="3"/>
  <c r="AE5" i="3"/>
  <c r="AH5" i="3"/>
  <c r="AI5" i="3"/>
  <c r="AJ5" i="3"/>
  <c r="F9" i="19"/>
  <c r="E9" i="19"/>
  <c r="D9" i="19"/>
  <c r="C9" i="19"/>
  <c r="H132" i="5"/>
  <c r="L22" i="10"/>
  <c r="L23" i="10" s="1"/>
  <c r="H133" i="5"/>
  <c r="H134" i="5"/>
  <c r="K22" i="10"/>
  <c r="K21" i="10"/>
  <c r="J22" i="10"/>
  <c r="J23" i="10" s="1"/>
  <c r="E82" i="5"/>
  <c r="D82" i="5"/>
  <c r="E79" i="5"/>
  <c r="E80" i="5"/>
  <c r="E81" i="5"/>
  <c r="D80" i="5"/>
  <c r="D81" i="5"/>
  <c r="D79" i="5"/>
  <c r="F79" i="5"/>
  <c r="F82" i="5"/>
  <c r="F81" i="5"/>
  <c r="F80" i="5"/>
  <c r="I22" i="10"/>
  <c r="I23" i="10" s="1"/>
  <c r="AG5" i="3"/>
  <c r="AF5" i="3"/>
  <c r="H22" i="10"/>
  <c r="G22" i="10"/>
  <c r="F63" i="5"/>
  <c r="E63" i="5"/>
  <c r="D63" i="5"/>
  <c r="E28" i="8"/>
  <c r="AH17" i="2"/>
  <c r="D9" i="12"/>
  <c r="B9" i="12"/>
  <c r="D5" i="12"/>
  <c r="D3" i="12"/>
  <c r="AG17" i="2"/>
  <c r="F22" i="10"/>
  <c r="F61" i="5"/>
  <c r="F60" i="5"/>
  <c r="D61" i="5"/>
  <c r="E61" i="5"/>
  <c r="D62" i="5"/>
  <c r="E62" i="5"/>
  <c r="E60" i="5"/>
  <c r="D60" i="5"/>
  <c r="F62" i="5"/>
  <c r="F24" i="10"/>
  <c r="G24" i="10" s="1"/>
  <c r="H24" i="10" s="1"/>
  <c r="I24" i="10" s="1"/>
  <c r="J24" i="10" s="1"/>
  <c r="AF17" i="2"/>
  <c r="AE17" i="2"/>
  <c r="E22" i="10"/>
  <c r="AD17" i="2"/>
  <c r="D22" i="10"/>
  <c r="AC17" i="2"/>
  <c r="AB17" i="2"/>
  <c r="C22" i="10"/>
  <c r="C21" i="10"/>
  <c r="D21" i="10" s="1"/>
  <c r="F49" i="5"/>
  <c r="F48" i="5"/>
  <c r="F47" i="5"/>
  <c r="F46" i="5"/>
  <c r="E47" i="5"/>
  <c r="E48" i="5"/>
  <c r="E49" i="5"/>
  <c r="E46" i="5"/>
  <c r="D47" i="5"/>
  <c r="D48" i="5"/>
  <c r="D49" i="5"/>
  <c r="D46" i="5"/>
  <c r="E26" i="5"/>
  <c r="D26" i="5"/>
  <c r="F25" i="5"/>
  <c r="F24" i="5"/>
  <c r="Z32" i="2"/>
  <c r="Z53" i="2" s="1"/>
  <c r="Z54" i="2" s="1"/>
  <c r="Z55" i="2" s="1"/>
  <c r="AH45" i="2"/>
  <c r="AH46" i="2" s="1"/>
  <c r="AH47" i="2" s="1"/>
  <c r="X17" i="2"/>
  <c r="W18" i="2"/>
  <c r="X18" i="2" s="1"/>
  <c r="W17" i="2"/>
  <c r="V68" i="2"/>
  <c r="Y68" i="2"/>
  <c r="Z68" i="2"/>
  <c r="X68" i="2"/>
  <c r="W68" i="2"/>
  <c r="U17" i="2"/>
  <c r="AA68" i="2"/>
  <c r="AA61" i="2" s="1"/>
  <c r="AA62" i="2" s="1"/>
  <c r="AA63" i="2" s="1"/>
  <c r="T17" i="2"/>
  <c r="T20" i="2" s="1"/>
  <c r="AC68" i="2"/>
  <c r="AC61" i="2" s="1"/>
  <c r="AC62" i="2" s="1"/>
  <c r="AC63" i="2" s="1"/>
  <c r="AB68" i="2"/>
  <c r="AB61" i="2" s="1"/>
  <c r="AB62" i="2" s="1"/>
  <c r="AB63" i="2" s="1"/>
  <c r="S17" i="2"/>
  <c r="AD68" i="2"/>
  <c r="AD61" i="2" s="1"/>
  <c r="AD62" i="2" s="1"/>
  <c r="AD63" i="2" s="1"/>
  <c r="U68" i="2"/>
  <c r="T68" i="2"/>
  <c r="R17" i="2"/>
  <c r="AF68" i="2"/>
  <c r="AE68" i="2"/>
  <c r="R68" i="2"/>
  <c r="S68" i="2"/>
  <c r="Q17" i="2"/>
  <c r="AG68" i="2"/>
  <c r="P17" i="2"/>
  <c r="P20" i="2" s="1"/>
  <c r="P23" i="2" s="1"/>
  <c r="AH68" i="2"/>
  <c r="AI68" i="2"/>
  <c r="Q68" i="2"/>
  <c r="P68" i="2"/>
  <c r="N17" i="2"/>
  <c r="AJ68" i="2"/>
  <c r="O68" i="2"/>
  <c r="AK68" i="2"/>
  <c r="M17" i="2"/>
  <c r="AM68" i="2"/>
  <c r="N68" i="2"/>
  <c r="AN68" i="2"/>
  <c r="AL68" i="2"/>
  <c r="M68" i="2"/>
  <c r="K17" i="2"/>
  <c r="K20" i="2" s="1"/>
  <c r="J17" i="2"/>
  <c r="I17" i="2"/>
  <c r="I20" i="2" s="1"/>
  <c r="F17" i="2"/>
  <c r="L68" i="2"/>
  <c r="J68" i="2"/>
  <c r="K68" i="2"/>
  <c r="G17" i="2"/>
  <c r="G20" i="2" s="1"/>
  <c r="G23" i="2" s="1"/>
  <c r="F68" i="2"/>
  <c r="I68" i="2"/>
  <c r="E17" i="2"/>
  <c r="E20" i="2" s="1"/>
  <c r="H68" i="2"/>
  <c r="G68" i="2"/>
  <c r="E68" i="2"/>
  <c r="AQ68" i="2"/>
  <c r="AO68" i="2"/>
  <c r="AP68" i="2"/>
  <c r="AR68" i="2"/>
  <c r="BB28" i="2"/>
  <c r="BB57" i="2" s="1"/>
  <c r="BB58" i="2" s="1"/>
  <c r="BB59" i="2" s="1"/>
  <c r="I22" i="20" l="1"/>
  <c r="K19" i="20" s="1"/>
  <c r="K24" i="20" s="1"/>
  <c r="K26" i="20" s="1"/>
  <c r="BZ17" i="2"/>
  <c r="BX17" i="2"/>
  <c r="BY17" i="2"/>
  <c r="BW17" i="2"/>
  <c r="F64" i="5"/>
  <c r="H90" i="5"/>
  <c r="AT24" i="10"/>
  <c r="BV17" i="2"/>
  <c r="AS24" i="10"/>
  <c r="AR24" i="10"/>
  <c r="AQ24" i="10"/>
  <c r="AP24" i="10"/>
  <c r="BT20" i="2"/>
  <c r="BS21" i="2"/>
  <c r="BS23" i="2" s="1"/>
  <c r="BR20" i="2"/>
  <c r="BR22" i="2" s="1"/>
  <c r="BU21" i="2"/>
  <c r="BU23" i="2" s="1"/>
  <c r="BU20" i="2"/>
  <c r="BU22" i="2" s="1"/>
  <c r="BT21" i="2"/>
  <c r="BT23" i="2" s="1"/>
  <c r="N130" i="5"/>
  <c r="S130" i="5"/>
  <c r="K6" i="20"/>
  <c r="K11" i="20" s="1"/>
  <c r="K13" i="20" s="1"/>
  <c r="BQ21" i="2"/>
  <c r="BQ23" i="2" s="1"/>
  <c r="BQ20" i="2"/>
  <c r="BQ22" i="2" s="1"/>
  <c r="H106" i="5"/>
  <c r="H122" i="5"/>
  <c r="BP20" i="2"/>
  <c r="U132" i="5"/>
  <c r="AO24" i="10"/>
  <c r="AS20" i="2"/>
  <c r="AS22" i="2" s="1"/>
  <c r="BD20" i="2"/>
  <c r="BD22" i="2" s="1"/>
  <c r="F26" i="5"/>
  <c r="D115" i="5"/>
  <c r="H82" i="5"/>
  <c r="D83" i="5"/>
  <c r="H114" i="5"/>
  <c r="F99" i="5"/>
  <c r="F115" i="5"/>
  <c r="V132" i="5"/>
  <c r="T132" i="5"/>
  <c r="BO20" i="2"/>
  <c r="BK21" i="2"/>
  <c r="BK23" i="2" s="1"/>
  <c r="Q23" i="10"/>
  <c r="AI23" i="10"/>
  <c r="T131" i="5" s="1"/>
  <c r="N23" i="10"/>
  <c r="K131" i="5"/>
  <c r="L130" i="5"/>
  <c r="AB23" i="10"/>
  <c r="M131" i="5" s="1"/>
  <c r="H46" i="5"/>
  <c r="H63" i="5"/>
  <c r="H137" i="5"/>
  <c r="H138" i="5" s="1"/>
  <c r="H139" i="5" s="1"/>
  <c r="H97" i="5"/>
  <c r="E83" i="5"/>
  <c r="H96" i="5"/>
  <c r="H98" i="5"/>
  <c r="E115" i="5"/>
  <c r="BJ20" i="2"/>
  <c r="BJ22" i="2" s="1"/>
  <c r="E21" i="10"/>
  <c r="F21" i="10" s="1"/>
  <c r="D23" i="10"/>
  <c r="D25" i="10" s="1"/>
  <c r="D26" i="10" s="1"/>
  <c r="P23" i="10"/>
  <c r="S23" i="10"/>
  <c r="D131" i="5" s="1"/>
  <c r="P130" i="5"/>
  <c r="J16" i="19"/>
  <c r="J17" i="19" s="1"/>
  <c r="J19" i="19" s="1"/>
  <c r="N7" i="19" s="1"/>
  <c r="C130" i="5"/>
  <c r="Z26" i="10"/>
  <c r="BA34" i="2" s="1"/>
  <c r="K23" i="10"/>
  <c r="R130" i="5"/>
  <c r="H80" i="5"/>
  <c r="H61" i="5"/>
  <c r="H81" i="5"/>
  <c r="E99" i="5"/>
  <c r="E137" i="5"/>
  <c r="E138" i="5" s="1"/>
  <c r="H49" i="5"/>
  <c r="F50" i="5"/>
  <c r="D99" i="5"/>
  <c r="H48" i="5"/>
  <c r="D64" i="5"/>
  <c r="H47" i="5"/>
  <c r="H113" i="5"/>
  <c r="E64" i="5"/>
  <c r="H112" i="5"/>
  <c r="BL21" i="2"/>
  <c r="BL23" i="2" s="1"/>
  <c r="BG20" i="2"/>
  <c r="BG22" i="2" s="1"/>
  <c r="AU20" i="2"/>
  <c r="AU22" i="2" s="1"/>
  <c r="Q20" i="2"/>
  <c r="Q22" i="2" s="1"/>
  <c r="AT20" i="2"/>
  <c r="AT22" i="2" s="1"/>
  <c r="I26" i="20"/>
  <c r="AR20" i="2"/>
  <c r="AR22" i="2" s="1"/>
  <c r="AR26" i="2" s="1"/>
  <c r="BB26" i="2"/>
  <c r="BB27" i="2" s="1"/>
  <c r="BF20" i="2"/>
  <c r="BF22" i="2" s="1"/>
  <c r="Y17" i="2"/>
  <c r="G22" i="2"/>
  <c r="G26" i="2" s="1"/>
  <c r="G32" i="2" s="1"/>
  <c r="S20" i="2"/>
  <c r="S23" i="2" s="1"/>
  <c r="BC26" i="2"/>
  <c r="BI20" i="2"/>
  <c r="BI22" i="2" s="1"/>
  <c r="Y18" i="2"/>
  <c r="Z18" i="2" s="1"/>
  <c r="AA18" i="2" s="1"/>
  <c r="AB18" i="2" s="1"/>
  <c r="AB20" i="2" s="1"/>
  <c r="AB23" i="2" s="1"/>
  <c r="X20" i="2"/>
  <c r="N20" i="2"/>
  <c r="W20" i="2"/>
  <c r="W22" i="2" s="1"/>
  <c r="BB77" i="2"/>
  <c r="BB78" i="2" s="1"/>
  <c r="BB79" i="2" s="1"/>
  <c r="J20" i="2"/>
  <c r="J22" i="2" s="1"/>
  <c r="R20" i="2"/>
  <c r="U20" i="2"/>
  <c r="U23" i="2" s="1"/>
  <c r="BF21" i="2"/>
  <c r="BF23" i="2" s="1"/>
  <c r="I22" i="2"/>
  <c r="I23" i="2"/>
  <c r="K22" i="2"/>
  <c r="K23" i="2"/>
  <c r="AA17" i="2"/>
  <c r="Z17" i="2"/>
  <c r="F20" i="2"/>
  <c r="O17" i="2"/>
  <c r="O20" i="2" s="1"/>
  <c r="P22" i="2"/>
  <c r="P26" i="2" s="1"/>
  <c r="P32" i="2" s="1"/>
  <c r="T23" i="2"/>
  <c r="T22" i="2"/>
  <c r="H17" i="2"/>
  <c r="H20" i="2" s="1"/>
  <c r="V17" i="2"/>
  <c r="V20" i="2" s="1"/>
  <c r="AI17" i="2"/>
  <c r="AV20" i="2"/>
  <c r="AY20" i="2"/>
  <c r="E22" i="2"/>
  <c r="E23" i="2"/>
  <c r="L17" i="2"/>
  <c r="L20" i="2" s="1"/>
  <c r="M20" i="2"/>
  <c r="BA26" i="2"/>
  <c r="BE20" i="2"/>
  <c r="BE21" i="2"/>
  <c r="BE23" i="2" s="1"/>
  <c r="BH20" i="2"/>
  <c r="AY21" i="2"/>
  <c r="AY23" i="2" s="1"/>
  <c r="K136" i="5"/>
  <c r="J137" i="5"/>
  <c r="J138" i="5" s="1"/>
  <c r="J139" i="5" s="1"/>
  <c r="I137" i="5"/>
  <c r="I138" i="5" s="1"/>
  <c r="I139" i="5" s="1"/>
  <c r="AY32" i="2" s="1"/>
  <c r="AY33" i="2" s="1"/>
  <c r="D50" i="5"/>
  <c r="F83" i="5"/>
  <c r="E50" i="5"/>
  <c r="H62" i="5"/>
  <c r="H60" i="5"/>
  <c r="F137" i="5"/>
  <c r="F138" i="5" s="1"/>
  <c r="F139" i="5" s="1"/>
  <c r="AV32" i="2" s="1"/>
  <c r="G137" i="5"/>
  <c r="G138" i="5" s="1"/>
  <c r="G139" i="5" s="1"/>
  <c r="H79" i="5"/>
  <c r="J25" i="10"/>
  <c r="J26" i="10" s="1"/>
  <c r="AK34" i="2" s="1"/>
  <c r="K24" i="10"/>
  <c r="S131" i="5"/>
  <c r="AH25" i="10"/>
  <c r="S133" i="5" s="1"/>
  <c r="C23" i="10"/>
  <c r="I25" i="10"/>
  <c r="I26" i="10" s="1"/>
  <c r="AJ34" i="2" s="1"/>
  <c r="AG25" i="10"/>
  <c r="R133" i="5" s="1"/>
  <c r="R131" i="5"/>
  <c r="T21" i="10"/>
  <c r="D129" i="5"/>
  <c r="AC25" i="10"/>
  <c r="N133" i="5" s="1"/>
  <c r="AD25" i="10"/>
  <c r="O133" i="5" s="1"/>
  <c r="O131" i="5"/>
  <c r="AE25" i="10"/>
  <c r="P133" i="5" s="1"/>
  <c r="P131" i="5"/>
  <c r="AK23" i="10"/>
  <c r="V130" i="5"/>
  <c r="K130" i="5"/>
  <c r="AA25" i="10"/>
  <c r="L133" i="5" s="1"/>
  <c r="L131" i="5"/>
  <c r="U130" i="5"/>
  <c r="AJ23" i="10"/>
  <c r="O130" i="5"/>
  <c r="AF23" i="10"/>
  <c r="K22" i="20" l="1"/>
  <c r="M19" i="20" s="1"/>
  <c r="AI132" i="5"/>
  <c r="DC25" i="10"/>
  <c r="BW21" i="2"/>
  <c r="BW23" i="2" s="1"/>
  <c r="BW20" i="2"/>
  <c r="BW22" i="2" s="1"/>
  <c r="BZ21" i="2"/>
  <c r="BZ23" i="2" s="1"/>
  <c r="BZ20" i="2"/>
  <c r="AG132" i="5"/>
  <c r="CD25" i="10"/>
  <c r="AK132" i="5"/>
  <c r="DE25" i="10"/>
  <c r="CA21" i="2"/>
  <c r="CA23" i="2" s="1"/>
  <c r="CA20" i="2"/>
  <c r="AJ132" i="5"/>
  <c r="DD25" i="10"/>
  <c r="BY21" i="2"/>
  <c r="BY23" i="2" s="1"/>
  <c r="BY20" i="2"/>
  <c r="CB20" i="2"/>
  <c r="CB21" i="2"/>
  <c r="CB23" i="2" s="1"/>
  <c r="AH132" i="5"/>
  <c r="DB25" i="10"/>
  <c r="BX20" i="2"/>
  <c r="BX21" i="2"/>
  <c r="BX23" i="2" s="1"/>
  <c r="AL132" i="5"/>
  <c r="DF25" i="10"/>
  <c r="BC27" i="2"/>
  <c r="BS20" i="2"/>
  <c r="BS22" i="2" s="1"/>
  <c r="AB132" i="5"/>
  <c r="AQ25" i="10"/>
  <c r="BU26" i="2"/>
  <c r="BU27" i="2" s="1"/>
  <c r="AC132" i="5"/>
  <c r="AR25" i="10"/>
  <c r="AD132" i="5"/>
  <c r="AS25" i="10"/>
  <c r="BV20" i="2"/>
  <c r="BV21" i="2"/>
  <c r="BV23" i="2" s="1"/>
  <c r="AE132" i="5"/>
  <c r="AT25" i="10"/>
  <c r="BR21" i="2"/>
  <c r="BR23" i="2" s="1"/>
  <c r="BR26" i="2" s="1"/>
  <c r="AF132" i="5"/>
  <c r="CC25" i="10"/>
  <c r="AA132" i="5"/>
  <c r="AP25" i="10"/>
  <c r="BD26" i="2"/>
  <c r="BT22" i="2"/>
  <c r="BT26" i="2" s="1"/>
  <c r="Z20" i="2"/>
  <c r="Z22" i="2" s="1"/>
  <c r="K9" i="20"/>
  <c r="M6" i="20" s="1"/>
  <c r="M11" i="20" s="1"/>
  <c r="BG26" i="2"/>
  <c r="AS26" i="2"/>
  <c r="AG26" i="10"/>
  <c r="R134" i="5" s="1"/>
  <c r="H115" i="5"/>
  <c r="H116" i="5" s="1"/>
  <c r="H118" i="5" s="1"/>
  <c r="H120" i="5" s="1"/>
  <c r="H123" i="5" s="1"/>
  <c r="H124" i="5" s="1"/>
  <c r="AR32" i="2" s="1"/>
  <c r="BP21" i="2"/>
  <c r="BP23" i="2" s="1"/>
  <c r="BQ26" i="2"/>
  <c r="BQ27" i="2" s="1"/>
  <c r="K134" i="5"/>
  <c r="AI25" i="10"/>
  <c r="T133" i="5" s="1"/>
  <c r="Z132" i="5"/>
  <c r="AO25" i="10"/>
  <c r="BJ21" i="2"/>
  <c r="BJ23" i="2" s="1"/>
  <c r="BJ26" i="2" s="1"/>
  <c r="BO21" i="2"/>
  <c r="BO23" i="2" s="1"/>
  <c r="BL20" i="2"/>
  <c r="BL22" i="2" s="1"/>
  <c r="BL26" i="2" s="1"/>
  <c r="T26" i="2"/>
  <c r="T32" i="2" s="1"/>
  <c r="BP22" i="2"/>
  <c r="Q23" i="2"/>
  <c r="Q26" i="2" s="1"/>
  <c r="Q32" i="2" s="1"/>
  <c r="H99" i="5"/>
  <c r="H100" i="5" s="1"/>
  <c r="H102" i="5" s="1"/>
  <c r="H104" i="5" s="1"/>
  <c r="AO32" i="2" s="1"/>
  <c r="U22" i="2"/>
  <c r="U26" i="2" s="1"/>
  <c r="U32" i="2" s="1"/>
  <c r="BN20" i="2"/>
  <c r="BN22" i="2" s="1"/>
  <c r="BN21" i="2"/>
  <c r="BN23" i="2" s="1"/>
  <c r="Y132" i="5"/>
  <c r="AN25" i="10"/>
  <c r="X132" i="5"/>
  <c r="AM25" i="10"/>
  <c r="BM21" i="2"/>
  <c r="BM23" i="2" s="1"/>
  <c r="BM20" i="2"/>
  <c r="BM22" i="2" s="1"/>
  <c r="W132" i="5"/>
  <c r="AL25" i="10"/>
  <c r="BK20" i="2"/>
  <c r="M24" i="20"/>
  <c r="M22" i="20"/>
  <c r="O19" i="20" s="1"/>
  <c r="AB25" i="10"/>
  <c r="AB26" i="10" s="1"/>
  <c r="M134" i="5" s="1"/>
  <c r="E23" i="10"/>
  <c r="E25" i="10" s="1"/>
  <c r="E26" i="10" s="1"/>
  <c r="AA26" i="10"/>
  <c r="BC34" i="2" s="1"/>
  <c r="BO22" i="2"/>
  <c r="L7" i="19"/>
  <c r="L9" i="19" s="1"/>
  <c r="O7" i="19"/>
  <c r="O8" i="19" s="1"/>
  <c r="O9" i="19" s="1"/>
  <c r="H50" i="5"/>
  <c r="H51" i="5" s="1"/>
  <c r="H53" i="5" s="1"/>
  <c r="H55" i="5" s="1"/>
  <c r="AA32" i="2" s="1"/>
  <c r="AB32" i="2" s="1"/>
  <c r="H83" i="5"/>
  <c r="H84" i="5" s="1"/>
  <c r="H86" i="5" s="1"/>
  <c r="H88" i="5" s="1"/>
  <c r="H91" i="5" s="1"/>
  <c r="H92" i="5" s="1"/>
  <c r="AU26" i="2"/>
  <c r="AH26" i="10"/>
  <c r="S134" i="5" s="1"/>
  <c r="M7" i="19"/>
  <c r="M8" i="19" s="1"/>
  <c r="M9" i="19" s="1"/>
  <c r="AD26" i="10"/>
  <c r="BE34" i="2" s="1"/>
  <c r="K7" i="19"/>
  <c r="K9" i="19" s="1"/>
  <c r="AC26" i="10"/>
  <c r="H64" i="5"/>
  <c r="H65" i="5" s="1"/>
  <c r="H67" i="5" s="1"/>
  <c r="H69" i="5" s="1"/>
  <c r="H72" i="5" s="1"/>
  <c r="H73" i="5" s="1"/>
  <c r="S22" i="2"/>
  <c r="S26" i="2" s="1"/>
  <c r="S32" i="2" s="1"/>
  <c r="AA20" i="2"/>
  <c r="AA23" i="2" s="1"/>
  <c r="J23" i="2"/>
  <c r="J26" i="2" s="1"/>
  <c r="J32" i="2" s="1"/>
  <c r="AT26" i="2"/>
  <c r="BF26" i="2"/>
  <c r="BI26" i="2"/>
  <c r="W23" i="2"/>
  <c r="W26" i="2" s="1"/>
  <c r="W32" i="2" s="1"/>
  <c r="I26" i="2"/>
  <c r="I32" i="2" s="1"/>
  <c r="X22" i="2"/>
  <c r="X23" i="2"/>
  <c r="Y20" i="2"/>
  <c r="Y22" i="2" s="1"/>
  <c r="AC18" i="2"/>
  <c r="AB22" i="2"/>
  <c r="AB26" i="2" s="1"/>
  <c r="AB57" i="2" s="1"/>
  <c r="AB58" i="2" s="1"/>
  <c r="AB59" i="2" s="1"/>
  <c r="K26" i="2"/>
  <c r="K32" i="2" s="1"/>
  <c r="R23" i="2"/>
  <c r="R22" i="2"/>
  <c r="E26" i="2"/>
  <c r="E32" i="2" s="1"/>
  <c r="N22" i="2"/>
  <c r="N23" i="2"/>
  <c r="AR27" i="2"/>
  <c r="H22" i="2"/>
  <c r="H23" i="2"/>
  <c r="O23" i="2"/>
  <c r="O22" i="2"/>
  <c r="BE22" i="2"/>
  <c r="BE26" i="2" s="1"/>
  <c r="AV22" i="2"/>
  <c r="AV26" i="2" s="1"/>
  <c r="AY22" i="2"/>
  <c r="AY26" i="2" s="1"/>
  <c r="F22" i="2"/>
  <c r="F23" i="2"/>
  <c r="BA27" i="2"/>
  <c r="V23" i="2"/>
  <c r="V22" i="2"/>
  <c r="BH22" i="2"/>
  <c r="BH26" i="2" s="1"/>
  <c r="L22" i="2"/>
  <c r="L23" i="2"/>
  <c r="M23" i="2"/>
  <c r="M22" i="2"/>
  <c r="L136" i="5"/>
  <c r="K137" i="5"/>
  <c r="K138" i="5" s="1"/>
  <c r="AJ45" i="2"/>
  <c r="AJ46" i="2" s="1"/>
  <c r="AJ47" i="2" s="1"/>
  <c r="AK45" i="2"/>
  <c r="AK46" i="2" s="1"/>
  <c r="AK47" i="2" s="1"/>
  <c r="AC34" i="2"/>
  <c r="AB34" i="2"/>
  <c r="AV33" i="2"/>
  <c r="AE26" i="10"/>
  <c r="N8" i="19"/>
  <c r="N9" i="19" s="1"/>
  <c r="F23" i="10"/>
  <c r="G21" i="10"/>
  <c r="AY53" i="2"/>
  <c r="AY54" i="2" s="1"/>
  <c r="AY55" i="2" s="1"/>
  <c r="C25" i="10"/>
  <c r="C26" i="10" s="1"/>
  <c r="AA34" i="2" s="1"/>
  <c r="L24" i="10"/>
  <c r="K25" i="10"/>
  <c r="K26" i="10" s="1"/>
  <c r="AL34" i="2" s="1"/>
  <c r="Q131" i="5"/>
  <c r="AF25" i="10"/>
  <c r="Q133" i="5" s="1"/>
  <c r="BA45" i="2"/>
  <c r="BA46" i="2" s="1"/>
  <c r="BA47" i="2" s="1"/>
  <c r="U131" i="5"/>
  <c r="AJ25" i="10"/>
  <c r="U133" i="5" s="1"/>
  <c r="E129" i="5"/>
  <c r="T23" i="10"/>
  <c r="V131" i="5"/>
  <c r="AK25" i="10"/>
  <c r="V133" i="5" s="1"/>
  <c r="BW26" i="2" l="1"/>
  <c r="BW27" i="2" s="1"/>
  <c r="AG133" i="5"/>
  <c r="CD26" i="10"/>
  <c r="AG134" i="5" s="1"/>
  <c r="BW34" i="2" s="1"/>
  <c r="BZ22" i="2"/>
  <c r="BZ26" i="2" s="1"/>
  <c r="AL133" i="5"/>
  <c r="DF26" i="10"/>
  <c r="AL134" i="5" s="1"/>
  <c r="DD26" i="10"/>
  <c r="AJ134" i="5" s="1"/>
  <c r="AJ133" i="5"/>
  <c r="BX22" i="2"/>
  <c r="BX26" i="2" s="1"/>
  <c r="DB26" i="10"/>
  <c r="AH134" i="5" s="1"/>
  <c r="BX34" i="2" s="1"/>
  <c r="AH133" i="5"/>
  <c r="AK133" i="5"/>
  <c r="DE26" i="10"/>
  <c r="AK134" i="5" s="1"/>
  <c r="CA34" i="2" s="1"/>
  <c r="DC26" i="10"/>
  <c r="AI134" i="5" s="1"/>
  <c r="AI133" i="5"/>
  <c r="BY22" i="2"/>
  <c r="BY26" i="2" s="1"/>
  <c r="CA22" i="2"/>
  <c r="CA26" i="2" s="1"/>
  <c r="CB22" i="2"/>
  <c r="CB26" i="2" s="1"/>
  <c r="AI26" i="10"/>
  <c r="D20" i="20" s="1"/>
  <c r="D25" i="20" s="1"/>
  <c r="BS26" i="2"/>
  <c r="BS27" i="2" s="1"/>
  <c r="BI27" i="2"/>
  <c r="BF27" i="2"/>
  <c r="AU27" i="2"/>
  <c r="AS27" i="2"/>
  <c r="BG27" i="2"/>
  <c r="Z23" i="2"/>
  <c r="Z26" i="2" s="1"/>
  <c r="Z69" i="2" s="1"/>
  <c r="Z70" i="2" s="1"/>
  <c r="Z71" i="2" s="1"/>
  <c r="BD27" i="2"/>
  <c r="DF22" i="2"/>
  <c r="BR27" i="2"/>
  <c r="BP26" i="2"/>
  <c r="BP27" i="2" s="1"/>
  <c r="AP26" i="10"/>
  <c r="AA133" i="5"/>
  <c r="BV22" i="2"/>
  <c r="BV26" i="2" s="1"/>
  <c r="AD133" i="5"/>
  <c r="AS26" i="10"/>
  <c r="AR26" i="10"/>
  <c r="AC133" i="5"/>
  <c r="CC26" i="10"/>
  <c r="AF134" i="5" s="1"/>
  <c r="BV34" i="2" s="1"/>
  <c r="AF133" i="5"/>
  <c r="AT26" i="10"/>
  <c r="AE133" i="5"/>
  <c r="AQ26" i="10"/>
  <c r="AB133" i="5"/>
  <c r="M133" i="5"/>
  <c r="BT27" i="2"/>
  <c r="BH34" i="2"/>
  <c r="BH45" i="2" s="1"/>
  <c r="BH46" i="2" s="1"/>
  <c r="BH47" i="2" s="1"/>
  <c r="BN26" i="2"/>
  <c r="M9" i="20"/>
  <c r="O6" i="20" s="1"/>
  <c r="O11" i="20" s="1"/>
  <c r="O13" i="20" s="1"/>
  <c r="K139" i="5"/>
  <c r="BA32" i="2" s="1"/>
  <c r="BA33" i="2" s="1"/>
  <c r="BA53" i="2" s="1"/>
  <c r="BA54" i="2" s="1"/>
  <c r="BA55" i="2" s="1"/>
  <c r="AH32" i="2"/>
  <c r="AH53" i="2" s="1"/>
  <c r="AH54" i="2" s="1"/>
  <c r="AH55" i="2" s="1"/>
  <c r="H107" i="5"/>
  <c r="H108" i="5" s="1"/>
  <c r="AK32" i="2"/>
  <c r="AK53" i="2" s="1"/>
  <c r="AK54" i="2" s="1"/>
  <c r="AK55" i="2" s="1"/>
  <c r="AG32" i="2"/>
  <c r="AG53" i="2" s="1"/>
  <c r="AG54" i="2" s="1"/>
  <c r="AG55" i="2" s="1"/>
  <c r="AF32" i="2"/>
  <c r="AF53" i="2" s="1"/>
  <c r="AF54" i="2" s="1"/>
  <c r="AF55" i="2" s="1"/>
  <c r="AL32" i="2"/>
  <c r="AM32" i="2" s="1"/>
  <c r="DF16" i="2"/>
  <c r="DF19" i="2" s="1"/>
  <c r="DG16" i="2" s="1"/>
  <c r="DG19" i="2" s="1"/>
  <c r="BO26" i="2"/>
  <c r="L134" i="5"/>
  <c r="BB34" i="2"/>
  <c r="BB65" i="2" s="1"/>
  <c r="BB66" i="2" s="1"/>
  <c r="BB67" i="2" s="1"/>
  <c r="BB68" i="2" s="1"/>
  <c r="AC27" i="10"/>
  <c r="AK26" i="10"/>
  <c r="BL34" i="2" s="1"/>
  <c r="BL45" i="2" s="1"/>
  <c r="BL46" i="2" s="1"/>
  <c r="BL47" i="2" s="1"/>
  <c r="Z133" i="5"/>
  <c r="AO26" i="10"/>
  <c r="BJ27" i="2"/>
  <c r="O24" i="20"/>
  <c r="O22" i="20"/>
  <c r="Q19" i="20" s="1"/>
  <c r="Q24" i="20" s="1"/>
  <c r="Q26" i="20" s="1"/>
  <c r="AO53" i="2"/>
  <c r="AO54" i="2" s="1"/>
  <c r="AO55" i="2" s="1"/>
  <c r="AP32" i="2"/>
  <c r="AP53" i="2" s="1"/>
  <c r="AP54" i="2" s="1"/>
  <c r="AP55" i="2" s="1"/>
  <c r="AA53" i="2"/>
  <c r="AA54" i="2" s="1"/>
  <c r="AA55" i="2" s="1"/>
  <c r="BC28" i="2"/>
  <c r="BC61" i="2" s="1"/>
  <c r="BC62" i="2" s="1"/>
  <c r="BC63" i="2" s="1"/>
  <c r="BK22" i="2"/>
  <c r="BK26" i="2" s="1"/>
  <c r="AN26" i="10"/>
  <c r="BO34" i="2" s="1"/>
  <c r="Y133" i="5"/>
  <c r="AL26" i="10"/>
  <c r="W133" i="5"/>
  <c r="AM26" i="10"/>
  <c r="X133" i="5"/>
  <c r="BM26" i="2"/>
  <c r="M26" i="20"/>
  <c r="M13" i="20"/>
  <c r="AH27" i="10"/>
  <c r="D19" i="20"/>
  <c r="D24" i="20" s="1"/>
  <c r="BI34" i="2"/>
  <c r="BI45" i="2" s="1"/>
  <c r="BI46" i="2" s="1"/>
  <c r="BI47" i="2" s="1"/>
  <c r="AB27" i="10"/>
  <c r="O134" i="5"/>
  <c r="AA22" i="2"/>
  <c r="AA26" i="2" s="1"/>
  <c r="AA69" i="2" s="1"/>
  <c r="AA70" i="2" s="1"/>
  <c r="AA71" i="2" s="1"/>
  <c r="AD27" i="10"/>
  <c r="N134" i="5"/>
  <c r="BD34" i="2"/>
  <c r="BD45" i="2" s="1"/>
  <c r="BD46" i="2" s="1"/>
  <c r="BD47" i="2" s="1"/>
  <c r="AF26" i="10"/>
  <c r="AF27" i="10" s="1"/>
  <c r="Y23" i="2"/>
  <c r="Y26" i="2" s="1"/>
  <c r="Y32" i="2" s="1"/>
  <c r="Y53" i="2" s="1"/>
  <c r="Y54" i="2" s="1"/>
  <c r="Y55" i="2" s="1"/>
  <c r="O26" i="2"/>
  <c r="O32" i="2" s="1"/>
  <c r="AT27" i="2"/>
  <c r="W41" i="2"/>
  <c r="W42" i="2" s="1"/>
  <c r="W43" i="2" s="1"/>
  <c r="W53" i="2"/>
  <c r="W54" i="2" s="1"/>
  <c r="W55" i="2" s="1"/>
  <c r="X26" i="2"/>
  <c r="X32" i="2" s="1"/>
  <c r="X53" i="2" s="1"/>
  <c r="X54" i="2" s="1"/>
  <c r="X55" i="2" s="1"/>
  <c r="F26" i="2"/>
  <c r="F32" i="2" s="1"/>
  <c r="AD18" i="2"/>
  <c r="AC20" i="2"/>
  <c r="R26" i="2"/>
  <c r="R32" i="2" s="1"/>
  <c r="M26" i="2"/>
  <c r="M32" i="2" s="1"/>
  <c r="V26" i="2"/>
  <c r="V32" i="2" s="1"/>
  <c r="N26" i="2"/>
  <c r="N32" i="2" s="1"/>
  <c r="L26" i="2"/>
  <c r="L32" i="2" s="1"/>
  <c r="H26" i="2"/>
  <c r="H32" i="2" s="1"/>
  <c r="BH27" i="2"/>
  <c r="AV27" i="2"/>
  <c r="BE27" i="2"/>
  <c r="AY27" i="2"/>
  <c r="M136" i="5"/>
  <c r="L137" i="5"/>
  <c r="L138" i="5" s="1"/>
  <c r="AR33" i="2"/>
  <c r="AS32" i="2"/>
  <c r="AB69" i="2"/>
  <c r="AB70" i="2" s="1"/>
  <c r="AB71" i="2" s="1"/>
  <c r="AB41" i="2"/>
  <c r="AB42" i="2" s="1"/>
  <c r="AB43" i="2" s="1"/>
  <c r="AC32" i="2"/>
  <c r="AB53" i="2"/>
  <c r="AB54" i="2" s="1"/>
  <c r="AB55" i="2" s="1"/>
  <c r="AE34" i="2"/>
  <c r="AD34" i="2"/>
  <c r="AV53" i="2"/>
  <c r="AV54" i="2" s="1"/>
  <c r="AV55" i="2" s="1"/>
  <c r="AJ26" i="10"/>
  <c r="E131" i="5"/>
  <c r="T25" i="10"/>
  <c r="E133" i="5" s="1"/>
  <c r="BF34" i="2"/>
  <c r="P134" i="5"/>
  <c r="AE27" i="10"/>
  <c r="AA45" i="2"/>
  <c r="AA46" i="2" s="1"/>
  <c r="AA47" i="2" s="1"/>
  <c r="BE45" i="2"/>
  <c r="BE46" i="2" s="1"/>
  <c r="BE47" i="2" s="1"/>
  <c r="AL45" i="2"/>
  <c r="AL46" i="2" s="1"/>
  <c r="AL47" i="2" s="1"/>
  <c r="H21" i="10"/>
  <c r="G23" i="10"/>
  <c r="M24" i="10"/>
  <c r="L25" i="10"/>
  <c r="L26" i="10" s="1"/>
  <c r="AM34" i="2" s="1"/>
  <c r="F25" i="10"/>
  <c r="F26" i="10" s="1"/>
  <c r="BC45" i="2"/>
  <c r="BC46" i="2" s="1"/>
  <c r="BC47" i="2" s="1"/>
  <c r="AB73" i="2"/>
  <c r="AB74" i="2" s="1"/>
  <c r="AB75" i="2" s="1"/>
  <c r="AB45" i="2"/>
  <c r="AB46" i="2" s="1"/>
  <c r="AB47" i="2" s="1"/>
  <c r="AC45" i="2"/>
  <c r="AC46" i="2" s="1"/>
  <c r="AC47" i="2" s="1"/>
  <c r="BL27" i="2"/>
  <c r="DH22" i="2" l="1"/>
  <c r="AI27" i="10"/>
  <c r="T134" i="5"/>
  <c r="BJ34" i="2"/>
  <c r="BJ45" i="2" s="1"/>
  <c r="BJ46" i="2" s="1"/>
  <c r="BJ47" i="2" s="1"/>
  <c r="D26" i="20"/>
  <c r="D21" i="20" s="1"/>
  <c r="D22" i="20" s="1"/>
  <c r="F19" i="20" s="1"/>
  <c r="F24" i="20" s="1"/>
  <c r="CB27" i="2"/>
  <c r="DM22" i="2"/>
  <c r="BY34" i="2"/>
  <c r="BZ34" i="2"/>
  <c r="CB34" i="2"/>
  <c r="AN20" i="20"/>
  <c r="AN25" i="20" s="1"/>
  <c r="CB39" i="2" s="1"/>
  <c r="BZ27" i="2"/>
  <c r="DK22" i="2"/>
  <c r="DL22" i="2"/>
  <c r="CA27" i="2"/>
  <c r="BY27" i="2"/>
  <c r="DJ22" i="2"/>
  <c r="DI22" i="2"/>
  <c r="BX27" i="2"/>
  <c r="DH16" i="2"/>
  <c r="DH19" i="2" s="1"/>
  <c r="DI16" i="2"/>
  <c r="DI19" i="2" s="1"/>
  <c r="DJ16" i="2" s="1"/>
  <c r="BN27" i="2"/>
  <c r="DG22" i="2"/>
  <c r="BV27" i="2"/>
  <c r="BU34" i="2"/>
  <c r="Z20" i="20"/>
  <c r="Z25" i="20" s="1"/>
  <c r="BU39" i="2" s="1"/>
  <c r="AE134" i="5"/>
  <c r="BS34" i="2"/>
  <c r="V20" i="20"/>
  <c r="V25" i="20" s="1"/>
  <c r="BS39" i="2" s="1"/>
  <c r="AC134" i="5"/>
  <c r="AB134" i="5"/>
  <c r="T20" i="20" s="1"/>
  <c r="T25" i="20" s="1"/>
  <c r="BR39" i="2" s="1"/>
  <c r="BR34" i="2"/>
  <c r="BQ34" i="2"/>
  <c r="R20" i="20"/>
  <c r="R25" i="20" s="1"/>
  <c r="BQ39" i="2" s="1"/>
  <c r="AA134" i="5"/>
  <c r="AD134" i="5"/>
  <c r="BT34" i="2"/>
  <c r="X20" i="20"/>
  <c r="X25" i="20" s="1"/>
  <c r="BT39" i="2" s="1"/>
  <c r="O9" i="20"/>
  <c r="Q6" i="20" s="1"/>
  <c r="Q9" i="20" s="1"/>
  <c r="S6" i="20" s="1"/>
  <c r="S11" i="20" s="1"/>
  <c r="S13" i="20" s="1"/>
  <c r="L139" i="5"/>
  <c r="BB32" i="2" s="1"/>
  <c r="BB69" i="2" s="1"/>
  <c r="BB70" i="2" s="1"/>
  <c r="BB71" i="2" s="1"/>
  <c r="AI32" i="2"/>
  <c r="AJ32" i="2" s="1"/>
  <c r="H20" i="20"/>
  <c r="H25" i="20" s="1"/>
  <c r="BO27" i="2"/>
  <c r="AL53" i="2"/>
  <c r="AL54" i="2" s="1"/>
  <c r="AL55" i="2" s="1"/>
  <c r="Z57" i="2"/>
  <c r="Z58" i="2" s="1"/>
  <c r="Z59" i="2" s="1"/>
  <c r="BB61" i="2"/>
  <c r="BB62" i="2" s="1"/>
  <c r="BB63" i="2" s="1"/>
  <c r="V134" i="5"/>
  <c r="BB45" i="2"/>
  <c r="BB46" i="2" s="1"/>
  <c r="BB47" i="2" s="1"/>
  <c r="BB73" i="2"/>
  <c r="BB74" i="2" s="1"/>
  <c r="BB75" i="2" s="1"/>
  <c r="AQ32" i="2"/>
  <c r="AQ53" i="2" s="1"/>
  <c r="AQ54" i="2" s="1"/>
  <c r="AQ55" i="2" s="1"/>
  <c r="Q22" i="20"/>
  <c r="AL27" i="10"/>
  <c r="BC65" i="2"/>
  <c r="BC66" i="2" s="1"/>
  <c r="BC67" i="2" s="1"/>
  <c r="BC68" i="2" s="1"/>
  <c r="BC73" i="2"/>
  <c r="BC74" i="2" s="1"/>
  <c r="BC75" i="2" s="1"/>
  <c r="BC77" i="2"/>
  <c r="BC78" i="2" s="1"/>
  <c r="BC79" i="2" s="1"/>
  <c r="BC57" i="2"/>
  <c r="BC58" i="2" s="1"/>
  <c r="BC59" i="2" s="1"/>
  <c r="P20" i="20"/>
  <c r="P25" i="20" s="1"/>
  <c r="BP39" i="2" s="1"/>
  <c r="Z134" i="5"/>
  <c r="BP34" i="2"/>
  <c r="O26" i="20"/>
  <c r="AA73" i="2"/>
  <c r="AA74" i="2" s="1"/>
  <c r="AA75" i="2" s="1"/>
  <c r="BK27" i="2"/>
  <c r="BN34" i="2"/>
  <c r="L20" i="20"/>
  <c r="L25" i="20" s="1"/>
  <c r="X134" i="5"/>
  <c r="Y134" i="5"/>
  <c r="N20" i="20"/>
  <c r="N25" i="20" s="1"/>
  <c r="BM27" i="2"/>
  <c r="J20" i="20"/>
  <c r="J25" i="20" s="1"/>
  <c r="W134" i="5"/>
  <c r="BM34" i="2"/>
  <c r="AG27" i="10"/>
  <c r="BG34" i="2"/>
  <c r="BG45" i="2" s="1"/>
  <c r="BG46" i="2" s="1"/>
  <c r="BG47" i="2" s="1"/>
  <c r="Q134" i="5"/>
  <c r="X41" i="2"/>
  <c r="X42" i="2" s="1"/>
  <c r="X43" i="2" s="1"/>
  <c r="AA41" i="2"/>
  <c r="AA42" i="2" s="1"/>
  <c r="AA43" i="2" s="1"/>
  <c r="AA57" i="2"/>
  <c r="AA58" i="2" s="1"/>
  <c r="AA59" i="2" s="1"/>
  <c r="BD28" i="2"/>
  <c r="BD30" i="2" s="1"/>
  <c r="BD57" i="2" s="1"/>
  <c r="BD58" i="2" s="1"/>
  <c r="BD59" i="2" s="1"/>
  <c r="Z41" i="2"/>
  <c r="Z42" i="2" s="1"/>
  <c r="Z43" i="2" s="1"/>
  <c r="AC22" i="2"/>
  <c r="AC23" i="2"/>
  <c r="AE18" i="2"/>
  <c r="AD20" i="2"/>
  <c r="Y41" i="2"/>
  <c r="Y42" i="2" s="1"/>
  <c r="Y43" i="2" s="1"/>
  <c r="AT32" i="2"/>
  <c r="AS33" i="2"/>
  <c r="AR53" i="2"/>
  <c r="AR54" i="2" s="1"/>
  <c r="AR55" i="2" s="1"/>
  <c r="N136" i="5"/>
  <c r="M137" i="5"/>
  <c r="M138" i="5" s="1"/>
  <c r="M139" i="5" s="1"/>
  <c r="AM53" i="2"/>
  <c r="AM54" i="2" s="1"/>
  <c r="AM55" i="2" s="1"/>
  <c r="AN32" i="2"/>
  <c r="AD32" i="2"/>
  <c r="AC53" i="2"/>
  <c r="AC54" i="2" s="1"/>
  <c r="AC55" i="2" s="1"/>
  <c r="AG34" i="2"/>
  <c r="AF34" i="2"/>
  <c r="AM45" i="2"/>
  <c r="AM46" i="2" s="1"/>
  <c r="AM47" i="2" s="1"/>
  <c r="BF45" i="2"/>
  <c r="BF46" i="2" s="1"/>
  <c r="BF47" i="2" s="1"/>
  <c r="F20" i="20"/>
  <c r="F25" i="20" s="1"/>
  <c r="AJ27" i="10"/>
  <c r="U134" i="5"/>
  <c r="BK34" i="2"/>
  <c r="N24" i="10"/>
  <c r="M25" i="10"/>
  <c r="M26" i="10" s="1"/>
  <c r="AN34" i="2" s="1"/>
  <c r="T26" i="10"/>
  <c r="AK27" i="10"/>
  <c r="H23" i="10"/>
  <c r="G25" i="10"/>
  <c r="H25" i="10" s="1"/>
  <c r="AD45" i="2"/>
  <c r="AD46" i="2" s="1"/>
  <c r="AD47" i="2" s="1"/>
  <c r="AE45" i="2"/>
  <c r="AE46" i="2" s="1"/>
  <c r="AE47" i="2" s="1"/>
  <c r="DJ19" i="2" l="1"/>
  <c r="DK16" i="2" s="1"/>
  <c r="DK19" i="2" s="1"/>
  <c r="DL16" i="2" s="1"/>
  <c r="BC32" i="2"/>
  <c r="BC33" i="2" s="1"/>
  <c r="BC53" i="2" s="1"/>
  <c r="BC54" i="2" s="1"/>
  <c r="BC55" i="2" s="1"/>
  <c r="Q11" i="20"/>
  <c r="Q13" i="20" s="1"/>
  <c r="AI53" i="2"/>
  <c r="AI54" i="2" s="1"/>
  <c r="AI55" i="2" s="1"/>
  <c r="S19" i="20"/>
  <c r="S22" i="20" s="1"/>
  <c r="U19" i="20" s="1"/>
  <c r="U24" i="20" s="1"/>
  <c r="U26" i="20" s="1"/>
  <c r="S9" i="20"/>
  <c r="U6" i="20" s="1"/>
  <c r="U9" i="20" s="1"/>
  <c r="AC26" i="2"/>
  <c r="AC69" i="2" s="1"/>
  <c r="AC70" i="2" s="1"/>
  <c r="AC71" i="2" s="1"/>
  <c r="BD77" i="2"/>
  <c r="BD78" i="2" s="1"/>
  <c r="BD79" i="2" s="1"/>
  <c r="BD65" i="2"/>
  <c r="BD66" i="2" s="1"/>
  <c r="BD67" i="2" s="1"/>
  <c r="BD68" i="2" s="1"/>
  <c r="BD61" i="2"/>
  <c r="BD62" i="2" s="1"/>
  <c r="BD63" i="2" s="1"/>
  <c r="BD73" i="2"/>
  <c r="BD74" i="2" s="1"/>
  <c r="BD75" i="2" s="1"/>
  <c r="AD23" i="2"/>
  <c r="AD22" i="2"/>
  <c r="AE20" i="2"/>
  <c r="AF18" i="2"/>
  <c r="BB33" i="2"/>
  <c r="BB53" i="2" s="1"/>
  <c r="BB54" i="2" s="1"/>
  <c r="BB55" i="2" s="1"/>
  <c r="BE28" i="2"/>
  <c r="AJ53" i="2"/>
  <c r="AJ54" i="2" s="1"/>
  <c r="AJ55" i="2" s="1"/>
  <c r="AN53" i="2"/>
  <c r="AN54" i="2" s="1"/>
  <c r="AN55" i="2" s="1"/>
  <c r="AS53" i="2"/>
  <c r="AS54" i="2" s="1"/>
  <c r="AS55" i="2" s="1"/>
  <c r="AE32" i="2"/>
  <c r="AD53" i="2"/>
  <c r="AD54" i="2" s="1"/>
  <c r="AD55" i="2" s="1"/>
  <c r="AT33" i="2"/>
  <c r="N137" i="5"/>
  <c r="N138" i="5" s="1"/>
  <c r="N139" i="5" s="1"/>
  <c r="BD32" i="2" s="1"/>
  <c r="O136" i="5"/>
  <c r="G26" i="10"/>
  <c r="H26" i="10"/>
  <c r="AI34" i="2" s="1"/>
  <c r="E134" i="5"/>
  <c r="E139" i="5" s="1"/>
  <c r="AU32" i="2" s="1"/>
  <c r="AU34" i="2"/>
  <c r="BK45" i="2"/>
  <c r="BK46" i="2" s="1"/>
  <c r="BK47" i="2" s="1"/>
  <c r="AN45" i="2"/>
  <c r="AN46" i="2" s="1"/>
  <c r="AN47" i="2" s="1"/>
  <c r="AF45" i="2"/>
  <c r="AF46" i="2" s="1"/>
  <c r="AF47" i="2" s="1"/>
  <c r="F26" i="20"/>
  <c r="O24" i="10"/>
  <c r="N25" i="10"/>
  <c r="N26" i="10" s="1"/>
  <c r="AO34" i="2" s="1"/>
  <c r="AG45" i="2"/>
  <c r="AG46" i="2" s="1"/>
  <c r="AG47" i="2" s="1"/>
  <c r="BC49" i="2" l="1"/>
  <c r="BC50" i="2" s="1"/>
  <c r="BC51" i="2" s="1"/>
  <c r="BC41" i="2"/>
  <c r="BC42" i="2" s="1"/>
  <c r="BC43" i="2" s="1"/>
  <c r="DL19" i="2"/>
  <c r="DM16" i="2" s="1"/>
  <c r="DM19" i="2" s="1"/>
  <c r="DN16" i="2" s="1"/>
  <c r="DN19" i="2" s="1"/>
  <c r="DO16" i="2" s="1"/>
  <c r="DO19" i="2" s="1"/>
  <c r="DP16" i="2" s="1"/>
  <c r="DP19" i="2" s="1"/>
  <c r="DQ16" i="2" s="1"/>
  <c r="DQ19" i="2" s="1"/>
  <c r="DR16" i="2" s="1"/>
  <c r="DR19" i="2" s="1"/>
  <c r="DS16" i="2" s="1"/>
  <c r="DS19" i="2" s="1"/>
  <c r="DT16" i="2" s="1"/>
  <c r="BC69" i="2"/>
  <c r="BC70" i="2" s="1"/>
  <c r="BC71" i="2" s="1"/>
  <c r="AC41" i="2"/>
  <c r="AC42" i="2" s="1"/>
  <c r="AC43" i="2" s="1"/>
  <c r="AC57" i="2"/>
  <c r="AC58" i="2" s="1"/>
  <c r="AC59" i="2" s="1"/>
  <c r="U22" i="20"/>
  <c r="W19" i="20" s="1"/>
  <c r="U11" i="20"/>
  <c r="W6" i="20"/>
  <c r="S24" i="20"/>
  <c r="S26" i="20" s="1"/>
  <c r="AC73" i="2"/>
  <c r="AC74" i="2" s="1"/>
  <c r="AC75" i="2" s="1"/>
  <c r="AD26" i="2"/>
  <c r="AD69" i="2" s="1"/>
  <c r="AD70" i="2" s="1"/>
  <c r="AD71" i="2" s="1"/>
  <c r="AG18" i="2"/>
  <c r="AF20" i="2"/>
  <c r="BB41" i="2"/>
  <c r="BB42" i="2" s="1"/>
  <c r="BB43" i="2" s="1"/>
  <c r="AE22" i="2"/>
  <c r="AE23" i="2"/>
  <c r="BB49" i="2"/>
  <c r="BB50" i="2" s="1"/>
  <c r="BB51" i="2" s="1"/>
  <c r="BE30" i="2"/>
  <c r="BE65" i="2"/>
  <c r="BE66" i="2" s="1"/>
  <c r="BE67" i="2" s="1"/>
  <c r="BE68" i="2" s="1"/>
  <c r="BF28" i="2"/>
  <c r="AE53" i="2"/>
  <c r="AE54" i="2" s="1"/>
  <c r="AE55" i="2" s="1"/>
  <c r="BD69" i="2"/>
  <c r="BD70" i="2" s="1"/>
  <c r="BD71" i="2" s="1"/>
  <c r="BD33" i="2"/>
  <c r="O137" i="5"/>
  <c r="O138" i="5" s="1"/>
  <c r="O139" i="5" s="1"/>
  <c r="BE32" i="2" s="1"/>
  <c r="P136" i="5"/>
  <c r="AT53" i="2"/>
  <c r="AT54" i="2" s="1"/>
  <c r="AT55" i="2" s="1"/>
  <c r="AU33" i="2"/>
  <c r="AO45" i="2"/>
  <c r="AO46" i="2" s="1"/>
  <c r="AO47" i="2" s="1"/>
  <c r="AU45" i="2"/>
  <c r="AU46" i="2" s="1"/>
  <c r="AU47" i="2" s="1"/>
  <c r="AI45" i="2"/>
  <c r="AI46" i="2" s="1"/>
  <c r="AI47" i="2" s="1"/>
  <c r="P24" i="10"/>
  <c r="O25" i="10"/>
  <c r="O26" i="10" s="1"/>
  <c r="AP34" i="2" s="1"/>
  <c r="F21" i="20"/>
  <c r="F22" i="20" s="1"/>
  <c r="H19" i="20" s="1"/>
  <c r="H24" i="20" s="1"/>
  <c r="H26" i="20" s="1"/>
  <c r="DT19" i="2" l="1"/>
  <c r="DU16" i="2" s="1"/>
  <c r="DU19" i="2" s="1"/>
  <c r="DV16" i="2" s="1"/>
  <c r="AD41" i="2"/>
  <c r="AD42" i="2" s="1"/>
  <c r="AD43" i="2" s="1"/>
  <c r="AD73" i="2"/>
  <c r="AD74" i="2" s="1"/>
  <c r="AD75" i="2" s="1"/>
  <c r="W24" i="20"/>
  <c r="W22" i="20"/>
  <c r="Y19" i="20" s="1"/>
  <c r="Y24" i="20" s="1"/>
  <c r="W11" i="20"/>
  <c r="W9" i="20"/>
  <c r="Y6" i="20" s="1"/>
  <c r="Y11" i="20" s="1"/>
  <c r="Y13" i="20" s="1"/>
  <c r="U13" i="20"/>
  <c r="AD57" i="2"/>
  <c r="AD58" i="2" s="1"/>
  <c r="AD59" i="2" s="1"/>
  <c r="AE26" i="2"/>
  <c r="AF22" i="2"/>
  <c r="AF23" i="2"/>
  <c r="AG20" i="2"/>
  <c r="AH18" i="2"/>
  <c r="BG28" i="2"/>
  <c r="BF30" i="2"/>
  <c r="BF65" i="2"/>
  <c r="BF66" i="2" s="1"/>
  <c r="BF67" i="2" s="1"/>
  <c r="BF68" i="2" s="1"/>
  <c r="BE57" i="2"/>
  <c r="BE58" i="2" s="1"/>
  <c r="BE59" i="2" s="1"/>
  <c r="BE61" i="2"/>
  <c r="BE62" i="2" s="1"/>
  <c r="BE63" i="2" s="1"/>
  <c r="BE73" i="2"/>
  <c r="BE74" i="2" s="1"/>
  <c r="BE75" i="2" s="1"/>
  <c r="BE77" i="2"/>
  <c r="BE78" i="2" s="1"/>
  <c r="BE79" i="2" s="1"/>
  <c r="BD49" i="2"/>
  <c r="BD50" i="2" s="1"/>
  <c r="BD51" i="2" s="1"/>
  <c r="BD53" i="2"/>
  <c r="BD54" i="2" s="1"/>
  <c r="BD55" i="2" s="1"/>
  <c r="BD41" i="2"/>
  <c r="BD42" i="2" s="1"/>
  <c r="BD43" i="2" s="1"/>
  <c r="P137" i="5"/>
  <c r="P138" i="5" s="1"/>
  <c r="P139" i="5" s="1"/>
  <c r="BF32" i="2" s="1"/>
  <c r="Q136" i="5"/>
  <c r="BE33" i="2"/>
  <c r="BE69" i="2"/>
  <c r="BE70" i="2" s="1"/>
  <c r="BE71" i="2" s="1"/>
  <c r="AP45" i="2"/>
  <c r="AP46" i="2" s="1"/>
  <c r="AP47" i="2" s="1"/>
  <c r="AU53" i="2"/>
  <c r="AU54" i="2" s="1"/>
  <c r="AU55" i="2" s="1"/>
  <c r="H21" i="20"/>
  <c r="H22" i="20" s="1"/>
  <c r="J19" i="20" s="1"/>
  <c r="Q24" i="10"/>
  <c r="P25" i="10"/>
  <c r="P26" i="10" s="1"/>
  <c r="AQ34" i="2" s="1"/>
  <c r="DV19" i="2" l="1"/>
  <c r="DW16" i="2" s="1"/>
  <c r="Y26" i="20"/>
  <c r="Y22" i="20"/>
  <c r="AA19" i="20" s="1"/>
  <c r="Y9" i="20"/>
  <c r="AA6" i="20" s="1"/>
  <c r="W26" i="20"/>
  <c r="W13" i="20"/>
  <c r="AF26" i="2"/>
  <c r="AF73" i="2" s="1"/>
  <c r="AF74" i="2" s="1"/>
  <c r="AF75" i="2" s="1"/>
  <c r="J24" i="20"/>
  <c r="AH20" i="2"/>
  <c r="AI18" i="2"/>
  <c r="AG22" i="2"/>
  <c r="AG23" i="2"/>
  <c r="AE57" i="2"/>
  <c r="AE58" i="2" s="1"/>
  <c r="AE59" i="2" s="1"/>
  <c r="AE61" i="2"/>
  <c r="AE62" i="2" s="1"/>
  <c r="AE63" i="2" s="1"/>
  <c r="AE73" i="2"/>
  <c r="AE74" i="2" s="1"/>
  <c r="AE75" i="2" s="1"/>
  <c r="AE41" i="2"/>
  <c r="AE42" i="2" s="1"/>
  <c r="AE43" i="2" s="1"/>
  <c r="AE69" i="2"/>
  <c r="AE70" i="2" s="1"/>
  <c r="AE71" i="2" s="1"/>
  <c r="BG30" i="2"/>
  <c r="BG65" i="2"/>
  <c r="BG66" i="2" s="1"/>
  <c r="BG67" i="2" s="1"/>
  <c r="BG68" i="2" s="1"/>
  <c r="BF57" i="2"/>
  <c r="BF58" i="2" s="1"/>
  <c r="BF59" i="2" s="1"/>
  <c r="BF77" i="2"/>
  <c r="BF78" i="2" s="1"/>
  <c r="BF79" i="2" s="1"/>
  <c r="BF61" i="2"/>
  <c r="BF62" i="2" s="1"/>
  <c r="BF63" i="2" s="1"/>
  <c r="BF73" i="2"/>
  <c r="BF74" i="2" s="1"/>
  <c r="BF75" i="2" s="1"/>
  <c r="BH28" i="2"/>
  <c r="BF33" i="2"/>
  <c r="BF69" i="2"/>
  <c r="BF70" i="2" s="1"/>
  <c r="BF71" i="2" s="1"/>
  <c r="R136" i="5"/>
  <c r="Q137" i="5"/>
  <c r="Q138" i="5" s="1"/>
  <c r="Q139" i="5" s="1"/>
  <c r="BG32" i="2" s="1"/>
  <c r="BE41" i="2"/>
  <c r="BE42" i="2" s="1"/>
  <c r="BE43" i="2" s="1"/>
  <c r="BE49" i="2"/>
  <c r="BE50" i="2" s="1"/>
  <c r="BE51" i="2" s="1"/>
  <c r="BE53" i="2"/>
  <c r="BE54" i="2" s="1"/>
  <c r="BE55" i="2" s="1"/>
  <c r="R24" i="10"/>
  <c r="Q25" i="10"/>
  <c r="Q26" i="10" s="1"/>
  <c r="AR34" i="2" s="1"/>
  <c r="AQ45" i="2"/>
  <c r="AQ46" i="2" s="1"/>
  <c r="AQ47" i="2" s="1"/>
  <c r="J26" i="20" l="1"/>
  <c r="BM37" i="2"/>
  <c r="DW19" i="2"/>
  <c r="DX16" i="2" s="1"/>
  <c r="AA24" i="20"/>
  <c r="AA26" i="20" s="1"/>
  <c r="AA22" i="20"/>
  <c r="AC19" i="20" s="1"/>
  <c r="AA11" i="20"/>
  <c r="AA13" i="20" s="1"/>
  <c r="AA9" i="20"/>
  <c r="AC6" i="20" s="1"/>
  <c r="AF41" i="2"/>
  <c r="AF42" i="2" s="1"/>
  <c r="AF43" i="2" s="1"/>
  <c r="AF69" i="2"/>
  <c r="AF70" i="2" s="1"/>
  <c r="AF71" i="2" s="1"/>
  <c r="AG26" i="2"/>
  <c r="AG57" i="2" s="1"/>
  <c r="AG58" i="2" s="1"/>
  <c r="AG59" i="2" s="1"/>
  <c r="AF57" i="2"/>
  <c r="AF58" i="2" s="1"/>
  <c r="AF59" i="2" s="1"/>
  <c r="AF61" i="2"/>
  <c r="AF62" i="2" s="1"/>
  <c r="AF63" i="2" s="1"/>
  <c r="AJ18" i="2"/>
  <c r="AI20" i="2"/>
  <c r="AH22" i="2"/>
  <c r="AH23" i="2"/>
  <c r="BG57" i="2"/>
  <c r="BG58" i="2" s="1"/>
  <c r="BG59" i="2" s="1"/>
  <c r="BG77" i="2"/>
  <c r="BG78" i="2" s="1"/>
  <c r="BG79" i="2" s="1"/>
  <c r="BG61" i="2"/>
  <c r="BG62" i="2" s="1"/>
  <c r="BG63" i="2" s="1"/>
  <c r="BG73" i="2"/>
  <c r="BG74" i="2" s="1"/>
  <c r="BG75" i="2" s="1"/>
  <c r="BH30" i="2"/>
  <c r="BH65" i="2"/>
  <c r="BH66" i="2" s="1"/>
  <c r="BH67" i="2" s="1"/>
  <c r="BH68" i="2" s="1"/>
  <c r="BI28" i="2"/>
  <c r="S136" i="5"/>
  <c r="R137" i="5"/>
  <c r="R138" i="5" s="1"/>
  <c r="R139" i="5" s="1"/>
  <c r="BH32" i="2" s="1"/>
  <c r="BG69" i="2"/>
  <c r="BG70" i="2" s="1"/>
  <c r="BG71" i="2" s="1"/>
  <c r="BG33" i="2"/>
  <c r="BF49" i="2"/>
  <c r="BF50" i="2" s="1"/>
  <c r="BF51" i="2" s="1"/>
  <c r="BF41" i="2"/>
  <c r="BF42" i="2" s="1"/>
  <c r="BF43" i="2" s="1"/>
  <c r="BF53" i="2"/>
  <c r="BF54" i="2" s="1"/>
  <c r="BF55" i="2" s="1"/>
  <c r="AR45" i="2"/>
  <c r="AR46" i="2" s="1"/>
  <c r="AR47" i="2" s="1"/>
  <c r="R25" i="10"/>
  <c r="S24" i="10"/>
  <c r="C132" i="5"/>
  <c r="C137" i="5" s="1"/>
  <c r="C138" i="5" s="1"/>
  <c r="J21" i="20" l="1"/>
  <c r="J22" i="20" s="1"/>
  <c r="BM35" i="2" s="1"/>
  <c r="BM45" i="2" s="1"/>
  <c r="BM46" i="2" s="1"/>
  <c r="BM47" i="2" s="1"/>
  <c r="BM39" i="2"/>
  <c r="DX19" i="2"/>
  <c r="DY16" i="2" s="1"/>
  <c r="DY19" i="2" s="1"/>
  <c r="DZ16" i="2" s="1"/>
  <c r="DZ19" i="2" s="1"/>
  <c r="EA16" i="2" s="1"/>
  <c r="EA19" i="2" s="1"/>
  <c r="EB16" i="2" s="1"/>
  <c r="EB19" i="2" s="1"/>
  <c r="EC16" i="2" s="1"/>
  <c r="EC19" i="2" s="1"/>
  <c r="ED16" i="2" s="1"/>
  <c r="ED19" i="2" s="1"/>
  <c r="EE16" i="2" s="1"/>
  <c r="EE19" i="2" s="1"/>
  <c r="EF16" i="2" s="1"/>
  <c r="EF19" i="2" s="1"/>
  <c r="EG16" i="2" s="1"/>
  <c r="EG19" i="2" s="1"/>
  <c r="AC11" i="20"/>
  <c r="AC9" i="20"/>
  <c r="AE6" i="20" s="1"/>
  <c r="AC24" i="20"/>
  <c r="AC26" i="20" s="1"/>
  <c r="AC22" i="20"/>
  <c r="AE19" i="20" s="1"/>
  <c r="AG61" i="2"/>
  <c r="AG62" i="2" s="1"/>
  <c r="AG63" i="2" s="1"/>
  <c r="AG73" i="2"/>
  <c r="AG74" i="2" s="1"/>
  <c r="AG75" i="2" s="1"/>
  <c r="AG69" i="2"/>
  <c r="AG70" i="2" s="1"/>
  <c r="AG71" i="2" s="1"/>
  <c r="AG41" i="2"/>
  <c r="AG42" i="2" s="1"/>
  <c r="AG43" i="2" s="1"/>
  <c r="L19" i="20"/>
  <c r="AH26" i="2"/>
  <c r="AH41" i="2" s="1"/>
  <c r="AH42" i="2" s="1"/>
  <c r="AH43" i="2" s="1"/>
  <c r="AI22" i="2"/>
  <c r="AI23" i="2"/>
  <c r="AK18" i="2"/>
  <c r="AJ20" i="2"/>
  <c r="BH57" i="2"/>
  <c r="BH58" i="2" s="1"/>
  <c r="BH59" i="2" s="1"/>
  <c r="BH61" i="2"/>
  <c r="BH62" i="2" s="1"/>
  <c r="BH63" i="2" s="1"/>
  <c r="BH73" i="2"/>
  <c r="BH74" i="2" s="1"/>
  <c r="BH75" i="2" s="1"/>
  <c r="BH77" i="2"/>
  <c r="BH78" i="2" s="1"/>
  <c r="BH79" i="2" s="1"/>
  <c r="BJ28" i="2"/>
  <c r="BI30" i="2"/>
  <c r="BI65" i="2"/>
  <c r="BI66" i="2" s="1"/>
  <c r="BI67" i="2" s="1"/>
  <c r="BI68" i="2" s="1"/>
  <c r="BG53" i="2"/>
  <c r="BG54" i="2" s="1"/>
  <c r="BG55" i="2" s="1"/>
  <c r="BG41" i="2"/>
  <c r="BG42" i="2" s="1"/>
  <c r="BG43" i="2" s="1"/>
  <c r="BG49" i="2"/>
  <c r="BG50" i="2" s="1"/>
  <c r="BG51" i="2" s="1"/>
  <c r="BH33" i="2"/>
  <c r="BH69" i="2"/>
  <c r="BH70" i="2" s="1"/>
  <c r="BH71" i="2" s="1"/>
  <c r="T136" i="5"/>
  <c r="S137" i="5"/>
  <c r="S138" i="5" s="1"/>
  <c r="S139" i="5" s="1"/>
  <c r="C133" i="5"/>
  <c r="R26" i="10"/>
  <c r="S25" i="10"/>
  <c r="D132" i="5"/>
  <c r="D137" i="5" s="1"/>
  <c r="D138" i="5" s="1"/>
  <c r="AE22" i="20" l="1"/>
  <c r="AG19" i="20" s="1"/>
  <c r="AE24" i="20"/>
  <c r="AE26" i="20" s="1"/>
  <c r="AE11" i="20"/>
  <c r="AE13" i="20" s="1"/>
  <c r="AE9" i="20"/>
  <c r="AG6" i="20" s="1"/>
  <c r="AH69" i="2"/>
  <c r="AH70" i="2" s="1"/>
  <c r="AH71" i="2" s="1"/>
  <c r="AC13" i="20"/>
  <c r="AH57" i="2"/>
  <c r="AH58" i="2" s="1"/>
  <c r="AH59" i="2" s="1"/>
  <c r="AH61" i="2"/>
  <c r="AH62" i="2" s="1"/>
  <c r="AH63" i="2" s="1"/>
  <c r="AH73" i="2"/>
  <c r="AH74" i="2" s="1"/>
  <c r="AH75" i="2" s="1"/>
  <c r="AI26" i="2"/>
  <c r="AI57" i="2" s="1"/>
  <c r="AI58" i="2" s="1"/>
  <c r="AI59" i="2" s="1"/>
  <c r="L24" i="20"/>
  <c r="AJ22" i="2"/>
  <c r="AJ23" i="2"/>
  <c r="AL18" i="2"/>
  <c r="AK20" i="2"/>
  <c r="BK28" i="2"/>
  <c r="BI57" i="2"/>
  <c r="BI58" i="2" s="1"/>
  <c r="BI59" i="2" s="1"/>
  <c r="BI73" i="2"/>
  <c r="BI74" i="2" s="1"/>
  <c r="BI75" i="2" s="1"/>
  <c r="BI61" i="2"/>
  <c r="BI62" i="2" s="1"/>
  <c r="BI63" i="2" s="1"/>
  <c r="BI77" i="2"/>
  <c r="BI78" i="2" s="1"/>
  <c r="BI79" i="2" s="1"/>
  <c r="BJ30" i="2"/>
  <c r="BJ65" i="2"/>
  <c r="BJ66" i="2" s="1"/>
  <c r="BJ67" i="2" s="1"/>
  <c r="BJ68" i="2" s="1"/>
  <c r="D6" i="20"/>
  <c r="D11" i="20" s="1"/>
  <c r="BI32" i="2"/>
  <c r="U136" i="5"/>
  <c r="T137" i="5"/>
  <c r="T138" i="5" s="1"/>
  <c r="T139" i="5" s="1"/>
  <c r="BH53" i="2"/>
  <c r="BH54" i="2" s="1"/>
  <c r="BH55" i="2" s="1"/>
  <c r="BH41" i="2"/>
  <c r="BH42" i="2" s="1"/>
  <c r="BH43" i="2" s="1"/>
  <c r="BH49" i="2"/>
  <c r="BH50" i="2" s="1"/>
  <c r="BH51" i="2" s="1"/>
  <c r="D133" i="5"/>
  <c r="S26" i="10"/>
  <c r="AS34" i="2"/>
  <c r="C134" i="5"/>
  <c r="C139" i="5" s="1"/>
  <c r="L26" i="20" l="1"/>
  <c r="BN37" i="2"/>
  <c r="AG22" i="20"/>
  <c r="AI19" i="20" s="1"/>
  <c r="AI24" i="20" s="1"/>
  <c r="AI26" i="20" s="1"/>
  <c r="AG24" i="20"/>
  <c r="AG11" i="20"/>
  <c r="AG13" i="20" s="1"/>
  <c r="AG9" i="20"/>
  <c r="AI6" i="20" s="1"/>
  <c r="AI11" i="20" s="1"/>
  <c r="AI13" i="20" s="1"/>
  <c r="AI61" i="2"/>
  <c r="AI62" i="2" s="1"/>
  <c r="AI63" i="2" s="1"/>
  <c r="AI41" i="2"/>
  <c r="AI42" i="2" s="1"/>
  <c r="AI43" i="2" s="1"/>
  <c r="AI73" i="2"/>
  <c r="AI74" i="2" s="1"/>
  <c r="AI75" i="2" s="1"/>
  <c r="AI69" i="2"/>
  <c r="AI70" i="2" s="1"/>
  <c r="AI71" i="2" s="1"/>
  <c r="AJ26" i="2"/>
  <c r="BL28" i="2"/>
  <c r="BL30" i="2" s="1"/>
  <c r="AL20" i="2"/>
  <c r="AM18" i="2"/>
  <c r="AK23" i="2"/>
  <c r="AK22" i="2"/>
  <c r="BK30" i="2"/>
  <c r="BK65" i="2"/>
  <c r="BK66" i="2" s="1"/>
  <c r="BK67" i="2" s="1"/>
  <c r="BK68" i="2" s="1"/>
  <c r="BJ77" i="2"/>
  <c r="BJ78" i="2" s="1"/>
  <c r="BJ79" i="2" s="1"/>
  <c r="BJ57" i="2"/>
  <c r="BJ58" i="2" s="1"/>
  <c r="BJ59" i="2" s="1"/>
  <c r="BJ61" i="2"/>
  <c r="BJ62" i="2" s="1"/>
  <c r="BJ63" i="2" s="1"/>
  <c r="BJ73" i="2"/>
  <c r="BJ74" i="2" s="1"/>
  <c r="BJ75" i="2" s="1"/>
  <c r="BJ32" i="2"/>
  <c r="D7" i="20"/>
  <c r="D12" i="20" s="1"/>
  <c r="D13" i="20" s="1"/>
  <c r="V136" i="5"/>
  <c r="U137" i="5"/>
  <c r="U138" i="5" s="1"/>
  <c r="U139" i="5" s="1"/>
  <c r="BI69" i="2"/>
  <c r="BI70" i="2" s="1"/>
  <c r="BI71" i="2" s="1"/>
  <c r="BI33" i="2"/>
  <c r="AS45" i="2"/>
  <c r="AS46" i="2" s="1"/>
  <c r="AS47" i="2" s="1"/>
  <c r="AT34" i="2"/>
  <c r="D134" i="5"/>
  <c r="D139" i="5" s="1"/>
  <c r="L21" i="20" l="1"/>
  <c r="L22" i="20" s="1"/>
  <c r="BN35" i="2" s="1"/>
  <c r="BN45" i="2" s="1"/>
  <c r="BN46" i="2" s="1"/>
  <c r="BN47" i="2" s="1"/>
  <c r="BN39" i="2"/>
  <c r="AI22" i="20"/>
  <c r="AK19" i="20" s="1"/>
  <c r="AI9" i="20"/>
  <c r="AK6" i="20" s="1"/>
  <c r="AG26" i="20"/>
  <c r="AJ57" i="2"/>
  <c r="AJ58" i="2" s="1"/>
  <c r="AJ59" i="2" s="1"/>
  <c r="AJ41" i="2"/>
  <c r="AJ42" i="2" s="1"/>
  <c r="AJ43" i="2" s="1"/>
  <c r="AJ73" i="2"/>
  <c r="AJ74" i="2" s="1"/>
  <c r="AJ75" i="2" s="1"/>
  <c r="AJ61" i="2"/>
  <c r="AJ62" i="2" s="1"/>
  <c r="AJ63" i="2" s="1"/>
  <c r="AJ49" i="2"/>
  <c r="AJ50" i="2" s="1"/>
  <c r="AJ51" i="2" s="1"/>
  <c r="AJ69" i="2"/>
  <c r="AJ70" i="2" s="1"/>
  <c r="AJ71" i="2" s="1"/>
  <c r="BN28" i="2"/>
  <c r="BL65" i="2"/>
  <c r="BL66" i="2" s="1"/>
  <c r="BL67" i="2" s="1"/>
  <c r="BL68" i="2" s="1"/>
  <c r="BM28" i="2"/>
  <c r="BM65" i="2" s="1"/>
  <c r="BM66" i="2" s="1"/>
  <c r="BM67" i="2" s="1"/>
  <c r="BM68" i="2" s="1"/>
  <c r="AK26" i="2"/>
  <c r="AL23" i="2"/>
  <c r="AL22" i="2"/>
  <c r="AM20" i="2"/>
  <c r="AN18" i="2"/>
  <c r="BL73" i="2"/>
  <c r="BL74" i="2" s="1"/>
  <c r="BL75" i="2" s="1"/>
  <c r="BL57" i="2"/>
  <c r="BL58" i="2" s="1"/>
  <c r="BL59" i="2" s="1"/>
  <c r="BL61" i="2"/>
  <c r="BL62" i="2" s="1"/>
  <c r="BL63" i="2" s="1"/>
  <c r="BL77" i="2"/>
  <c r="BL78" i="2" s="1"/>
  <c r="BL79" i="2" s="1"/>
  <c r="BK73" i="2"/>
  <c r="BK74" i="2" s="1"/>
  <c r="BK75" i="2" s="1"/>
  <c r="BK57" i="2"/>
  <c r="BK58" i="2" s="1"/>
  <c r="BK59" i="2" s="1"/>
  <c r="BK77" i="2"/>
  <c r="BK78" i="2" s="1"/>
  <c r="BK79" i="2" s="1"/>
  <c r="BK61" i="2"/>
  <c r="BK62" i="2" s="1"/>
  <c r="BK63" i="2" s="1"/>
  <c r="D8" i="20"/>
  <c r="D9" i="20" s="1"/>
  <c r="F6" i="20" s="1"/>
  <c r="F11" i="20" s="1"/>
  <c r="BI53" i="2"/>
  <c r="BI54" i="2" s="1"/>
  <c r="BI55" i="2" s="1"/>
  <c r="BI41" i="2"/>
  <c r="BI42" i="2" s="1"/>
  <c r="BI43" i="2" s="1"/>
  <c r="BI49" i="2"/>
  <c r="BI50" i="2" s="1"/>
  <c r="BI51" i="2" s="1"/>
  <c r="F7" i="20"/>
  <c r="F12" i="20" s="1"/>
  <c r="BK32" i="2"/>
  <c r="BK33" i="2" s="1"/>
  <c r="W136" i="5"/>
  <c r="X136" i="5" s="1"/>
  <c r="Y136" i="5" s="1"/>
  <c r="Z136" i="5" s="1"/>
  <c r="AA136" i="5" s="1"/>
  <c r="AB136" i="5" s="1"/>
  <c r="AC136" i="5" s="1"/>
  <c r="AD136" i="5" s="1"/>
  <c r="AE136" i="5" s="1"/>
  <c r="AF136" i="5" s="1"/>
  <c r="V137" i="5"/>
  <c r="V138" i="5" s="1"/>
  <c r="V139" i="5" s="1"/>
  <c r="BJ33" i="2"/>
  <c r="BJ69" i="2"/>
  <c r="BJ70" i="2" s="1"/>
  <c r="BJ71" i="2" s="1"/>
  <c r="AT45" i="2"/>
  <c r="AT46" i="2" s="1"/>
  <c r="AT47" i="2" s="1"/>
  <c r="N19" i="20" l="1"/>
  <c r="N24" i="20" s="1"/>
  <c r="BO37" i="2" s="1"/>
  <c r="N26" i="20"/>
  <c r="AG136" i="5"/>
  <c r="AG137" i="5" s="1"/>
  <c r="AG138" i="5" s="1"/>
  <c r="BV36" i="2"/>
  <c r="AK22" i="20"/>
  <c r="AM19" i="20" s="1"/>
  <c r="AK24" i="20"/>
  <c r="AK11" i="20"/>
  <c r="AK9" i="20"/>
  <c r="AM6" i="20" s="1"/>
  <c r="BM30" i="2"/>
  <c r="BM77" i="2" s="1"/>
  <c r="BM78" i="2" s="1"/>
  <c r="BM79" i="2" s="1"/>
  <c r="AF137" i="5"/>
  <c r="AF138" i="5" s="1"/>
  <c r="AE137" i="5"/>
  <c r="AE138" i="5" s="1"/>
  <c r="AE139" i="5" s="1"/>
  <c r="AD137" i="5"/>
  <c r="AD138" i="5" s="1"/>
  <c r="AD139" i="5" s="1"/>
  <c r="AL26" i="2"/>
  <c r="AC137" i="5"/>
  <c r="AC138" i="5" s="1"/>
  <c r="AC139" i="5" s="1"/>
  <c r="AB137" i="5"/>
  <c r="AB138" i="5" s="1"/>
  <c r="AB139" i="5" s="1"/>
  <c r="AA137" i="5"/>
  <c r="AA138" i="5" s="1"/>
  <c r="AA139" i="5" s="1"/>
  <c r="BO28" i="2"/>
  <c r="BO30" i="2" s="1"/>
  <c r="Z137" i="5"/>
  <c r="Z138" i="5" s="1"/>
  <c r="Z139" i="5" s="1"/>
  <c r="AK41" i="2"/>
  <c r="AK42" i="2" s="1"/>
  <c r="AK43" i="2" s="1"/>
  <c r="Y137" i="5"/>
  <c r="Y138" i="5" s="1"/>
  <c r="Y139" i="5" s="1"/>
  <c r="AK73" i="2"/>
  <c r="AK74" i="2" s="1"/>
  <c r="AK75" i="2" s="1"/>
  <c r="AK61" i="2"/>
  <c r="AK62" i="2" s="1"/>
  <c r="AK63" i="2" s="1"/>
  <c r="AK57" i="2"/>
  <c r="AK58" i="2" s="1"/>
  <c r="AK59" i="2" s="1"/>
  <c r="AK49" i="2"/>
  <c r="AK50" i="2" s="1"/>
  <c r="AK51" i="2" s="1"/>
  <c r="AK69" i="2"/>
  <c r="AK70" i="2" s="1"/>
  <c r="AK71" i="2" s="1"/>
  <c r="BN30" i="2"/>
  <c r="BN65" i="2"/>
  <c r="BN66" i="2" s="1"/>
  <c r="BN67" i="2" s="1"/>
  <c r="BN68" i="2" s="1"/>
  <c r="X137" i="5"/>
  <c r="X138" i="5" s="1"/>
  <c r="X139" i="5" s="1"/>
  <c r="BM57" i="2"/>
  <c r="BM58" i="2" s="1"/>
  <c r="BM59" i="2" s="1"/>
  <c r="AN20" i="2"/>
  <c r="AO18" i="2"/>
  <c r="AM22" i="2"/>
  <c r="AM23" i="2"/>
  <c r="BK69" i="2"/>
  <c r="BK70" i="2" s="1"/>
  <c r="BK71" i="2" s="1"/>
  <c r="BJ53" i="2"/>
  <c r="BJ54" i="2" s="1"/>
  <c r="BJ55" i="2" s="1"/>
  <c r="BJ41" i="2"/>
  <c r="BJ42" i="2" s="1"/>
  <c r="BJ43" i="2" s="1"/>
  <c r="BJ49" i="2"/>
  <c r="BJ50" i="2" s="1"/>
  <c r="BJ51" i="2" s="1"/>
  <c r="H7" i="20"/>
  <c r="H12" i="20" s="1"/>
  <c r="BL32" i="2"/>
  <c r="BL33" i="2" s="1"/>
  <c r="W137" i="5"/>
  <c r="W138" i="5" s="1"/>
  <c r="W139" i="5" s="1"/>
  <c r="F13" i="20"/>
  <c r="AG139" i="5" l="1"/>
  <c r="BW38" i="2"/>
  <c r="AF139" i="5"/>
  <c r="AG140" i="5" s="1"/>
  <c r="BV38" i="2"/>
  <c r="N21" i="20"/>
  <c r="N22" i="20" s="1"/>
  <c r="BO35" i="2" s="1"/>
  <c r="BO45" i="2" s="1"/>
  <c r="BO46" i="2" s="1"/>
  <c r="BO47" i="2" s="1"/>
  <c r="BO39" i="2"/>
  <c r="AH136" i="5"/>
  <c r="BW36" i="2"/>
  <c r="AM24" i="20"/>
  <c r="AM26" i="20" s="1"/>
  <c r="AM22" i="20"/>
  <c r="AO19" i="20" s="1"/>
  <c r="AM11" i="20"/>
  <c r="AM13" i="20" s="1"/>
  <c r="AM9" i="20"/>
  <c r="AO6" i="20" s="1"/>
  <c r="BM73" i="2"/>
  <c r="BM74" i="2" s="1"/>
  <c r="BM75" i="2" s="1"/>
  <c r="BM61" i="2"/>
  <c r="BM62" i="2" s="1"/>
  <c r="BM63" i="2" s="1"/>
  <c r="AK26" i="20"/>
  <c r="AK13" i="20"/>
  <c r="BW32" i="2"/>
  <c r="AD7" i="20"/>
  <c r="AD12" i="20" s="1"/>
  <c r="AL27" i="2"/>
  <c r="AL49" i="2" s="1"/>
  <c r="AL50" i="2" s="1"/>
  <c r="AL51" i="2" s="1"/>
  <c r="AB7" i="20"/>
  <c r="AB12" i="20" s="1"/>
  <c r="Z7" i="20"/>
  <c r="Z12" i="20" s="1"/>
  <c r="BU32" i="2"/>
  <c r="BT32" i="2"/>
  <c r="X7" i="20"/>
  <c r="X12" i="20" s="1"/>
  <c r="BS32" i="2"/>
  <c r="V7" i="20"/>
  <c r="V12" i="20" s="1"/>
  <c r="T7" i="20"/>
  <c r="T12" i="20" s="1"/>
  <c r="BR32" i="2"/>
  <c r="BQ32" i="2"/>
  <c r="R7" i="20"/>
  <c r="R12" i="20" s="1"/>
  <c r="BO65" i="2"/>
  <c r="BO66" i="2" s="1"/>
  <c r="BO67" i="2" s="1"/>
  <c r="BO68" i="2" s="1"/>
  <c r="BP32" i="2"/>
  <c r="P7" i="20"/>
  <c r="P12" i="20" s="1"/>
  <c r="N7" i="20"/>
  <c r="N12" i="20" s="1"/>
  <c r="BO32" i="2"/>
  <c r="BO69" i="2" s="1"/>
  <c r="BO70" i="2" s="1"/>
  <c r="BO71" i="2" s="1"/>
  <c r="BO77" i="2"/>
  <c r="BO78" i="2" s="1"/>
  <c r="BO79" i="2" s="1"/>
  <c r="BO57" i="2"/>
  <c r="BO58" i="2" s="1"/>
  <c r="BO59" i="2" s="1"/>
  <c r="BO61" i="2"/>
  <c r="BO62" i="2" s="1"/>
  <c r="BO63" i="2" s="1"/>
  <c r="BO73" i="2"/>
  <c r="BO74" i="2" s="1"/>
  <c r="BO75" i="2" s="1"/>
  <c r="L7" i="20"/>
  <c r="L12" i="20" s="1"/>
  <c r="BN32" i="2"/>
  <c r="BN69" i="2" s="1"/>
  <c r="BN70" i="2" s="1"/>
  <c r="BN71" i="2" s="1"/>
  <c r="BN73" i="2"/>
  <c r="BN74" i="2" s="1"/>
  <c r="BN75" i="2" s="1"/>
  <c r="BN61" i="2"/>
  <c r="BN62" i="2" s="1"/>
  <c r="BN63" i="2" s="1"/>
  <c r="BN57" i="2"/>
  <c r="BN58" i="2" s="1"/>
  <c r="BN59" i="2" s="1"/>
  <c r="BN77" i="2"/>
  <c r="BN78" i="2" s="1"/>
  <c r="BN79" i="2" s="1"/>
  <c r="J7" i="20"/>
  <c r="J12" i="20" s="1"/>
  <c r="BM32" i="2"/>
  <c r="BM69" i="2" s="1"/>
  <c r="BM70" i="2" s="1"/>
  <c r="BM71" i="2" s="1"/>
  <c r="AM26" i="2"/>
  <c r="AP18" i="2"/>
  <c r="AO20" i="2"/>
  <c r="AN22" i="2"/>
  <c r="AN23" i="2"/>
  <c r="BL69" i="2"/>
  <c r="BL70" i="2" s="1"/>
  <c r="BL71" i="2" s="1"/>
  <c r="F8" i="20"/>
  <c r="F9" i="20" s="1"/>
  <c r="H6" i="20" s="1"/>
  <c r="H11" i="20" s="1"/>
  <c r="H13" i="20" s="1"/>
  <c r="BK53" i="2"/>
  <c r="BK54" i="2" s="1"/>
  <c r="BK55" i="2" s="1"/>
  <c r="BK41" i="2"/>
  <c r="BK42" i="2" s="1"/>
  <c r="BK43" i="2" s="1"/>
  <c r="BK49" i="2"/>
  <c r="BK50" i="2" s="1"/>
  <c r="BK51" i="2" s="1"/>
  <c r="BV32" i="2" l="1"/>
  <c r="P19" i="20"/>
  <c r="P24" i="20" s="1"/>
  <c r="P26" i="20" s="1"/>
  <c r="P21" i="20" s="1"/>
  <c r="AI136" i="5"/>
  <c r="BX36" i="2"/>
  <c r="AH137" i="5"/>
  <c r="AH138" i="5" s="1"/>
  <c r="AO24" i="20"/>
  <c r="AO26" i="20" s="1"/>
  <c r="AO22" i="20"/>
  <c r="AQ19" i="20" s="1"/>
  <c r="AO11" i="20"/>
  <c r="AO9" i="20"/>
  <c r="AQ6" i="20" s="1"/>
  <c r="AL57" i="2"/>
  <c r="AL58" i="2" s="1"/>
  <c r="AL59" i="2" s="1"/>
  <c r="AL61" i="2"/>
  <c r="AL62" i="2" s="1"/>
  <c r="AL63" i="2" s="1"/>
  <c r="AL41" i="2"/>
  <c r="AL42" i="2" s="1"/>
  <c r="AL43" i="2" s="1"/>
  <c r="AL28" i="2"/>
  <c r="AL69" i="2" s="1"/>
  <c r="AL70" i="2" s="1"/>
  <c r="AL71" i="2" s="1"/>
  <c r="BP28" i="2"/>
  <c r="BP30" i="2" s="1"/>
  <c r="P22" i="20"/>
  <c r="R19" i="20" s="1"/>
  <c r="BP35" i="2"/>
  <c r="BP45" i="2" s="1"/>
  <c r="BP46" i="2" s="1"/>
  <c r="BP47" i="2" s="1"/>
  <c r="AM27" i="2"/>
  <c r="AM49" i="2" s="1"/>
  <c r="AM50" i="2" s="1"/>
  <c r="AM51" i="2" s="1"/>
  <c r="AO23" i="2"/>
  <c r="AO22" i="2"/>
  <c r="AN26" i="2"/>
  <c r="AP20" i="2"/>
  <c r="AQ18" i="2"/>
  <c r="AQ20" i="2" s="1"/>
  <c r="H8" i="20"/>
  <c r="H9" i="20" s="1"/>
  <c r="J6" i="20" s="1"/>
  <c r="BL53" i="2"/>
  <c r="BL54" i="2" s="1"/>
  <c r="BL55" i="2" s="1"/>
  <c r="BL49" i="2"/>
  <c r="BL50" i="2" s="1"/>
  <c r="BL51" i="2" s="1"/>
  <c r="BL41" i="2"/>
  <c r="BL42" i="2" s="1"/>
  <c r="BL43" i="2" s="1"/>
  <c r="AH139" i="5" l="1"/>
  <c r="BX38" i="2"/>
  <c r="AH140" i="5"/>
  <c r="BX32" i="2"/>
  <c r="AF7" i="20"/>
  <c r="AF12" i="20" s="1"/>
  <c r="AJ136" i="5"/>
  <c r="BZ36" i="2"/>
  <c r="BY36" i="2"/>
  <c r="AI137" i="5"/>
  <c r="AI138" i="5" s="1"/>
  <c r="AQ11" i="20"/>
  <c r="AQ13" i="20" s="1"/>
  <c r="AQ9" i="20"/>
  <c r="AS6" i="20" s="1"/>
  <c r="AQ22" i="20"/>
  <c r="AS19" i="20" s="1"/>
  <c r="AQ24" i="20"/>
  <c r="AO13" i="20"/>
  <c r="BP69" i="2"/>
  <c r="BP70" i="2" s="1"/>
  <c r="BP71" i="2" s="1"/>
  <c r="AL73" i="2"/>
  <c r="AL74" i="2" s="1"/>
  <c r="AL75" i="2" s="1"/>
  <c r="AO26" i="2"/>
  <c r="AO27" i="2" s="1"/>
  <c r="AM57" i="2"/>
  <c r="AM58" i="2" s="1"/>
  <c r="AM59" i="2" s="1"/>
  <c r="R24" i="20"/>
  <c r="R26" i="20" s="1"/>
  <c r="R21" i="20" s="1"/>
  <c r="AM61" i="2"/>
  <c r="AM62" i="2" s="1"/>
  <c r="AM63" i="2" s="1"/>
  <c r="AM41" i="2"/>
  <c r="AM42" i="2" s="1"/>
  <c r="AM43" i="2" s="1"/>
  <c r="BP65" i="2"/>
  <c r="BP66" i="2" s="1"/>
  <c r="BP67" i="2" s="1"/>
  <c r="BP68" i="2" s="1"/>
  <c r="BP57" i="2"/>
  <c r="BP58" i="2" s="1"/>
  <c r="BP59" i="2" s="1"/>
  <c r="BP77" i="2"/>
  <c r="BP78" i="2" s="1"/>
  <c r="BP79" i="2" s="1"/>
  <c r="BP73" i="2"/>
  <c r="BP74" i="2" s="1"/>
  <c r="BP75" i="2" s="1"/>
  <c r="BP61" i="2"/>
  <c r="BP62" i="2" s="1"/>
  <c r="BP63" i="2" s="1"/>
  <c r="J11" i="20"/>
  <c r="J13" i="20" s="1"/>
  <c r="AN27" i="2"/>
  <c r="AM28" i="2"/>
  <c r="AQ23" i="2"/>
  <c r="AQ22" i="2"/>
  <c r="AP23" i="2"/>
  <c r="AP22" i="2"/>
  <c r="AI139" i="5" l="1"/>
  <c r="BY32" i="2" s="1"/>
  <c r="BZ38" i="2"/>
  <c r="BY38" i="2"/>
  <c r="AK136" i="5"/>
  <c r="AJ137" i="5"/>
  <c r="AJ138" i="5" s="1"/>
  <c r="AJ139" i="5" s="1"/>
  <c r="AH7" i="20"/>
  <c r="AH12" i="20" s="1"/>
  <c r="AI140" i="5"/>
  <c r="AS22" i="20"/>
  <c r="AU19" i="20" s="1"/>
  <c r="AS24" i="20"/>
  <c r="AS26" i="20" s="1"/>
  <c r="AS9" i="20"/>
  <c r="AU6" i="20" s="1"/>
  <c r="AS11" i="20"/>
  <c r="AQ26" i="20"/>
  <c r="BQ28" i="2"/>
  <c r="BQ69" i="2" s="1"/>
  <c r="BQ70" i="2" s="1"/>
  <c r="BQ71" i="2" s="1"/>
  <c r="R22" i="20"/>
  <c r="T19" i="20" s="1"/>
  <c r="BQ35" i="2"/>
  <c r="BQ45" i="2" s="1"/>
  <c r="BQ46" i="2" s="1"/>
  <c r="BQ47" i="2" s="1"/>
  <c r="AP26" i="2"/>
  <c r="AQ26" i="2"/>
  <c r="J8" i="20"/>
  <c r="J9" i="20" s="1"/>
  <c r="AM69" i="2"/>
  <c r="AM70" i="2" s="1"/>
  <c r="AM71" i="2" s="1"/>
  <c r="AM73" i="2"/>
  <c r="AM74" i="2" s="1"/>
  <c r="AM75" i="2" s="1"/>
  <c r="AN49" i="2"/>
  <c r="AN50" i="2" s="1"/>
  <c r="AN51" i="2" s="1"/>
  <c r="AN57" i="2"/>
  <c r="AN58" i="2" s="1"/>
  <c r="AN59" i="2" s="1"/>
  <c r="AN41" i="2"/>
  <c r="AN42" i="2" s="1"/>
  <c r="AN43" i="2" s="1"/>
  <c r="AN61" i="2"/>
  <c r="AN62" i="2" s="1"/>
  <c r="AN63" i="2" s="1"/>
  <c r="AN28" i="2"/>
  <c r="AO41" i="2"/>
  <c r="AO42" i="2" s="1"/>
  <c r="AO43" i="2" s="1"/>
  <c r="AO49" i="2"/>
  <c r="AO50" i="2" s="1"/>
  <c r="AO51" i="2" s="1"/>
  <c r="AO61" i="2"/>
  <c r="AO62" i="2" s="1"/>
  <c r="AO63" i="2" s="1"/>
  <c r="AO57" i="2"/>
  <c r="AO58" i="2" s="1"/>
  <c r="AO59" i="2" s="1"/>
  <c r="AJ140" i="5" l="1"/>
  <c r="AJ7" i="20"/>
  <c r="BZ32" i="2"/>
  <c r="AL136" i="5"/>
  <c r="CA36" i="2"/>
  <c r="AK137" i="5"/>
  <c r="AK138" i="5" s="1"/>
  <c r="BQ30" i="2"/>
  <c r="BQ77" i="2" s="1"/>
  <c r="BQ78" i="2" s="1"/>
  <c r="BQ79" i="2" s="1"/>
  <c r="AU24" i="20"/>
  <c r="AU22" i="20"/>
  <c r="AW19" i="20" s="1"/>
  <c r="AU9" i="20"/>
  <c r="AW6" i="20" s="1"/>
  <c r="AU11" i="20"/>
  <c r="AU13" i="20" s="1"/>
  <c r="AS13" i="20"/>
  <c r="AP27" i="2"/>
  <c r="AP49" i="2" s="1"/>
  <c r="AP50" i="2" s="1"/>
  <c r="AP51" i="2" s="1"/>
  <c r="AQ27" i="2"/>
  <c r="AQ41" i="2" s="1"/>
  <c r="AQ42" i="2" s="1"/>
  <c r="AQ43" i="2" s="1"/>
  <c r="T24" i="20"/>
  <c r="T26" i="20" s="1"/>
  <c r="T21" i="20" s="1"/>
  <c r="BQ65" i="2"/>
  <c r="BQ66" i="2" s="1"/>
  <c r="BQ67" i="2" s="1"/>
  <c r="BQ68" i="2" s="1"/>
  <c r="BM33" i="2"/>
  <c r="BM53" i="2" s="1"/>
  <c r="BM54" i="2" s="1"/>
  <c r="BM55" i="2" s="1"/>
  <c r="L6" i="20"/>
  <c r="AN69" i="2"/>
  <c r="AN70" i="2" s="1"/>
  <c r="AN71" i="2" s="1"/>
  <c r="AN73" i="2"/>
  <c r="AN74" i="2" s="1"/>
  <c r="AN75" i="2" s="1"/>
  <c r="AO28" i="2"/>
  <c r="AK139" i="5" l="1"/>
  <c r="AL7" i="20" s="1"/>
  <c r="AL12" i="20" s="1"/>
  <c r="CA38" i="2"/>
  <c r="CB36" i="2"/>
  <c r="AM136" i="5"/>
  <c r="AL137" i="5"/>
  <c r="AL138" i="5" s="1"/>
  <c r="AK140" i="5"/>
  <c r="BZ33" i="2"/>
  <c r="BZ53" i="2" s="1"/>
  <c r="BZ54" i="2" s="1"/>
  <c r="BZ55" i="2" s="1"/>
  <c r="AJ12" i="20"/>
  <c r="BQ61" i="2"/>
  <c r="BQ62" i="2" s="1"/>
  <c r="BQ63" i="2" s="1"/>
  <c r="BQ57" i="2"/>
  <c r="BQ58" i="2" s="1"/>
  <c r="BQ59" i="2" s="1"/>
  <c r="BQ73" i="2"/>
  <c r="BQ74" i="2" s="1"/>
  <c r="BQ75" i="2" s="1"/>
  <c r="AW9" i="20"/>
  <c r="AY6" i="20" s="1"/>
  <c r="AW11" i="20"/>
  <c r="AW24" i="20"/>
  <c r="AW22" i="20"/>
  <c r="AY19" i="20" s="1"/>
  <c r="AP41" i="2"/>
  <c r="AP42" i="2" s="1"/>
  <c r="AP43" i="2" s="1"/>
  <c r="AQ49" i="2"/>
  <c r="AQ50" i="2" s="1"/>
  <c r="AQ51" i="2" s="1"/>
  <c r="AQ57" i="2"/>
  <c r="AQ58" i="2" s="1"/>
  <c r="AQ59" i="2" s="1"/>
  <c r="AQ61" i="2"/>
  <c r="AQ62" i="2" s="1"/>
  <c r="AQ63" i="2" s="1"/>
  <c r="AP61" i="2"/>
  <c r="AP62" i="2" s="1"/>
  <c r="AP63" i="2" s="1"/>
  <c r="AU26" i="20"/>
  <c r="AP57" i="2"/>
  <c r="AP58" i="2" s="1"/>
  <c r="AP59" i="2" s="1"/>
  <c r="BR28" i="2"/>
  <c r="BR30" i="2" s="1"/>
  <c r="T22" i="20"/>
  <c r="V19" i="20" s="1"/>
  <c r="BR35" i="2"/>
  <c r="BR45" i="2" s="1"/>
  <c r="BM49" i="2"/>
  <c r="BM50" i="2" s="1"/>
  <c r="BM51" i="2" s="1"/>
  <c r="BM41" i="2"/>
  <c r="BM42" i="2" s="1"/>
  <c r="BM43" i="2" s="1"/>
  <c r="L11" i="20"/>
  <c r="L13" i="20" s="1"/>
  <c r="AO73" i="2"/>
  <c r="AO74" i="2" s="1"/>
  <c r="AO75" i="2" s="1"/>
  <c r="AO69" i="2"/>
  <c r="AO70" i="2" s="1"/>
  <c r="AO71" i="2" s="1"/>
  <c r="AP28" i="2"/>
  <c r="CA32" i="2" l="1"/>
  <c r="AL139" i="5"/>
  <c r="AL140" i="5" s="1"/>
  <c r="CB38" i="2"/>
  <c r="AN136" i="5"/>
  <c r="CC36" i="2"/>
  <c r="AM137" i="5"/>
  <c r="AM138" i="5" s="1"/>
  <c r="CB32" i="2"/>
  <c r="AN7" i="20"/>
  <c r="AN12" i="20" s="1"/>
  <c r="AY24" i="20"/>
  <c r="AY22" i="20"/>
  <c r="BA19" i="20" s="1"/>
  <c r="AY11" i="20"/>
  <c r="AY9" i="20"/>
  <c r="BA6" i="20" s="1"/>
  <c r="AW13" i="20"/>
  <c r="AW26" i="20"/>
  <c r="BR69" i="2"/>
  <c r="BR70" i="2" s="1"/>
  <c r="BR71" i="2" s="1"/>
  <c r="V24" i="20"/>
  <c r="V26" i="20" s="1"/>
  <c r="V21" i="20" s="1"/>
  <c r="BR77" i="2"/>
  <c r="BR78" i="2" s="1"/>
  <c r="BR79" i="2" s="1"/>
  <c r="BR61" i="2"/>
  <c r="BR62" i="2" s="1"/>
  <c r="BR63" i="2" s="1"/>
  <c r="BR57" i="2"/>
  <c r="BR58" i="2" s="1"/>
  <c r="BR59" i="2" s="1"/>
  <c r="BR73" i="2"/>
  <c r="BR74" i="2" s="1"/>
  <c r="BR75" i="2" s="1"/>
  <c r="BR46" i="2"/>
  <c r="BR47" i="2" s="1"/>
  <c r="BR65" i="2"/>
  <c r="BR66" i="2" s="1"/>
  <c r="BR67" i="2" s="1"/>
  <c r="BR68" i="2" s="1"/>
  <c r="L8" i="20"/>
  <c r="L9" i="20" s="1"/>
  <c r="AQ28" i="2"/>
  <c r="AP73" i="2"/>
  <c r="AP74" i="2" s="1"/>
  <c r="AP75" i="2" s="1"/>
  <c r="AP69" i="2"/>
  <c r="AP70" i="2" s="1"/>
  <c r="AP71" i="2" s="1"/>
  <c r="AM139" i="5" l="1"/>
  <c r="CC32" i="2" s="1"/>
  <c r="CC38" i="2"/>
  <c r="AO136" i="5"/>
  <c r="CD36" i="2"/>
  <c r="AN137" i="5"/>
  <c r="AN138" i="5" s="1"/>
  <c r="BA9" i="20"/>
  <c r="BA11" i="20"/>
  <c r="BA24" i="20"/>
  <c r="BA22" i="20"/>
  <c r="AY26" i="20"/>
  <c r="AY13" i="20"/>
  <c r="BS28" i="2"/>
  <c r="BS69" i="2" s="1"/>
  <c r="BS70" i="2" s="1"/>
  <c r="BS71" i="2" s="1"/>
  <c r="V22" i="20"/>
  <c r="X19" i="20" s="1"/>
  <c r="BS35" i="2"/>
  <c r="BS45" i="2" s="1"/>
  <c r="BS46" i="2" s="1"/>
  <c r="BS47" i="2" s="1"/>
  <c r="BN33" i="2"/>
  <c r="BN53" i="2" s="1"/>
  <c r="BN54" i="2" s="1"/>
  <c r="BN55" i="2" s="1"/>
  <c r="N6" i="20"/>
  <c r="AR28" i="2"/>
  <c r="AQ69" i="2"/>
  <c r="AQ70" i="2" s="1"/>
  <c r="AQ71" i="2" s="1"/>
  <c r="AQ73" i="2"/>
  <c r="AQ74" i="2" s="1"/>
  <c r="AQ75" i="2" s="1"/>
  <c r="AM140" i="5" l="1"/>
  <c r="AP7" i="20"/>
  <c r="AP12" i="20" s="1"/>
  <c r="AN139" i="5"/>
  <c r="AN140" i="5" s="1"/>
  <c r="CD38" i="2"/>
  <c r="AP136" i="5"/>
  <c r="CE36" i="2"/>
  <c r="AO137" i="5"/>
  <c r="AO138" i="5" s="1"/>
  <c r="BC19" i="20"/>
  <c r="BC22" i="20" s="1"/>
  <c r="BG19" i="20" s="1"/>
  <c r="BE19" i="20"/>
  <c r="BC6" i="20"/>
  <c r="BC9" i="20" s="1"/>
  <c r="BG6" i="20" s="1"/>
  <c r="BE6" i="20"/>
  <c r="BA13" i="20"/>
  <c r="BA26" i="20"/>
  <c r="BS30" i="2"/>
  <c r="BS73" i="2" s="1"/>
  <c r="BS74" i="2" s="1"/>
  <c r="BS75" i="2" s="1"/>
  <c r="X24" i="20"/>
  <c r="X26" i="20" s="1"/>
  <c r="X21" i="20" s="1"/>
  <c r="BS65" i="2"/>
  <c r="BS66" i="2" s="1"/>
  <c r="BS67" i="2" s="1"/>
  <c r="BS68" i="2" s="1"/>
  <c r="BN49" i="2"/>
  <c r="BN50" i="2" s="1"/>
  <c r="BN51" i="2" s="1"/>
  <c r="BN41" i="2"/>
  <c r="BN42" i="2" s="1"/>
  <c r="BN43" i="2" s="1"/>
  <c r="N11" i="20"/>
  <c r="AR73" i="2"/>
  <c r="AR74" i="2" s="1"/>
  <c r="AR75" i="2" s="1"/>
  <c r="AR61" i="2"/>
  <c r="AR62" i="2" s="1"/>
  <c r="AR63" i="2" s="1"/>
  <c r="AR41" i="2"/>
  <c r="AR42" i="2" s="1"/>
  <c r="AR43" i="2" s="1"/>
  <c r="AR69" i="2"/>
  <c r="AR70" i="2" s="1"/>
  <c r="AR71" i="2" s="1"/>
  <c r="AR57" i="2"/>
  <c r="AR58" i="2" s="1"/>
  <c r="AR59" i="2" s="1"/>
  <c r="AR49" i="2"/>
  <c r="AR50" i="2" s="1"/>
  <c r="AR51" i="2" s="1"/>
  <c r="AS28" i="2"/>
  <c r="CD32" i="2" l="1"/>
  <c r="AR7" i="20"/>
  <c r="AR12" i="20" s="1"/>
  <c r="AO139" i="5"/>
  <c r="CE32" i="2" s="1"/>
  <c r="CE38" i="2"/>
  <c r="BC11" i="20"/>
  <c r="BC13" i="20" s="1"/>
  <c r="BC24" i="20"/>
  <c r="BC26" i="20" s="1"/>
  <c r="AT7" i="20"/>
  <c r="AT12" i="20" s="1"/>
  <c r="AQ136" i="5"/>
  <c r="CF36" i="2"/>
  <c r="AP137" i="5"/>
  <c r="AP138" i="5" s="1"/>
  <c r="AO140" i="5"/>
  <c r="BE11" i="20"/>
  <c r="BE13" i="20" s="1"/>
  <c r="BE9" i="20"/>
  <c r="BI6" i="20" s="1"/>
  <c r="BE24" i="20"/>
  <c r="BE26" i="20" s="1"/>
  <c r="BE22" i="20"/>
  <c r="BG9" i="20"/>
  <c r="BK6" i="20" s="1"/>
  <c r="BG11" i="20"/>
  <c r="BG13" i="20" s="1"/>
  <c r="BG22" i="20"/>
  <c r="BI19" i="20" s="1"/>
  <c r="BG24" i="20"/>
  <c r="BS57" i="2"/>
  <c r="BS58" i="2" s="1"/>
  <c r="BS59" i="2" s="1"/>
  <c r="BS77" i="2"/>
  <c r="BS78" i="2" s="1"/>
  <c r="BS79" i="2" s="1"/>
  <c r="BS61" i="2"/>
  <c r="BS62" i="2" s="1"/>
  <c r="BS63" i="2" s="1"/>
  <c r="BT28" i="2"/>
  <c r="BT30" i="2" s="1"/>
  <c r="DF21" i="2"/>
  <c r="X22" i="20"/>
  <c r="Z19" i="20" s="1"/>
  <c r="BT35" i="2"/>
  <c r="N13" i="20"/>
  <c r="N8" i="20" s="1"/>
  <c r="N9" i="20" s="1"/>
  <c r="AS49" i="2"/>
  <c r="AS50" i="2" s="1"/>
  <c r="AS51" i="2" s="1"/>
  <c r="AS41" i="2"/>
  <c r="AS42" i="2" s="1"/>
  <c r="AS43" i="2" s="1"/>
  <c r="AS65" i="2"/>
  <c r="AS66" i="2" s="1"/>
  <c r="AS67" i="2" s="1"/>
  <c r="AS68" i="2" s="1"/>
  <c r="AS61" i="2"/>
  <c r="AS62" i="2" s="1"/>
  <c r="AS63" i="2" s="1"/>
  <c r="AS69" i="2"/>
  <c r="AS70" i="2" s="1"/>
  <c r="AS71" i="2" s="1"/>
  <c r="AS73" i="2"/>
  <c r="AS74" i="2" s="1"/>
  <c r="AS75" i="2" s="1"/>
  <c r="AS57" i="2"/>
  <c r="AS58" i="2" s="1"/>
  <c r="AS59" i="2" s="1"/>
  <c r="AT28" i="2"/>
  <c r="AP139" i="5" l="1"/>
  <c r="CF38" i="2"/>
  <c r="BK11" i="20"/>
  <c r="BK9" i="20"/>
  <c r="BO6" i="20" s="1"/>
  <c r="BI24" i="20"/>
  <c r="BI26" i="20" s="1"/>
  <c r="BI22" i="20"/>
  <c r="BK19" i="20" s="1"/>
  <c r="BI11" i="20"/>
  <c r="BI13" i="20" s="1"/>
  <c r="BI9" i="20"/>
  <c r="BM6" i="20" s="1"/>
  <c r="CG36" i="2"/>
  <c r="AR136" i="5"/>
  <c r="AQ137" i="5"/>
  <c r="AQ138" i="5" s="1"/>
  <c r="CF32" i="2"/>
  <c r="AV7" i="20"/>
  <c r="AV12" i="20" s="1"/>
  <c r="AP140" i="5"/>
  <c r="BG26" i="20"/>
  <c r="BT69" i="2"/>
  <c r="BT70" i="2" s="1"/>
  <c r="BT71" i="2" s="1"/>
  <c r="Z24" i="20"/>
  <c r="Z26" i="20" s="1"/>
  <c r="Z21" i="20" s="1"/>
  <c r="DF23" i="2"/>
  <c r="DF24" i="2" s="1"/>
  <c r="BT77" i="2"/>
  <c r="BT78" i="2" s="1"/>
  <c r="BT79" i="2" s="1"/>
  <c r="BT57" i="2"/>
  <c r="BT58" i="2" s="1"/>
  <c r="BT59" i="2" s="1"/>
  <c r="BT73" i="2"/>
  <c r="BT74" i="2" s="1"/>
  <c r="BT75" i="2" s="1"/>
  <c r="BT61" i="2"/>
  <c r="BT62" i="2" s="1"/>
  <c r="BT63" i="2" s="1"/>
  <c r="BT45" i="2"/>
  <c r="BT46" i="2" s="1"/>
  <c r="BT47" i="2" s="1"/>
  <c r="BT65" i="2"/>
  <c r="BT66" i="2" s="1"/>
  <c r="BT67" i="2" s="1"/>
  <c r="BT68" i="2" s="1"/>
  <c r="BO33" i="2"/>
  <c r="BO49" i="2" s="1"/>
  <c r="BO50" i="2" s="1"/>
  <c r="BO51" i="2" s="1"/>
  <c r="P6" i="20"/>
  <c r="AU28" i="2"/>
  <c r="AT73" i="2"/>
  <c r="AT74" i="2" s="1"/>
  <c r="AT75" i="2" s="1"/>
  <c r="AT57" i="2"/>
  <c r="AT58" i="2" s="1"/>
  <c r="AT59" i="2" s="1"/>
  <c r="AT69" i="2"/>
  <c r="AT70" i="2" s="1"/>
  <c r="AT71" i="2" s="1"/>
  <c r="AT65" i="2"/>
  <c r="AT66" i="2" s="1"/>
  <c r="AT67" i="2" s="1"/>
  <c r="AT68" i="2" s="1"/>
  <c r="AT41" i="2"/>
  <c r="AT42" i="2" s="1"/>
  <c r="AT43" i="2" s="1"/>
  <c r="AT61" i="2"/>
  <c r="AT62" i="2" s="1"/>
  <c r="AT63" i="2" s="1"/>
  <c r="AT49" i="2"/>
  <c r="AT50" i="2" s="1"/>
  <c r="AT51" i="2" s="1"/>
  <c r="AQ139" i="5" l="1"/>
  <c r="AQ140" i="5" s="1"/>
  <c r="CG38" i="2"/>
  <c r="BO9" i="20"/>
  <c r="BS6" i="20" s="1"/>
  <c r="BO11" i="20"/>
  <c r="BO13" i="20" s="1"/>
  <c r="BM9" i="20"/>
  <c r="BQ6" i="20" s="1"/>
  <c r="BM11" i="20"/>
  <c r="BK22" i="20"/>
  <c r="BM19" i="20" s="1"/>
  <c r="BK24" i="20"/>
  <c r="BK26" i="20" s="1"/>
  <c r="BK13" i="20"/>
  <c r="AS136" i="5"/>
  <c r="CH36" i="2"/>
  <c r="AR137" i="5"/>
  <c r="AR138" i="5" s="1"/>
  <c r="Z22" i="20"/>
  <c r="AB19" i="20" s="1"/>
  <c r="AB24" i="20" s="1"/>
  <c r="BU35" i="2"/>
  <c r="BU45" i="2" s="1"/>
  <c r="BU46" i="2" s="1"/>
  <c r="BU47" i="2" s="1"/>
  <c r="BU28" i="2"/>
  <c r="BU69" i="2" s="1"/>
  <c r="BU70" i="2" s="1"/>
  <c r="BU71" i="2" s="1"/>
  <c r="DG21" i="2"/>
  <c r="BO41" i="2"/>
  <c r="BO42" i="2" s="1"/>
  <c r="BO43" i="2" s="1"/>
  <c r="BO53" i="2"/>
  <c r="BO54" i="2" s="1"/>
  <c r="BO55" i="2" s="1"/>
  <c r="P11" i="20"/>
  <c r="P13" i="20" s="1"/>
  <c r="P8" i="20" s="1"/>
  <c r="AV28" i="2"/>
  <c r="AU73" i="2"/>
  <c r="AU74" i="2" s="1"/>
  <c r="AU75" i="2" s="1"/>
  <c r="AU65" i="2"/>
  <c r="AU66" i="2" s="1"/>
  <c r="AU67" i="2" s="1"/>
  <c r="AU68" i="2" s="1"/>
  <c r="AU41" i="2"/>
  <c r="AU42" i="2" s="1"/>
  <c r="AU43" i="2" s="1"/>
  <c r="AU77" i="2"/>
  <c r="AU78" i="2" s="1"/>
  <c r="AU79" i="2" s="1"/>
  <c r="AU69" i="2"/>
  <c r="AU70" i="2" s="1"/>
  <c r="AU71" i="2" s="1"/>
  <c r="AU49" i="2"/>
  <c r="AU50" i="2" s="1"/>
  <c r="AU51" i="2" s="1"/>
  <c r="AU57" i="2"/>
  <c r="AU58" i="2" s="1"/>
  <c r="AU59" i="2" s="1"/>
  <c r="AU61" i="2"/>
  <c r="AU62" i="2" s="1"/>
  <c r="AU63" i="2" s="1"/>
  <c r="AR139" i="5" l="1"/>
  <c r="CH32" i="2" s="1"/>
  <c r="CH38" i="2"/>
  <c r="CG32" i="2"/>
  <c r="AX7" i="20"/>
  <c r="AX12" i="20" s="1"/>
  <c r="BS11" i="20"/>
  <c r="BS13" i="20" s="1"/>
  <c r="BS9" i="20"/>
  <c r="BW6" i="20" s="1"/>
  <c r="BQ9" i="20"/>
  <c r="BU6" i="20" s="1"/>
  <c r="BQ11" i="20"/>
  <c r="BM24" i="20"/>
  <c r="BM26" i="20" s="1"/>
  <c r="BM22" i="20"/>
  <c r="BO19" i="20" s="1"/>
  <c r="BM13" i="20"/>
  <c r="AB26" i="20"/>
  <c r="BV37" i="2"/>
  <c r="AZ7" i="20"/>
  <c r="AZ12" i="20" s="1"/>
  <c r="AR140" i="5"/>
  <c r="AT136" i="5"/>
  <c r="AS137" i="5"/>
  <c r="AS138" i="5" s="1"/>
  <c r="AS139" i="5" s="1"/>
  <c r="BU65" i="2"/>
  <c r="BU66" i="2" s="1"/>
  <c r="BU67" i="2" s="1"/>
  <c r="BU68" i="2" s="1"/>
  <c r="BU30" i="2"/>
  <c r="BU73" i="2" s="1"/>
  <c r="BU74" i="2" s="1"/>
  <c r="BU75" i="2" s="1"/>
  <c r="DG23" i="2"/>
  <c r="DG24" i="2" s="1"/>
  <c r="DI21" i="2" s="1"/>
  <c r="P9" i="20"/>
  <c r="R6" i="20" s="1"/>
  <c r="BP33" i="2"/>
  <c r="AV41" i="2"/>
  <c r="AV42" i="2" s="1"/>
  <c r="AV43" i="2" s="1"/>
  <c r="AV49" i="2"/>
  <c r="AV50" i="2" s="1"/>
  <c r="AV51" i="2" s="1"/>
  <c r="AV65" i="2"/>
  <c r="AV66" i="2" s="1"/>
  <c r="AV67" i="2" s="1"/>
  <c r="AV68" i="2" s="1"/>
  <c r="AV73" i="2"/>
  <c r="AV74" i="2" s="1"/>
  <c r="AV75" i="2" s="1"/>
  <c r="AV77" i="2"/>
  <c r="AV78" i="2" s="1"/>
  <c r="AV79" i="2" s="1"/>
  <c r="AV61" i="2"/>
  <c r="AV62" i="2" s="1"/>
  <c r="AV63" i="2" s="1"/>
  <c r="AV57" i="2"/>
  <c r="AV58" i="2" s="1"/>
  <c r="AV59" i="2" s="1"/>
  <c r="AV69" i="2"/>
  <c r="AV70" i="2" s="1"/>
  <c r="AV71" i="2" s="1"/>
  <c r="AY28" i="2"/>
  <c r="BA28" i="2"/>
  <c r="AB21" i="20" l="1"/>
  <c r="BW45" i="2" s="1"/>
  <c r="BW46" i="2" s="1"/>
  <c r="BW47" i="2" s="1"/>
  <c r="BV39" i="2"/>
  <c r="BW9" i="20"/>
  <c r="BW11" i="20"/>
  <c r="BU9" i="20"/>
  <c r="BY6" i="20" s="1"/>
  <c r="BU11" i="20"/>
  <c r="BQ13" i="20"/>
  <c r="BO24" i="20"/>
  <c r="BO26" i="20" s="1"/>
  <c r="BO22" i="20"/>
  <c r="BQ19" i="20" s="1"/>
  <c r="AB22" i="20"/>
  <c r="BV35" i="2" s="1"/>
  <c r="BV45" i="2" s="1"/>
  <c r="BV46" i="2" s="1"/>
  <c r="BV47" i="2" s="1"/>
  <c r="AU136" i="5"/>
  <c r="AT137" i="5"/>
  <c r="AT138" i="5" s="1"/>
  <c r="AT139" i="5" s="1"/>
  <c r="AT140" i="5" s="1"/>
  <c r="BB7" i="20"/>
  <c r="BB12" i="20" s="1"/>
  <c r="CI32" i="2"/>
  <c r="AS140" i="5"/>
  <c r="DI23" i="2"/>
  <c r="DI24" i="2" s="1"/>
  <c r="BU77" i="2"/>
  <c r="BU78" i="2" s="1"/>
  <c r="BU79" i="2" s="1"/>
  <c r="BU61" i="2"/>
  <c r="BU62" i="2" s="1"/>
  <c r="BU63" i="2" s="1"/>
  <c r="BU57" i="2"/>
  <c r="BU58" i="2" s="1"/>
  <c r="BU59" i="2" s="1"/>
  <c r="BV28" i="2"/>
  <c r="BV69" i="2" s="1"/>
  <c r="BV70" i="2" s="1"/>
  <c r="BV71" i="2" s="1"/>
  <c r="DH21" i="2"/>
  <c r="R11" i="20"/>
  <c r="R13" i="20" s="1"/>
  <c r="R8" i="20" s="1"/>
  <c r="BP53" i="2"/>
  <c r="BP54" i="2" s="1"/>
  <c r="BP55" i="2" s="1"/>
  <c r="BP49" i="2"/>
  <c r="BP50" i="2" s="1"/>
  <c r="BP51" i="2" s="1"/>
  <c r="BP41" i="2"/>
  <c r="BP42" i="2" s="1"/>
  <c r="BP43" i="2" s="1"/>
  <c r="BA41" i="2"/>
  <c r="BA42" i="2" s="1"/>
  <c r="BA43" i="2" s="1"/>
  <c r="BA73" i="2"/>
  <c r="BA74" i="2" s="1"/>
  <c r="BA75" i="2" s="1"/>
  <c r="BA57" i="2"/>
  <c r="BA58" i="2" s="1"/>
  <c r="BA59" i="2" s="1"/>
  <c r="BA69" i="2"/>
  <c r="BA70" i="2" s="1"/>
  <c r="BA71" i="2" s="1"/>
  <c r="BA77" i="2"/>
  <c r="BA78" i="2" s="1"/>
  <c r="BA79" i="2" s="1"/>
  <c r="BA61" i="2"/>
  <c r="BA62" i="2" s="1"/>
  <c r="BA63" i="2" s="1"/>
  <c r="BA65" i="2"/>
  <c r="BA66" i="2" s="1"/>
  <c r="BA67" i="2" s="1"/>
  <c r="BA68" i="2" s="1"/>
  <c r="BA49" i="2"/>
  <c r="BA50" i="2" s="1"/>
  <c r="BA51" i="2" s="1"/>
  <c r="AY69" i="2"/>
  <c r="AY70" i="2" s="1"/>
  <c r="AY71" i="2" s="1"/>
  <c r="AY65" i="2"/>
  <c r="AY66" i="2" s="1"/>
  <c r="AY67" i="2" s="1"/>
  <c r="AY68" i="2" s="1"/>
  <c r="AY77" i="2"/>
  <c r="AY78" i="2" s="1"/>
  <c r="AY79" i="2" s="1"/>
  <c r="AY57" i="2"/>
  <c r="AY58" i="2" s="1"/>
  <c r="AY59" i="2" s="1"/>
  <c r="AY73" i="2"/>
  <c r="AY74" i="2" s="1"/>
  <c r="AY75" i="2" s="1"/>
  <c r="AY49" i="2"/>
  <c r="AY50" i="2" s="1"/>
  <c r="AY51" i="2" s="1"/>
  <c r="AY61" i="2"/>
  <c r="AY62" i="2" s="1"/>
  <c r="AY63" i="2" s="1"/>
  <c r="AY41" i="2"/>
  <c r="AY42" i="2" s="1"/>
  <c r="AY43" i="2" s="1"/>
  <c r="BY9" i="20" l="1"/>
  <c r="BY11" i="20"/>
  <c r="BW13" i="20"/>
  <c r="BU13" i="20"/>
  <c r="BQ24" i="20"/>
  <c r="BQ26" i="20" s="1"/>
  <c r="BQ22" i="20"/>
  <c r="BS19" i="20" s="1"/>
  <c r="AD19" i="20"/>
  <c r="AD24" i="20" s="1"/>
  <c r="AD26" i="20" s="1"/>
  <c r="AD21" i="20" s="1"/>
  <c r="BD7" i="20"/>
  <c r="BD12" i="20" s="1"/>
  <c r="CJ32" i="2"/>
  <c r="AU137" i="5"/>
  <c r="AU138" i="5" s="1"/>
  <c r="AU139" i="5" s="1"/>
  <c r="AU140" i="5" s="1"/>
  <c r="AV136" i="5"/>
  <c r="BV30" i="2"/>
  <c r="BV73" i="2" s="1"/>
  <c r="BV74" i="2" s="1"/>
  <c r="BV75" i="2" s="1"/>
  <c r="BV65" i="2"/>
  <c r="BV66" i="2" s="1"/>
  <c r="BV67" i="2" s="1"/>
  <c r="BV68" i="2" s="1"/>
  <c r="DH23" i="2"/>
  <c r="DH24" i="2" s="1"/>
  <c r="BX28" i="2" s="1"/>
  <c r="R9" i="20"/>
  <c r="T6" i="20" s="1"/>
  <c r="BQ33" i="2"/>
  <c r="BY13" i="20" l="1"/>
  <c r="BS24" i="20"/>
  <c r="BS22" i="20"/>
  <c r="BU19" i="20" s="1"/>
  <c r="AW136" i="5"/>
  <c r="AX136" i="5" s="1"/>
  <c r="AY136" i="5" s="1"/>
  <c r="AV137" i="5"/>
  <c r="AV138" i="5" s="1"/>
  <c r="AV139" i="5" s="1"/>
  <c r="CK32" i="2"/>
  <c r="BF7" i="20"/>
  <c r="BF12" i="20" s="1"/>
  <c r="BV57" i="2"/>
  <c r="BV58" i="2" s="1"/>
  <c r="BV59" i="2" s="1"/>
  <c r="BV61" i="2"/>
  <c r="BV62" i="2" s="1"/>
  <c r="BV63" i="2" s="1"/>
  <c r="BV77" i="2"/>
  <c r="BV78" i="2" s="1"/>
  <c r="BX69" i="2"/>
  <c r="BX70" i="2" s="1"/>
  <c r="BX71" i="2" s="1"/>
  <c r="BX30" i="2"/>
  <c r="BW28" i="2"/>
  <c r="BW69" i="2" s="1"/>
  <c r="BW70" i="2" s="1"/>
  <c r="BW71" i="2" s="1"/>
  <c r="DJ21" i="2"/>
  <c r="AD22" i="20"/>
  <c r="AF19" i="20" s="1"/>
  <c r="BW35" i="2"/>
  <c r="T11" i="20"/>
  <c r="T13" i="20" s="1"/>
  <c r="T8" i="20" s="1"/>
  <c r="BQ53" i="2"/>
  <c r="BQ54" i="2" s="1"/>
  <c r="BQ55" i="2" s="1"/>
  <c r="BQ49" i="2"/>
  <c r="BQ50" i="2" s="1"/>
  <c r="BQ51" i="2" s="1"/>
  <c r="BQ41" i="2"/>
  <c r="BQ42" i="2" s="1"/>
  <c r="BQ43" i="2" s="1"/>
  <c r="BU24" i="20" l="1"/>
  <c r="BU26" i="20" s="1"/>
  <c r="BU22" i="20"/>
  <c r="BW19" i="20" s="1"/>
  <c r="BS26" i="20"/>
  <c r="AZ136" i="5"/>
  <c r="BA136" i="5" s="1"/>
  <c r="BB136" i="5" s="1"/>
  <c r="BC136" i="5" s="1"/>
  <c r="BD136" i="5" s="1"/>
  <c r="BE136" i="5" s="1"/>
  <c r="BF136" i="5" s="1"/>
  <c r="AY137" i="5"/>
  <c r="AY138" i="5" s="1"/>
  <c r="AY139" i="5" s="1"/>
  <c r="AV140" i="5"/>
  <c r="BH33" i="20"/>
  <c r="BH38" i="20" s="1"/>
  <c r="BH39" i="20" s="1"/>
  <c r="BH34" i="20" s="1"/>
  <c r="BH35" i="20" s="1"/>
  <c r="BJ32" i="20" s="1"/>
  <c r="BJ37" i="20" s="1"/>
  <c r="AX137" i="5"/>
  <c r="AX138" i="5" s="1"/>
  <c r="AX139" i="5" s="1"/>
  <c r="BH7" i="20"/>
  <c r="AW137" i="5"/>
  <c r="AW138" i="5" s="1"/>
  <c r="AW139" i="5" s="1"/>
  <c r="BJ33" i="20" s="1"/>
  <c r="BJ38" i="20" s="1"/>
  <c r="BW30" i="2"/>
  <c r="BW57" i="2" s="1"/>
  <c r="BW58" i="2" s="1"/>
  <c r="BW59" i="2" s="1"/>
  <c r="BW65" i="2"/>
  <c r="BW66" i="2" s="1"/>
  <c r="BW67" i="2" s="1"/>
  <c r="BW68" i="2" s="1"/>
  <c r="BX73" i="2"/>
  <c r="BX74" i="2" s="1"/>
  <c r="BX75" i="2" s="1"/>
  <c r="BX77" i="2"/>
  <c r="BX78" i="2" s="1"/>
  <c r="BX57" i="2"/>
  <c r="BX58" i="2" s="1"/>
  <c r="BX59" i="2" s="1"/>
  <c r="BX61" i="2"/>
  <c r="BX62" i="2" s="1"/>
  <c r="BX63" i="2" s="1"/>
  <c r="AF24" i="20"/>
  <c r="AF26" i="20" s="1"/>
  <c r="AF21" i="20" s="1"/>
  <c r="BX35" i="2" s="1"/>
  <c r="DJ23" i="2"/>
  <c r="DJ24" i="2" s="1"/>
  <c r="T9" i="20"/>
  <c r="V6" i="20" s="1"/>
  <c r="BR33" i="2"/>
  <c r="BR49" i="2" s="1"/>
  <c r="BF137" i="5" l="1"/>
  <c r="BF138" i="5" s="1"/>
  <c r="BF139" i="5" s="1"/>
  <c r="BW24" i="20"/>
  <c r="BW26" i="20" s="1"/>
  <c r="BW22" i="20"/>
  <c r="BY19" i="20" s="1"/>
  <c r="BE137" i="5"/>
  <c r="BE138" i="5" s="1"/>
  <c r="BE139" i="5" s="1"/>
  <c r="CU32" i="2" s="1"/>
  <c r="BD137" i="5"/>
  <c r="BD138" i="5" s="1"/>
  <c r="BD139" i="5" s="1"/>
  <c r="BC137" i="5"/>
  <c r="BC138" i="5" s="1"/>
  <c r="BC139" i="5" s="1"/>
  <c r="BB137" i="5"/>
  <c r="BB138" i="5" s="1"/>
  <c r="BB139" i="5" s="1"/>
  <c r="BA137" i="5"/>
  <c r="BA138" i="5" s="1"/>
  <c r="BA139" i="5" s="1"/>
  <c r="CO32" i="2"/>
  <c r="AZ137" i="5"/>
  <c r="AZ138" i="5" s="1"/>
  <c r="AZ139" i="5" s="1"/>
  <c r="BJ39" i="20"/>
  <c r="BJ34" i="20" s="1"/>
  <c r="BJ35" i="20" s="1"/>
  <c r="BL32" i="20" s="1"/>
  <c r="BL37" i="20" s="1"/>
  <c r="AY140" i="5"/>
  <c r="BL33" i="20"/>
  <c r="BL38" i="20" s="1"/>
  <c r="CN32" i="2"/>
  <c r="AX140" i="5"/>
  <c r="AW140" i="5"/>
  <c r="CM32" i="2"/>
  <c r="BW73" i="2"/>
  <c r="BW74" i="2" s="1"/>
  <c r="BW75" i="2" s="1"/>
  <c r="BH12" i="20"/>
  <c r="CL32" i="2"/>
  <c r="BW77" i="2"/>
  <c r="BW78" i="2" s="1"/>
  <c r="BW61" i="2"/>
  <c r="BW62" i="2" s="1"/>
  <c r="BW63" i="2" s="1"/>
  <c r="DK21" i="2"/>
  <c r="DK23" i="2" s="1"/>
  <c r="DK24" i="2" s="1"/>
  <c r="DL21" i="2" s="1"/>
  <c r="DL23" i="2" s="1"/>
  <c r="DL24" i="2" s="1"/>
  <c r="BY28" i="2"/>
  <c r="BY30" i="2" s="1"/>
  <c r="BZ28" i="2"/>
  <c r="BX45" i="2"/>
  <c r="BX46" i="2" s="1"/>
  <c r="BX47" i="2" s="1"/>
  <c r="BX65" i="2"/>
  <c r="BX66" i="2" s="1"/>
  <c r="BX67" i="2" s="1"/>
  <c r="BX68" i="2" s="1"/>
  <c r="AF22" i="20"/>
  <c r="AH19" i="20" s="1"/>
  <c r="V11" i="20"/>
  <c r="V13" i="20" s="1"/>
  <c r="V8" i="20" s="1"/>
  <c r="BR53" i="2"/>
  <c r="BR54" i="2" s="1"/>
  <c r="BR55" i="2" s="1"/>
  <c r="BR41" i="2"/>
  <c r="BR42" i="2" s="1"/>
  <c r="BR43" i="2" s="1"/>
  <c r="BR50" i="2"/>
  <c r="BR51" i="2" s="1"/>
  <c r="BY24" i="20" l="1"/>
  <c r="BY26" i="20" s="1"/>
  <c r="BY22" i="20"/>
  <c r="CT32" i="2"/>
  <c r="BC140" i="5"/>
  <c r="BB140" i="5"/>
  <c r="AZ140" i="5"/>
  <c r="BA140" i="5"/>
  <c r="BL39" i="20"/>
  <c r="BL34" i="20" s="1"/>
  <c r="BL35" i="20" s="1"/>
  <c r="BN32" i="20" s="1"/>
  <c r="BY69" i="2"/>
  <c r="BY70" i="2" s="1"/>
  <c r="BY71" i="2" s="1"/>
  <c r="CA28" i="2"/>
  <c r="CA30" i="2" s="1"/>
  <c r="DM21" i="2"/>
  <c r="BZ69" i="2"/>
  <c r="BZ70" i="2" s="1"/>
  <c r="BZ71" i="2" s="1"/>
  <c r="BZ30" i="2"/>
  <c r="AH24" i="20"/>
  <c r="AH26" i="20" s="1"/>
  <c r="AH21" i="20" s="1"/>
  <c r="BY77" i="2"/>
  <c r="BY78" i="2" s="1"/>
  <c r="BY57" i="2"/>
  <c r="BY58" i="2" s="1"/>
  <c r="BY59" i="2" s="1"/>
  <c r="BY73" i="2"/>
  <c r="BY74" i="2" s="1"/>
  <c r="BY75" i="2" s="1"/>
  <c r="BY61" i="2"/>
  <c r="BY62" i="2" s="1"/>
  <c r="BY63" i="2" s="1"/>
  <c r="V9" i="20"/>
  <c r="X6" i="20" s="1"/>
  <c r="BS33" i="2"/>
  <c r="BN37" i="20" l="1"/>
  <c r="BN39" i="20" s="1"/>
  <c r="BN34" i="20" s="1"/>
  <c r="CA69" i="2"/>
  <c r="CA70" i="2" s="1"/>
  <c r="CA71" i="2" s="1"/>
  <c r="DM23" i="2"/>
  <c r="DM24" i="2" s="1"/>
  <c r="CA57" i="2"/>
  <c r="CA58" i="2" s="1"/>
  <c r="CA59" i="2" s="1"/>
  <c r="CA73" i="2"/>
  <c r="CA74" i="2" s="1"/>
  <c r="CA75" i="2" s="1"/>
  <c r="CA77" i="2"/>
  <c r="CA78" i="2" s="1"/>
  <c r="CA61" i="2"/>
  <c r="CA62" i="2" s="1"/>
  <c r="CA63" i="2" s="1"/>
  <c r="BZ49" i="2"/>
  <c r="BZ61" i="2"/>
  <c r="BZ62" i="2" s="1"/>
  <c r="BZ63" i="2" s="1"/>
  <c r="BZ77" i="2"/>
  <c r="BZ78" i="2" s="1"/>
  <c r="BZ57" i="2"/>
  <c r="BZ58" i="2" s="1"/>
  <c r="BZ59" i="2" s="1"/>
  <c r="BZ73" i="2"/>
  <c r="BZ74" i="2" s="1"/>
  <c r="BZ75" i="2" s="1"/>
  <c r="BZ41" i="2"/>
  <c r="BZ42" i="2" s="1"/>
  <c r="BZ43" i="2" s="1"/>
  <c r="AH22" i="20"/>
  <c r="AJ19" i="20" s="1"/>
  <c r="BY35" i="2"/>
  <c r="X11" i="20"/>
  <c r="X13" i="20" s="1"/>
  <c r="X8" i="20" s="1"/>
  <c r="BS53" i="2"/>
  <c r="BS54" i="2" s="1"/>
  <c r="BS55" i="2" s="1"/>
  <c r="BS49" i="2"/>
  <c r="BS50" i="2" s="1"/>
  <c r="BS51" i="2" s="1"/>
  <c r="BS41" i="2"/>
  <c r="BS42" i="2" s="1"/>
  <c r="BS43" i="2" s="1"/>
  <c r="BN35" i="20" l="1"/>
  <c r="BP32" i="20" s="1"/>
  <c r="CO33" i="2"/>
  <c r="CO53" i="2" s="1"/>
  <c r="CO54" i="2" s="1"/>
  <c r="CO55" i="2" s="1"/>
  <c r="CB28" i="2"/>
  <c r="CB30" i="2" s="1"/>
  <c r="DN21" i="2"/>
  <c r="BZ50" i="2"/>
  <c r="BZ51" i="2" s="1"/>
  <c r="AJ24" i="20"/>
  <c r="AJ26" i="20" s="1"/>
  <c r="AJ21" i="20" s="1"/>
  <c r="BZ35" i="2" s="1"/>
  <c r="BY45" i="2"/>
  <c r="BY46" i="2" s="1"/>
  <c r="BY47" i="2" s="1"/>
  <c r="BY65" i="2"/>
  <c r="BY66" i="2" s="1"/>
  <c r="BY67" i="2" s="1"/>
  <c r="BY68" i="2" s="1"/>
  <c r="X9" i="20"/>
  <c r="Z6" i="20" s="1"/>
  <c r="BT33" i="2"/>
  <c r="BP37" i="20" l="1"/>
  <c r="BP39" i="20" s="1"/>
  <c r="BP34" i="20" s="1"/>
  <c r="CB69" i="2"/>
  <c r="CB70" i="2" s="1"/>
  <c r="CB71" i="2" s="1"/>
  <c r="DN23" i="2"/>
  <c r="DN24" i="2" s="1"/>
  <c r="CB77" i="2"/>
  <c r="CB78" i="2" s="1"/>
  <c r="CB57" i="2"/>
  <c r="CB58" i="2" s="1"/>
  <c r="CB59" i="2" s="1"/>
  <c r="CB61" i="2"/>
  <c r="CB62" i="2" s="1"/>
  <c r="CB63" i="2" s="1"/>
  <c r="CB73" i="2"/>
  <c r="CB74" i="2" s="1"/>
  <c r="CB75" i="2" s="1"/>
  <c r="BZ45" i="2"/>
  <c r="BZ46" i="2" s="1"/>
  <c r="BZ47" i="2" s="1"/>
  <c r="BZ65" i="2"/>
  <c r="BZ66" i="2" s="1"/>
  <c r="BZ67" i="2" s="1"/>
  <c r="BZ68" i="2" s="1"/>
  <c r="BZ79" i="2"/>
  <c r="AJ22" i="20"/>
  <c r="AL19" i="20" s="1"/>
  <c r="Z11" i="20"/>
  <c r="Z13" i="20" s="1"/>
  <c r="Z8" i="20" s="1"/>
  <c r="BT53" i="2"/>
  <c r="BT54" i="2" s="1"/>
  <c r="BT55" i="2" s="1"/>
  <c r="BT49" i="2"/>
  <c r="BT50" i="2" s="1"/>
  <c r="BT51" i="2" s="1"/>
  <c r="BT41" i="2"/>
  <c r="BT42" i="2" s="1"/>
  <c r="BT43" i="2" s="1"/>
  <c r="BP35" i="20" l="1"/>
  <c r="BR32" i="20" s="1"/>
  <c r="BR37" i="20" s="1"/>
  <c r="BR39" i="20" s="1"/>
  <c r="BR34" i="20" s="1"/>
  <c r="CQ33" i="2"/>
  <c r="CQ53" i="2" s="1"/>
  <c r="CQ54" i="2" s="1"/>
  <c r="CQ55" i="2" s="1"/>
  <c r="CC28" i="2"/>
  <c r="CC69" i="2" s="1"/>
  <c r="CC70" i="2" s="1"/>
  <c r="CC71" i="2" s="1"/>
  <c r="DO21" i="2"/>
  <c r="AL24" i="20"/>
  <c r="AL26" i="20" s="1"/>
  <c r="AL21" i="20" s="1"/>
  <c r="Z9" i="20"/>
  <c r="AB6" i="20" s="1"/>
  <c r="AB11" i="20" s="1"/>
  <c r="AB13" i="20" s="1"/>
  <c r="AB8" i="20" s="1"/>
  <c r="BU33" i="2"/>
  <c r="BR35" i="20" l="1"/>
  <c r="BT32" i="20" s="1"/>
  <c r="CR33" i="2"/>
  <c r="CR53" i="2" s="1"/>
  <c r="CR54" i="2" s="1"/>
  <c r="CR55" i="2" s="1"/>
  <c r="CC30" i="2"/>
  <c r="CC77" i="2" s="1"/>
  <c r="CC78" i="2" s="1"/>
  <c r="DO23" i="2"/>
  <c r="DO24" i="2" s="1"/>
  <c r="AL22" i="20"/>
  <c r="AN19" i="20" s="1"/>
  <c r="AN24" i="20" s="1"/>
  <c r="AN26" i="20" s="1"/>
  <c r="AN21" i="20" s="1"/>
  <c r="CA35" i="2"/>
  <c r="AB9" i="20"/>
  <c r="BU53" i="2"/>
  <c r="BU54" i="2" s="1"/>
  <c r="BU55" i="2" s="1"/>
  <c r="BU49" i="2"/>
  <c r="BU50" i="2" s="1"/>
  <c r="BU51" i="2" s="1"/>
  <c r="BU41" i="2"/>
  <c r="BU42" i="2" s="1"/>
  <c r="BU43" i="2" s="1"/>
  <c r="BT37" i="20" l="1"/>
  <c r="BT39" i="20" s="1"/>
  <c r="BT34" i="20" s="1"/>
  <c r="BT35" i="20" s="1"/>
  <c r="BV32" i="20" s="1"/>
  <c r="CC73" i="2"/>
  <c r="CC74" i="2" s="1"/>
  <c r="CC75" i="2" s="1"/>
  <c r="CC57" i="2"/>
  <c r="CC58" i="2" s="1"/>
  <c r="CC59" i="2" s="1"/>
  <c r="CC61" i="2"/>
  <c r="CC62" i="2" s="1"/>
  <c r="CC63" i="2" s="1"/>
  <c r="CD28" i="2"/>
  <c r="CD30" i="2" s="1"/>
  <c r="DP21" i="2"/>
  <c r="AN22" i="20"/>
  <c r="AP19" i="20" s="1"/>
  <c r="AP24" i="20" s="1"/>
  <c r="AP26" i="20" s="1"/>
  <c r="AP21" i="20" s="1"/>
  <c r="CB35" i="2"/>
  <c r="CA45" i="2"/>
  <c r="CA46" i="2" s="1"/>
  <c r="CA47" i="2" s="1"/>
  <c r="CA65" i="2"/>
  <c r="CA66" i="2" s="1"/>
  <c r="CA67" i="2" s="1"/>
  <c r="CA68" i="2" s="1"/>
  <c r="BV33" i="2"/>
  <c r="AD6" i="20"/>
  <c r="BV37" i="20" l="1"/>
  <c r="BV39" i="20" s="1"/>
  <c r="BV34" i="20" s="1"/>
  <c r="BV35" i="20" s="1"/>
  <c r="BX32" i="20" s="1"/>
  <c r="CD69" i="2"/>
  <c r="CD70" i="2" s="1"/>
  <c r="CD71" i="2" s="1"/>
  <c r="DP23" i="2"/>
  <c r="DP24" i="2" s="1"/>
  <c r="CD77" i="2"/>
  <c r="CD78" i="2" s="1"/>
  <c r="CD57" i="2"/>
  <c r="CD58" i="2" s="1"/>
  <c r="CD59" i="2" s="1"/>
  <c r="CD73" i="2"/>
  <c r="CD74" i="2" s="1"/>
  <c r="CD75" i="2" s="1"/>
  <c r="CD61" i="2"/>
  <c r="CD62" i="2" s="1"/>
  <c r="CD63" i="2" s="1"/>
  <c r="AP22" i="20"/>
  <c r="AR19" i="20" s="1"/>
  <c r="CC35" i="2"/>
  <c r="CB45" i="2"/>
  <c r="CB46" i="2" s="1"/>
  <c r="CB47" i="2" s="1"/>
  <c r="CB65" i="2"/>
  <c r="CB66" i="2" s="1"/>
  <c r="CB67" i="2" s="1"/>
  <c r="CB68" i="2" s="1"/>
  <c r="AD11" i="20"/>
  <c r="AD13" i="20" s="1"/>
  <c r="AD8" i="20" s="1"/>
  <c r="BV53" i="2"/>
  <c r="BV54" i="2" s="1"/>
  <c r="BV55" i="2" s="1"/>
  <c r="BV41" i="2"/>
  <c r="BV42" i="2" s="1"/>
  <c r="BV43" i="2" s="1"/>
  <c r="BV49" i="2"/>
  <c r="BX37" i="20" l="1"/>
  <c r="BX39" i="20" s="1"/>
  <c r="BX34" i="20" s="1"/>
  <c r="BX35" i="20" s="1"/>
  <c r="BZ32" i="20" s="1"/>
  <c r="CE28" i="2"/>
  <c r="CE30" i="2" s="1"/>
  <c r="DQ21" i="2"/>
  <c r="AR24" i="20"/>
  <c r="AR26" i="20" s="1"/>
  <c r="AR21" i="20" s="1"/>
  <c r="CD35" i="2" s="1"/>
  <c r="CC45" i="2"/>
  <c r="CC46" i="2" s="1"/>
  <c r="CC47" i="2" s="1"/>
  <c r="CC65" i="2"/>
  <c r="CC66" i="2" s="1"/>
  <c r="CC67" i="2" s="1"/>
  <c r="CC68" i="2" s="1"/>
  <c r="AD9" i="20"/>
  <c r="AF6" i="20" s="1"/>
  <c r="BW33" i="2"/>
  <c r="BV50" i="2"/>
  <c r="BV51" i="2" s="1"/>
  <c r="BZ37" i="20" l="1"/>
  <c r="BZ39" i="20" s="1"/>
  <c r="BZ34" i="20" s="1"/>
  <c r="BZ35" i="20" s="1"/>
  <c r="CE69" i="2"/>
  <c r="CE70" i="2" s="1"/>
  <c r="CE71" i="2" s="1"/>
  <c r="DQ23" i="2"/>
  <c r="DQ24" i="2" s="1"/>
  <c r="CE61" i="2"/>
  <c r="CE62" i="2" s="1"/>
  <c r="CE63" i="2" s="1"/>
  <c r="CE77" i="2"/>
  <c r="CE78" i="2" s="1"/>
  <c r="CE57" i="2"/>
  <c r="CE58" i="2" s="1"/>
  <c r="CE59" i="2" s="1"/>
  <c r="CE73" i="2"/>
  <c r="CE74" i="2" s="1"/>
  <c r="CE75" i="2" s="1"/>
  <c r="AR22" i="20"/>
  <c r="AT19" i="20" s="1"/>
  <c r="AF11" i="20"/>
  <c r="AF13" i="20" s="1"/>
  <c r="AF8" i="20" s="1"/>
  <c r="BX33" i="2" s="1"/>
  <c r="BW53" i="2"/>
  <c r="BW54" i="2" s="1"/>
  <c r="BW55" i="2" s="1"/>
  <c r="BW49" i="2"/>
  <c r="BW41" i="2"/>
  <c r="BW42" i="2" s="1"/>
  <c r="BW43" i="2" s="1"/>
  <c r="BV79" i="2"/>
  <c r="CF28" i="2" l="1"/>
  <c r="CF30" i="2" s="1"/>
  <c r="DR21" i="2"/>
  <c r="AT24" i="20"/>
  <c r="AT26" i="20" s="1"/>
  <c r="AT21" i="20" s="1"/>
  <c r="CD45" i="2"/>
  <c r="CD46" i="2" s="1"/>
  <c r="CD47" i="2" s="1"/>
  <c r="CD65" i="2"/>
  <c r="CD66" i="2" s="1"/>
  <c r="CD67" i="2" s="1"/>
  <c r="CD68" i="2" s="1"/>
  <c r="BX53" i="2"/>
  <c r="BX54" i="2" s="1"/>
  <c r="BX55" i="2" s="1"/>
  <c r="BX49" i="2"/>
  <c r="BX41" i="2"/>
  <c r="BX42" i="2" s="1"/>
  <c r="BX43" i="2" s="1"/>
  <c r="AF9" i="20"/>
  <c r="AH6" i="20" s="1"/>
  <c r="BW50" i="2"/>
  <c r="BW51" i="2" s="1"/>
  <c r="CF69" i="2" l="1"/>
  <c r="CF70" i="2" s="1"/>
  <c r="CF71" i="2" s="1"/>
  <c r="DR23" i="2"/>
  <c r="DR24" i="2" s="1"/>
  <c r="CF73" i="2"/>
  <c r="CF74" i="2" s="1"/>
  <c r="CF75" i="2" s="1"/>
  <c r="CF77" i="2"/>
  <c r="CF78" i="2" s="1"/>
  <c r="CF61" i="2"/>
  <c r="CF62" i="2" s="1"/>
  <c r="CF63" i="2" s="1"/>
  <c r="CF57" i="2"/>
  <c r="CF58" i="2" s="1"/>
  <c r="CF59" i="2" s="1"/>
  <c r="AT22" i="20"/>
  <c r="AV19" i="20" s="1"/>
  <c r="CE35" i="2"/>
  <c r="BX50" i="2"/>
  <c r="BX51" i="2" s="1"/>
  <c r="AH11" i="20"/>
  <c r="AH13" i="20" s="1"/>
  <c r="AH8" i="20" s="1"/>
  <c r="BW79" i="2"/>
  <c r="CG28" i="2" l="1"/>
  <c r="CG30" i="2" s="1"/>
  <c r="DS21" i="2"/>
  <c r="AV24" i="20"/>
  <c r="AV26" i="20" s="1"/>
  <c r="AV21" i="20" s="1"/>
  <c r="CE45" i="2"/>
  <c r="CE46" i="2" s="1"/>
  <c r="CE47" i="2" s="1"/>
  <c r="CE65" i="2"/>
  <c r="CE66" i="2" s="1"/>
  <c r="CE67" i="2" s="1"/>
  <c r="CE68" i="2" s="1"/>
  <c r="BX79" i="2"/>
  <c r="AH9" i="20"/>
  <c r="AJ6" i="20" s="1"/>
  <c r="BY33" i="2"/>
  <c r="CG69" i="2" l="1"/>
  <c r="CG70" i="2" s="1"/>
  <c r="CG71" i="2" s="1"/>
  <c r="DS23" i="2"/>
  <c r="DS24" i="2" s="1"/>
  <c r="AV22" i="20"/>
  <c r="AX19" i="20" s="1"/>
  <c r="CF35" i="2"/>
  <c r="CG61" i="2"/>
  <c r="CG62" i="2" s="1"/>
  <c r="CG63" i="2" s="1"/>
  <c r="CG57" i="2"/>
  <c r="CG58" i="2" s="1"/>
  <c r="CG59" i="2" s="1"/>
  <c r="CG77" i="2"/>
  <c r="CG78" i="2" s="1"/>
  <c r="CG73" i="2"/>
  <c r="CG74" i="2" s="1"/>
  <c r="CG75" i="2" s="1"/>
  <c r="AJ11" i="20"/>
  <c r="AJ13" i="20" s="1"/>
  <c r="AJ8" i="20" s="1"/>
  <c r="BY53" i="2"/>
  <c r="BY54" i="2" s="1"/>
  <c r="BY55" i="2" s="1"/>
  <c r="BY49" i="2"/>
  <c r="BY50" i="2" s="1"/>
  <c r="BY51" i="2" s="1"/>
  <c r="BY41" i="2"/>
  <c r="BY42" i="2" s="1"/>
  <c r="BY43" i="2" s="1"/>
  <c r="CH28" i="2" l="1"/>
  <c r="CH30" i="2" s="1"/>
  <c r="DT21" i="2"/>
  <c r="DT23" i="2" s="1"/>
  <c r="DT24" i="2" s="1"/>
  <c r="AX24" i="20"/>
  <c r="AX26" i="20" s="1"/>
  <c r="AX21" i="20" s="1"/>
  <c r="CF45" i="2"/>
  <c r="CF46" i="2" s="1"/>
  <c r="CF47" i="2" s="1"/>
  <c r="CF65" i="2"/>
  <c r="CF66" i="2" s="1"/>
  <c r="CF67" i="2" s="1"/>
  <c r="CF68" i="2" s="1"/>
  <c r="AJ9" i="20"/>
  <c r="AL6" i="20" s="1"/>
  <c r="BY79" i="2"/>
  <c r="CH69" i="2" l="1"/>
  <c r="CH70" i="2" s="1"/>
  <c r="CH71" i="2" s="1"/>
  <c r="CI28" i="2"/>
  <c r="CI69" i="2" s="1"/>
  <c r="CI70" i="2" s="1"/>
  <c r="CI71" i="2" s="1"/>
  <c r="DU21" i="2"/>
  <c r="CH57" i="2"/>
  <c r="CH58" i="2" s="1"/>
  <c r="CH59" i="2" s="1"/>
  <c r="CH77" i="2"/>
  <c r="CH78" i="2" s="1"/>
  <c r="CH61" i="2"/>
  <c r="CH62" i="2" s="1"/>
  <c r="CH63" i="2" s="1"/>
  <c r="CH73" i="2"/>
  <c r="CH74" i="2" s="1"/>
  <c r="CH75" i="2" s="1"/>
  <c r="AX22" i="20"/>
  <c r="AZ19" i="20" s="1"/>
  <c r="CG35" i="2"/>
  <c r="AL11" i="20"/>
  <c r="AL13" i="20" s="1"/>
  <c r="AL8" i="20" s="1"/>
  <c r="CI30" i="2" l="1"/>
  <c r="CI77" i="2" s="1"/>
  <c r="CI78" i="2" s="1"/>
  <c r="DU23" i="2"/>
  <c r="DU24" i="2" s="1"/>
  <c r="AZ24" i="20"/>
  <c r="AZ26" i="20" s="1"/>
  <c r="AZ21" i="20" s="1"/>
  <c r="CG45" i="2"/>
  <c r="CG46" i="2" s="1"/>
  <c r="CG47" i="2" s="1"/>
  <c r="CG65" i="2"/>
  <c r="CG66" i="2" s="1"/>
  <c r="CG67" i="2" s="1"/>
  <c r="CG68" i="2" s="1"/>
  <c r="AL9" i="20"/>
  <c r="AN6" i="20" s="1"/>
  <c r="AN11" i="20" s="1"/>
  <c r="AN13" i="20" s="1"/>
  <c r="AN8" i="20" s="1"/>
  <c r="CA33" i="2"/>
  <c r="CJ28" i="2" l="1"/>
  <c r="DV21" i="2"/>
  <c r="DV23" i="2" s="1"/>
  <c r="DV24" i="2" s="1"/>
  <c r="CI61" i="2"/>
  <c r="CI62" i="2" s="1"/>
  <c r="CI63" i="2" s="1"/>
  <c r="CI73" i="2"/>
  <c r="CI74" i="2" s="1"/>
  <c r="CI75" i="2" s="1"/>
  <c r="CI57" i="2"/>
  <c r="CI58" i="2" s="1"/>
  <c r="CI59" i="2" s="1"/>
  <c r="AZ22" i="20"/>
  <c r="BB19" i="20" s="1"/>
  <c r="CH35" i="2"/>
  <c r="AN9" i="20"/>
  <c r="AP6" i="20" s="1"/>
  <c r="AP11" i="20" s="1"/>
  <c r="AP13" i="20" s="1"/>
  <c r="AP8" i="20" s="1"/>
  <c r="CB33" i="2"/>
  <c r="CA53" i="2"/>
  <c r="CA54" i="2" s="1"/>
  <c r="CA55" i="2" s="1"/>
  <c r="CA41" i="2"/>
  <c r="CA42" i="2" s="1"/>
  <c r="CA43" i="2" s="1"/>
  <c r="CA49" i="2"/>
  <c r="CA50" i="2" s="1"/>
  <c r="CA51" i="2" s="1"/>
  <c r="CJ30" i="2" l="1"/>
  <c r="CJ61" i="2" s="1"/>
  <c r="CJ62" i="2" s="1"/>
  <c r="CJ63" i="2" s="1"/>
  <c r="DW21" i="2"/>
  <c r="DW23" i="2" s="1"/>
  <c r="DW24" i="2" s="1"/>
  <c r="CK28" i="2"/>
  <c r="CJ69" i="2"/>
  <c r="CJ70" i="2" s="1"/>
  <c r="CJ71" i="2" s="1"/>
  <c r="CJ73" i="2"/>
  <c r="CJ74" i="2" s="1"/>
  <c r="CJ75" i="2" s="1"/>
  <c r="BB24" i="20"/>
  <c r="BB26" i="20" s="1"/>
  <c r="BB21" i="20" s="1"/>
  <c r="CH45" i="2"/>
  <c r="CH46" i="2" s="1"/>
  <c r="CH47" i="2" s="1"/>
  <c r="CH65" i="2"/>
  <c r="CH66" i="2" s="1"/>
  <c r="CH67" i="2" s="1"/>
  <c r="CH68" i="2" s="1"/>
  <c r="AP9" i="20"/>
  <c r="AR6" i="20" s="1"/>
  <c r="CC33" i="2"/>
  <c r="CB53" i="2"/>
  <c r="CB54" i="2" s="1"/>
  <c r="CB55" i="2" s="1"/>
  <c r="CB41" i="2"/>
  <c r="CB42" i="2" s="1"/>
  <c r="CB43" i="2" s="1"/>
  <c r="CB49" i="2"/>
  <c r="CA79" i="2"/>
  <c r="CJ57" i="2" l="1"/>
  <c r="CJ58" i="2" s="1"/>
  <c r="CJ59" i="2" s="1"/>
  <c r="CJ77" i="2"/>
  <c r="CJ78" i="2" s="1"/>
  <c r="CL28" i="2"/>
  <c r="CL30" i="2" s="1"/>
  <c r="DX21" i="2"/>
  <c r="DX23" i="2" s="1"/>
  <c r="DX24" i="2" s="1"/>
  <c r="CK30" i="2"/>
  <c r="CK69" i="2"/>
  <c r="CK70" i="2" s="1"/>
  <c r="CK71" i="2" s="1"/>
  <c r="BB22" i="20"/>
  <c r="CI35" i="2"/>
  <c r="AR11" i="20"/>
  <c r="AR13" i="20" s="1"/>
  <c r="AR8" i="20" s="1"/>
  <c r="CD33" i="2" s="1"/>
  <c r="CD41" i="2" s="1"/>
  <c r="CC53" i="2"/>
  <c r="CC54" i="2" s="1"/>
  <c r="CC55" i="2" s="1"/>
  <c r="CC41" i="2"/>
  <c r="CC42" i="2" s="1"/>
  <c r="CC43" i="2" s="1"/>
  <c r="CC49" i="2"/>
  <c r="CB50" i="2"/>
  <c r="CB51" i="2" s="1"/>
  <c r="CL69" i="2" l="1"/>
  <c r="CL70" i="2" s="1"/>
  <c r="CL71" i="2" s="1"/>
  <c r="CM28" i="2"/>
  <c r="CM30" i="2" s="1"/>
  <c r="DY21" i="2"/>
  <c r="CL77" i="2"/>
  <c r="CL78" i="2" s="1"/>
  <c r="CL57" i="2"/>
  <c r="CL58" i="2" s="1"/>
  <c r="CL59" i="2" s="1"/>
  <c r="CL61" i="2"/>
  <c r="CL62" i="2" s="1"/>
  <c r="CL63" i="2" s="1"/>
  <c r="CL73" i="2"/>
  <c r="CL74" i="2" s="1"/>
  <c r="CL75" i="2" s="1"/>
  <c r="CK57" i="2"/>
  <c r="CK58" i="2" s="1"/>
  <c r="CK59" i="2" s="1"/>
  <c r="CK77" i="2"/>
  <c r="CK78" i="2" s="1"/>
  <c r="CK73" i="2"/>
  <c r="CK74" i="2" s="1"/>
  <c r="CK75" i="2" s="1"/>
  <c r="CK61" i="2"/>
  <c r="CK62" i="2" s="1"/>
  <c r="CK63" i="2" s="1"/>
  <c r="BD19" i="20"/>
  <c r="BD24" i="20" s="1"/>
  <c r="BD26" i="20" s="1"/>
  <c r="BD21" i="20" s="1"/>
  <c r="BF19" i="20"/>
  <c r="CI45" i="2"/>
  <c r="CI46" i="2" s="1"/>
  <c r="CI47" i="2" s="1"/>
  <c r="CI65" i="2"/>
  <c r="CI66" i="2" s="1"/>
  <c r="CI67" i="2" s="1"/>
  <c r="CI68" i="2" s="1"/>
  <c r="AR9" i="20"/>
  <c r="AT6" i="20" s="1"/>
  <c r="CB79" i="2"/>
  <c r="CC50" i="2"/>
  <c r="CC51" i="2" s="1"/>
  <c r="CM69" i="2" l="1"/>
  <c r="CM70" i="2" s="1"/>
  <c r="CM71" i="2" s="1"/>
  <c r="DY23" i="2"/>
  <c r="DY24" i="2" s="1"/>
  <c r="DZ21" i="2" s="1"/>
  <c r="CM61" i="2"/>
  <c r="CM62" i="2" s="1"/>
  <c r="CM63" i="2" s="1"/>
  <c r="CM77" i="2"/>
  <c r="CM78" i="2" s="1"/>
  <c r="CM73" i="2"/>
  <c r="CM74" i="2" s="1"/>
  <c r="CM75" i="2" s="1"/>
  <c r="CM57" i="2"/>
  <c r="CM58" i="2" s="1"/>
  <c r="CM59" i="2" s="1"/>
  <c r="CM49" i="2"/>
  <c r="CM41" i="2"/>
  <c r="CM42" i="2" s="1"/>
  <c r="CM43" i="2" s="1"/>
  <c r="BF24" i="20"/>
  <c r="BF26" i="20" s="1"/>
  <c r="BF21" i="20" s="1"/>
  <c r="BD22" i="20"/>
  <c r="BH19" i="20" s="1"/>
  <c r="CJ35" i="2"/>
  <c r="AT11" i="20"/>
  <c r="AT13" i="20" s="1"/>
  <c r="AT8" i="20" s="1"/>
  <c r="CD53" i="2"/>
  <c r="CD54" i="2" s="1"/>
  <c r="CD55" i="2" s="1"/>
  <c r="CD49" i="2"/>
  <c r="CD42" i="2"/>
  <c r="CD43" i="2" s="1"/>
  <c r="CC79" i="2"/>
  <c r="DZ23" i="2" l="1"/>
  <c r="DZ24" i="2" s="1"/>
  <c r="EA21" i="2" s="1"/>
  <c r="CN28" i="2"/>
  <c r="CM50" i="2"/>
  <c r="CM51" i="2" s="1"/>
  <c r="BF22" i="20"/>
  <c r="BJ19" i="20" s="1"/>
  <c r="CK35" i="2"/>
  <c r="BH24" i="20"/>
  <c r="BH26" i="20" s="1"/>
  <c r="BH21" i="20" s="1"/>
  <c r="CJ45" i="2"/>
  <c r="CJ46" i="2" s="1"/>
  <c r="CJ47" i="2" s="1"/>
  <c r="CJ65" i="2"/>
  <c r="CJ66" i="2" s="1"/>
  <c r="CJ67" i="2" s="1"/>
  <c r="CJ68" i="2" s="1"/>
  <c r="AT9" i="20"/>
  <c r="AV6" i="20" s="1"/>
  <c r="CE33" i="2"/>
  <c r="CD50" i="2"/>
  <c r="CD51" i="2" s="1"/>
  <c r="EA23" i="2" l="1"/>
  <c r="EA24" i="2" s="1"/>
  <c r="EB21" i="2" s="1"/>
  <c r="CO28" i="2"/>
  <c r="CO69" i="2" s="1"/>
  <c r="CO70" i="2" s="1"/>
  <c r="CO71" i="2" s="1"/>
  <c r="CN69" i="2"/>
  <c r="CN70" i="2" s="1"/>
  <c r="CN71" i="2" s="1"/>
  <c r="CN30" i="2"/>
  <c r="BJ24" i="20"/>
  <c r="BJ26" i="20" s="1"/>
  <c r="BJ21" i="20" s="1"/>
  <c r="CM45" i="2" s="1"/>
  <c r="CM46" i="2" s="1"/>
  <c r="CM47" i="2" s="1"/>
  <c r="CM79" i="2"/>
  <c r="BH22" i="20"/>
  <c r="CL35" i="2"/>
  <c r="CL65" i="2" s="1"/>
  <c r="CL66" i="2" s="1"/>
  <c r="CL67" i="2" s="1"/>
  <c r="CL68" i="2" s="1"/>
  <c r="CL45" i="2"/>
  <c r="CL46" i="2" s="1"/>
  <c r="CL47" i="2" s="1"/>
  <c r="CK45" i="2"/>
  <c r="CK46" i="2" s="1"/>
  <c r="CK47" i="2" s="1"/>
  <c r="CK65" i="2"/>
  <c r="CK66" i="2" s="1"/>
  <c r="CK67" i="2" s="1"/>
  <c r="CK68" i="2" s="1"/>
  <c r="AV11" i="20"/>
  <c r="AV13" i="20" s="1"/>
  <c r="AV8" i="20" s="1"/>
  <c r="CE53" i="2"/>
  <c r="CE54" i="2" s="1"/>
  <c r="CE55" i="2" s="1"/>
  <c r="CE49" i="2"/>
  <c r="CE41" i="2"/>
  <c r="CE42" i="2" s="1"/>
  <c r="CE43" i="2" s="1"/>
  <c r="CD79" i="2"/>
  <c r="EB23" i="2" l="1"/>
  <c r="EB24" i="2" s="1"/>
  <c r="CP28" i="2"/>
  <c r="CP69" i="2" s="1"/>
  <c r="CP70" i="2" s="1"/>
  <c r="CP71" i="2" s="1"/>
  <c r="CO30" i="2"/>
  <c r="CO49" i="2" s="1"/>
  <c r="CN77" i="2"/>
  <c r="CN78" i="2" s="1"/>
  <c r="CN61" i="2"/>
  <c r="CN62" i="2" s="1"/>
  <c r="CN63" i="2" s="1"/>
  <c r="CN73" i="2"/>
  <c r="CN74" i="2" s="1"/>
  <c r="CN75" i="2" s="1"/>
  <c r="CN57" i="2"/>
  <c r="CN58" i="2" s="1"/>
  <c r="CN59" i="2" s="1"/>
  <c r="CN41" i="2"/>
  <c r="CN42" i="2" s="1"/>
  <c r="CN43" i="2" s="1"/>
  <c r="CN49" i="2"/>
  <c r="BJ22" i="20"/>
  <c r="BL19" i="20" s="1"/>
  <c r="BL24" i="20" s="1"/>
  <c r="BL26" i="20" s="1"/>
  <c r="BL21" i="20" s="1"/>
  <c r="CN35" i="2" s="1"/>
  <c r="CN45" i="2" s="1"/>
  <c r="CN46" i="2" s="1"/>
  <c r="CN47" i="2" s="1"/>
  <c r="CM35" i="2"/>
  <c r="CM65" i="2" s="1"/>
  <c r="CM66" i="2" s="1"/>
  <c r="CM67" i="2" s="1"/>
  <c r="CM68" i="2" s="1"/>
  <c r="AV9" i="20"/>
  <c r="AX6" i="20" s="1"/>
  <c r="CF33" i="2"/>
  <c r="CE50" i="2"/>
  <c r="CE51" i="2" s="1"/>
  <c r="CQ28" i="2" l="1"/>
  <c r="CQ30" i="2" s="1"/>
  <c r="EC21" i="2"/>
  <c r="CP30" i="2"/>
  <c r="CP41" i="2" s="1"/>
  <c r="CP42" i="2" s="1"/>
  <c r="CP43" i="2" s="1"/>
  <c r="CO77" i="2"/>
  <c r="CO78" i="2" s="1"/>
  <c r="CO41" i="2"/>
  <c r="CO42" i="2" s="1"/>
  <c r="CO43" i="2" s="1"/>
  <c r="CO73" i="2"/>
  <c r="CO74" i="2" s="1"/>
  <c r="CO75" i="2" s="1"/>
  <c r="CO57" i="2"/>
  <c r="CO58" i="2" s="1"/>
  <c r="CO59" i="2" s="1"/>
  <c r="CO61" i="2"/>
  <c r="CO62" i="2" s="1"/>
  <c r="CO63" i="2" s="1"/>
  <c r="CO50" i="2"/>
  <c r="CO51" i="2" s="1"/>
  <c r="BL22" i="20"/>
  <c r="BN19" i="20" s="1"/>
  <c r="BN24" i="20" s="1"/>
  <c r="BN26" i="20" s="1"/>
  <c r="BN21" i="20" s="1"/>
  <c r="CO35" i="2" s="1"/>
  <c r="CN65" i="2"/>
  <c r="CN66" i="2" s="1"/>
  <c r="CN67" i="2" s="1"/>
  <c r="CN68" i="2" s="1"/>
  <c r="CN50" i="2"/>
  <c r="CN51" i="2" s="1"/>
  <c r="AX11" i="20"/>
  <c r="AX13" i="20" s="1"/>
  <c r="AX8" i="20" s="1"/>
  <c r="CF53" i="2"/>
  <c r="CF54" i="2" s="1"/>
  <c r="CF55" i="2" s="1"/>
  <c r="CF49" i="2"/>
  <c r="CF41" i="2"/>
  <c r="CF42" i="2" s="1"/>
  <c r="CF43" i="2" s="1"/>
  <c r="CE79" i="2"/>
  <c r="CQ69" i="2" l="1"/>
  <c r="CQ70" i="2" s="1"/>
  <c r="CQ71" i="2" s="1"/>
  <c r="CQ77" i="2"/>
  <c r="CQ78" i="2" s="1"/>
  <c r="CQ57" i="2"/>
  <c r="CQ58" i="2" s="1"/>
  <c r="CQ59" i="2" s="1"/>
  <c r="CQ73" i="2"/>
  <c r="CQ74" i="2" s="1"/>
  <c r="CQ75" i="2" s="1"/>
  <c r="CQ61" i="2"/>
  <c r="CQ62" i="2" s="1"/>
  <c r="CQ63" i="2" s="1"/>
  <c r="CQ41" i="2"/>
  <c r="CQ42" i="2" s="1"/>
  <c r="CQ43" i="2" s="1"/>
  <c r="CQ49" i="2"/>
  <c r="CP61" i="2"/>
  <c r="CP62" i="2" s="1"/>
  <c r="CP63" i="2" s="1"/>
  <c r="CP57" i="2"/>
  <c r="CP58" i="2" s="1"/>
  <c r="CP59" i="2" s="1"/>
  <c r="CP49" i="2"/>
  <c r="CP50" i="2" s="1"/>
  <c r="CP51" i="2" s="1"/>
  <c r="CP77" i="2"/>
  <c r="CP78" i="2" s="1"/>
  <c r="CP73" i="2"/>
  <c r="CP74" i="2" s="1"/>
  <c r="CP75" i="2" s="1"/>
  <c r="BN22" i="20"/>
  <c r="BP19" i="20" s="1"/>
  <c r="CO45" i="2"/>
  <c r="CO79" i="2"/>
  <c r="CN79" i="2"/>
  <c r="AX9" i="20"/>
  <c r="AZ6" i="20" s="1"/>
  <c r="CG33" i="2"/>
  <c r="CF50" i="2"/>
  <c r="CF51" i="2" s="1"/>
  <c r="CQ50" i="2" l="1"/>
  <c r="CQ51" i="2" s="1"/>
  <c r="BP24" i="20"/>
  <c r="BP26" i="20" s="1"/>
  <c r="BP21" i="20" s="1"/>
  <c r="CP79" i="2"/>
  <c r="CO46" i="2"/>
  <c r="CO47" i="2" s="1"/>
  <c r="CO65" i="2"/>
  <c r="CO66" i="2" s="1"/>
  <c r="CO67" i="2" s="1"/>
  <c r="CO68" i="2" s="1"/>
  <c r="AZ11" i="20"/>
  <c r="AZ13" i="20" s="1"/>
  <c r="AZ8" i="20" s="1"/>
  <c r="CG53" i="2"/>
  <c r="CG54" i="2" s="1"/>
  <c r="CG55" i="2" s="1"/>
  <c r="CG49" i="2"/>
  <c r="CG41" i="2"/>
  <c r="CG42" i="2" s="1"/>
  <c r="CG43" i="2" s="1"/>
  <c r="CF79" i="2"/>
  <c r="CQ79" i="2" l="1"/>
  <c r="BP22" i="20"/>
  <c r="BR19" i="20" s="1"/>
  <c r="BR24" i="20" s="1"/>
  <c r="BR26" i="20" s="1"/>
  <c r="BR21" i="20" s="1"/>
  <c r="CR35" i="2" s="1"/>
  <c r="CR45" i="2" s="1"/>
  <c r="CR46" i="2" s="1"/>
  <c r="CR47" i="2" s="1"/>
  <c r="CP35" i="2"/>
  <c r="CP65" i="2" s="1"/>
  <c r="CP66" i="2" s="1"/>
  <c r="CP67" i="2" s="1"/>
  <c r="CP68" i="2" s="1"/>
  <c r="AZ9" i="20"/>
  <c r="BB6" i="20" s="1"/>
  <c r="CH33" i="2"/>
  <c r="CG50" i="2"/>
  <c r="CG51" i="2" s="1"/>
  <c r="BR22" i="20" l="1"/>
  <c r="BT19" i="20" s="1"/>
  <c r="CQ35" i="2"/>
  <c r="BB11" i="20"/>
  <c r="BB13" i="20" s="1"/>
  <c r="BB8" i="20" s="1"/>
  <c r="CH53" i="2"/>
  <c r="CH54" i="2" s="1"/>
  <c r="CH55" i="2" s="1"/>
  <c r="CH41" i="2"/>
  <c r="CH42" i="2" s="1"/>
  <c r="CH43" i="2" s="1"/>
  <c r="CH49" i="2"/>
  <c r="CG79" i="2"/>
  <c r="BT24" i="20" l="1"/>
  <c r="BT26" i="20" s="1"/>
  <c r="BT21" i="20" s="1"/>
  <c r="BT22" i="20" s="1"/>
  <c r="BV19" i="20" s="1"/>
  <c r="CQ45" i="2"/>
  <c r="CQ46" i="2" s="1"/>
  <c r="CQ47" i="2" s="1"/>
  <c r="CQ65" i="2"/>
  <c r="CQ66" i="2" s="1"/>
  <c r="CQ67" i="2" s="1"/>
  <c r="CQ68" i="2" s="1"/>
  <c r="BB9" i="20"/>
  <c r="CI33" i="2"/>
  <c r="CH50" i="2"/>
  <c r="CH51" i="2" s="1"/>
  <c r="BV24" i="20" l="1"/>
  <c r="BV26" i="20" s="1"/>
  <c r="BV21" i="20" s="1"/>
  <c r="CT35" i="2" s="1"/>
  <c r="BD6" i="20"/>
  <c r="BD11" i="20" s="1"/>
  <c r="BD13" i="20" s="1"/>
  <c r="BD8" i="20" s="1"/>
  <c r="BF6" i="20"/>
  <c r="CI53" i="2"/>
  <c r="CI54" i="2" s="1"/>
  <c r="CI55" i="2" s="1"/>
  <c r="CI49" i="2"/>
  <c r="CI41" i="2"/>
  <c r="CI42" i="2" s="1"/>
  <c r="CI43" i="2" s="1"/>
  <c r="CH79" i="2"/>
  <c r="BV22" i="20" l="1"/>
  <c r="BX19" i="20" s="1"/>
  <c r="CS35" i="2"/>
  <c r="BF11" i="20"/>
  <c r="BF13" i="20" s="1"/>
  <c r="BF8" i="20" s="1"/>
  <c r="BD9" i="20"/>
  <c r="BH6" i="20" s="1"/>
  <c r="CJ33" i="2"/>
  <c r="CI50" i="2"/>
  <c r="CI51" i="2" s="1"/>
  <c r="BX24" i="20" l="1"/>
  <c r="BX26" i="20" s="1"/>
  <c r="BX21" i="20" s="1"/>
  <c r="BX22" i="20" s="1"/>
  <c r="BZ19" i="20" s="1"/>
  <c r="BF9" i="20"/>
  <c r="BJ6" i="20" s="1"/>
  <c r="CK33" i="2"/>
  <c r="BH11" i="20"/>
  <c r="BH13" i="20" s="1"/>
  <c r="BH8" i="20" s="1"/>
  <c r="CJ53" i="2"/>
  <c r="CJ54" i="2" s="1"/>
  <c r="CJ55" i="2" s="1"/>
  <c r="CJ49" i="2"/>
  <c r="CJ41" i="2"/>
  <c r="CJ42" i="2" s="1"/>
  <c r="CJ43" i="2" s="1"/>
  <c r="CI79" i="2"/>
  <c r="BZ24" i="20" l="1"/>
  <c r="BZ26" i="20" s="1"/>
  <c r="BZ21" i="20" s="1"/>
  <c r="BJ11" i="20"/>
  <c r="BJ13" i="20" s="1"/>
  <c r="BJ8" i="20" s="1"/>
  <c r="BJ9" i="20" s="1"/>
  <c r="BN6" i="20" s="1"/>
  <c r="CK53" i="2"/>
  <c r="CK54" i="2" s="1"/>
  <c r="CK55" i="2" s="1"/>
  <c r="CK41" i="2"/>
  <c r="CK42" i="2" s="1"/>
  <c r="CK43" i="2" s="1"/>
  <c r="CK49" i="2"/>
  <c r="CJ50" i="2"/>
  <c r="CJ51" i="2" s="1"/>
  <c r="BZ22" i="20" l="1"/>
  <c r="CU35" i="2"/>
  <c r="CU45" i="2" s="1"/>
  <c r="CU46" i="2" s="1"/>
  <c r="CU47" i="2" s="1"/>
  <c r="BN11" i="20"/>
  <c r="BN13" i="20" s="1"/>
  <c r="BN8" i="20" s="1"/>
  <c r="BN9" i="20" s="1"/>
  <c r="BR6" i="20" s="1"/>
  <c r="CK50" i="2"/>
  <c r="CK51" i="2" s="1"/>
  <c r="CJ79" i="2"/>
  <c r="BR11" i="20" l="1"/>
  <c r="BR13" i="20" s="1"/>
  <c r="BR8" i="20" s="1"/>
  <c r="BR9" i="20" s="1"/>
  <c r="BV6" i="20" s="1"/>
  <c r="CK79" i="2"/>
  <c r="S24" i="25"/>
  <c r="S29" i="25"/>
  <c r="BV11" i="20" l="1"/>
  <c r="BV13" i="20" s="1"/>
  <c r="BV8" i="20" s="1"/>
  <c r="BV9" i="20" s="1"/>
  <c r="BZ6" i="20" s="1"/>
  <c r="S30" i="25"/>
  <c r="BZ11" i="20" l="1"/>
  <c r="BZ13" i="20" s="1"/>
  <c r="BZ8" i="20" s="1"/>
  <c r="BZ9" i="20" s="1"/>
  <c r="S37" i="25"/>
  <c r="S38" i="25"/>
  <c r="S40" i="25" l="1"/>
  <c r="CL33" i="2"/>
  <c r="BH9" i="20"/>
  <c r="BL6" i="20" s="1"/>
  <c r="S44" i="25" l="1"/>
  <c r="CL36" i="2"/>
  <c r="BL11" i="20"/>
  <c r="BL13" i="20" s="1"/>
  <c r="BL8" i="20" s="1"/>
  <c r="BL9" i="20" s="1"/>
  <c r="BP6" i="20" s="1"/>
  <c r="CL53" i="2"/>
  <c r="CL54" i="2" s="1"/>
  <c r="CL55" i="2" s="1"/>
  <c r="BP11" i="20" l="1"/>
  <c r="BP13" i="20" s="1"/>
  <c r="BP8" i="20" s="1"/>
  <c r="BP9" i="20" s="1"/>
  <c r="BT6" i="20" s="1"/>
  <c r="CL41" i="2"/>
  <c r="CL42" i="2" s="1"/>
  <c r="CL43" i="2" s="1"/>
  <c r="CL49" i="2"/>
  <c r="CL50" i="2" s="1"/>
  <c r="CL51" i="2" s="1"/>
  <c r="BT11" i="20" l="1"/>
  <c r="BT13" i="20" s="1"/>
  <c r="BT8" i="20" s="1"/>
  <c r="BT9" i="20" s="1"/>
  <c r="BX6" i="20" s="1"/>
  <c r="CL79" i="2"/>
  <c r="BX11" i="20" l="1"/>
  <c r="BX13" i="20" s="1"/>
  <c r="BX8" i="20" s="1"/>
  <c r="BX9" i="20" s="1"/>
  <c r="CR21" i="2"/>
  <c r="CR23" i="2" s="1"/>
  <c r="CR20" i="2"/>
  <c r="CR22" i="2" s="1"/>
  <c r="CR26" i="2" l="1"/>
  <c r="CR27" i="2" s="1"/>
  <c r="EC22" i="2" l="1"/>
  <c r="EC23" i="2"/>
  <c r="EC24" i="2" s="1"/>
  <c r="ED21" i="2" s="1"/>
  <c r="ED23" i="2" l="1"/>
  <c r="ED24" i="2" s="1"/>
  <c r="CR28" i="2"/>
  <c r="CS28" i="2" l="1"/>
  <c r="CS69" i="2" s="1"/>
  <c r="CS70" i="2" s="1"/>
  <c r="CS71" i="2" s="1"/>
  <c r="EE21" i="2"/>
  <c r="CR69" i="2"/>
  <c r="CR70" i="2" s="1"/>
  <c r="CR71" i="2" s="1"/>
  <c r="CR30" i="2"/>
  <c r="CR65" i="2"/>
  <c r="CR66" i="2" s="1"/>
  <c r="CR67" i="2" s="1"/>
  <c r="CR68" i="2" s="1"/>
  <c r="CS65" i="2" l="1"/>
  <c r="CS66" i="2" s="1"/>
  <c r="CS67" i="2" s="1"/>
  <c r="CS68" i="2" s="1"/>
  <c r="CS30" i="2"/>
  <c r="CS73" i="2" s="1"/>
  <c r="CS74" i="2" s="1"/>
  <c r="CS75" i="2" s="1"/>
  <c r="EE23" i="2"/>
  <c r="EE24" i="2" s="1"/>
  <c r="CR41" i="2"/>
  <c r="CR42" i="2" s="1"/>
  <c r="CR43" i="2" s="1"/>
  <c r="CR57" i="2"/>
  <c r="CR58" i="2" s="1"/>
  <c r="CR59" i="2" s="1"/>
  <c r="CR49" i="2"/>
  <c r="CR77" i="2"/>
  <c r="CR78" i="2" s="1"/>
  <c r="CR61" i="2"/>
  <c r="CR62" i="2" s="1"/>
  <c r="CR63" i="2" s="1"/>
  <c r="CR73" i="2"/>
  <c r="CR74" i="2" s="1"/>
  <c r="CR75" i="2" s="1"/>
  <c r="CS61" i="2" l="1"/>
  <c r="CS62" i="2" s="1"/>
  <c r="CS63" i="2" s="1"/>
  <c r="CS49" i="2"/>
  <c r="CS57" i="2"/>
  <c r="CS58" i="2" s="1"/>
  <c r="CS59" i="2" s="1"/>
  <c r="CS41" i="2"/>
  <c r="CS42" i="2" s="1"/>
  <c r="CS43" i="2" s="1"/>
  <c r="CS77" i="2"/>
  <c r="CS78" i="2" s="1"/>
  <c r="CT28" i="2"/>
  <c r="CT30" i="2" s="1"/>
  <c r="EF21" i="2"/>
  <c r="CT65" i="2"/>
  <c r="CT66" i="2" s="1"/>
  <c r="CT67" i="2" s="1"/>
  <c r="CT68" i="2" s="1"/>
  <c r="CS50" i="2"/>
  <c r="CS51" i="2" s="1"/>
  <c r="CR50" i="2"/>
  <c r="CR51" i="2" s="1"/>
  <c r="CT69" i="2" l="1"/>
  <c r="CT70" i="2" s="1"/>
  <c r="CT71" i="2" s="1"/>
  <c r="EF23" i="2"/>
  <c r="EF24" i="2" s="1"/>
  <c r="CT77" i="2"/>
  <c r="CT78" i="2" s="1"/>
  <c r="CT57" i="2"/>
  <c r="CT58" i="2" s="1"/>
  <c r="CT59" i="2" s="1"/>
  <c r="CT61" i="2"/>
  <c r="CT62" i="2" s="1"/>
  <c r="CT63" i="2" s="1"/>
  <c r="CT49" i="2"/>
  <c r="CT73" i="2"/>
  <c r="CT74" i="2" s="1"/>
  <c r="CT75" i="2" s="1"/>
  <c r="CT41" i="2"/>
  <c r="CT42" i="2" s="1"/>
  <c r="CT43" i="2" s="1"/>
  <c r="CS79" i="2"/>
  <c r="CR79" i="2"/>
  <c r="CU28" i="2" l="1"/>
  <c r="CU69" i="2" s="1"/>
  <c r="CU70" i="2" s="1"/>
  <c r="CU71" i="2" s="1"/>
  <c r="EG21" i="2"/>
  <c r="CT50" i="2"/>
  <c r="CT51" i="2" s="1"/>
  <c r="CU30" i="2" l="1"/>
  <c r="CU61" i="2" s="1"/>
  <c r="CU65" i="2"/>
  <c r="CU66" i="2" s="1"/>
  <c r="CU67" i="2" s="1"/>
  <c r="CU68" i="2" s="1"/>
  <c r="EG23" i="2"/>
  <c r="EG24" i="2" s="1"/>
  <c r="CU57" i="2"/>
  <c r="CU58" i="2" s="1"/>
  <c r="CU59" i="2" s="1"/>
  <c r="CU41" i="2"/>
  <c r="CU42" i="2" s="1"/>
  <c r="CU43" i="2" s="1"/>
  <c r="CU73" i="2"/>
  <c r="CU74" i="2" s="1"/>
  <c r="CU75" i="2" s="1"/>
  <c r="CU77" i="2"/>
  <c r="CU78" i="2" s="1"/>
  <c r="CU62" i="2"/>
  <c r="CU63" i="2" s="1"/>
  <c r="CU49" i="2"/>
  <c r="CT79" i="2"/>
  <c r="CV28" i="2" l="1"/>
  <c r="CU50" i="2"/>
  <c r="CU51" i="2" s="1"/>
  <c r="CV69" i="2" l="1"/>
  <c r="CV70" i="2" s="1"/>
  <c r="CV71" i="2" s="1"/>
  <c r="CV30" i="2"/>
  <c r="CV65" i="2"/>
  <c r="CV66" i="2" s="1"/>
  <c r="CV67" i="2" s="1"/>
  <c r="CV68" i="2" s="1"/>
  <c r="CU79" i="2"/>
  <c r="CV49" i="2" l="1"/>
  <c r="CV61" i="2"/>
  <c r="CV62" i="2" s="1"/>
  <c r="CV63" i="2" s="1"/>
  <c r="CV57" i="2"/>
  <c r="CV58" i="2" s="1"/>
  <c r="CV59" i="2" s="1"/>
  <c r="CV41" i="2"/>
  <c r="CV42" i="2" s="1"/>
  <c r="CV43" i="2" s="1"/>
  <c r="CV73" i="2"/>
  <c r="CV74" i="2" s="1"/>
  <c r="CV75" i="2" s="1"/>
  <c r="CV77" i="2"/>
  <c r="CV78" i="2" s="1"/>
  <c r="CV50" i="2" l="1"/>
  <c r="CV51" i="2" s="1"/>
  <c r="CV7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tc={9B09A8D8-0206-4596-9F6E-4CB936BD8C7C}</author>
  </authors>
  <commentList>
    <comment ref="BV24" authorId="0" shapeId="0" xr:uid="{9B09A8D8-0206-4596-9F6E-4CB936BD8C7C}">
      <text>
        <t xml:space="preserve">[Threaded comment]
Your version of Excel allows you to read this threaded comment; however, any edits to it will get removed if the file is opened in a newer version of Excel. Learn more: https://go.microsoft.com/fwlink/?linkid=870924
Comment:
    Considerando el Art. 6 del Decreto 2147 de 2016: Por el cual se modifica el régimen de zonas francas y se dictan otras disposiciones, donde se especifica que todo el proceso de la actividad generadora se realice en áreas calificadas dentro del régimen de zonas francas, evitando incurrir en una penalidad grave debemos gestionar todo el proceso de internación se realice dentro de una zona franca en puerto, de lo contrario deberíamos nacionalizar la resina al momento que llega a puerto lo cual seria mas costoso.
"Artículo 6°. Exclusividad en zonas francas. Las personas jurídicas que soliciten la calificación como usuario industrial de bienes y/o usuario industrial de servicios, deberán estar instalados exclusivamente en las áreas declaradas como zona franca y garantizar que el desarrollo de su objeto social y la actividad generadora de renta se produzca exclusivamente en las áreas declaradas como zona franca, salvo el procesamiento parcial por fuera de zona franca previsto en el artículo 97 del presente decreto."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tc={3BF1ED3C-3A4F-42B1-9194-8A8973E1F9A6}</author>
  </authors>
  <commentList>
    <comment ref="BW24" authorId="0" shapeId="0" xr:uid="{3BF1ED3C-3A4F-42B1-9194-8A8973E1F9A6}">
      <text>
        <t xml:space="preserve">[Threaded comment]
Your version of Excel allows you to read this threaded comment; however, any edits to it will get removed if the file is opened in a newer version of Excel. Learn more: https://go.microsoft.com/fwlink/?linkid=870924
Comment:
    Considerando el Art. 6 del Decreto 2147 de 2016: Por el cual se modifica el régimen de zonas francas y se dictan otras disposiciones, donde se especifica que todo el proceso de la actividad generadora se realice en áreas calificadas dentro del régimen de zonas francas, evitando incurrir en una penalidad grave debemos gestionar todo el proceso de internación se realice dentro de una zona franca en puerto, de lo contrario deberíamos nacionalizar la resina al momento que llega a puerto lo cual seria mas costoso.
"Artículo 6°. Exclusividad en zonas francas. Las personas jurídicas que soliciten la calificación como usuario industrial de bienes y/o usuario industrial de servicios, deberán estar instalados exclusivamente en las áreas declaradas como zona franca y garantizar que el desarrollo de su objeto social y la actividad generadora de renta se produzca exclusivamente en las áreas declaradas como zona franca, salvo el procesamiento parcial por fuera de zona franca previsto en el artículo 97 del presente decreto."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Lina Ramirez</author>
  </authors>
  <commentList>
    <comment ref="BA25" authorId="0" shapeId="0" xr:uid="{197B9BE5-2641-43F9-900B-55647788505A}">
      <text>
        <r>
          <rPr>
            <b/>
            <sz val="9"/>
            <color indexed="81"/>
            <rFont val="Tahoma"/>
            <family val="2"/>
          </rPr>
          <t>Lina Ramirez:</t>
        </r>
        <r>
          <rPr>
            <sz val="9"/>
            <color indexed="81"/>
            <rFont val="Tahoma"/>
            <family val="2"/>
          </rPr>
          <t xml:space="preserve">
se incluye ya en el split del precio</t>
        </r>
      </text>
    </comment>
    <comment ref="BB25" authorId="0" shapeId="0" xr:uid="{28B7F5BC-7EFA-450D-A3AA-DEFC51D2E203}">
      <text>
        <r>
          <rPr>
            <b/>
            <sz val="9"/>
            <color indexed="81"/>
            <rFont val="Tahoma"/>
            <family val="2"/>
          </rPr>
          <t>Lina Ramirez:</t>
        </r>
        <r>
          <rPr>
            <sz val="9"/>
            <color indexed="81"/>
            <rFont val="Tahoma"/>
            <family val="2"/>
          </rPr>
          <t xml:space="preserve">
se incluye ya en el split del precio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tc={489CBDBB-4DD5-415F-A2C6-CCA0EAAF1008}</author>
  </authors>
  <commentList>
    <comment ref="V18" authorId="0" shapeId="0" xr:uid="{489CBDBB-4DD5-415F-A2C6-CCA0EAAF1008}">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tc={0C09DFFC-B4B0-488B-9C8C-9ECDC53149C9}</author>
    <author>tc={FB737A4D-D55D-4672-A871-5C4EBA6B1FA5}</author>
    <author>tc={967616E3-A646-44D3-93A3-B5F26CF22F26}</author>
    <author>tc={E90D3B8A-1809-40F6-A8E1-35AFAC233E99}</author>
  </authors>
  <commentList>
    <comment ref="O7" authorId="0" shapeId="0" xr:uid="{0C09DFFC-B4B0-488B-9C8C-9ECDC53149C9}">
      <text>
        <t>[Threaded comment]
Your version of Excel allows you to read this threaded comment; however, any edits to it will get removed if the file is opened in a newer version of Excel. Learn more: https://go.microsoft.com/fwlink/?linkid=870924
Comment:
    1000</t>
      </text>
    </comment>
    <comment ref="Q7" authorId="1" shapeId="0" xr:uid="{FB737A4D-D55D-4672-A871-5C4EBA6B1FA5}">
      <text>
        <t>[Threaded comment]
Your version of Excel allows you to read this threaded comment; however, any edits to it will get removed if the file is opened in a newer version of Excel. Learn more: https://go.microsoft.com/fwlink/?linkid=870924
Comment:
    890</t>
      </text>
    </comment>
    <comment ref="O33" authorId="2" shapeId="0" xr:uid="{967616E3-A646-44D3-93A3-B5F26CF22F26}">
      <text>
        <t>[Threaded comment]
Your version of Excel allows you to read this threaded comment; however, any edits to it will get removed if the file is opened in a newer version of Excel. Learn more: https://go.microsoft.com/fwlink/?linkid=870924
Comment:
    1000</t>
      </text>
    </comment>
    <comment ref="Q33" authorId="3" shapeId="0" xr:uid="{E90D3B8A-1809-40F6-A8E1-35AFAC233E99}">
      <text>
        <t>[Threaded comment]
Your version of Excel allows you to read this threaded comment; however, any edits to it will get removed if the file is opened in a newer version of Excel. Learn more: https://go.microsoft.com/fwlink/?linkid=870924
Comment:
    890</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<sst xmlns="http://schemas.openxmlformats.org/spreadsheetml/2006/main" count="2055" uniqueCount="735">
  <si>
    <t>FÓRMULA</t>
  </si>
  <si>
    <t>Fórmula</t>
  </si>
  <si>
    <t>PRICE</t>
  </si>
  <si>
    <t>Jul-18</t>
  </si>
  <si>
    <t>Ago-2018</t>
  </si>
  <si>
    <t>Sep-18</t>
  </si>
  <si>
    <t>Oct-18</t>
  </si>
  <si>
    <t>Nov-18</t>
  </si>
  <si>
    <t>Dic-18</t>
  </si>
  <si>
    <t>Ene-19</t>
  </si>
  <si>
    <t>Feb-19</t>
  </si>
  <si>
    <t>Mar-19</t>
  </si>
  <si>
    <t>Abr-19</t>
  </si>
  <si>
    <t>May-19</t>
  </si>
  <si>
    <t>Jun-19</t>
  </si>
  <si>
    <t>Jul-19</t>
  </si>
  <si>
    <t>Ago-19</t>
  </si>
  <si>
    <t>Sep-19</t>
  </si>
  <si>
    <t>Oct-19</t>
  </si>
  <si>
    <t>Nov-20</t>
  </si>
  <si>
    <t>Dic-20</t>
  </si>
  <si>
    <t>Ene-20</t>
  </si>
  <si>
    <t>Feb-20</t>
  </si>
  <si>
    <t>Mar-20</t>
  </si>
  <si>
    <t>Abr-20</t>
  </si>
  <si>
    <t>May-20</t>
  </si>
  <si>
    <t>Jun-20</t>
  </si>
  <si>
    <t>Jul-20</t>
  </si>
  <si>
    <t>Ago-20</t>
  </si>
  <si>
    <t>Sep-20</t>
  </si>
  <si>
    <t>Oct-20</t>
  </si>
  <si>
    <t>Ene-21</t>
  </si>
  <si>
    <t>Feb-21</t>
  </si>
  <si>
    <t>Mar-21</t>
  </si>
  <si>
    <t>Abr-21</t>
  </si>
  <si>
    <t>May-21</t>
  </si>
  <si>
    <t>Jun-21</t>
  </si>
  <si>
    <t>Jul-21</t>
  </si>
  <si>
    <t>Ago-21</t>
  </si>
  <si>
    <t>Sep-21</t>
  </si>
  <si>
    <t>Oct-21</t>
  </si>
  <si>
    <t>Nov-21</t>
  </si>
  <si>
    <t>Dic-21</t>
  </si>
  <si>
    <t>Ene-22</t>
  </si>
  <si>
    <t>Feb-22</t>
  </si>
  <si>
    <t>Mar-22</t>
  </si>
  <si>
    <t>Abr-22</t>
  </si>
  <si>
    <t>Mayo-22</t>
  </si>
  <si>
    <t>Junio-22</t>
  </si>
  <si>
    <t>Julio-22</t>
  </si>
  <si>
    <t>Agosto-22</t>
  </si>
  <si>
    <t>Septiembre-22</t>
  </si>
  <si>
    <t>Octubre-22</t>
  </si>
  <si>
    <t>Noviembre-22</t>
  </si>
  <si>
    <t>Diciembre-22</t>
  </si>
  <si>
    <t>Enero-23</t>
  </si>
  <si>
    <t>Febrero-23</t>
  </si>
  <si>
    <t>Marzo-23</t>
  </si>
  <si>
    <t>Abril-23</t>
  </si>
  <si>
    <t>Mayo-23</t>
  </si>
  <si>
    <t>Junio-23</t>
  </si>
  <si>
    <t>Julio-23</t>
  </si>
  <si>
    <t>Agosto-23</t>
  </si>
  <si>
    <t>Septiembre-23</t>
  </si>
  <si>
    <t>Octubre-23</t>
  </si>
  <si>
    <t>Noviembre-23</t>
  </si>
  <si>
    <t>Diciembre-23</t>
  </si>
  <si>
    <t>Enero-24</t>
  </si>
  <si>
    <t>Febrero-24</t>
  </si>
  <si>
    <t>Marzo-24</t>
  </si>
  <si>
    <t>Abril-24</t>
  </si>
  <si>
    <t>Mayo-24</t>
  </si>
  <si>
    <t>Junio-24</t>
  </si>
  <si>
    <t>Julio-24</t>
  </si>
  <si>
    <t>Agosto-24</t>
  </si>
  <si>
    <t>Septiembre-24</t>
  </si>
  <si>
    <t xml:space="preserve">Resina Virgen </t>
  </si>
  <si>
    <t>IHS Asia Non Coke approved (-2)</t>
  </si>
  <si>
    <t>May-18</t>
  </si>
  <si>
    <t>Jun-18</t>
  </si>
  <si>
    <t>Ago-18</t>
  </si>
  <si>
    <t>Jan-19</t>
  </si>
  <si>
    <t>Nov-19</t>
  </si>
  <si>
    <t>Dic-19</t>
  </si>
  <si>
    <t>Jan-20</t>
  </si>
  <si>
    <t>Jan-21</t>
  </si>
  <si>
    <t xml:space="preserve">Descripcion. </t>
  </si>
  <si>
    <t>MAYO</t>
  </si>
  <si>
    <t>JUNIO</t>
  </si>
  <si>
    <t>JULIO</t>
  </si>
  <si>
    <t>AGOSTO</t>
  </si>
  <si>
    <t>SEPTIEMBRE</t>
  </si>
  <si>
    <t>OCTUBRE</t>
  </si>
  <si>
    <t>NOVIEMBRE</t>
  </si>
  <si>
    <t>DICIEMBRE</t>
  </si>
  <si>
    <t xml:space="preserve">ENERO </t>
  </si>
  <si>
    <t>FEBRERO</t>
  </si>
  <si>
    <t>MARZO</t>
  </si>
  <si>
    <t>ABRIL</t>
  </si>
  <si>
    <t>Inv Inicial TON</t>
  </si>
  <si>
    <t>Finance</t>
  </si>
  <si>
    <t>Entradas TON</t>
  </si>
  <si>
    <t>Freight China-Buenaventura (reg)</t>
  </si>
  <si>
    <t xml:space="preserve">Consumo TON </t>
  </si>
  <si>
    <t>Freight China-Buenaventura (Incr)</t>
  </si>
  <si>
    <t>Inv Final TON</t>
  </si>
  <si>
    <t>Sub total (con flete Inc)</t>
  </si>
  <si>
    <t>Sub total (con flete reg)</t>
  </si>
  <si>
    <t xml:space="preserve">Precio Inv Inical </t>
  </si>
  <si>
    <t>Duty 5% (Cambio de acuerdo a la regulación)</t>
  </si>
  <si>
    <t xml:space="preserve">Precio Ingreso </t>
  </si>
  <si>
    <t>Landed factor 8%</t>
  </si>
  <si>
    <t>Precio Consumo</t>
  </si>
  <si>
    <t xml:space="preserve">Cambio legislacion ZF </t>
  </si>
  <si>
    <t xml:space="preserve">Precio Inv Final </t>
  </si>
  <si>
    <t>Total resin price ABI Fórmula VIRGEN</t>
  </si>
  <si>
    <t>Precio Final con ajuste flete Resina</t>
  </si>
  <si>
    <t>Precio final FIFO</t>
  </si>
  <si>
    <t>Ajuste</t>
  </si>
  <si>
    <t xml:space="preserve">Total </t>
  </si>
  <si>
    <t>Resin PCR % Enkador</t>
  </si>
  <si>
    <t>Resin PCR % Enkador FIFO</t>
  </si>
  <si>
    <t>Resin PCR % Enka</t>
  </si>
  <si>
    <t>Resin PCR % Enka FIFO</t>
  </si>
  <si>
    <t>Precio ponderado bajo formula 50 PCR /50 Virgen Enkador</t>
  </si>
  <si>
    <t>Scrap 1%</t>
  </si>
  <si>
    <t>Precio ponderado con scrap</t>
  </si>
  <si>
    <t>Precio ponderado bajo formula 100% PCR  Enka</t>
  </si>
  <si>
    <t>Precio ponderado bajo formula 75 PCR /25 Virgen  Enkador</t>
  </si>
  <si>
    <t>Precio ponderado bajo formula 100% PCR Enkador</t>
  </si>
  <si>
    <t>Precio ponderado bajo formula 100% VIRGEN</t>
  </si>
  <si>
    <t>Precio ponderado bajo formula 50 PCR /50 Enka</t>
  </si>
  <si>
    <t>Precio ponderado bajo formula 75 PCR Enka /25 Virgen</t>
  </si>
  <si>
    <t>Precio ponderado bajo formula 10% PCR Enkador / 90% virgen</t>
  </si>
  <si>
    <t xml:space="preserve">Precio ponderado bajo formula 25% PCR Enka / 75% Virgen </t>
  </si>
  <si>
    <t>Precio ponderado bajo formula 75 PCR Intercia /25 Virgen</t>
  </si>
  <si>
    <t>FIFO Virgen</t>
  </si>
  <si>
    <t>DIC</t>
  </si>
  <si>
    <t>ENE</t>
  </si>
  <si>
    <t>FEB</t>
  </si>
  <si>
    <t>MAR</t>
  </si>
  <si>
    <t>ABR</t>
  </si>
  <si>
    <t>MAY</t>
  </si>
  <si>
    <t>JUN</t>
  </si>
  <si>
    <t>JUL</t>
  </si>
  <si>
    <t>AGO</t>
  </si>
  <si>
    <t>Apr-21</t>
  </si>
  <si>
    <t>Inv inicial Tons</t>
  </si>
  <si>
    <t>Fórmula N-1</t>
  </si>
  <si>
    <t>Flete Incr</t>
  </si>
  <si>
    <t>Precio Total</t>
  </si>
  <si>
    <t>Duty 10%</t>
  </si>
  <si>
    <t>Ingresos Tons N</t>
  </si>
  <si>
    <t>Fórmula W/O flete</t>
  </si>
  <si>
    <t>Total resin price ABI Fórmula</t>
  </si>
  <si>
    <t>InV final N-1</t>
  </si>
  <si>
    <t>Inv final N</t>
  </si>
  <si>
    <t>Venta Tons</t>
  </si>
  <si>
    <t>Inv final Tons</t>
  </si>
  <si>
    <t>Precio ponderado</t>
  </si>
  <si>
    <t>FIFO PCR</t>
  </si>
  <si>
    <t>Inv inicial Tons N-1</t>
  </si>
  <si>
    <t>Precio N</t>
  </si>
  <si>
    <t>Venta</t>
  </si>
  <si>
    <t>Precio Ponderado</t>
  </si>
  <si>
    <t>Inventario final N-1</t>
  </si>
  <si>
    <t>Inventario final N</t>
  </si>
  <si>
    <t>Precio ponderado bajo formula 75 PCR /25 Enka</t>
  </si>
  <si>
    <t>Fórmula ABI - ENKADOR</t>
  </si>
  <si>
    <t xml:space="preserve">Ejemplo precio </t>
  </si>
  <si>
    <t>Simulación Precio</t>
  </si>
  <si>
    <t>Global PET Stream - Monthly Market Report Issue 132</t>
  </si>
  <si>
    <t>Indice</t>
  </si>
  <si>
    <t>Min ($/TM)</t>
  </si>
  <si>
    <t>Max ($/TM)</t>
  </si>
  <si>
    <t>Promedio ($/TM)</t>
  </si>
  <si>
    <t>IHS</t>
  </si>
  <si>
    <t>ICIS</t>
  </si>
  <si>
    <t>Promedio</t>
  </si>
  <si>
    <t>Piso</t>
  </si>
  <si>
    <t>Techo</t>
  </si>
  <si>
    <t>Precio actualizado</t>
  </si>
  <si>
    <t>USD/TN EXW</t>
  </si>
  <si>
    <t>ICIS WC PCR</t>
  </si>
  <si>
    <t>IHS PCR</t>
  </si>
  <si>
    <t>Promedio de los 2 indices</t>
  </si>
  <si>
    <t>Mes</t>
  </si>
  <si>
    <t>Base</t>
  </si>
  <si>
    <t>Top</t>
  </si>
  <si>
    <t>Average</t>
  </si>
  <si>
    <t>Precio ABI:</t>
  </si>
  <si>
    <t>Costo del inland</t>
  </si>
  <si>
    <t>Sell Side para ABI:</t>
  </si>
  <si>
    <t>Precio EWX</t>
  </si>
  <si>
    <t>PRECIO DDP</t>
  </si>
  <si>
    <t>Finance Fee</t>
  </si>
  <si>
    <t>%</t>
  </si>
  <si>
    <t>USD</t>
  </si>
  <si>
    <t>Mes Precio</t>
  </si>
  <si>
    <t>Mes index</t>
  </si>
  <si>
    <t>Techo/Piso</t>
  </si>
  <si>
    <t>Parity Enka acorde al LOI</t>
  </si>
  <si>
    <t>Precio Enka COP</t>
  </si>
  <si>
    <t>TRM último mes</t>
  </si>
  <si>
    <t>Precio Enka USD</t>
  </si>
  <si>
    <t>Financiación %</t>
  </si>
  <si>
    <t>Financiación USD</t>
  </si>
  <si>
    <t>TOTAL</t>
  </si>
  <si>
    <t xml:space="preserve">TRANSPORTE </t>
  </si>
  <si>
    <t xml:space="preserve">TOTAL </t>
  </si>
  <si>
    <t>Precio Resina Enkador PCR Mes</t>
  </si>
  <si>
    <t>El precio de Amcor y ABI con ENKA es el mismo</t>
  </si>
  <si>
    <t>Es trimestre Vencido con un mes en el limbo, Noviembre deberia cambiar (Julio-Sept)</t>
  </si>
  <si>
    <t>Mayo</t>
  </si>
  <si>
    <t>Junio</t>
  </si>
  <si>
    <t>Julio</t>
  </si>
  <si>
    <t>Agosto</t>
  </si>
  <si>
    <t>Septiembre</t>
  </si>
  <si>
    <t>Octubre</t>
  </si>
  <si>
    <t>Noviembre</t>
  </si>
  <si>
    <t>Diciembre</t>
  </si>
  <si>
    <t>Enero</t>
  </si>
  <si>
    <t>Febrero</t>
  </si>
  <si>
    <t>Marzo</t>
  </si>
  <si>
    <t>Abril</t>
  </si>
  <si>
    <t>Ago</t>
  </si>
  <si>
    <t>Sep</t>
  </si>
  <si>
    <t>Oct</t>
  </si>
  <si>
    <t>Nov</t>
  </si>
  <si>
    <t>Dic</t>
  </si>
  <si>
    <t>Jan</t>
  </si>
  <si>
    <t>Feb</t>
  </si>
  <si>
    <t>Mar</t>
  </si>
  <si>
    <t>Abr</t>
  </si>
  <si>
    <t>May</t>
  </si>
  <si>
    <t>Jun</t>
  </si>
  <si>
    <t>Jul</t>
  </si>
  <si>
    <t>sept</t>
  </si>
  <si>
    <t>Ene</t>
  </si>
  <si>
    <t xml:space="preserve">Mayo </t>
  </si>
  <si>
    <t xml:space="preserve">Diciembre </t>
  </si>
  <si>
    <t xml:space="preserve">Febrero </t>
  </si>
  <si>
    <t>Fecha</t>
  </si>
  <si>
    <t>TRM</t>
  </si>
  <si>
    <t>$ 3.620,39</t>
  </si>
  <si>
    <t>$ 3.643,24</t>
  </si>
  <si>
    <t>$ 3.632,92</t>
  </si>
  <si>
    <t>$ 4.556,42</t>
  </si>
  <si>
    <t>$ 4.486,94</t>
  </si>
  <si>
    <t>$ 4.532,07</t>
  </si>
  <si>
    <t>Precio Intercia</t>
  </si>
  <si>
    <t>USD/Ton</t>
  </si>
  <si>
    <t>PCR Clear Exw</t>
  </si>
  <si>
    <t xml:space="preserve">Descuento Asumido por Amcor </t>
  </si>
  <si>
    <t>Flete + gastos aduana - Cali</t>
  </si>
  <si>
    <t>Total</t>
  </si>
  <si>
    <t>Flete</t>
  </si>
  <si>
    <t xml:space="preserve">Costo Total </t>
  </si>
  <si>
    <t xml:space="preserve">TRM </t>
  </si>
  <si>
    <t>Costo USD contenedor</t>
  </si>
  <si>
    <t>Tons X Contenedor</t>
  </si>
  <si>
    <t>Costo por TON USD</t>
  </si>
  <si>
    <t>ICIS Dashboard Price History</t>
  </si>
  <si>
    <t>Generated</t>
  </si>
  <si>
    <t>07 May 2020 12:11:12</t>
  </si>
  <si>
    <t>Data</t>
  </si>
  <si>
    <t>Price History</t>
  </si>
  <si>
    <t>Date Range</t>
  </si>
  <si>
    <t>From 01 May 2019 to 07 May 2020</t>
  </si>
  <si>
    <t>Original Currency</t>
  </si>
  <si>
    <t>US CTS</t>
  </si>
  <si>
    <t>Original Unit</t>
  </si>
  <si>
    <t>lb</t>
  </si>
  <si>
    <t>Original Frequency</t>
  </si>
  <si>
    <t>Weekly</t>
  </si>
  <si>
    <t>Selected Currency</t>
  </si>
  <si>
    <t>Selected Unit</t>
  </si>
  <si>
    <t>tonne</t>
  </si>
  <si>
    <t>Selected Frequency</t>
  </si>
  <si>
    <t>Monthly</t>
  </si>
  <si>
    <t>RPET Pellets, Food Grade FOB USWC Assessment Spot Current Month Full Market Range Weekly (Low) : USD/tonne</t>
  </si>
  <si>
    <t>RPET Pellets, Food Grade FOB USWC Assessment Spot Current Month Full Market Range Weekly (High) : USD/tonne</t>
  </si>
  <si>
    <t>RPET Pellets, Food Grade FOB USWC Assessment Spot Current Month Full Market Range Weekly (Mid) : USD/tonne</t>
  </si>
  <si>
    <t>May-2019</t>
  </si>
  <si>
    <t>Jun-2019</t>
  </si>
  <si>
    <t>Jul-2019</t>
  </si>
  <si>
    <t>Aug-2019</t>
  </si>
  <si>
    <t>Sep-2019</t>
  </si>
  <si>
    <t>Oct-2019</t>
  </si>
  <si>
    <t>Nov-2019</t>
  </si>
  <si>
    <t>Dec-2019</t>
  </si>
  <si>
    <t>Jan-2020</t>
  </si>
  <si>
    <t>Feb-2020</t>
  </si>
  <si>
    <t>Mar-2020</t>
  </si>
  <si>
    <t>Apr-2020</t>
  </si>
  <si>
    <t>May-2020</t>
  </si>
  <si>
    <t>Jun-2020</t>
  </si>
  <si>
    <t>Jul-2020</t>
  </si>
  <si>
    <t>Ago-2020</t>
  </si>
  <si>
    <t>Sep-2020</t>
  </si>
  <si>
    <t>Oct-2020</t>
  </si>
  <si>
    <t>Nov-2020</t>
  </si>
  <si>
    <t>Dic-2020</t>
  </si>
  <si>
    <t>Jan-2021</t>
  </si>
  <si>
    <t>Feb-2021</t>
  </si>
  <si>
    <t>Mar-2021</t>
  </si>
  <si>
    <t>Abr-2021</t>
  </si>
  <si>
    <t>May-2021</t>
  </si>
  <si>
    <t>Jun-2021</t>
  </si>
  <si>
    <t>Copyright © 2020 Reed Business Information Limited.</t>
  </si>
  <si>
    <t>ICIS is a member of the RELX group.</t>
  </si>
  <si>
    <t>ICIS accepts no liability for commercial decisions based on the content of this report.</t>
  </si>
  <si>
    <t>UNAUTHORISED REPRODUCTION / TRANSMISSION PROHIBITED.</t>
  </si>
  <si>
    <t>Exchange rates supplied by Bloomberg and XE.com (http://www.XE.com).</t>
  </si>
  <si>
    <t>Prices that have been converted from the originally quoted unit or currency are shown to two decimal places.</t>
  </si>
  <si>
    <t>When exporting multiple quote series, empty cells may appear in the quote table as publishing dates may not align or may vary over holiday periods.</t>
  </si>
  <si>
    <t>For prices downloaded in any frequency other than the original frequency, ICIS has made some assumptions in averaging (see methodology for frequency).</t>
  </si>
  <si>
    <t>To view prices as assessed by ICIS, please download series in their original published frequency.</t>
  </si>
  <si>
    <t>Chemical Price &amp; Economics</t>
  </si>
  <si>
    <t>Created on Tue 5 May 2020, 3:24 PM EST (20:24 GMT)</t>
  </si>
  <si>
    <t/>
  </si>
  <si>
    <t>Frequency: Monthly</t>
  </si>
  <si>
    <t>Product</t>
  </si>
  <si>
    <t>Grade</t>
  </si>
  <si>
    <t>Geography</t>
  </si>
  <si>
    <t>Concept</t>
  </si>
  <si>
    <t>Terms</t>
  </si>
  <si>
    <t>Unit</t>
  </si>
  <si>
    <t>PET, Recycled</t>
  </si>
  <si>
    <t>LNO Flake No IV rebuild Curbside</t>
  </si>
  <si>
    <t>North America</t>
  </si>
  <si>
    <t>Contract-Benchmark</t>
  </si>
  <si>
    <t>FOB US East Coast</t>
  </si>
  <si>
    <t>Cents per Pound</t>
  </si>
  <si>
    <t>LNO Pellet, High IV, CSD-Grade Deposit</t>
  </si>
  <si>
    <t>US$ per Metric Ton (converted)</t>
  </si>
  <si>
    <t>LNO Pellet No IV rebuild Deposit</t>
  </si>
  <si>
    <t>LNO Pellet, High IV Deposit</t>
  </si>
  <si>
    <t>LNO Pellet No IV rebuild Curbside</t>
  </si>
  <si>
    <t>Baled Bottles Curbside</t>
  </si>
  <si>
    <t>LNO Pellet, High IV Curbside</t>
  </si>
  <si>
    <t>FOB United States</t>
  </si>
  <si>
    <t>LNO Flake No IV rebuild Deposit</t>
  </si>
  <si>
    <t>Baled Bottles Deposit</t>
  </si>
  <si>
    <t>© 2020 IHS Markit</t>
  </si>
  <si>
    <t>I H S Polyethylene Terephthalate (PET), Bottle Resin, (not Coke approved), Spot, FOB NE Asia, US$ per Metric Ton</t>
  </si>
  <si>
    <t>n-2</t>
  </si>
  <si>
    <t>2019-07</t>
  </si>
  <si>
    <t>2019-08</t>
  </si>
  <si>
    <t>2019-09</t>
  </si>
  <si>
    <t>2019-10</t>
  </si>
  <si>
    <t>2019-11</t>
  </si>
  <si>
    <t>2019-12</t>
  </si>
  <si>
    <t>2020-1</t>
  </si>
  <si>
    <t>2020-2</t>
  </si>
  <si>
    <t>2020-3</t>
  </si>
  <si>
    <t>2020-4</t>
  </si>
  <si>
    <t>2020-5</t>
  </si>
  <si>
    <t>2020-6</t>
  </si>
  <si>
    <t>2020-8</t>
  </si>
  <si>
    <t>2020-9</t>
  </si>
  <si>
    <t>2020-10</t>
  </si>
  <si>
    <t>2020-11</t>
  </si>
  <si>
    <t>2020-12</t>
  </si>
  <si>
    <t>2021-01</t>
  </si>
  <si>
    <t>2021-02</t>
  </si>
  <si>
    <t>2021-03</t>
  </si>
  <si>
    <t>2021-04</t>
  </si>
  <si>
    <t>2021-05</t>
  </si>
  <si>
    <t>2021-06</t>
  </si>
  <si>
    <t>2021-07</t>
  </si>
  <si>
    <t>2021-08</t>
  </si>
  <si>
    <t>2021-09</t>
  </si>
  <si>
    <t>2021-10</t>
  </si>
  <si>
    <t>2021-11</t>
  </si>
  <si>
    <t>2021-12</t>
  </si>
  <si>
    <t>Var</t>
  </si>
  <si>
    <t>SOFR</t>
  </si>
  <si>
    <t>Drewry Shanghai-CTG</t>
  </si>
  <si>
    <t>Contenedor</t>
  </si>
  <si>
    <t>ENERO</t>
  </si>
  <si>
    <t>Cantidad (Tn)</t>
  </si>
  <si>
    <t>Precio (COP/Tn)</t>
  </si>
  <si>
    <t>Inventario inicial</t>
  </si>
  <si>
    <t>Total Ingresos</t>
  </si>
  <si>
    <t>Consumo (Facturación)</t>
  </si>
  <si>
    <t>Inventario Final (PF+Resin)</t>
  </si>
  <si>
    <t>ENKA</t>
  </si>
  <si>
    <t>Avg BanRep Oct23</t>
  </si>
  <si>
    <t>COSTO</t>
  </si>
  <si>
    <t>ABI</t>
  </si>
  <si>
    <t>COP</t>
  </si>
  <si>
    <t>Aduana Nacionalizacion</t>
  </si>
  <si>
    <t>Agencia Aduana</t>
  </si>
  <si>
    <t>Gastos Administrativos Portuarios (USD)</t>
  </si>
  <si>
    <t>Gastos de Puerto</t>
  </si>
  <si>
    <t>Almacenamiento en terminal portuario (USD)</t>
  </si>
  <si>
    <t>Naviera</t>
  </si>
  <si>
    <t>Flete Puerto - Planta</t>
  </si>
  <si>
    <t>Pagos Administrativos  a Navieras + ITR + Estibas adicionales</t>
  </si>
  <si>
    <t>Descontenerización + ITR (encargo final)</t>
  </si>
  <si>
    <t>Total Inland (COP/Cont)</t>
  </si>
  <si>
    <t>Total Inland (COP/Tn)</t>
  </si>
  <si>
    <t>Aduana DTA (Declaracion Transito Aduanero)</t>
  </si>
  <si>
    <t>Almacenamiento usario comercial zona franca</t>
  </si>
  <si>
    <t xml:space="preserve">Manipulacion de carga y pesaje de big bags </t>
  </si>
  <si>
    <t>Costo * fmm ingreso</t>
  </si>
  <si>
    <t>Costo * fmm salida</t>
  </si>
  <si>
    <t>Arin (bascula) ingreso</t>
  </si>
  <si>
    <t>Arin (bascula) salida</t>
  </si>
  <si>
    <t>Estibas adicionales</t>
  </si>
  <si>
    <t>Descargue contenedor</t>
  </si>
  <si>
    <t>Cargue tractomula * 30ton</t>
  </si>
  <si>
    <t>Poliza seguro vr cif</t>
  </si>
  <si>
    <t>Inland Adicional ZF</t>
  </si>
  <si>
    <t>Total Inland ZF (COP/Cont)</t>
  </si>
  <si>
    <t>Total Inland ZF (COP/Tn)</t>
  </si>
  <si>
    <t>Pond.</t>
  </si>
  <si>
    <t>Incremento Proyectado FY24 - FY25</t>
  </si>
  <si>
    <t xml:space="preserve">Fuente: </t>
  </si>
  <si>
    <t>https://www.mintransporte.gov.co/publicaciones/11570/incrementa-el-valor-de-los-peajes-para-el-2024/#:~:text=Para%20normalizar%20el%20esquema%20tarifario,por%20las%20estaciones%20de%20peaje.</t>
  </si>
  <si>
    <t>Gln Diesel a 2025</t>
  </si>
  <si>
    <t>resolución 20243040001125</t>
  </si>
  <si>
    <t>https://www.mintransporte.gov.co/loader.php?lServicio=Tools2&amp;lTipo=descargas&amp;lFuncion=descargar&amp;idFile=34554</t>
  </si>
  <si>
    <t>Dif</t>
  </si>
  <si>
    <t>Dif 1er año</t>
  </si>
  <si>
    <t>Var. 1er año</t>
  </si>
  <si>
    <t>Rubro</t>
  </si>
  <si>
    <t>Peso %</t>
  </si>
  <si>
    <t>Alza Estimada</t>
  </si>
  <si>
    <t>Alza Ponderada</t>
  </si>
  <si>
    <t>Combustible</t>
  </si>
  <si>
    <t>Peajes Ene</t>
  </si>
  <si>
    <t>Peaje jun</t>
  </si>
  <si>
    <t>Otros</t>
  </si>
  <si>
    <t>Incremento Tarifas 2024</t>
  </si>
  <si>
    <t>Ponderado Julio</t>
  </si>
  <si>
    <t>Tn</t>
  </si>
  <si>
    <t>Pond</t>
  </si>
  <si>
    <t>Ponderado Ago</t>
  </si>
  <si>
    <t>Octubre-24</t>
  </si>
  <si>
    <t>Noviembre-24</t>
  </si>
  <si>
    <t>Diciembre-24</t>
  </si>
  <si>
    <t>Enero-25</t>
  </si>
  <si>
    <t xml:space="preserve">Enero </t>
  </si>
  <si>
    <t>Febrero-25</t>
  </si>
  <si>
    <t>PET Bottle Grade FOB China Assessment Spot 4-12 Weeks Full Market Range Weekly (Mid) : USD/tonne</t>
  </si>
  <si>
    <t>Marzo-25</t>
  </si>
  <si>
    <t xml:space="preserve">ICIS China MID (n-1). </t>
  </si>
  <si>
    <t>Abril-25</t>
  </si>
  <si>
    <t>Mayo-25</t>
  </si>
  <si>
    <t>PRECIO AURORA - 100% Clear</t>
  </si>
  <si>
    <t>Bale suelto (COP/kg)</t>
  </si>
  <si>
    <t xml:space="preserve">Precio de Bale </t>
  </si>
  <si>
    <t>Compactación del Bale (549)</t>
  </si>
  <si>
    <t xml:space="preserve">Logistico </t>
  </si>
  <si>
    <t>PCR Bale Price</t>
  </si>
  <si>
    <t>PCR Bale Efficiency (70% Sep - 72% Oct)</t>
  </si>
  <si>
    <t>Fixed PCR Conversion</t>
  </si>
  <si>
    <t>Adjusted PCR Conversion Cost</t>
  </si>
  <si>
    <t>PCR Conversion Cost</t>
  </si>
  <si>
    <t>PCR Conversion Efficiency (100%)</t>
  </si>
  <si>
    <t>New PCR Freight Cost (Cauca - Cali)</t>
  </si>
  <si>
    <t>Libor Rate - SOFR Rate</t>
  </si>
  <si>
    <t>Finance Fee @210d</t>
  </si>
  <si>
    <t>TOTAL USD/Tn</t>
  </si>
  <si>
    <t>Actualización apertura de precios resina PCR Aurora.</t>
  </si>
  <si>
    <t>PRECIO ENKA</t>
  </si>
  <si>
    <t>PRECIO ENKADOR</t>
  </si>
  <si>
    <t>Diferencia Aurora Clear Vs Enkador</t>
  </si>
  <si>
    <t>PRECIO AURORA - Ambar</t>
  </si>
  <si>
    <t>PCR Bale Efficiency (70%)</t>
  </si>
  <si>
    <t>PCR Conversion Efficiency (82% Sep - 85% Oct)</t>
  </si>
  <si>
    <t>Promedio 50% Clear / 50% Ambar</t>
  </si>
  <si>
    <t>Resin PCR % Aurora. FIFO</t>
  </si>
  <si>
    <t xml:space="preserve">Enkador/Aurora. </t>
  </si>
  <si>
    <t xml:space="preserve">Precio ponderado bajo formula 50 PCR Aurora /50 Virgen </t>
  </si>
  <si>
    <t xml:space="preserve">Precio ponderado bajo formula 75 PCR Aurora /25 Virgen. </t>
  </si>
  <si>
    <t xml:space="preserve">Valor resina </t>
  </si>
  <si>
    <t>Junio-25</t>
  </si>
  <si>
    <t>Sur Charge Alpek Br</t>
  </si>
  <si>
    <t>Email Alpek Jun-25</t>
  </si>
  <si>
    <t>Julio-25</t>
  </si>
  <si>
    <t xml:space="preserve">Enkador Ambar. </t>
  </si>
  <si>
    <t>CME WEB SITE 30/06/25</t>
  </si>
  <si>
    <t>Discount</t>
  </si>
  <si>
    <t>Agosto-25</t>
  </si>
  <si>
    <t>Septie-25</t>
  </si>
  <si>
    <t>SEPTIEM</t>
  </si>
  <si>
    <t>31/09/2025</t>
  </si>
  <si>
    <t>Sep-2024</t>
  </si>
  <si>
    <t>Oct-2024</t>
  </si>
  <si>
    <t>Nov-2024</t>
  </si>
  <si>
    <t>Dec-2024</t>
  </si>
  <si>
    <t>Jan-2025</t>
  </si>
  <si>
    <t>Feb-2025</t>
  </si>
  <si>
    <t>Mar-2025</t>
  </si>
  <si>
    <t>Apr-2025</t>
  </si>
  <si>
    <t>May-2025</t>
  </si>
  <si>
    <t>Jun-2025</t>
  </si>
  <si>
    <t>Jul-2025</t>
  </si>
  <si>
    <t>Aug-2025</t>
  </si>
  <si>
    <t>Oct-25</t>
  </si>
  <si>
    <t>Sep-2025</t>
  </si>
  <si>
    <t>Nov-25</t>
  </si>
  <si>
    <t>Oct-2025</t>
  </si>
  <si>
    <t>Dic-25</t>
  </si>
  <si>
    <t xml:space="preserve">DICIEMBRE </t>
  </si>
  <si>
    <t>Ene-26</t>
  </si>
  <si>
    <t>Nov-2025</t>
  </si>
  <si>
    <t>PCR Ambar</t>
  </si>
  <si>
    <t>Precio ponderado bajo formula 50 PCR /50 Aurora Ambar</t>
  </si>
  <si>
    <t>Feb-26</t>
  </si>
  <si>
    <t>Dic-2025</t>
  </si>
  <si>
    <t>Resin PCR % Aurora Clear.</t>
  </si>
  <si>
    <t>Resin PCR % Aurora Ambar.</t>
  </si>
  <si>
    <t>Mar-26</t>
  </si>
  <si>
    <t>Jan-2026</t>
  </si>
  <si>
    <t>PRECIOS DE RESINA ABI MARZO 2026</t>
  </si>
  <si>
    <t>Resin Price Index</t>
  </si>
  <si>
    <t>Freight China-Buenaventura (Regular)</t>
  </si>
  <si>
    <t>Freight China-Buenaventura (Incremental)</t>
  </si>
  <si>
    <t>Sub Total (with Incremental Freight)</t>
  </si>
  <si>
    <t>Sub Total (with Regular Freight)</t>
  </si>
  <si>
    <t>Duty 5% (Change According to Regulation)</t>
  </si>
  <si>
    <t>Landed Factor 8%</t>
  </si>
  <si>
    <t>ZF Legislation Change</t>
  </si>
  <si>
    <t>Total Resin Price ABI VIRGIN Formula</t>
  </si>
  <si>
    <t>Final Price with Resin Freight Adjustment</t>
  </si>
  <si>
    <t>Final Price FIFO</t>
  </si>
  <si>
    <t xml:space="preserve">Translation </t>
  </si>
  <si>
    <t>S.No</t>
  </si>
  <si>
    <t>Supplier Name</t>
  </si>
  <si>
    <t xml:space="preserve">Excel </t>
  </si>
  <si>
    <t xml:space="preserve">Sheet Reference </t>
  </si>
  <si>
    <t xml:space="preserve">Route </t>
  </si>
  <si>
    <t>Description</t>
  </si>
  <si>
    <t>Month</t>
  </si>
  <si>
    <t xml:space="preserve">Price </t>
  </si>
  <si>
    <t>Bavaria</t>
  </si>
  <si>
    <t>1 Bavaria - Precio Marzo</t>
  </si>
  <si>
    <t>Fórmula Marzo 26</t>
  </si>
  <si>
    <t xml:space="preserve">China to columbia </t>
  </si>
  <si>
    <t xml:space="preserve">March </t>
  </si>
  <si>
    <t xml:space="preserve">Country X Supplier </t>
  </si>
  <si>
    <t xml:space="preserve">Historical </t>
  </si>
  <si>
    <t xml:space="preserve">Available </t>
  </si>
  <si>
    <t xml:space="preserve">Formuale Sheet </t>
  </si>
  <si>
    <t xml:space="preserve">Supplier Sheet </t>
  </si>
  <si>
    <t xml:space="preserve">Formulae </t>
  </si>
  <si>
    <t xml:space="preserve">Source </t>
  </si>
  <si>
    <t>Resin cost:Quarterly Resin index average price</t>
  </si>
  <si>
    <t>ICIS Index  - Quaret</t>
  </si>
  <si>
    <t xml:space="preserve">ICIS </t>
  </si>
  <si>
    <t xml:space="preserve"> Resin freight cost</t>
  </si>
  <si>
    <t>Freight China–Buenaventura</t>
  </si>
  <si>
    <t xml:space="preserve">Drewery Index </t>
  </si>
  <si>
    <t xml:space="preserve"> Resin financing cost (Assumption based on rPET formula)</t>
  </si>
  <si>
    <t>Sub total (con flete reg )</t>
  </si>
  <si>
    <t>vPET Resin pricing</t>
  </si>
  <si>
    <t xml:space="preserve">Is Sub total (con flete reg ) the Total Landing cost </t>
  </si>
  <si>
    <t xml:space="preserve">Doubts </t>
  </si>
  <si>
    <t>what is  Aurora , Enkador , Enka ?</t>
  </si>
  <si>
    <t xml:space="preserve">Why are they not present in the supplier sheets ? </t>
  </si>
  <si>
    <t xml:space="preserve">What are the prices below Sub Total ? Which is used as the final price for TLC ? </t>
  </si>
  <si>
    <t xml:space="preserve">From where is the 97 freight referred ? </t>
  </si>
  <si>
    <t xml:space="preserve">Sheet Names : </t>
  </si>
  <si>
    <t>1. Fórmula Marzo 26</t>
  </si>
  <si>
    <t xml:space="preserve">TLC formulae considered for the calculation </t>
  </si>
  <si>
    <t>2. Fórmula Ago</t>
  </si>
  <si>
    <t xml:space="preserve">TLC formulae sheet for different time frame </t>
  </si>
  <si>
    <t>3. PCR Aurora</t>
  </si>
  <si>
    <t xml:space="preserve">Need more understanding of this sheet </t>
  </si>
  <si>
    <t>4. PCR Enkador</t>
  </si>
  <si>
    <t>5. PCR Enka</t>
  </si>
  <si>
    <t>This sheet is used for the Legilation charges cost , but need more understanding of this sheet</t>
  </si>
  <si>
    <t>6. PCR INTERCIA</t>
  </si>
  <si>
    <t>7. ICIS PCR</t>
  </si>
  <si>
    <t>Market Data Providers for Index calculation  --- &gt; Flows into ICIS - 1</t>
  </si>
  <si>
    <t>8. IHS PCR</t>
  </si>
  <si>
    <t>9. IHS Index</t>
  </si>
  <si>
    <t xml:space="preserve">Has Index data -- Need why is this sheet used ? </t>
  </si>
  <si>
    <t>10. ICIS -1</t>
  </si>
  <si>
    <t xml:space="preserve">Used for the TLC calculation Resin Index </t>
  </si>
  <si>
    <t>11. SOFR</t>
  </si>
  <si>
    <t>Used for the TLC calculation</t>
  </si>
  <si>
    <t>12. Drewry</t>
  </si>
  <si>
    <t>13. FIFO</t>
  </si>
  <si>
    <t>14. Cambio en Condiciones ZF</t>
  </si>
  <si>
    <t>15. Soportes</t>
  </si>
  <si>
    <t>16. Balance</t>
  </si>
  <si>
    <t>8. Are the pricing below Row # 30  are also considered for the calculation ?</t>
  </si>
  <si>
    <t xml:space="preserve">9. Need more undestanding on the Legilation charges calculation , it refers to 2 sheets </t>
  </si>
  <si>
    <t xml:space="preserve">12. What are the units , Price for metric ton ? </t>
  </si>
  <si>
    <t>1. couldn’t figure out the formula here. If its colombia why is it not quarterly</t>
  </si>
  <si>
    <t>what is FIFO</t>
  </si>
  <si>
    <t xml:space="preserve">3. do we need the wighted avarge price calculation ? </t>
  </si>
  <si>
    <t>5. In the Freight calculation - Regulaar of 97 $ is constant and the remaining is Incremental based on the Drewery Index ? How will handle future calculation here?</t>
  </si>
  <si>
    <t>7. Enakador , Enka , Aurora what are these ? Will it always be enka in the legislation calculation?</t>
  </si>
  <si>
    <t>translate the cam something sheet</t>
  </si>
  <si>
    <t>2.which pricing is used as final (do we need to calculate the consumption values as well) ? Assuming its vpet (1100)</t>
  </si>
  <si>
    <t xml:space="preserve">13. What is finance here ? We are using SOFR rate % for the finance calculation </t>
  </si>
  <si>
    <t xml:space="preserve">Estimated </t>
  </si>
  <si>
    <t>Apr-26</t>
  </si>
  <si>
    <t>ICIS Dashboard Price Forecast</t>
  </si>
  <si>
    <t>17 Apr 2026 22:17:20</t>
  </si>
  <si>
    <t>Date Range 1</t>
  </si>
  <si>
    <t>From 17 Apr 2025 To 01 Oct 2027</t>
  </si>
  <si>
    <t>Price Forecast Range</t>
  </si>
  <si>
    <t>18 Months</t>
  </si>
  <si>
    <t>Price History Range</t>
  </si>
  <si>
    <t>1 Year</t>
  </si>
  <si>
    <t>PET Bottle Grade FOB China Spot Forecast Apr-2026 Latest</t>
  </si>
  <si>
    <t>PET Bottle Grade FOB China Spot 4-12 Weeks Full Market Range</t>
  </si>
  <si>
    <t>18-Apr-2025</t>
  </si>
  <si>
    <t>730.00</t>
  </si>
  <si>
    <t>25-Apr-2025</t>
  </si>
  <si>
    <t>735.00</t>
  </si>
  <si>
    <t>02-May-2025</t>
  </si>
  <si>
    <t>752.50</t>
  </si>
  <si>
    <t>09-May-2025</t>
  </si>
  <si>
    <t>755.00</t>
  </si>
  <si>
    <t>16-May-2025</t>
  </si>
  <si>
    <t>792.50</t>
  </si>
  <si>
    <t>23-May-2025</t>
  </si>
  <si>
    <t>790.00</t>
  </si>
  <si>
    <t>30-May-2025</t>
  </si>
  <si>
    <t>785.00</t>
  </si>
  <si>
    <t>06-Jun-2025</t>
  </si>
  <si>
    <t>780.00</t>
  </si>
  <si>
    <t>13-Jun-2025</t>
  </si>
  <si>
    <t>782.50</t>
  </si>
  <si>
    <t>20-Jun-2025</t>
  </si>
  <si>
    <t>812.50</t>
  </si>
  <si>
    <t>27-Jun-2025</t>
  </si>
  <si>
    <t>797.50</t>
  </si>
  <si>
    <t>04-Jul-2025</t>
  </si>
  <si>
    <t>11-Jul-2025</t>
  </si>
  <si>
    <t>18-Jul-2025</t>
  </si>
  <si>
    <t>777.50</t>
  </si>
  <si>
    <t>25-Jul-2025</t>
  </si>
  <si>
    <t>01-Aug-2025</t>
  </si>
  <si>
    <t>08-Aug-2025</t>
  </si>
  <si>
    <t>770.00</t>
  </si>
  <si>
    <t>15-Aug-2025</t>
  </si>
  <si>
    <t>767.50</t>
  </si>
  <si>
    <t>22-Aug-2025</t>
  </si>
  <si>
    <t>775.00</t>
  </si>
  <si>
    <t>29-Aug-2025</t>
  </si>
  <si>
    <t>05-Sep-2025</t>
  </si>
  <si>
    <t>12-Sep-2025</t>
  </si>
  <si>
    <t>765.00</t>
  </si>
  <si>
    <t>19-Sep-2025</t>
  </si>
  <si>
    <t>26-Sep-2025</t>
  </si>
  <si>
    <t>760.00</t>
  </si>
  <si>
    <t>03-Oct-2025</t>
  </si>
  <si>
    <t>10-Oct-2025</t>
  </si>
  <si>
    <t>17-Oct-2025</t>
  </si>
  <si>
    <t>745.00</t>
  </si>
  <si>
    <t>24-Oct-2025</t>
  </si>
  <si>
    <t>31-Oct-2025</t>
  </si>
  <si>
    <t>07-Nov-2025</t>
  </si>
  <si>
    <t>750.00</t>
  </si>
  <si>
    <t>14-Nov-2025</t>
  </si>
  <si>
    <t>21-Nov-2025</t>
  </si>
  <si>
    <t>28-Nov-2025</t>
  </si>
  <si>
    <t>05-Dec-2025</t>
  </si>
  <si>
    <t>757.50</t>
  </si>
  <si>
    <t>12-Dec-2025</t>
  </si>
  <si>
    <t>747.50</t>
  </si>
  <si>
    <t>19-Dec-2025</t>
  </si>
  <si>
    <t>26-Dec-2025</t>
  </si>
  <si>
    <t>09-Jan-2026</t>
  </si>
  <si>
    <t>16-Jan-2026</t>
  </si>
  <si>
    <t>23-Jan-2026</t>
  </si>
  <si>
    <t>30-Jan-2026</t>
  </si>
  <si>
    <t>06-Feb-2026</t>
  </si>
  <si>
    <t>13-Feb-2026</t>
  </si>
  <si>
    <t>27-Feb-2026</t>
  </si>
  <si>
    <t>06-Mar-2026</t>
  </si>
  <si>
    <t>13-Mar-2026</t>
  </si>
  <si>
    <t>20-Mar-2026</t>
  </si>
  <si>
    <t>27-Mar-2026</t>
  </si>
  <si>
    <t>01-Apr-2026</t>
  </si>
  <si>
    <t>1147.00</t>
  </si>
  <si>
    <t>03-Apr-2026</t>
  </si>
  <si>
    <t>10-Apr-2026</t>
  </si>
  <si>
    <t>17-Apr-2026</t>
  </si>
  <si>
    <t>01-May-2026</t>
  </si>
  <si>
    <t>1173.00</t>
  </si>
  <si>
    <t>01-Jun-2026</t>
  </si>
  <si>
    <t>1054.00</t>
  </si>
  <si>
    <t>01-Jul-2026</t>
  </si>
  <si>
    <t>941.00</t>
  </si>
  <si>
    <t>01-Aug-2026</t>
  </si>
  <si>
    <t>883.00</t>
  </si>
  <si>
    <t>01-Sep-2026</t>
  </si>
  <si>
    <t>864.00</t>
  </si>
  <si>
    <t>01-Oct-2026</t>
  </si>
  <si>
    <t>838.00</t>
  </si>
  <si>
    <t>01-Nov-2026</t>
  </si>
  <si>
    <t>811.00</t>
  </si>
  <si>
    <t>01-Dec-2026</t>
  </si>
  <si>
    <t>01-Jan-2027</t>
  </si>
  <si>
    <t>793.00</t>
  </si>
  <si>
    <t>01-Feb-2027</t>
  </si>
  <si>
    <t>794.00</t>
  </si>
  <si>
    <t>01-Mar-2027</t>
  </si>
  <si>
    <t>799.00</t>
  </si>
  <si>
    <t>01-Apr-2027</t>
  </si>
  <si>
    <t>807.00</t>
  </si>
  <si>
    <t>01-May-2027</t>
  </si>
  <si>
    <t>806.00</t>
  </si>
  <si>
    <t>01-Jun-2027</t>
  </si>
  <si>
    <t>01-Jul-2027</t>
  </si>
  <si>
    <t>791.00</t>
  </si>
  <si>
    <t>01-Aug-2027</t>
  </si>
  <si>
    <t>800.00</t>
  </si>
  <si>
    <t>01-Sep-2027</t>
  </si>
  <si>
    <t>816.00</t>
  </si>
  <si>
    <t>Copyright © 2026 LexisNexis Risk Solutions.</t>
  </si>
  <si>
    <t>ICIS is a member of the RELX.</t>
  </si>
  <si>
    <t>Exchange rates supplied by LSEG and XE.com (http://www.XE.com).</t>
  </si>
  <si>
    <t>May-26</t>
  </si>
  <si>
    <t>Apr</t>
  </si>
  <si>
    <t>Assumed the Same Interest rate 3.5%</t>
  </si>
  <si>
    <t xml:space="preserve">97 Index remains the same </t>
  </si>
  <si>
    <t xml:space="preserve">Need Drewery Index </t>
  </si>
  <si>
    <t xml:space="preserve">Interest rate charged by banks </t>
  </si>
  <si>
    <t xml:space="preserve">Formulae / References Needed ? </t>
  </si>
  <si>
    <t xml:space="preserve">formulae </t>
  </si>
  <si>
    <t xml:space="preserve">Duty 5% is it going to vary ? </t>
  </si>
  <si>
    <t xml:space="preserve">Landed Factor 8% is it going to vary ? </t>
  </si>
  <si>
    <t>Need more understanding on this ?</t>
  </si>
  <si>
    <t xml:space="preserve"> ICIS Forecast / Index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</si>
</sst>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7">
    <numFmt numFmtId="44" formatCode="_(&quot;$&quot;* #,##0.00_);_(&quot;$&quot;* \(#,##0.00\);_(&quot;$&quot;* &quot;-&quot;??_);_(@_)"/>
    <numFmt numFmtId="43" formatCode="_(* #,##0.00_);_(* \(#,##0.00\);_(* &quot;-&quot;??_);_(@_)"/>
    <numFmt numFmtId="164" formatCode="_-&quot;$&quot;\ * #,##0_-;\-&quot;$&quot;\ * #,##0_-;_-&quot;$&quot;\ * &quot;-&quot;_-;_-@_-"/>
    <numFmt numFmtId="165" formatCode="_-* #,##0_-;\-* #,##0_-;_-* &quot;-&quot;_-;_-@_-"/>
    <numFmt numFmtId="166" formatCode="_-&quot;$&quot;\ * #,##0.00_-;\-&quot;$&quot;\ * #,##0.00_-;_-&quot;$&quot;\ * &quot;-&quot;??_-;_-@_-"/>
    <numFmt numFmtId="167" formatCode="_-* #,##0.00_-;\-* #,##0.00_-;_-* &quot;-&quot;??_-;_-@_-"/>
    <numFmt numFmtId="168" formatCode="_(&quot;$&quot;\ * #,##0.00_);_(&quot;$&quot;\ * \(#,##0.00\);_(&quot;$&quot;\ * &quot;-&quot;??_);_(@_)"/>
    <numFmt numFmtId="169" formatCode="yyyy\-mm"/>
    <numFmt numFmtId="170" formatCode="&quot;$&quot;\ #,##0.00"/>
    <numFmt numFmtId="171" formatCode="_(&quot;$&quot;\ * #,##0_);_(&quot;$&quot;\ * \(#,##0\);_(&quot;$&quot;\ * &quot;-&quot;??_);_(@_)"/>
    <numFmt numFmtId="172" formatCode="_ * #,##0.00_ ;_ * \-#,##0.00_ ;_ * &quot;-&quot;??_ ;_ @_ "/>
    <numFmt numFmtId="173" formatCode="#,##0.0000"/>
    <numFmt numFmtId="174" formatCode="_(&quot;$&quot;* #,##0_);_(&quot;$&quot;* \(#,##0\);_(&quot;$&quot;* &quot;-&quot;??_);_(@_)"/>
    <numFmt numFmtId="175" formatCode="_(&quot;$&quot;\ * #,##0.0_);_(&quot;$&quot;\ * \(#,##0.0\);_(&quot;$&quot;\ * &quot;-&quot;??_);_(@_)"/>
    <numFmt numFmtId="176" formatCode="_-[$$-540A]* #,##0.00_ ;_-[$$-540A]* \-#,##0.00\ ;_-[$$-540A]* &quot;-&quot;??_ ;_-@_ "/>
    <numFmt numFmtId="177" formatCode="_(* #,##0_);_(* \(#,##0\);_(* &quot;-&quot;??_);_(@_)"/>
    <numFmt numFmtId="178" formatCode="dd\-mmm\-yyyy"/>
    <numFmt numFmtId="179" formatCode="_(* #,##0.0_);_(* \(#,##0.0\);_(* &quot;-&quot;??_);_(@_)"/>
    <numFmt numFmtId="180" formatCode="_(* #,##0.0_);_(* \(#,##0.0\);_(* &quot;-&quot;???_);_(@_)"/>
    <numFmt numFmtId="181" formatCode="_(* #,##0_);_(* \(#,##0\);_(* &quot;-&quot;???_);_(@_)"/>
    <numFmt numFmtId="182" formatCode="_(* #,##0_);_(* \(#,##0\);_(* &quot;-&quot;?_);_(@_)"/>
    <numFmt numFmtId="183" formatCode="[$$]\ #,##0.00;\-[$$]\ #,##0.00"/>
    <numFmt numFmtId="184" formatCode="0.0%"/>
    <numFmt numFmtId="185" formatCode="[$$]\ #,##0;\-[$$]\ #,##0"/>
    <numFmt numFmtId="186" formatCode="0.0"/>
    <numFmt numFmtId="187" formatCode="_-* #,##0.0_-;\-* #,##0.0_-;_-* &quot;-&quot;?_-;_-@_-"/>
    <numFmt numFmtId="188" formatCode="_-* #,##0.0_-;\-* #,##0.0_-;_-* &quot;-&quot;_-;_-@_-"/>
    <numFmt numFmtId="189" formatCode="_-* #,##0.00_-;\-* #,##0.00_-;_-* &quot;-&quot;_-;_-@_-"/>
    <numFmt numFmtId="190" formatCode="_-* #,##0_-;\-* #,##0_-;_-* &quot;-&quot;??_-;_-@_-"/>
    <numFmt numFmtId="191" formatCode="[$$-300A]#,##0.00"/>
    <numFmt numFmtId="192" formatCode="#,##0_ ;[Red]\-#,##0\ "/>
    <numFmt numFmtId="193" formatCode="0.000%"/>
    <numFmt numFmtId="194" formatCode="_-&quot;$&quot;\ * #,##0_-;\-&quot;$&quot;\ * #,##0_-;_-&quot;$&quot;\ * &quot;-&quot;??_-;_-@_-"/>
    <numFmt numFmtId="195" formatCode="dd/mm/yyyy"/>
    <numFmt numFmtId="196" formatCode="_-* #,##0_-;\-* #,##0_-;_-* &quot;-&quot;?_-;_-@_-"/>
    <numFmt numFmtId="197" formatCode="0.00_ ;[Red]\-0.00\ "/>
    <numFmt numFmtId="198" formatCode="_-* #,##0.0_-;\-* #,##0.0_-;_-* &quot;-&quot;??_-;_-@_-"/>
  </numFmts>
  <fonts count="70" x14ac:knownFonts="1">
    <font>
      <sz val="11"/>
      <color theme="1"/>
      <name val="Calibri"/>
      <family val="2"/>
      <scheme val="minor"/>
    </font>
    <font>
      <sz val="10"/>
      <name val="Arial"/>
      <family val="2"/>
    </font>
    <font>
      <b/>
      <sz val="9"/>
      <name val="Arial"/>
      <family val="2"/>
    </font>
    <font>
      <sz val="9"/>
      <name val="Arial"/>
      <family val="2"/>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10"/>
      <color theme="1"/>
      <name val="Arial"/>
      <family val="2"/>
    </font>
    <font>
      <b/>
      <u/>
      <sz val="11"/>
      <color theme="1"/>
      <name val="Calibri"/>
      <family val="2"/>
      <scheme val="minor"/>
    </font>
    <font>
      <sz val="14"/>
      <color rgb="FF32363B"/>
      <name val="Source Sans Pro"/>
      <family val="2"/>
    </font>
    <font>
      <b/>
      <sz val="11"/>
      <color rgb="FF0000FF"/>
      <name val="Calibri"/>
      <family val="2"/>
      <scheme val="minor"/>
    </font>
    <font>
      <u/>
      <sz val="11"/>
      <color rgb="FF0000FF"/>
      <name val="Calibri"/>
      <family val="2"/>
      <scheme val="minor"/>
    </font>
    <font>
      <b/>
      <sz val="11"/>
      <color rgb="FFFF6600"/>
      <name val="Calibri"/>
      <family val="2"/>
      <scheme val="minor"/>
    </font>
    <font>
      <b/>
      <sz val="15"/>
      <color indexed="64"/>
      <name val="Calibri"/>
      <family val="2"/>
    </font>
    <font>
      <sz val="11"/>
      <color indexed="64"/>
      <name val="Calibri"/>
      <family val="2"/>
    </font>
    <font>
      <b/>
      <sz val="11"/>
      <color indexed="64"/>
      <name val="Calibri"/>
      <family val="2"/>
    </font>
    <font>
      <b/>
      <sz val="10"/>
      <color theme="0"/>
      <name val="Calibri"/>
      <family val="2"/>
      <scheme val="minor"/>
    </font>
    <font>
      <sz val="10"/>
      <color theme="1"/>
      <name val="Calibri"/>
      <family val="2"/>
      <scheme val="minor"/>
    </font>
    <font>
      <b/>
      <sz val="10"/>
      <color theme="1"/>
      <name val="Calibri"/>
      <family val="2"/>
      <scheme val="minor"/>
    </font>
    <font>
      <b/>
      <i/>
      <sz val="11"/>
      <name val="Calibri"/>
      <family val="2"/>
      <scheme val="minor"/>
    </font>
    <font>
      <sz val="11"/>
      <color theme="1"/>
      <name val="Calibri"/>
      <family val="2"/>
    </font>
    <font>
      <b/>
      <sz val="11"/>
      <color theme="1"/>
      <name val="Arial"/>
      <family val="2"/>
    </font>
    <font>
      <sz val="11"/>
      <color theme="1"/>
      <name val="Calibri"/>
      <family val="2"/>
    </font>
    <font>
      <b/>
      <i/>
      <sz val="11"/>
      <color theme="1"/>
      <name val="Calibri"/>
      <family val="2"/>
      <scheme val="minor"/>
    </font>
    <font>
      <sz val="8"/>
      <name val="Calibri"/>
      <family val="2"/>
      <scheme val="minor"/>
    </font>
    <font>
      <sz val="10"/>
      <color rgb="FF000000"/>
      <name val="Calibri"/>
      <family val="2"/>
    </font>
    <font>
      <b/>
      <sz val="10"/>
      <color rgb="FF000000"/>
      <name val="Calibri"/>
      <family val="2"/>
    </font>
    <font>
      <sz val="11"/>
      <color rgb="FFFF0000"/>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0"/>
      <name val="Calibri"/>
      <family val="2"/>
      <scheme val="minor"/>
    </font>
    <font>
      <b/>
      <sz val="8"/>
      <color theme="0"/>
      <name val="Calibri"/>
      <family val="2"/>
      <scheme val="minor"/>
    </font>
    <font>
      <b/>
      <i/>
      <sz val="11"/>
      <color theme="0"/>
      <name val="Calibri"/>
      <family val="2"/>
      <scheme val="minor"/>
    </font>
    <font>
      <i/>
      <sz val="11"/>
      <color theme="0"/>
      <name val="Calibri"/>
      <family val="2"/>
      <scheme val="minor"/>
    </font>
    <font>
      <sz val="9"/>
      <color indexed="81"/>
      <name val="Tahoma"/>
      <family val="2"/>
    </font>
    <font>
      <b/>
      <sz val="9"/>
      <color indexed="81"/>
      <name val="Tahoma"/>
      <family val="2"/>
    </font>
    <font>
      <sz val="11"/>
      <color theme="1"/>
      <name val="Calibri"/>
      <family val="2"/>
    </font>
    <font>
      <b/>
      <sz val="11"/>
      <color rgb="FFFF0000"/>
      <name val="Calibri"/>
      <family val="2"/>
      <scheme val="minor"/>
    </font>
    <font>
      <i/>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8"/>
      <color theme="0"/>
      <name val="Calibri"/>
      <family val="2"/>
      <scheme val="minor"/>
    </font>
    <font>
      <sz val="10"/>
      <color theme="0"/>
      <name val="Calibri"/>
      <family val="2"/>
      <scheme val="minor"/>
    </font>
    <font>
      <sz val="10"/>
      <name val="Calibri"/>
      <family val="2"/>
      <scheme val="minor"/>
    </font>
    <font>
      <sz val="10"/>
      <color theme="1"/>
      <name val="Segoe UI"/>
      <family val="2"/>
    </font>
    <font>
      <b/>
      <sz val="10"/>
      <name val="Segoe UI"/>
      <family val="2"/>
    </font>
    <font>
      <b/>
      <sz val="10"/>
      <color theme="1"/>
      <name val="Segoe UI"/>
      <family val="2"/>
    </font>
    <font>
      <sz val="10"/>
      <name val="Segoe UI"/>
      <family val="2"/>
    </font>
    <font>
      <u/>
      <sz val="11"/>
      <color theme="10"/>
      <name val="Calibri"/>
      <family val="2"/>
      <scheme val="minor"/>
    </font>
    <font>
      <sz val="16"/>
      <color rgb="FF0070C0"/>
      <name val="Calibri"/>
      <family val="2"/>
      <scheme val="minor"/>
    </font>
    <font>
      <sz val="9"/>
      <color theme="0"/>
      <name val="Calibri"/>
      <family val="2"/>
      <scheme val="minor"/>
    </font>
    <font>
      <sz val="9"/>
      <color rgb="FFFFFFFF"/>
      <name val="Calibri"/>
      <family val="2"/>
      <scheme val="minor"/>
    </font>
    <font>
      <sz val="9"/>
      <color theme="1"/>
      <name val="Calibri"/>
      <family val="2"/>
      <scheme val="minor"/>
    </font>
    <font>
      <b/>
      <sz val="9"/>
      <color rgb="FF00B050"/>
      <name val="Calibri"/>
      <family val="2"/>
      <scheme val="minor"/>
    </font>
    <font>
      <sz val="9"/>
      <color rgb="FF00B050"/>
      <name val="Calibri"/>
      <family val="2"/>
      <scheme val="minor"/>
    </font>
    <font>
      <sz val="8"/>
      <color theme="1"/>
      <name val="Calibri"/>
      <family val="2"/>
      <scheme val="minor"/>
    </font>
    <font>
      <b/>
      <sz val="9"/>
      <color theme="0"/>
      <name val="Calibri"/>
      <family val="2"/>
      <scheme val="minor"/>
    </font>
    <font>
      <sz val="9"/>
      <color theme="1"/>
      <name val="Arial"/>
      <family val="2"/>
    </font>
    <font>
      <sz val="11"/>
      <color rgb="FF000000"/>
      <name val="Calibri"/>
      <family val="2"/>
      <scheme val="minor"/>
    </font>
    <font>
      <sz val="11"/>
      <color theme="5" tint="-0.499984740745262"/>
      <name val="Calibri"/>
      <family val="2"/>
      <scheme val="minor"/>
    </font>
    <font>
      <sz val="10"/>
      <name val="Arial"/>
      <family val="2"/>
    </font>
    <font>
      <b/>
      <sz val="20"/>
      <name val="Calibri"/>
      <family val="2"/>
    </font>
    <font>
      <sz val="11"/>
      <name val="Calibri"/>
      <family val="2"/>
    </font>
    <font>
      <b/>
      <sz val="11"/>
      <name val="Calibri"/>
      <family val="2"/>
    </font>
  </fonts>
  <fills count="46">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3"/>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rgb="FF002060"/>
        <bgColor indexed="64"/>
      </patternFill>
    </fill>
    <fill>
      <patternFill patternType="solid">
        <fgColor theme="2"/>
        <bgColor indexed="64"/>
      </patternFill>
    </fill>
    <fill>
      <patternFill patternType="solid">
        <fgColor theme="0" tint="-0.34998626667073579"/>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D8EBB7"/>
        <bgColor indexed="64"/>
      </patternFill>
    </fill>
    <fill>
      <patternFill patternType="solid">
        <fgColor rgb="FFFFC000"/>
        <bgColor indexed="64"/>
      </patternFill>
    </fill>
    <fill>
      <patternFill patternType="solid">
        <fgColor indexed="40"/>
        <bgColor indexed="64"/>
      </patternFill>
    </fill>
    <fill>
      <patternFill patternType="solid">
        <fgColor rgb="FF92D050"/>
        <bgColor indexed="64"/>
      </patternFill>
    </fill>
    <fill>
      <patternFill patternType="solid">
        <fgColor rgb="FF66FFCC"/>
        <bgColor indexed="64"/>
      </patternFill>
    </fill>
    <fill>
      <patternFill patternType="solid">
        <fgColor rgb="FFF0F4FA"/>
      </patternFill>
    </fill>
    <fill>
      <patternFill patternType="solid">
        <fgColor rgb="FFFFFFFF"/>
      </patternFill>
    </fill>
    <fill>
      <patternFill patternType="solid">
        <fgColor rgb="FFD6EAF8"/>
      </patternFill>
    </fill>
    <fill>
      <patternFill patternType="solid">
        <fgColor theme="5"/>
        <bgColor indexed="64"/>
      </patternFill>
    </fill>
    <fill>
      <patternFill patternType="solid">
        <fgColor rgb="FF9999FF"/>
        <bgColor indexed="64"/>
      </patternFill>
    </fill>
    <fill>
      <patternFill patternType="solid">
        <fgColor rgb="FFB4C6E7"/>
        <bgColor rgb="FF000000"/>
      </patternFill>
    </fill>
    <fill>
      <patternFill patternType="solid">
        <fgColor rgb="FFFFFF00"/>
        <bgColor rgb="FF000000"/>
      </patternFill>
    </fill>
    <fill>
      <patternFill patternType="solid">
        <fgColor rgb="FFFF66CC"/>
        <bgColor indexed="64"/>
      </patternFill>
    </fill>
    <fill>
      <patternFill patternType="solid">
        <fgColor rgb="FFCCFFFF"/>
        <bgColor indexed="64"/>
      </patternFill>
    </fill>
    <fill>
      <patternFill patternType="solid">
        <fgColor rgb="FFFF0000"/>
        <bgColor indexed="64"/>
      </patternFill>
    </fill>
    <fill>
      <patternFill patternType="solid">
        <fgColor theme="8" tint="0.79998168889431442"/>
        <bgColor indexed="64"/>
      </patternFill>
    </fill>
    <fill>
      <patternFill patternType="solid">
        <fgColor rgb="FF00B0F0"/>
        <bgColor indexed="64"/>
      </patternFill>
    </fill>
    <fill>
      <patternFill patternType="solid">
        <fgColor theme="8" tint="-0.499984740745262"/>
        <bgColor indexed="64"/>
      </patternFill>
    </fill>
    <fill>
      <patternFill patternType="solid">
        <fgColor theme="0" tint="-0.14999847407452621"/>
        <bgColor indexed="64"/>
      </patternFill>
    </fill>
    <fill>
      <patternFill patternType="solid">
        <fgColor rgb="FF00B05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002060"/>
        <bgColor rgb="FF000000"/>
      </patternFill>
    </fill>
    <fill>
      <patternFill patternType="solid">
        <fgColor theme="4" tint="-0.249977111117893"/>
        <bgColor rgb="FF000000"/>
      </patternFill>
    </fill>
    <fill>
      <patternFill patternType="solid">
        <fgColor theme="4" tint="-0.249977111117893"/>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theme="7"/>
        <bgColor indexed="64"/>
      </patternFill>
    </fill>
    <fill>
      <patternFill patternType="solid">
        <fgColor theme="7" tint="0.79998168889431442"/>
        <bgColor indexed="64"/>
      </patternFill>
    </fill>
    <fill>
      <patternFill patternType="solid">
        <fgColor indexed="30"/>
        <bgColor indexed="64"/>
      </patternFill>
    </fill>
    <fill>
      <patternFill patternType="solid">
        <fgColor theme="7" tint="0.59999389629810485"/>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style="thin">
        <color rgb="FF979991"/>
      </left>
      <right style="thin">
        <color rgb="FF979991"/>
      </right>
      <top style="thin">
        <color rgb="FF979991"/>
      </top>
      <bottom style="thin">
        <color rgb="FF979991"/>
      </bottom>
      <diagonal/>
    </border>
    <border>
      <left style="thin">
        <color rgb="FF979991"/>
      </left>
      <right/>
      <top style="thin">
        <color rgb="FF979991"/>
      </top>
      <bottom style="thin">
        <color rgb="FF979991"/>
      </bottom>
      <diagonal/>
    </border>
    <border>
      <left style="thin">
        <color indexed="64"/>
      </left>
      <right/>
      <top style="thin">
        <color indexed="64"/>
      </top>
      <bottom/>
      <diagonal/>
    </border>
    <border>
      <left style="thin">
        <color indexed="64"/>
      </left>
      <right/>
      <top/>
      <bottom style="thin">
        <color indexed="64"/>
      </bottom>
      <diagonal/>
    </border>
    <border>
      <left style="thin">
        <color rgb="FF979991"/>
      </left>
      <right/>
      <top/>
      <bottom/>
      <diagonal/>
    </border>
    <border>
      <left style="thin">
        <color rgb="FF979991"/>
      </left>
      <right style="thin">
        <color rgb="FF979991"/>
      </right>
      <top/>
      <bottom style="thin">
        <color rgb="FF979991"/>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ck">
        <color indexed="8"/>
      </left>
      <right style="thick">
        <color indexed="8"/>
      </right>
      <top style="thick">
        <color indexed="8"/>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979991"/>
      </left>
      <right/>
      <top/>
      <bottom style="thin">
        <color rgb="FF979991"/>
      </bottom>
      <diagonal/>
    </border>
    <border>
      <left/>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ck">
        <color indexed="8"/>
      </right>
      <top style="medium">
        <color indexed="64"/>
      </top>
      <bottom style="thick">
        <color indexed="8"/>
      </bottom>
      <diagonal/>
    </border>
    <border>
      <left style="thick">
        <color indexed="8"/>
      </left>
      <right style="medium">
        <color indexed="64"/>
      </right>
      <top style="medium">
        <color indexed="64"/>
      </top>
      <bottom style="thick">
        <color indexed="8"/>
      </bottom>
      <diagonal/>
    </border>
    <border>
      <left style="medium">
        <color indexed="64"/>
      </left>
      <right style="thin">
        <color indexed="8"/>
      </right>
      <top/>
      <bottom/>
      <diagonal/>
    </border>
    <border>
      <left style="medium">
        <color indexed="64"/>
      </left>
      <right style="thin">
        <color indexed="64"/>
      </right>
      <top/>
      <bottom/>
      <diagonal/>
    </border>
    <border>
      <left style="medium">
        <color indexed="64"/>
      </left>
      <right style="thin">
        <color indexed="8"/>
      </right>
      <top/>
      <bottom style="medium">
        <color indexed="64"/>
      </bottom>
      <diagonal/>
    </border>
    <border>
      <left style="thin">
        <color indexed="8"/>
      </left>
      <right style="medium">
        <color indexed="64"/>
      </right>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52">
    <xf numFmtId="0" fontId="0" fillId="0" borderId="0"/>
    <xf numFmtId="0" fontId="1" fillId="0" borderId="0"/>
    <xf numFmtId="168" fontId="4" fillId="0" borderId="0" applyFont="0" applyFill="0" applyBorder="0" applyAlignment="0" applyProtection="0"/>
    <xf numFmtId="168" fontId="4" fillId="0" borderId="0" applyFont="0" applyFill="0" applyBorder="0" applyAlignment="0" applyProtection="0"/>
    <xf numFmtId="0" fontId="4" fillId="0" borderId="0"/>
    <xf numFmtId="172" fontId="4" fillId="0" borderId="0" applyFont="0" applyFill="0" applyBorder="0" applyAlignment="0" applyProtection="0"/>
    <xf numFmtId="9" fontId="4" fillId="0" borderId="0" applyFont="0" applyFill="0" applyBorder="0" applyAlignment="0" applyProtection="0"/>
    <xf numFmtId="0" fontId="1" fillId="0" borderId="0"/>
    <xf numFmtId="173" fontId="1" fillId="0" borderId="0" applyFont="0" applyFill="0" applyBorder="0" applyAlignment="0" applyProtection="0"/>
    <xf numFmtId="0" fontId="1" fillId="0" borderId="0"/>
    <xf numFmtId="168" fontId="1" fillId="0" borderId="0" applyFont="0" applyFill="0" applyBorder="0" applyAlignment="0" applyProtection="0"/>
    <xf numFmtId="9" fontId="4" fillId="0" borderId="0" applyFont="0" applyFill="0" applyBorder="0" applyAlignment="0" applyProtection="0"/>
    <xf numFmtId="0" fontId="1" fillId="0" borderId="0"/>
    <xf numFmtId="43" fontId="4" fillId="0" borderId="0" applyFont="0" applyFill="0" applyBorder="0" applyAlignment="0" applyProtection="0"/>
    <xf numFmtId="167" fontId="4" fillId="0" borderId="0" applyFont="0" applyFill="0" applyBorder="0" applyAlignment="0" applyProtection="0"/>
    <xf numFmtId="0" fontId="22"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30" fillId="0" borderId="0"/>
    <xf numFmtId="0" fontId="31" fillId="0" borderId="0"/>
    <xf numFmtId="0" fontId="22" fillId="0" borderId="0"/>
    <xf numFmtId="0" fontId="32" fillId="0" borderId="0"/>
    <xf numFmtId="165" fontId="4" fillId="0" borderId="0" applyFont="0" applyFill="0" applyBorder="0" applyAlignment="0" applyProtection="0"/>
    <xf numFmtId="0" fontId="22" fillId="0" borderId="0"/>
    <xf numFmtId="0" fontId="22" fillId="0" borderId="0"/>
    <xf numFmtId="0" fontId="22" fillId="0" borderId="0"/>
    <xf numFmtId="0" fontId="33" fillId="0" borderId="0"/>
    <xf numFmtId="0" fontId="22" fillId="0" borderId="0"/>
    <xf numFmtId="43" fontId="4" fillId="0" borderId="0" applyFont="0" applyFill="0" applyBorder="0" applyAlignment="0" applyProtection="0"/>
    <xf numFmtId="0" fontId="40" fillId="0" borderId="0"/>
    <xf numFmtId="0" fontId="22" fillId="0" borderId="0"/>
    <xf numFmtId="0" fontId="22" fillId="0" borderId="0"/>
    <xf numFmtId="0" fontId="43" fillId="0" borderId="0"/>
    <xf numFmtId="0" fontId="44" fillId="0" borderId="0"/>
    <xf numFmtId="0" fontId="45" fillId="0" borderId="0"/>
    <xf numFmtId="0" fontId="22" fillId="0" borderId="0"/>
    <xf numFmtId="0" fontId="46" fillId="0" borderId="0"/>
    <xf numFmtId="0" fontId="46" fillId="0" borderId="0"/>
    <xf numFmtId="166" fontId="4" fillId="0" borderId="0" applyFont="0" applyFill="0" applyBorder="0" applyAlignment="0" applyProtection="0"/>
    <xf numFmtId="164" fontId="4" fillId="0" borderId="0" applyFont="0" applyFill="0" applyBorder="0" applyAlignment="0" applyProtection="0"/>
    <xf numFmtId="0" fontId="4" fillId="0" borderId="0"/>
    <xf numFmtId="0" fontId="54" fillId="0" borderId="0" applyNumberFormat="0" applyFill="0" applyBorder="0" applyAlignment="0" applyProtection="0"/>
    <xf numFmtId="0" fontId="22" fillId="0" borderId="0"/>
    <xf numFmtId="0" fontId="4" fillId="0" borderId="0"/>
    <xf numFmtId="0" fontId="66" fillId="0" borderId="0"/>
  </cellStyleXfs>
  <cellXfs count="848">
    <xf numFmtId="0" fontId="0" fillId="0" borderId="0" xfId="0"/>
    <xf numFmtId="0" fontId="1" fillId="0" borderId="0" xfId="1" applyAlignment="1">
      <alignment horizontal="center" vertical="center"/>
    </xf>
    <xf numFmtId="169" fontId="2" fillId="2" borderId="1" xfId="1" applyNumberFormat="1" applyFont="1" applyFill="1" applyBorder="1" applyAlignment="1">
      <alignment horizontal="center" vertical="center"/>
    </xf>
    <xf numFmtId="4" fontId="3" fillId="3" borderId="1" xfId="1" applyNumberFormat="1" applyFont="1" applyFill="1" applyBorder="1" applyAlignment="1">
      <alignment horizontal="center" vertical="center"/>
    </xf>
    <xf numFmtId="171" fontId="0" fillId="4" borderId="1" xfId="2" applyNumberFormat="1" applyFont="1" applyFill="1" applyBorder="1" applyAlignment="1">
      <alignment horizontal="center"/>
    </xf>
    <xf numFmtId="171" fontId="0" fillId="4" borderId="1" xfId="2" applyNumberFormat="1" applyFont="1" applyFill="1" applyBorder="1" applyAlignment="1">
      <alignment horizontal="center" vertical="center"/>
    </xf>
    <xf numFmtId="0" fontId="6" fillId="4" borderId="1" xfId="0" applyFont="1" applyFill="1" applyBorder="1" applyAlignment="1">
      <alignment horizontal="center"/>
    </xf>
    <xf numFmtId="171" fontId="7" fillId="4" borderId="1" xfId="2" applyNumberFormat="1" applyFont="1" applyFill="1" applyBorder="1" applyAlignment="1">
      <alignment horizontal="center"/>
    </xf>
    <xf numFmtId="171" fontId="8" fillId="4" borderId="1" xfId="2" applyNumberFormat="1" applyFont="1" applyFill="1" applyBorder="1" applyAlignment="1">
      <alignment horizontal="center"/>
    </xf>
    <xf numFmtId="0" fontId="0" fillId="0" borderId="1" xfId="0" quotePrefix="1" applyBorder="1" applyAlignment="1">
      <alignment horizontal="center"/>
    </xf>
    <xf numFmtId="0" fontId="7" fillId="4" borderId="1" xfId="0" applyFont="1" applyFill="1" applyBorder="1" applyAlignment="1">
      <alignment horizontal="center"/>
    </xf>
    <xf numFmtId="0" fontId="6" fillId="4" borderId="1" xfId="0" applyFont="1" applyFill="1" applyBorder="1" applyAlignment="1">
      <alignment horizontal="center" vertical="center" wrapText="1"/>
    </xf>
    <xf numFmtId="170" fontId="6" fillId="4" borderId="1" xfId="0" applyNumberFormat="1" applyFont="1" applyFill="1" applyBorder="1" applyAlignment="1">
      <alignment horizontal="center"/>
    </xf>
    <xf numFmtId="0" fontId="6" fillId="0" borderId="0" xfId="0" applyFont="1" applyAlignment="1">
      <alignment horizontal="center"/>
    </xf>
    <xf numFmtId="0" fontId="5" fillId="5" borderId="1" xfId="0" applyFont="1" applyFill="1" applyBorder="1" applyAlignment="1">
      <alignment horizontal="center"/>
    </xf>
    <xf numFmtId="14" fontId="5" fillId="5" borderId="1" xfId="0" quotePrefix="1" applyNumberFormat="1" applyFont="1" applyFill="1" applyBorder="1" applyAlignment="1">
      <alignment horizontal="center"/>
    </xf>
    <xf numFmtId="0" fontId="9" fillId="0" borderId="0" xfId="0" applyFont="1" applyAlignment="1">
      <alignment vertical="center"/>
    </xf>
    <xf numFmtId="0" fontId="10" fillId="0" borderId="0" xfId="0" applyFont="1"/>
    <xf numFmtId="171" fontId="6" fillId="0" borderId="1" xfId="2" applyNumberFormat="1" applyFont="1" applyFill="1" applyBorder="1" applyAlignment="1">
      <alignment horizontal="center"/>
    </xf>
    <xf numFmtId="0" fontId="5" fillId="5" borderId="1" xfId="0" applyFont="1" applyFill="1" applyBorder="1" applyAlignment="1">
      <alignment horizontal="center" vertical="center" wrapText="1"/>
    </xf>
    <xf numFmtId="171" fontId="0" fillId="4" borderId="1" xfId="3" applyNumberFormat="1" applyFont="1" applyFill="1" applyBorder="1" applyAlignment="1">
      <alignment horizontal="center" vertical="center"/>
    </xf>
    <xf numFmtId="9" fontId="0" fillId="0" borderId="0" xfId="11" applyFont="1"/>
    <xf numFmtId="171" fontId="0" fillId="0" borderId="0" xfId="0" applyNumberFormat="1"/>
    <xf numFmtId="171" fontId="8" fillId="4" borderId="1" xfId="3" applyNumberFormat="1" applyFont="1" applyFill="1" applyBorder="1" applyAlignment="1">
      <alignment horizontal="center" vertical="center"/>
    </xf>
    <xf numFmtId="174" fontId="6" fillId="4" borderId="1" xfId="2" applyNumberFormat="1" applyFont="1" applyFill="1" applyBorder="1" applyAlignment="1">
      <alignment horizontal="center"/>
    </xf>
    <xf numFmtId="44" fontId="6" fillId="4" borderId="1" xfId="2" applyNumberFormat="1" applyFont="1" applyFill="1" applyBorder="1" applyAlignment="1">
      <alignment horizontal="center"/>
    </xf>
    <xf numFmtId="175" fontId="8" fillId="4" borderId="1" xfId="3" applyNumberFormat="1" applyFont="1" applyFill="1" applyBorder="1" applyAlignment="1">
      <alignment horizontal="center" vertical="center"/>
    </xf>
    <xf numFmtId="171" fontId="7" fillId="6" borderId="1" xfId="2" applyNumberFormat="1" applyFont="1" applyFill="1" applyBorder="1" applyAlignment="1">
      <alignment horizontal="center"/>
    </xf>
    <xf numFmtId="171" fontId="7" fillId="7" borderId="1" xfId="2" applyNumberFormat="1" applyFont="1" applyFill="1" applyBorder="1" applyAlignment="1">
      <alignment horizontal="center"/>
    </xf>
    <xf numFmtId="0" fontId="6" fillId="7" borderId="1" xfId="0" applyFont="1" applyFill="1" applyBorder="1" applyAlignment="1">
      <alignment horizontal="center"/>
    </xf>
    <xf numFmtId="0" fontId="6" fillId="8" borderId="1" xfId="0" applyFont="1" applyFill="1" applyBorder="1" applyAlignment="1">
      <alignment horizontal="center"/>
    </xf>
    <xf numFmtId="171" fontId="7" fillId="8" borderId="1" xfId="2" applyNumberFormat="1" applyFont="1" applyFill="1" applyBorder="1" applyAlignment="1">
      <alignment horizontal="center"/>
    </xf>
    <xf numFmtId="0" fontId="6" fillId="9" borderId="1" xfId="0" applyFont="1" applyFill="1" applyBorder="1" applyAlignment="1">
      <alignment horizontal="center"/>
    </xf>
    <xf numFmtId="0" fontId="6" fillId="0" borderId="0" xfId="0" applyFont="1"/>
    <xf numFmtId="0" fontId="11" fillId="0" borderId="0" xfId="0" applyFont="1"/>
    <xf numFmtId="0" fontId="12" fillId="0" borderId="0" xfId="0" applyFont="1" applyAlignment="1">
      <alignment horizontal="center"/>
    </xf>
    <xf numFmtId="0" fontId="0" fillId="0" borderId="1" xfId="0" applyBorder="1"/>
    <xf numFmtId="0" fontId="0" fillId="0" borderId="1" xfId="0" applyBorder="1" applyAlignment="1">
      <alignment horizontal="center"/>
    </xf>
    <xf numFmtId="17" fontId="0" fillId="0" borderId="1" xfId="0" applyNumberFormat="1" applyBorder="1" applyAlignment="1">
      <alignment horizontal="center"/>
    </xf>
    <xf numFmtId="177" fontId="0" fillId="0" borderId="1" xfId="13" applyNumberFormat="1" applyFont="1" applyBorder="1"/>
    <xf numFmtId="0" fontId="6" fillId="13" borderId="3" xfId="0" applyFont="1" applyFill="1" applyBorder="1"/>
    <xf numFmtId="177" fontId="6" fillId="13" borderId="3" xfId="0" applyNumberFormat="1" applyFont="1" applyFill="1" applyBorder="1"/>
    <xf numFmtId="0" fontId="0" fillId="0" borderId="0" xfId="0" applyAlignment="1">
      <alignment horizontal="left"/>
    </xf>
    <xf numFmtId="177" fontId="6" fillId="0" borderId="0" xfId="0" applyNumberFormat="1" applyFont="1"/>
    <xf numFmtId="0" fontId="5" fillId="14" borderId="3" xfId="0" applyFont="1" applyFill="1" applyBorder="1"/>
    <xf numFmtId="177" fontId="5" fillId="14" borderId="3" xfId="0" applyNumberFormat="1" applyFont="1" applyFill="1" applyBorder="1"/>
    <xf numFmtId="0" fontId="13" fillId="0" borderId="0" xfId="0" applyFont="1"/>
    <xf numFmtId="0" fontId="14" fillId="0" borderId="0" xfId="0" applyFont="1" applyAlignment="1">
      <alignment horizontal="left"/>
    </xf>
    <xf numFmtId="169" fontId="6" fillId="0" borderId="0" xfId="0" applyNumberFormat="1" applyFont="1" applyAlignment="1">
      <alignment horizontal="right"/>
    </xf>
    <xf numFmtId="0" fontId="0" fillId="9" borderId="0" xfId="0" applyFill="1"/>
    <xf numFmtId="4" fontId="0" fillId="0" borderId="0" xfId="0" applyNumberFormat="1"/>
    <xf numFmtId="4" fontId="0" fillId="15" borderId="0" xfId="0" applyNumberFormat="1" applyFill="1"/>
    <xf numFmtId="0" fontId="0" fillId="16" borderId="0" xfId="0" applyFill="1"/>
    <xf numFmtId="4" fontId="0" fillId="16" borderId="0" xfId="0" applyNumberFormat="1" applyFill="1"/>
    <xf numFmtId="0" fontId="15" fillId="0" borderId="0" xfId="7" applyFont="1"/>
    <xf numFmtId="0" fontId="1" fillId="0" borderId="0" xfId="7"/>
    <xf numFmtId="0" fontId="16" fillId="0" borderId="0" xfId="7" applyFont="1"/>
    <xf numFmtId="0" fontId="19" fillId="0" borderId="1" xfId="0" applyFont="1" applyBorder="1"/>
    <xf numFmtId="0" fontId="20" fillId="0" borderId="1" xfId="0" applyFont="1" applyBorder="1"/>
    <xf numFmtId="176" fontId="19" fillId="0" borderId="1" xfId="14" applyNumberFormat="1" applyFont="1" applyBorder="1"/>
    <xf numFmtId="0" fontId="20" fillId="9" borderId="1" xfId="0" applyFont="1" applyFill="1" applyBorder="1"/>
    <xf numFmtId="176" fontId="19" fillId="9" borderId="1" xfId="14" applyNumberFormat="1" applyFont="1" applyFill="1" applyBorder="1"/>
    <xf numFmtId="0" fontId="19" fillId="0" borderId="0" xfId="0" applyFont="1"/>
    <xf numFmtId="17" fontId="0" fillId="0" borderId="0" xfId="0" applyNumberFormat="1" applyAlignment="1">
      <alignment horizontal="center"/>
    </xf>
    <xf numFmtId="177" fontId="0" fillId="0" borderId="0" xfId="13" applyNumberFormat="1" applyFont="1" applyBorder="1"/>
    <xf numFmtId="177" fontId="0" fillId="11" borderId="0" xfId="13" applyNumberFormat="1" applyFont="1" applyFill="1" applyBorder="1"/>
    <xf numFmtId="177" fontId="5" fillId="12" borderId="4" xfId="13" applyNumberFormat="1" applyFont="1" applyFill="1" applyBorder="1"/>
    <xf numFmtId="0" fontId="6" fillId="18" borderId="1" xfId="0" applyFont="1" applyFill="1" applyBorder="1" applyAlignment="1">
      <alignment horizontal="center"/>
    </xf>
    <xf numFmtId="0" fontId="6" fillId="11" borderId="1" xfId="0" applyFont="1" applyFill="1" applyBorder="1" applyAlignment="1">
      <alignment horizontal="center"/>
    </xf>
    <xf numFmtId="171" fontId="7" fillId="9" borderId="1" xfId="2" applyNumberFormat="1" applyFont="1" applyFill="1" applyBorder="1" applyAlignment="1">
      <alignment horizontal="center"/>
    </xf>
    <xf numFmtId="171" fontId="7" fillId="18" borderId="1" xfId="2" applyNumberFormat="1" applyFont="1" applyFill="1" applyBorder="1" applyAlignment="1">
      <alignment horizontal="center"/>
    </xf>
    <xf numFmtId="171" fontId="7" fillId="13" borderId="1" xfId="2" applyNumberFormat="1" applyFont="1" applyFill="1" applyBorder="1" applyAlignment="1">
      <alignment horizontal="center"/>
    </xf>
    <xf numFmtId="0" fontId="6" fillId="19" borderId="1" xfId="0" applyFont="1" applyFill="1" applyBorder="1" applyAlignment="1">
      <alignment horizontal="center"/>
    </xf>
    <xf numFmtId="171" fontId="7" fillId="19" borderId="1" xfId="2" applyNumberFormat="1" applyFont="1" applyFill="1" applyBorder="1" applyAlignment="1">
      <alignment horizontal="center"/>
    </xf>
    <xf numFmtId="0" fontId="21" fillId="11" borderId="0" xfId="0" applyFont="1" applyFill="1"/>
    <xf numFmtId="0" fontId="0" fillId="11" borderId="0" xfId="0" applyFill="1"/>
    <xf numFmtId="0" fontId="21" fillId="4" borderId="0" xfId="0" applyFont="1" applyFill="1"/>
    <xf numFmtId="0" fontId="0" fillId="4" borderId="0" xfId="0" applyFill="1"/>
    <xf numFmtId="14" fontId="9" fillId="20" borderId="6" xfId="15" applyNumberFormat="1" applyFont="1" applyFill="1" applyBorder="1" applyAlignment="1">
      <alignment horizontal="left" vertical="center" wrapText="1"/>
    </xf>
    <xf numFmtId="183" fontId="9" fillId="21" borderId="5" xfId="15" applyNumberFormat="1" applyFont="1" applyFill="1" applyBorder="1" applyAlignment="1">
      <alignment horizontal="right" vertical="top" wrapText="1"/>
    </xf>
    <xf numFmtId="14" fontId="9" fillId="22" borderId="6" xfId="15" applyNumberFormat="1" applyFont="1" applyFill="1" applyBorder="1" applyAlignment="1">
      <alignment horizontal="left" vertical="center" wrapText="1"/>
    </xf>
    <xf numFmtId="183" fontId="9" fillId="22" borderId="5" xfId="15" applyNumberFormat="1" applyFont="1" applyFill="1" applyBorder="1" applyAlignment="1">
      <alignment horizontal="right" vertical="top" wrapText="1"/>
    </xf>
    <xf numFmtId="177" fontId="8" fillId="11" borderId="0" xfId="13" applyNumberFormat="1" applyFont="1" applyFill="1" applyBorder="1"/>
    <xf numFmtId="177" fontId="5" fillId="12" borderId="2" xfId="13" applyNumberFormat="1" applyFont="1" applyFill="1" applyBorder="1"/>
    <xf numFmtId="177" fontId="0" fillId="4" borderId="0" xfId="13" applyNumberFormat="1" applyFont="1" applyFill="1" applyBorder="1"/>
    <xf numFmtId="0" fontId="23" fillId="20" borderId="9" xfId="15" applyFont="1" applyFill="1" applyBorder="1" applyAlignment="1">
      <alignment horizontal="center" vertical="center" wrapText="1"/>
    </xf>
    <xf numFmtId="0" fontId="23" fillId="20" borderId="10" xfId="15" applyFont="1" applyFill="1" applyBorder="1" applyAlignment="1">
      <alignment horizontal="center" vertical="center" wrapText="1"/>
    </xf>
    <xf numFmtId="177" fontId="0" fillId="0" borderId="0" xfId="0" applyNumberFormat="1"/>
    <xf numFmtId="0" fontId="0" fillId="0" borderId="0" xfId="0" applyAlignment="1">
      <alignment horizontal="center"/>
    </xf>
    <xf numFmtId="183" fontId="9" fillId="21" borderId="5" xfId="18" applyNumberFormat="1" applyFont="1" applyFill="1" applyBorder="1" applyAlignment="1">
      <alignment horizontal="right" vertical="top" wrapText="1"/>
    </xf>
    <xf numFmtId="183" fontId="9" fillId="22" borderId="5" xfId="18" applyNumberFormat="1" applyFont="1" applyFill="1" applyBorder="1" applyAlignment="1">
      <alignment horizontal="right" vertical="top" wrapText="1"/>
    </xf>
    <xf numFmtId="14" fontId="9" fillId="22" borderId="6" xfId="17" applyNumberFormat="1" applyFont="1" applyFill="1" applyBorder="1" applyAlignment="1">
      <alignment horizontal="center" vertical="center" wrapText="1"/>
    </xf>
    <xf numFmtId="14" fontId="9" fillId="20" borderId="6" xfId="17" applyNumberFormat="1" applyFont="1" applyFill="1" applyBorder="1" applyAlignment="1">
      <alignment horizontal="center" vertical="center" wrapText="1"/>
    </xf>
    <xf numFmtId="0" fontId="0" fillId="23" borderId="0" xfId="0" applyFill="1"/>
    <xf numFmtId="0" fontId="6" fillId="24" borderId="1" xfId="0" applyFont="1" applyFill="1" applyBorder="1" applyAlignment="1">
      <alignment horizontal="center"/>
    </xf>
    <xf numFmtId="171" fontId="7" fillId="24" borderId="1" xfId="2" applyNumberFormat="1" applyFont="1" applyFill="1" applyBorder="1" applyAlignment="1">
      <alignment horizontal="center"/>
    </xf>
    <xf numFmtId="14" fontId="9" fillId="20" borderId="6" xfId="19" applyNumberFormat="1" applyFont="1" applyFill="1" applyBorder="1" applyAlignment="1">
      <alignment horizontal="left" vertical="center" wrapText="1"/>
    </xf>
    <xf numFmtId="183" fontId="9" fillId="21" borderId="5" xfId="19" applyNumberFormat="1" applyFont="1" applyFill="1" applyBorder="1" applyAlignment="1">
      <alignment horizontal="right" vertical="top" wrapText="1"/>
    </xf>
    <xf numFmtId="14" fontId="9" fillId="22" borderId="6" xfId="19" applyNumberFormat="1" applyFont="1" applyFill="1" applyBorder="1" applyAlignment="1">
      <alignment horizontal="left" vertical="center" wrapText="1"/>
    </xf>
    <xf numFmtId="183" fontId="9" fillId="22" borderId="5" xfId="19" applyNumberFormat="1" applyFont="1" applyFill="1" applyBorder="1" applyAlignment="1">
      <alignment horizontal="right" vertical="top" wrapText="1"/>
    </xf>
    <xf numFmtId="171" fontId="7" fillId="16" borderId="1" xfId="2" applyNumberFormat="1" applyFont="1" applyFill="1" applyBorder="1" applyAlignment="1">
      <alignment horizontal="center"/>
    </xf>
    <xf numFmtId="14" fontId="9" fillId="20" borderId="6" xfId="21" applyNumberFormat="1" applyFont="1" applyFill="1" applyBorder="1" applyAlignment="1">
      <alignment horizontal="left" vertical="center" wrapText="1"/>
    </xf>
    <xf numFmtId="183" fontId="9" fillId="21" borderId="5" xfId="21" applyNumberFormat="1" applyFont="1" applyFill="1" applyBorder="1" applyAlignment="1">
      <alignment horizontal="right" vertical="top" wrapText="1"/>
    </xf>
    <xf numFmtId="14" fontId="9" fillId="22" borderId="6" xfId="21" applyNumberFormat="1" applyFont="1" applyFill="1" applyBorder="1" applyAlignment="1">
      <alignment horizontal="left" vertical="center" wrapText="1"/>
    </xf>
    <xf numFmtId="183" fontId="9" fillId="22" borderId="5" xfId="21" applyNumberFormat="1" applyFont="1" applyFill="1" applyBorder="1" applyAlignment="1">
      <alignment horizontal="right" vertical="top" wrapText="1"/>
    </xf>
    <xf numFmtId="0" fontId="27" fillId="0" borderId="0" xfId="0" applyFont="1"/>
    <xf numFmtId="0" fontId="27" fillId="25" borderId="1" xfId="0" applyFont="1" applyFill="1" applyBorder="1" applyAlignment="1">
      <alignment horizontal="center" vertical="center"/>
    </xf>
    <xf numFmtId="0" fontId="27" fillId="0" borderId="11" xfId="0" applyFont="1" applyBorder="1"/>
    <xf numFmtId="177" fontId="27" fillId="0" borderId="11" xfId="0" applyNumberFormat="1" applyFont="1" applyBorder="1"/>
    <xf numFmtId="177" fontId="27" fillId="0" borderId="12" xfId="0" applyNumberFormat="1" applyFont="1" applyBorder="1"/>
    <xf numFmtId="0" fontId="27" fillId="0" borderId="13" xfId="0" applyFont="1" applyBorder="1"/>
    <xf numFmtId="177" fontId="27" fillId="0" borderId="13" xfId="13" applyNumberFormat="1" applyFont="1" applyFill="1" applyBorder="1"/>
    <xf numFmtId="177" fontId="27" fillId="0" borderId="14" xfId="13" applyNumberFormat="1" applyFont="1" applyFill="1" applyBorder="1"/>
    <xf numFmtId="0" fontId="27" fillId="0" borderId="14" xfId="0" applyFont="1" applyBorder="1"/>
    <xf numFmtId="0" fontId="27" fillId="0" borderId="15" xfId="0" applyFont="1" applyBorder="1"/>
    <xf numFmtId="0" fontId="27" fillId="0" borderId="7" xfId="0" applyFont="1" applyBorder="1"/>
    <xf numFmtId="0" fontId="27" fillId="0" borderId="17" xfId="0" applyFont="1" applyBorder="1"/>
    <xf numFmtId="0" fontId="27" fillId="0" borderId="8" xfId="0" applyFont="1" applyBorder="1"/>
    <xf numFmtId="177" fontId="28" fillId="26" borderId="16" xfId="0" applyNumberFormat="1" applyFont="1" applyFill="1" applyBorder="1"/>
    <xf numFmtId="171" fontId="7" fillId="0" borderId="1" xfId="2" applyNumberFormat="1" applyFont="1" applyFill="1" applyBorder="1" applyAlignment="1">
      <alignment horizontal="center"/>
    </xf>
    <xf numFmtId="171" fontId="6" fillId="4" borderId="1" xfId="2" applyNumberFormat="1" applyFont="1" applyFill="1" applyBorder="1" applyAlignment="1">
      <alignment horizontal="center" vertical="center"/>
    </xf>
    <xf numFmtId="10" fontId="0" fillId="0" borderId="0" xfId="0" applyNumberFormat="1"/>
    <xf numFmtId="1" fontId="0" fillId="0" borderId="0" xfId="0" applyNumberFormat="1"/>
    <xf numFmtId="0" fontId="17" fillId="17" borderId="18" xfId="7" applyFont="1" applyFill="1" applyBorder="1" applyAlignment="1">
      <alignment horizontal="center" vertical="center" wrapText="1"/>
    </xf>
    <xf numFmtId="2" fontId="16" fillId="0" borderId="19" xfId="7" applyNumberFormat="1" applyFont="1" applyBorder="1" applyAlignment="1">
      <alignment horizontal="right"/>
    </xf>
    <xf numFmtId="2" fontId="16" fillId="0" borderId="20" xfId="7" applyNumberFormat="1" applyFont="1" applyBorder="1" applyAlignment="1">
      <alignment horizontal="right"/>
    </xf>
    <xf numFmtId="2" fontId="16" fillId="0" borderId="20" xfId="0" applyNumberFormat="1" applyFont="1" applyBorder="1" applyAlignment="1">
      <alignment horizontal="right"/>
    </xf>
    <xf numFmtId="178" fontId="16" fillId="0" borderId="21" xfId="7" applyNumberFormat="1" applyFont="1" applyBorder="1" applyAlignment="1">
      <alignment horizontal="right"/>
    </xf>
    <xf numFmtId="178" fontId="16" fillId="0" borderId="22" xfId="7" applyNumberFormat="1" applyFont="1" applyBorder="1" applyAlignment="1">
      <alignment horizontal="right"/>
    </xf>
    <xf numFmtId="178" fontId="16" fillId="0" borderId="22" xfId="0" applyNumberFormat="1" applyFont="1" applyBorder="1" applyAlignment="1">
      <alignment horizontal="right"/>
    </xf>
    <xf numFmtId="2" fontId="16" fillId="0" borderId="21" xfId="7" applyNumberFormat="1" applyFont="1" applyBorder="1" applyAlignment="1">
      <alignment horizontal="right"/>
    </xf>
    <xf numFmtId="2" fontId="16" fillId="0" borderId="22" xfId="7" applyNumberFormat="1" applyFont="1" applyBorder="1" applyAlignment="1">
      <alignment horizontal="right"/>
    </xf>
    <xf numFmtId="2" fontId="16" fillId="0" borderId="22" xfId="0" applyNumberFormat="1" applyFont="1" applyBorder="1" applyAlignment="1">
      <alignment horizontal="right"/>
    </xf>
    <xf numFmtId="14" fontId="9" fillId="20" borderId="6" xfId="22" applyNumberFormat="1" applyFont="1" applyFill="1" applyBorder="1" applyAlignment="1">
      <alignment horizontal="left" vertical="center" wrapText="1"/>
    </xf>
    <xf numFmtId="14" fontId="9" fillId="22" borderId="6" xfId="22" applyNumberFormat="1" applyFont="1" applyFill="1" applyBorder="1" applyAlignment="1">
      <alignment horizontal="left" vertical="center" wrapText="1"/>
    </xf>
    <xf numFmtId="183" fontId="9" fillId="21" borderId="5" xfId="23" applyNumberFormat="1" applyFont="1" applyFill="1" applyBorder="1" applyAlignment="1">
      <alignment horizontal="right" vertical="top" wrapText="1"/>
    </xf>
    <xf numFmtId="183" fontId="9" fillId="22" borderId="5" xfId="23" applyNumberFormat="1" applyFont="1" applyFill="1" applyBorder="1" applyAlignment="1">
      <alignment horizontal="right" vertical="top" wrapText="1"/>
    </xf>
    <xf numFmtId="14" fontId="9" fillId="20" borderId="6" xfId="24" applyNumberFormat="1" applyFont="1" applyFill="1" applyBorder="1" applyAlignment="1">
      <alignment horizontal="left" vertical="center" wrapText="1"/>
    </xf>
    <xf numFmtId="183" fontId="9" fillId="21" borderId="5" xfId="24" applyNumberFormat="1" applyFont="1" applyFill="1" applyBorder="1" applyAlignment="1">
      <alignment horizontal="right" vertical="top" wrapText="1"/>
    </xf>
    <xf numFmtId="14" fontId="9" fillId="22" borderId="6" xfId="24" applyNumberFormat="1" applyFont="1" applyFill="1" applyBorder="1" applyAlignment="1">
      <alignment horizontal="left" vertical="center" wrapText="1"/>
    </xf>
    <xf numFmtId="183" fontId="9" fillId="22" borderId="5" xfId="24" applyNumberFormat="1" applyFont="1" applyFill="1" applyBorder="1" applyAlignment="1">
      <alignment horizontal="right" vertical="top" wrapText="1"/>
    </xf>
    <xf numFmtId="0" fontId="23" fillId="20" borderId="23" xfId="15" applyFont="1" applyFill="1" applyBorder="1" applyAlignment="1">
      <alignment horizontal="center" vertical="center" wrapText="1"/>
    </xf>
    <xf numFmtId="0" fontId="23" fillId="20" borderId="1" xfId="15" applyFont="1" applyFill="1" applyBorder="1" applyAlignment="1">
      <alignment horizontal="center" vertical="center" wrapText="1"/>
    </xf>
    <xf numFmtId="0" fontId="29" fillId="0" borderId="0" xfId="0" applyFont="1"/>
    <xf numFmtId="0" fontId="0" fillId="4" borderId="7" xfId="0" applyFill="1" applyBorder="1" applyAlignment="1">
      <alignment horizontal="center"/>
    </xf>
    <xf numFmtId="0" fontId="0" fillId="4" borderId="12" xfId="0" applyFill="1" applyBorder="1"/>
    <xf numFmtId="0" fontId="0" fillId="4" borderId="17" xfId="0" applyFill="1" applyBorder="1" applyAlignment="1">
      <alignment horizontal="center"/>
    </xf>
    <xf numFmtId="0" fontId="0" fillId="4" borderId="14" xfId="0" applyFill="1" applyBorder="1"/>
    <xf numFmtId="0" fontId="0" fillId="4" borderId="8" xfId="0" applyFill="1" applyBorder="1" applyAlignment="1">
      <alignment horizontal="center"/>
    </xf>
    <xf numFmtId="0" fontId="0" fillId="4" borderId="16" xfId="0" applyFill="1" applyBorder="1"/>
    <xf numFmtId="0" fontId="6" fillId="27" borderId="1" xfId="0" applyFont="1" applyFill="1" applyBorder="1" applyAlignment="1">
      <alignment horizontal="center"/>
    </xf>
    <xf numFmtId="171" fontId="7" fillId="27" borderId="1" xfId="2" applyNumberFormat="1" applyFont="1" applyFill="1" applyBorder="1" applyAlignment="1">
      <alignment horizontal="center"/>
    </xf>
    <xf numFmtId="14" fontId="9" fillId="20" borderId="6" xfId="27" applyNumberFormat="1" applyFont="1" applyFill="1" applyBorder="1" applyAlignment="1">
      <alignment horizontal="left" vertical="center" wrapText="1"/>
    </xf>
    <xf numFmtId="183" fontId="9" fillId="21" borderId="5" xfId="27" applyNumberFormat="1" applyFont="1" applyFill="1" applyBorder="1" applyAlignment="1">
      <alignment horizontal="right" vertical="top" wrapText="1"/>
    </xf>
    <xf numFmtId="14" fontId="9" fillId="22" borderId="6" xfId="27" applyNumberFormat="1" applyFont="1" applyFill="1" applyBorder="1" applyAlignment="1">
      <alignment horizontal="left" vertical="center" wrapText="1"/>
    </xf>
    <xf numFmtId="183" fontId="9" fillId="22" borderId="5" xfId="27" applyNumberFormat="1" applyFont="1" applyFill="1" applyBorder="1" applyAlignment="1">
      <alignment horizontal="right" vertical="top" wrapText="1"/>
    </xf>
    <xf numFmtId="177" fontId="0" fillId="0" borderId="17" xfId="13" applyNumberFormat="1" applyFont="1" applyFill="1" applyBorder="1"/>
    <xf numFmtId="177" fontId="0" fillId="0" borderId="14" xfId="0" applyNumberFormat="1" applyBorder="1"/>
    <xf numFmtId="179" fontId="0" fillId="0" borderId="17" xfId="13" applyNumberFormat="1" applyFont="1" applyFill="1" applyBorder="1"/>
    <xf numFmtId="183" fontId="0" fillId="0" borderId="0" xfId="0" applyNumberFormat="1"/>
    <xf numFmtId="185" fontId="0" fillId="0" borderId="14" xfId="0" applyNumberFormat="1" applyBorder="1"/>
    <xf numFmtId="182" fontId="0" fillId="0" borderId="17" xfId="0" applyNumberFormat="1" applyBorder="1"/>
    <xf numFmtId="182" fontId="0" fillId="0" borderId="0" xfId="0" applyNumberFormat="1"/>
    <xf numFmtId="182" fontId="0" fillId="0" borderId="14" xfId="0" applyNumberFormat="1" applyBorder="1"/>
    <xf numFmtId="10" fontId="0" fillId="0" borderId="17" xfId="0" applyNumberFormat="1" applyBorder="1"/>
    <xf numFmtId="10" fontId="0" fillId="0" borderId="14" xfId="0" applyNumberFormat="1" applyBorder="1"/>
    <xf numFmtId="180" fontId="0" fillId="0" borderId="17" xfId="0" applyNumberFormat="1" applyBorder="1"/>
    <xf numFmtId="180" fontId="0" fillId="0" borderId="0" xfId="0" applyNumberFormat="1"/>
    <xf numFmtId="180" fontId="0" fillId="0" borderId="14" xfId="0" applyNumberFormat="1" applyBorder="1"/>
    <xf numFmtId="181" fontId="0" fillId="0" borderId="8" xfId="0" applyNumberFormat="1" applyBorder="1"/>
    <xf numFmtId="181" fontId="0" fillId="0" borderId="24" xfId="0" applyNumberFormat="1" applyBorder="1"/>
    <xf numFmtId="181" fontId="0" fillId="0" borderId="16" xfId="0" applyNumberFormat="1" applyBorder="1"/>
    <xf numFmtId="177" fontId="0" fillId="0" borderId="17" xfId="0" applyNumberFormat="1" applyBorder="1"/>
    <xf numFmtId="184" fontId="0" fillId="0" borderId="17" xfId="11" applyNumberFormat="1" applyFont="1" applyBorder="1"/>
    <xf numFmtId="184" fontId="0" fillId="0" borderId="0" xfId="11" applyNumberFormat="1" applyFont="1" applyBorder="1"/>
    <xf numFmtId="184" fontId="0" fillId="0" borderId="14" xfId="11" applyNumberFormat="1" applyFont="1" applyBorder="1"/>
    <xf numFmtId="179" fontId="0" fillId="0" borderId="14" xfId="0" applyNumberFormat="1" applyBorder="1"/>
    <xf numFmtId="184" fontId="0" fillId="0" borderId="0" xfId="11" applyNumberFormat="1" applyFont="1" applyBorder="1" applyAlignment="1"/>
    <xf numFmtId="14" fontId="5" fillId="5" borderId="0" xfId="0" applyNumberFormat="1" applyFont="1" applyFill="1" applyAlignment="1">
      <alignment horizontal="center"/>
    </xf>
    <xf numFmtId="0" fontId="0" fillId="0" borderId="21" xfId="0" applyBorder="1" applyAlignment="1">
      <alignment horizontal="center"/>
    </xf>
    <xf numFmtId="0" fontId="0" fillId="0" borderId="19" xfId="0" applyBorder="1"/>
    <xf numFmtId="165" fontId="0" fillId="0" borderId="21" xfId="0" applyNumberFormat="1" applyBorder="1"/>
    <xf numFmtId="0" fontId="0" fillId="0" borderId="22" xfId="0" applyBorder="1" applyAlignment="1">
      <alignment horizontal="center"/>
    </xf>
    <xf numFmtId="171" fontId="0" fillId="0" borderId="20" xfId="0" applyNumberFormat="1" applyBorder="1"/>
    <xf numFmtId="0" fontId="0" fillId="0" borderId="22" xfId="0" applyBorder="1"/>
    <xf numFmtId="0" fontId="0" fillId="0" borderId="20" xfId="0" applyBorder="1"/>
    <xf numFmtId="171" fontId="0" fillId="0" borderId="22" xfId="0" applyNumberFormat="1" applyBorder="1"/>
    <xf numFmtId="1" fontId="0" fillId="0" borderId="22" xfId="0" applyNumberFormat="1" applyBorder="1"/>
    <xf numFmtId="165" fontId="0" fillId="0" borderId="20" xfId="0" applyNumberFormat="1" applyBorder="1"/>
    <xf numFmtId="165" fontId="0" fillId="0" borderId="22" xfId="0" applyNumberFormat="1" applyBorder="1"/>
    <xf numFmtId="165" fontId="0" fillId="0" borderId="20" xfId="29" applyFont="1" applyBorder="1" applyAlignment="1"/>
    <xf numFmtId="165" fontId="0" fillId="0" borderId="22" xfId="29" applyFont="1" applyBorder="1" applyAlignment="1"/>
    <xf numFmtId="0" fontId="0" fillId="0" borderId="25" xfId="0" applyBorder="1" applyAlignment="1">
      <alignment horizontal="center"/>
    </xf>
    <xf numFmtId="171" fontId="0" fillId="0" borderId="26" xfId="0" applyNumberFormat="1" applyBorder="1"/>
    <xf numFmtId="171" fontId="0" fillId="0" borderId="25" xfId="0" applyNumberFormat="1" applyBorder="1"/>
    <xf numFmtId="15" fontId="0" fillId="0" borderId="0" xfId="0" applyNumberFormat="1"/>
    <xf numFmtId="184" fontId="0" fillId="0" borderId="0" xfId="11" applyNumberFormat="1" applyFont="1"/>
    <xf numFmtId="171" fontId="6" fillId="0" borderId="0" xfId="2" applyNumberFormat="1" applyFont="1" applyFill="1" applyBorder="1" applyAlignment="1">
      <alignment horizontal="center"/>
    </xf>
    <xf numFmtId="171" fontId="6" fillId="4" borderId="0" xfId="2" applyNumberFormat="1" applyFont="1" applyFill="1" applyBorder="1" applyAlignment="1">
      <alignment horizontal="center" vertical="center"/>
    </xf>
    <xf numFmtId="0" fontId="8" fillId="0" borderId="22" xfId="0" applyFont="1" applyBorder="1"/>
    <xf numFmtId="171" fontId="8" fillId="0" borderId="20" xfId="0" applyNumberFormat="1" applyFont="1" applyBorder="1"/>
    <xf numFmtId="184" fontId="0" fillId="0" borderId="17" xfId="11" applyNumberFormat="1" applyFont="1" applyBorder="1" applyAlignment="1"/>
    <xf numFmtId="14" fontId="9" fillId="20" borderId="6" xfId="30" applyNumberFormat="1" applyFont="1" applyFill="1" applyBorder="1" applyAlignment="1">
      <alignment horizontal="left" vertical="center" wrapText="1"/>
    </xf>
    <xf numFmtId="183" fontId="9" fillId="21" borderId="5" xfId="30" applyNumberFormat="1" applyFont="1" applyFill="1" applyBorder="1" applyAlignment="1">
      <alignment horizontal="right" vertical="top" wrapText="1"/>
    </xf>
    <xf numFmtId="14" fontId="9" fillId="22" borderId="6" xfId="30" applyNumberFormat="1" applyFont="1" applyFill="1" applyBorder="1" applyAlignment="1">
      <alignment horizontal="left" vertical="center" wrapText="1"/>
    </xf>
    <xf numFmtId="183" fontId="9" fillId="22" borderId="5" xfId="30" applyNumberFormat="1" applyFont="1" applyFill="1" applyBorder="1" applyAlignment="1">
      <alignment horizontal="right" vertical="top" wrapText="1"/>
    </xf>
    <xf numFmtId="184" fontId="0" fillId="0" borderId="14" xfId="11" applyNumberFormat="1" applyFont="1" applyFill="1" applyBorder="1" applyAlignment="1"/>
    <xf numFmtId="187" fontId="0" fillId="0" borderId="0" xfId="0" applyNumberFormat="1"/>
    <xf numFmtId="171" fontId="0" fillId="0" borderId="4" xfId="0" applyNumberFormat="1" applyBorder="1" applyAlignment="1">
      <alignment horizontal="center"/>
    </xf>
    <xf numFmtId="171" fontId="0" fillId="0" borderId="12" xfId="0" applyNumberFormat="1" applyBorder="1" applyAlignment="1">
      <alignment horizontal="center"/>
    </xf>
    <xf numFmtId="165" fontId="0" fillId="0" borderId="0" xfId="29" applyFont="1" applyBorder="1" applyAlignment="1">
      <alignment horizontal="center"/>
    </xf>
    <xf numFmtId="165" fontId="0" fillId="0" borderId="14" xfId="29" applyFont="1" applyBorder="1" applyAlignment="1">
      <alignment horizontal="center"/>
    </xf>
    <xf numFmtId="0" fontId="7" fillId="9" borderId="1" xfId="0" applyFont="1" applyFill="1" applyBorder="1" applyAlignment="1">
      <alignment horizontal="center" vertical="center" wrapText="1"/>
    </xf>
    <xf numFmtId="14" fontId="9" fillId="20" borderId="6" xfId="31" applyNumberFormat="1" applyFont="1" applyFill="1" applyBorder="1" applyAlignment="1">
      <alignment horizontal="left" vertical="center" wrapText="1"/>
    </xf>
    <xf numFmtId="183" fontId="9" fillId="21" borderId="5" xfId="31" applyNumberFormat="1" applyFont="1" applyFill="1" applyBorder="1" applyAlignment="1">
      <alignment horizontal="right" vertical="top" wrapText="1"/>
    </xf>
    <xf numFmtId="14" fontId="9" fillId="22" borderId="6" xfId="31" applyNumberFormat="1" applyFont="1" applyFill="1" applyBorder="1" applyAlignment="1">
      <alignment horizontal="left" vertical="center" wrapText="1"/>
    </xf>
    <xf numFmtId="183" fontId="9" fillId="22" borderId="5" xfId="31" applyNumberFormat="1" applyFont="1" applyFill="1" applyBorder="1" applyAlignment="1">
      <alignment horizontal="right" vertical="top" wrapText="1"/>
    </xf>
    <xf numFmtId="14" fontId="5" fillId="5" borderId="0" xfId="0" quotePrefix="1" applyNumberFormat="1" applyFont="1" applyFill="1" applyAlignment="1">
      <alignment horizontal="center"/>
    </xf>
    <xf numFmtId="17" fontId="0" fillId="0" borderId="1" xfId="0" quotePrefix="1" applyNumberFormat="1" applyBorder="1" applyAlignment="1">
      <alignment horizontal="center"/>
    </xf>
    <xf numFmtId="177" fontId="0" fillId="0" borderId="14" xfId="0" applyNumberFormat="1" applyBorder="1" applyAlignment="1">
      <alignment horizontal="center"/>
    </xf>
    <xf numFmtId="184" fontId="0" fillId="0" borderId="0" xfId="11" applyNumberFormat="1" applyFont="1" applyFill="1" applyBorder="1" applyAlignment="1"/>
    <xf numFmtId="2" fontId="16" fillId="0" borderId="0" xfId="0" applyNumberFormat="1" applyFont="1" applyAlignment="1">
      <alignment horizontal="right"/>
    </xf>
    <xf numFmtId="14" fontId="16" fillId="0" borderId="22" xfId="0" quotePrefix="1" applyNumberFormat="1" applyFont="1" applyBorder="1" applyAlignment="1">
      <alignment horizontal="right"/>
    </xf>
    <xf numFmtId="178" fontId="16" fillId="0" borderId="22" xfId="7" quotePrefix="1" applyNumberFormat="1" applyFont="1" applyBorder="1" applyAlignment="1">
      <alignment horizontal="right"/>
    </xf>
    <xf numFmtId="177" fontId="0" fillId="0" borderId="1" xfId="13" applyNumberFormat="1" applyFont="1" applyBorder="1" applyAlignment="1">
      <alignment horizontal="right"/>
    </xf>
    <xf numFmtId="14" fontId="9" fillId="20" borderId="6" xfId="32" applyNumberFormat="1" applyFont="1" applyFill="1" applyBorder="1" applyAlignment="1">
      <alignment horizontal="left" vertical="center" wrapText="1"/>
    </xf>
    <xf numFmtId="183" fontId="9" fillId="21" borderId="5" xfId="32" applyNumberFormat="1" applyFont="1" applyFill="1" applyBorder="1" applyAlignment="1">
      <alignment horizontal="right" vertical="top" wrapText="1"/>
    </xf>
    <xf numFmtId="14" fontId="9" fillId="22" borderId="6" xfId="32" applyNumberFormat="1" applyFont="1" applyFill="1" applyBorder="1" applyAlignment="1">
      <alignment horizontal="left" vertical="center" wrapText="1"/>
    </xf>
    <xf numFmtId="183" fontId="9" fillId="22" borderId="5" xfId="32" applyNumberFormat="1" applyFont="1" applyFill="1" applyBorder="1" applyAlignment="1">
      <alignment horizontal="right" vertical="top" wrapText="1"/>
    </xf>
    <xf numFmtId="0" fontId="0" fillId="0" borderId="12" xfId="0" applyBorder="1"/>
    <xf numFmtId="0" fontId="0" fillId="0" borderId="14" xfId="0" applyBorder="1"/>
    <xf numFmtId="14" fontId="9" fillId="20" borderId="6" xfId="34" applyNumberFormat="1" applyFont="1" applyFill="1" applyBorder="1" applyAlignment="1">
      <alignment horizontal="left" vertical="center" wrapText="1"/>
    </xf>
    <xf numFmtId="183" fontId="9" fillId="21" borderId="5" xfId="34" applyNumberFormat="1" applyFont="1" applyFill="1" applyBorder="1" applyAlignment="1">
      <alignment horizontal="right" vertical="top" wrapText="1"/>
    </xf>
    <xf numFmtId="14" fontId="9" fillId="22" borderId="6" xfId="34" applyNumberFormat="1" applyFont="1" applyFill="1" applyBorder="1" applyAlignment="1">
      <alignment horizontal="left" vertical="center" wrapText="1"/>
    </xf>
    <xf numFmtId="183" fontId="9" fillId="22" borderId="5" xfId="34" applyNumberFormat="1" applyFont="1" applyFill="1" applyBorder="1" applyAlignment="1">
      <alignment horizontal="right" vertical="top" wrapText="1"/>
    </xf>
    <xf numFmtId="171" fontId="7" fillId="0" borderId="0" xfId="2" applyNumberFormat="1" applyFont="1" applyFill="1" applyBorder="1" applyAlignment="1">
      <alignment horizontal="center"/>
    </xf>
    <xf numFmtId="14" fontId="5" fillId="0" borderId="0" xfId="0" quotePrefix="1" applyNumberFormat="1" applyFont="1" applyAlignment="1">
      <alignment horizontal="center"/>
    </xf>
    <xf numFmtId="17" fontId="0" fillId="0" borderId="0" xfId="0" quotePrefix="1" applyNumberFormat="1" applyAlignment="1">
      <alignment horizontal="center"/>
    </xf>
    <xf numFmtId="171" fontId="0" fillId="0" borderId="0" xfId="2" applyNumberFormat="1" applyFont="1" applyFill="1" applyBorder="1" applyAlignment="1">
      <alignment horizontal="center" vertical="center"/>
    </xf>
    <xf numFmtId="171" fontId="8" fillId="0" borderId="0" xfId="3" applyNumberFormat="1" applyFont="1" applyFill="1" applyBorder="1" applyAlignment="1">
      <alignment horizontal="center" vertical="center"/>
    </xf>
    <xf numFmtId="171" fontId="8" fillId="0" borderId="0" xfId="2" applyNumberFormat="1" applyFont="1" applyFill="1" applyBorder="1" applyAlignment="1">
      <alignment horizontal="center"/>
    </xf>
    <xf numFmtId="171" fontId="0" fillId="0" borderId="0" xfId="2" applyNumberFormat="1" applyFont="1" applyFill="1" applyBorder="1" applyAlignment="1">
      <alignment horizontal="center"/>
    </xf>
    <xf numFmtId="171" fontId="6" fillId="0" borderId="0" xfId="2" applyNumberFormat="1" applyFont="1" applyFill="1" applyBorder="1" applyAlignment="1">
      <alignment horizontal="center" vertical="center"/>
    </xf>
    <xf numFmtId="174" fontId="6" fillId="0" borderId="0" xfId="2" applyNumberFormat="1" applyFont="1" applyFill="1" applyBorder="1" applyAlignment="1">
      <alignment horizontal="center"/>
    </xf>
    <xf numFmtId="17" fontId="35" fillId="5" borderId="0" xfId="0" applyNumberFormat="1" applyFont="1" applyFill="1" applyAlignment="1">
      <alignment horizontal="center"/>
    </xf>
    <xf numFmtId="1" fontId="8" fillId="0" borderId="4" xfId="0" applyNumberFormat="1" applyFont="1" applyBorder="1"/>
    <xf numFmtId="178" fontId="16" fillId="0" borderId="0" xfId="7" quotePrefix="1" applyNumberFormat="1" applyFont="1" applyAlignment="1">
      <alignment horizontal="right"/>
    </xf>
    <xf numFmtId="177" fontId="0" fillId="0" borderId="0" xfId="13" applyNumberFormat="1" applyFont="1" applyFill="1" applyBorder="1"/>
    <xf numFmtId="177" fontId="5" fillId="0" borderId="0" xfId="13" applyNumberFormat="1" applyFont="1" applyFill="1" applyBorder="1"/>
    <xf numFmtId="177" fontId="5" fillId="0" borderId="0" xfId="0" applyNumberFormat="1" applyFont="1"/>
    <xf numFmtId="171" fontId="0" fillId="0" borderId="27" xfId="0" applyNumberFormat="1" applyBorder="1"/>
    <xf numFmtId="165" fontId="8" fillId="0" borderId="27" xfId="29" applyFont="1" applyBorder="1"/>
    <xf numFmtId="171" fontId="0" fillId="0" borderId="28" xfId="0" applyNumberFormat="1" applyBorder="1"/>
    <xf numFmtId="0" fontId="0" fillId="0" borderId="28" xfId="0" applyBorder="1"/>
    <xf numFmtId="0" fontId="0" fillId="0" borderId="29" xfId="0" applyBorder="1"/>
    <xf numFmtId="9" fontId="29" fillId="0" borderId="0" xfId="11" applyFont="1" applyBorder="1"/>
    <xf numFmtId="165" fontId="34" fillId="0" borderId="0" xfId="29" applyFont="1" applyBorder="1"/>
    <xf numFmtId="165" fontId="0" fillId="0" borderId="0" xfId="0" applyNumberFormat="1"/>
    <xf numFmtId="165" fontId="0" fillId="0" borderId="22" xfId="29" applyFont="1" applyBorder="1"/>
    <xf numFmtId="165" fontId="0" fillId="0" borderId="21" xfId="29" applyFont="1" applyBorder="1"/>
    <xf numFmtId="165" fontId="0" fillId="0" borderId="25" xfId="29" applyFont="1" applyBorder="1"/>
    <xf numFmtId="171" fontId="0" fillId="0" borderId="21" xfId="0" applyNumberFormat="1" applyBorder="1"/>
    <xf numFmtId="165" fontId="29" fillId="0" borderId="22" xfId="0" applyNumberFormat="1" applyFont="1" applyBorder="1"/>
    <xf numFmtId="0" fontId="29" fillId="0" borderId="22" xfId="0" applyFont="1" applyBorder="1"/>
    <xf numFmtId="171" fontId="29" fillId="0" borderId="22" xfId="0" applyNumberFormat="1" applyFont="1" applyBorder="1"/>
    <xf numFmtId="0" fontId="29" fillId="0" borderId="25" xfId="0" applyFont="1" applyBorder="1"/>
    <xf numFmtId="177" fontId="0" fillId="0" borderId="0" xfId="13" applyNumberFormat="1" applyFont="1" applyBorder="1" applyAlignment="1">
      <alignment horizontal="right"/>
    </xf>
    <xf numFmtId="0" fontId="5" fillId="0" borderId="1" xfId="0" applyFont="1" applyBorder="1" applyAlignment="1">
      <alignment horizontal="center"/>
    </xf>
    <xf numFmtId="0" fontId="6" fillId="28" borderId="1" xfId="0" applyFont="1" applyFill="1" applyBorder="1" applyAlignment="1">
      <alignment horizontal="center"/>
    </xf>
    <xf numFmtId="171" fontId="7" fillId="28" borderId="1" xfId="2" applyNumberFormat="1" applyFont="1" applyFill="1" applyBorder="1" applyAlignment="1">
      <alignment horizontal="center"/>
    </xf>
    <xf numFmtId="186" fontId="0" fillId="0" borderId="0" xfId="0" applyNumberFormat="1"/>
    <xf numFmtId="14" fontId="9" fillId="20" borderId="6" xfId="37" applyNumberFormat="1" applyFont="1" applyFill="1" applyBorder="1" applyAlignment="1">
      <alignment horizontal="left" vertical="center" wrapText="1"/>
    </xf>
    <xf numFmtId="183" fontId="9" fillId="21" borderId="5" xfId="37" applyNumberFormat="1" applyFont="1" applyFill="1" applyBorder="1" applyAlignment="1">
      <alignment horizontal="right" vertical="top" wrapText="1"/>
    </xf>
    <xf numFmtId="14" fontId="9" fillId="22" borderId="6" xfId="37" applyNumberFormat="1" applyFont="1" applyFill="1" applyBorder="1" applyAlignment="1">
      <alignment horizontal="left" vertical="center" wrapText="1"/>
    </xf>
    <xf numFmtId="183" fontId="9" fillId="22" borderId="5" xfId="37" applyNumberFormat="1" applyFont="1" applyFill="1" applyBorder="1" applyAlignment="1">
      <alignment horizontal="right" vertical="top" wrapText="1"/>
    </xf>
    <xf numFmtId="165" fontId="0" fillId="0" borderId="0" xfId="29" applyFont="1"/>
    <xf numFmtId="0" fontId="34" fillId="0" borderId="0" xfId="0" applyFont="1"/>
    <xf numFmtId="0" fontId="36" fillId="0" borderId="0" xfId="0" applyFont="1"/>
    <xf numFmtId="0" fontId="37" fillId="0" borderId="0" xfId="0" applyFont="1"/>
    <xf numFmtId="168" fontId="0" fillId="4" borderId="1" xfId="3" applyFont="1" applyFill="1" applyBorder="1" applyAlignment="1">
      <alignment horizontal="center" vertical="center"/>
    </xf>
    <xf numFmtId="165" fontId="0" fillId="0" borderId="22" xfId="29" applyFont="1" applyFill="1" applyBorder="1" applyAlignment="1"/>
    <xf numFmtId="165" fontId="29" fillId="0" borderId="0" xfId="0" applyNumberFormat="1" applyFont="1"/>
    <xf numFmtId="171" fontId="34" fillId="0" borderId="0" xfId="0" applyNumberFormat="1" applyFont="1"/>
    <xf numFmtId="165" fontId="0" fillId="0" borderId="1" xfId="29" applyFont="1" applyBorder="1"/>
    <xf numFmtId="0" fontId="6" fillId="0" borderId="1" xfId="0" applyFont="1" applyBorder="1"/>
    <xf numFmtId="165" fontId="0" fillId="29" borderId="20" xfId="29" applyFont="1" applyFill="1" applyBorder="1" applyAlignment="1">
      <alignment horizontal="center"/>
    </xf>
    <xf numFmtId="186" fontId="0" fillId="29" borderId="22" xfId="0" applyNumberFormat="1" applyFill="1" applyBorder="1" applyAlignment="1">
      <alignment horizontal="center"/>
    </xf>
    <xf numFmtId="1" fontId="0" fillId="29" borderId="22" xfId="0" applyNumberFormat="1" applyFill="1" applyBorder="1" applyAlignment="1">
      <alignment horizontal="center"/>
    </xf>
    <xf numFmtId="14" fontId="9" fillId="20" borderId="6" xfId="38" applyNumberFormat="1" applyFont="1" applyFill="1" applyBorder="1" applyAlignment="1">
      <alignment horizontal="left" vertical="center" wrapText="1"/>
    </xf>
    <xf numFmtId="183" fontId="9" fillId="21" borderId="5" xfId="38" applyNumberFormat="1" applyFont="1" applyFill="1" applyBorder="1" applyAlignment="1">
      <alignment horizontal="right" vertical="center" wrapText="1"/>
    </xf>
    <xf numFmtId="14" fontId="9" fillId="22" borderId="6" xfId="38" applyNumberFormat="1" applyFont="1" applyFill="1" applyBorder="1" applyAlignment="1">
      <alignment horizontal="left" vertical="center" wrapText="1"/>
    </xf>
    <xf numFmtId="183" fontId="9" fillId="22" borderId="5" xfId="38" applyNumberFormat="1" applyFont="1" applyFill="1" applyBorder="1" applyAlignment="1">
      <alignment horizontal="right" vertical="center" wrapText="1"/>
    </xf>
    <xf numFmtId="184" fontId="0" fillId="0" borderId="1" xfId="11" applyNumberFormat="1" applyFont="1" applyBorder="1"/>
    <xf numFmtId="177" fontId="0" fillId="0" borderId="1" xfId="0" applyNumberFormat="1" applyBorder="1"/>
    <xf numFmtId="188" fontId="0" fillId="0" borderId="1" xfId="29" applyNumberFormat="1" applyFont="1" applyBorder="1"/>
    <xf numFmtId="187" fontId="0" fillId="0" borderId="1" xfId="0" applyNumberFormat="1" applyBorder="1"/>
    <xf numFmtId="0" fontId="6" fillId="30" borderId="1" xfId="0" applyFont="1" applyFill="1" applyBorder="1"/>
    <xf numFmtId="165" fontId="6" fillId="30" borderId="1" xfId="0" applyNumberFormat="1" applyFont="1" applyFill="1" applyBorder="1"/>
    <xf numFmtId="0" fontId="6" fillId="0" borderId="1" xfId="0" applyFont="1" applyBorder="1" applyAlignment="1">
      <alignment horizontal="center" vertical="center"/>
    </xf>
    <xf numFmtId="0" fontId="42" fillId="0" borderId="0" xfId="0" applyFont="1"/>
    <xf numFmtId="1" fontId="0" fillId="0" borderId="1" xfId="0" applyNumberFormat="1" applyBorder="1"/>
    <xf numFmtId="14" fontId="9" fillId="22" borderId="6" xfId="39" applyNumberFormat="1" applyFont="1" applyFill="1" applyBorder="1" applyAlignment="1">
      <alignment horizontal="left" vertical="center" wrapText="1"/>
    </xf>
    <xf numFmtId="183" fontId="9" fillId="22" borderId="5" xfId="39" applyNumberFormat="1" applyFont="1" applyFill="1" applyBorder="1" applyAlignment="1">
      <alignment horizontal="right" vertical="center" wrapText="1"/>
    </xf>
    <xf numFmtId="14" fontId="9" fillId="20" borderId="6" xfId="39" applyNumberFormat="1" applyFont="1" applyFill="1" applyBorder="1" applyAlignment="1">
      <alignment horizontal="left" vertical="center" wrapText="1"/>
    </xf>
    <xf numFmtId="183" fontId="9" fillId="21" borderId="5" xfId="39" applyNumberFormat="1" applyFont="1" applyFill="1" applyBorder="1" applyAlignment="1">
      <alignment horizontal="right" vertical="center" wrapText="1"/>
    </xf>
    <xf numFmtId="14" fontId="9" fillId="22" borderId="6" xfId="0" applyNumberFormat="1" applyFont="1" applyFill="1" applyBorder="1" applyAlignment="1">
      <alignment horizontal="left" vertical="center" wrapText="1"/>
    </xf>
    <xf numFmtId="183" fontId="9" fillId="22" borderId="5" xfId="0" applyNumberFormat="1" applyFont="1" applyFill="1" applyBorder="1" applyAlignment="1">
      <alignment horizontal="right" vertical="center" wrapText="1"/>
    </xf>
    <xf numFmtId="14" fontId="9" fillId="20" borderId="6" xfId="0" applyNumberFormat="1" applyFont="1" applyFill="1" applyBorder="1" applyAlignment="1">
      <alignment horizontal="left" vertical="center" wrapText="1"/>
    </xf>
    <xf numFmtId="183" fontId="9" fillId="21" borderId="5" xfId="0" applyNumberFormat="1" applyFont="1" applyFill="1" applyBorder="1" applyAlignment="1">
      <alignment horizontal="right" vertical="center" wrapText="1"/>
    </xf>
    <xf numFmtId="165" fontId="0" fillId="0" borderId="1" xfId="29" applyFont="1" applyFill="1" applyBorder="1"/>
    <xf numFmtId="184" fontId="0" fillId="0" borderId="17" xfId="11" applyNumberFormat="1" applyFont="1" applyFill="1" applyBorder="1" applyAlignment="1"/>
    <xf numFmtId="165" fontId="0" fillId="0" borderId="13" xfId="29" applyFont="1" applyBorder="1"/>
    <xf numFmtId="182" fontId="0" fillId="0" borderId="13" xfId="0" applyNumberFormat="1" applyBorder="1"/>
    <xf numFmtId="180" fontId="0" fillId="0" borderId="13" xfId="0" applyNumberFormat="1" applyBorder="1"/>
    <xf numFmtId="181" fontId="0" fillId="0" borderId="15" xfId="0" applyNumberFormat="1" applyBorder="1"/>
    <xf numFmtId="185" fontId="0" fillId="0" borderId="13" xfId="0" applyNumberFormat="1" applyBorder="1"/>
    <xf numFmtId="184" fontId="0" fillId="0" borderId="13" xfId="11" applyNumberFormat="1" applyFont="1" applyBorder="1"/>
    <xf numFmtId="14" fontId="9" fillId="20" borderId="6" xfId="42" applyNumberFormat="1" applyFont="1" applyFill="1" applyBorder="1" applyAlignment="1">
      <alignment horizontal="left" vertical="center" wrapText="1"/>
    </xf>
    <xf numFmtId="183" fontId="9" fillId="21" borderId="5" xfId="42" applyNumberFormat="1" applyFont="1" applyFill="1" applyBorder="1" applyAlignment="1">
      <alignment horizontal="right" vertical="center" wrapText="1"/>
    </xf>
    <xf numFmtId="14" fontId="9" fillId="22" borderId="6" xfId="42" applyNumberFormat="1" applyFont="1" applyFill="1" applyBorder="1" applyAlignment="1">
      <alignment horizontal="left" vertical="center" wrapText="1"/>
    </xf>
    <xf numFmtId="183" fontId="9" fillId="22" borderId="5" xfId="42" applyNumberFormat="1" applyFont="1" applyFill="1" applyBorder="1" applyAlignment="1">
      <alignment horizontal="right" vertical="center" wrapText="1"/>
    </xf>
    <xf numFmtId="165" fontId="0" fillId="0" borderId="1" xfId="0" applyNumberFormat="1" applyBorder="1"/>
    <xf numFmtId="14" fontId="6" fillId="0" borderId="1" xfId="0" applyNumberFormat="1" applyFont="1" applyBorder="1" applyAlignment="1">
      <alignment horizontal="center" vertical="center"/>
    </xf>
    <xf numFmtId="169" fontId="0" fillId="0" borderId="0" xfId="0" applyNumberFormat="1"/>
    <xf numFmtId="183" fontId="5" fillId="10" borderId="1" xfId="0" applyNumberFormat="1" applyFont="1" applyFill="1" applyBorder="1"/>
    <xf numFmtId="183" fontId="5" fillId="10" borderId="30" xfId="0" applyNumberFormat="1" applyFont="1" applyFill="1" applyBorder="1"/>
    <xf numFmtId="183" fontId="41" fillId="0" borderId="0" xfId="0" applyNumberFormat="1" applyFont="1"/>
    <xf numFmtId="171" fontId="6" fillId="4" borderId="2" xfId="2" applyNumberFormat="1" applyFont="1" applyFill="1" applyBorder="1" applyAlignment="1">
      <alignment horizontal="center" vertical="center"/>
    </xf>
    <xf numFmtId="168" fontId="9" fillId="21" borderId="5" xfId="2" applyFont="1" applyFill="1" applyBorder="1" applyAlignment="1">
      <alignment horizontal="right" vertical="center" wrapText="1"/>
    </xf>
    <xf numFmtId="168" fontId="9" fillId="22" borderId="5" xfId="2" applyFont="1" applyFill="1" applyBorder="1" applyAlignment="1">
      <alignment horizontal="right" vertical="center" wrapText="1"/>
    </xf>
    <xf numFmtId="168" fontId="0" fillId="0" borderId="0" xfId="2" applyFont="1"/>
    <xf numFmtId="168" fontId="23" fillId="20" borderId="1" xfId="2" applyFont="1" applyFill="1" applyBorder="1" applyAlignment="1">
      <alignment horizontal="center" vertical="center" wrapText="1"/>
    </xf>
    <xf numFmtId="17" fontId="0" fillId="0" borderId="1" xfId="0" quotePrefix="1" applyNumberFormat="1" applyBorder="1"/>
    <xf numFmtId="171" fontId="0" fillId="0" borderId="1" xfId="2" applyNumberFormat="1" applyFont="1" applyFill="1" applyBorder="1" applyAlignment="1">
      <alignment vertical="center"/>
    </xf>
    <xf numFmtId="171" fontId="8" fillId="4" borderId="1" xfId="2" applyNumberFormat="1" applyFont="1" applyFill="1" applyBorder="1" applyAlignment="1"/>
    <xf numFmtId="171" fontId="0" fillId="4" borderId="1" xfId="2" applyNumberFormat="1" applyFont="1" applyFill="1" applyBorder="1" applyAlignment="1"/>
    <xf numFmtId="171" fontId="0" fillId="4" borderId="1" xfId="2" applyNumberFormat="1" applyFont="1" applyFill="1" applyBorder="1" applyAlignment="1">
      <alignment vertical="center"/>
    </xf>
    <xf numFmtId="171" fontId="6" fillId="4" borderId="1" xfId="2" applyNumberFormat="1" applyFont="1" applyFill="1" applyBorder="1" applyAlignment="1">
      <alignment vertical="center"/>
    </xf>
    <xf numFmtId="171" fontId="6" fillId="4" borderId="0" xfId="2" applyNumberFormat="1" applyFont="1" applyFill="1" applyBorder="1" applyAlignment="1">
      <alignment vertical="center"/>
    </xf>
    <xf numFmtId="175" fontId="6" fillId="4" borderId="1" xfId="2" applyNumberFormat="1" applyFont="1" applyFill="1" applyBorder="1" applyAlignment="1">
      <alignment vertical="center"/>
    </xf>
    <xf numFmtId="171" fontId="7" fillId="4" borderId="1" xfId="2" applyNumberFormat="1" applyFont="1" applyFill="1" applyBorder="1" applyAlignment="1"/>
    <xf numFmtId="171" fontId="7" fillId="0" borderId="1" xfId="2" applyNumberFormat="1" applyFont="1" applyFill="1" applyBorder="1" applyAlignment="1"/>
    <xf numFmtId="174" fontId="6" fillId="4" borderId="1" xfId="2" applyNumberFormat="1" applyFont="1" applyFill="1" applyBorder="1" applyAlignment="1"/>
    <xf numFmtId="171" fontId="7" fillId="7" borderId="1" xfId="2" applyNumberFormat="1" applyFont="1" applyFill="1" applyBorder="1" applyAlignment="1"/>
    <xf numFmtId="171" fontId="7" fillId="19" borderId="1" xfId="2" applyNumberFormat="1" applyFont="1" applyFill="1" applyBorder="1" applyAlignment="1"/>
    <xf numFmtId="171" fontId="7" fillId="27" borderId="1" xfId="2" applyNumberFormat="1" applyFont="1" applyFill="1" applyBorder="1" applyAlignment="1"/>
    <xf numFmtId="171" fontId="7" fillId="8" borderId="1" xfId="2" applyNumberFormat="1" applyFont="1" applyFill="1" applyBorder="1" applyAlignment="1"/>
    <xf numFmtId="171" fontId="7" fillId="9" borderId="1" xfId="2" applyNumberFormat="1" applyFont="1" applyFill="1" applyBorder="1" applyAlignment="1"/>
    <xf numFmtId="171" fontId="7" fillId="24" borderId="1" xfId="2" applyNumberFormat="1" applyFont="1" applyFill="1" applyBorder="1" applyAlignment="1"/>
    <xf numFmtId="171" fontId="7" fillId="28" borderId="1" xfId="2" applyNumberFormat="1" applyFont="1" applyFill="1" applyBorder="1" applyAlignment="1"/>
    <xf numFmtId="171" fontId="7" fillId="6" borderId="1" xfId="2" applyNumberFormat="1" applyFont="1" applyFill="1" applyBorder="1" applyAlignment="1"/>
    <xf numFmtId="171" fontId="7" fillId="18" borderId="1" xfId="2" applyNumberFormat="1" applyFont="1" applyFill="1" applyBorder="1" applyAlignment="1"/>
    <xf numFmtId="185" fontId="0" fillId="0" borderId="0" xfId="0" applyNumberFormat="1"/>
    <xf numFmtId="168" fontId="23" fillId="20" borderId="1" xfId="10" applyFont="1" applyFill="1" applyBorder="1" applyAlignment="1">
      <alignment horizontal="center" vertical="center" wrapText="1"/>
    </xf>
    <xf numFmtId="171" fontId="5" fillId="0" borderId="0" xfId="2" applyNumberFormat="1" applyFont="1" applyFill="1" applyBorder="1" applyAlignment="1">
      <alignment horizontal="center"/>
    </xf>
    <xf numFmtId="174" fontId="5" fillId="0" borderId="0" xfId="2" applyNumberFormat="1" applyFont="1" applyFill="1" applyBorder="1" applyAlignment="1">
      <alignment horizontal="center"/>
    </xf>
    <xf numFmtId="171" fontId="34" fillId="0" borderId="0" xfId="2" applyNumberFormat="1" applyFont="1" applyFill="1" applyBorder="1" applyAlignment="1">
      <alignment horizontal="center"/>
    </xf>
    <xf numFmtId="189" fontId="19" fillId="0" borderId="0" xfId="29" applyNumberFormat="1" applyFont="1" applyAlignment="1">
      <alignment horizontal="left" vertical="center"/>
    </xf>
    <xf numFmtId="0" fontId="18" fillId="32" borderId="33" xfId="0" applyFont="1" applyFill="1" applyBorder="1" applyAlignment="1">
      <alignment horizontal="center" vertical="center" wrapText="1"/>
    </xf>
    <xf numFmtId="0" fontId="18" fillId="32" borderId="19" xfId="0" applyFont="1" applyFill="1" applyBorder="1" applyAlignment="1">
      <alignment horizontal="center" vertical="center"/>
    </xf>
    <xf numFmtId="0" fontId="20" fillId="33" borderId="21" xfId="0" applyFont="1" applyFill="1" applyBorder="1" applyAlignment="1">
      <alignment horizontal="left" vertical="center"/>
    </xf>
    <xf numFmtId="0" fontId="20" fillId="33" borderId="22" xfId="0" applyFont="1" applyFill="1" applyBorder="1" applyAlignment="1">
      <alignment horizontal="left" vertical="center"/>
    </xf>
    <xf numFmtId="0" fontId="20" fillId="33" borderId="25" xfId="0" applyFont="1" applyFill="1" applyBorder="1" applyAlignment="1">
      <alignment horizontal="left" vertical="center"/>
    </xf>
    <xf numFmtId="171" fontId="0" fillId="0" borderId="1" xfId="3" applyNumberFormat="1" applyFont="1" applyFill="1" applyBorder="1" applyAlignment="1">
      <alignment horizontal="center" vertical="center"/>
    </xf>
    <xf numFmtId="168" fontId="0" fillId="0" borderId="1" xfId="3" applyFont="1" applyFill="1" applyBorder="1" applyAlignment="1">
      <alignment horizontal="center" vertical="center"/>
    </xf>
    <xf numFmtId="171" fontId="8" fillId="0" borderId="1" xfId="3" applyNumberFormat="1" applyFont="1" applyFill="1" applyBorder="1" applyAlignment="1">
      <alignment horizontal="center" vertical="center"/>
    </xf>
    <xf numFmtId="168" fontId="8" fillId="0" borderId="1" xfId="3" applyFont="1" applyFill="1" applyBorder="1" applyAlignment="1">
      <alignment horizontal="center" vertical="center"/>
    </xf>
    <xf numFmtId="168" fontId="8" fillId="0" borderId="1" xfId="3" applyFont="1" applyFill="1" applyBorder="1" applyAlignment="1">
      <alignment vertical="center"/>
    </xf>
    <xf numFmtId="171" fontId="7" fillId="0" borderId="0" xfId="2" applyNumberFormat="1" applyFont="1" applyFill="1" applyBorder="1" applyAlignment="1"/>
    <xf numFmtId="0" fontId="5" fillId="0" borderId="0" xfId="0" applyFont="1" applyAlignment="1">
      <alignment horizontal="center"/>
    </xf>
    <xf numFmtId="171" fontId="0" fillId="0" borderId="1" xfId="2" applyNumberFormat="1" applyFont="1" applyBorder="1"/>
    <xf numFmtId="171" fontId="6" fillId="0" borderId="1" xfId="2" applyNumberFormat="1" applyFont="1" applyBorder="1"/>
    <xf numFmtId="43" fontId="0" fillId="0" borderId="0" xfId="13" applyFont="1"/>
    <xf numFmtId="17" fontId="0" fillId="0" borderId="2" xfId="0" quotePrefix="1" applyNumberFormat="1" applyBorder="1"/>
    <xf numFmtId="171" fontId="0" fillId="0" borderId="2" xfId="2" applyNumberFormat="1" applyFont="1" applyFill="1" applyBorder="1" applyAlignment="1">
      <alignment vertical="center"/>
    </xf>
    <xf numFmtId="168" fontId="8" fillId="0" borderId="2" xfId="3" applyFont="1" applyFill="1" applyBorder="1" applyAlignment="1">
      <alignment vertical="center"/>
    </xf>
    <xf numFmtId="171" fontId="8" fillId="4" borderId="2" xfId="2" applyNumberFormat="1" applyFont="1" applyFill="1" applyBorder="1" applyAlignment="1"/>
    <xf numFmtId="171" fontId="0" fillId="4" borderId="2" xfId="2" applyNumberFormat="1" applyFont="1" applyFill="1" applyBorder="1" applyAlignment="1"/>
    <xf numFmtId="171" fontId="0" fillId="4" borderId="2" xfId="2" applyNumberFormat="1" applyFont="1" applyFill="1" applyBorder="1" applyAlignment="1">
      <alignment vertical="center"/>
    </xf>
    <xf numFmtId="171" fontId="6" fillId="4" borderId="2" xfId="2" applyNumberFormat="1" applyFont="1" applyFill="1" applyBorder="1" applyAlignment="1">
      <alignment vertical="center"/>
    </xf>
    <xf numFmtId="175" fontId="6" fillId="4" borderId="2" xfId="2" applyNumberFormat="1" applyFont="1" applyFill="1" applyBorder="1" applyAlignment="1">
      <alignment vertical="center"/>
    </xf>
    <xf numFmtId="171" fontId="7" fillId="4" borderId="2" xfId="2" applyNumberFormat="1" applyFont="1" applyFill="1" applyBorder="1" applyAlignment="1"/>
    <xf numFmtId="171" fontId="7" fillId="0" borderId="2" xfId="2" applyNumberFormat="1" applyFont="1" applyFill="1" applyBorder="1" applyAlignment="1"/>
    <xf numFmtId="168" fontId="8" fillId="0" borderId="0" xfId="3" applyFont="1" applyFill="1" applyBorder="1" applyAlignment="1">
      <alignment vertical="center"/>
    </xf>
    <xf numFmtId="0" fontId="34" fillId="10" borderId="0" xfId="0" applyFont="1" applyFill="1"/>
    <xf numFmtId="0" fontId="5" fillId="10" borderId="7" xfId="0" applyFont="1" applyFill="1" applyBorder="1" applyAlignment="1">
      <alignment horizontal="center"/>
    </xf>
    <xf numFmtId="0" fontId="5" fillId="10" borderId="4" xfId="0" applyFont="1" applyFill="1" applyBorder="1" applyAlignment="1">
      <alignment horizontal="center"/>
    </xf>
    <xf numFmtId="0" fontId="5" fillId="10" borderId="12" xfId="0" applyFont="1" applyFill="1" applyBorder="1" applyAlignment="1">
      <alignment horizontal="center"/>
    </xf>
    <xf numFmtId="14" fontId="5" fillId="10" borderId="11" xfId="0" applyNumberFormat="1" applyFont="1" applyFill="1" applyBorder="1" applyAlignment="1">
      <alignment horizontal="center"/>
    </xf>
    <xf numFmtId="191" fontId="0" fillId="0" borderId="0" xfId="0" applyNumberFormat="1"/>
    <xf numFmtId="192" fontId="0" fillId="0" borderId="1" xfId="0" applyNumberFormat="1" applyBorder="1"/>
    <xf numFmtId="0" fontId="34" fillId="10" borderId="0" xfId="0" applyFont="1" applyFill="1" applyAlignment="1">
      <alignment horizontal="center"/>
    </xf>
    <xf numFmtId="17" fontId="6" fillId="0" borderId="1" xfId="0" quotePrefix="1" applyNumberFormat="1" applyFont="1" applyBorder="1" applyAlignment="1">
      <alignment horizontal="center"/>
    </xf>
    <xf numFmtId="192" fontId="0" fillId="0" borderId="0" xfId="0" applyNumberFormat="1"/>
    <xf numFmtId="193" fontId="0" fillId="0" borderId="0" xfId="0" applyNumberFormat="1" applyAlignment="1">
      <alignment horizontal="center"/>
    </xf>
    <xf numFmtId="171" fontId="0" fillId="0" borderId="1" xfId="2" applyNumberFormat="1" applyFont="1" applyFill="1" applyBorder="1"/>
    <xf numFmtId="171" fontId="7" fillId="0" borderId="1" xfId="2" applyNumberFormat="1" applyFont="1" applyFill="1" applyBorder="1"/>
    <xf numFmtId="190" fontId="19" fillId="30" borderId="33" xfId="0" applyNumberFormat="1" applyFont="1" applyFill="1" applyBorder="1" applyAlignment="1">
      <alignment horizontal="center"/>
    </xf>
    <xf numFmtId="164" fontId="19" fillId="30" borderId="19" xfId="46" applyFont="1" applyFill="1" applyBorder="1" applyAlignment="1">
      <alignment horizontal="center"/>
    </xf>
    <xf numFmtId="171" fontId="19" fillId="30" borderId="19" xfId="2" applyNumberFormat="1" applyFont="1" applyFill="1" applyBorder="1" applyAlignment="1">
      <alignment horizontal="center"/>
    </xf>
    <xf numFmtId="190" fontId="19" fillId="30" borderId="34" xfId="0" applyNumberFormat="1" applyFont="1" applyFill="1" applyBorder="1" applyAlignment="1">
      <alignment horizontal="center"/>
    </xf>
    <xf numFmtId="190" fontId="19" fillId="30" borderId="20" xfId="46" applyNumberFormat="1" applyFont="1" applyFill="1" applyBorder="1" applyAlignment="1">
      <alignment horizontal="center"/>
    </xf>
    <xf numFmtId="171" fontId="19" fillId="30" borderId="20" xfId="2" applyNumberFormat="1" applyFont="1" applyFill="1" applyBorder="1" applyAlignment="1">
      <alignment horizontal="center"/>
    </xf>
    <xf numFmtId="190" fontId="49" fillId="30" borderId="34" xfId="0" applyNumberFormat="1" applyFont="1" applyFill="1" applyBorder="1" applyAlignment="1">
      <alignment horizontal="center"/>
    </xf>
    <xf numFmtId="164" fontId="19" fillId="30" borderId="20" xfId="46" applyFont="1" applyFill="1" applyBorder="1" applyAlignment="1">
      <alignment horizontal="center"/>
    </xf>
    <xf numFmtId="171" fontId="48" fillId="34" borderId="20" xfId="2" applyNumberFormat="1" applyFont="1" applyFill="1" applyBorder="1" applyAlignment="1">
      <alignment horizontal="center"/>
    </xf>
    <xf numFmtId="190" fontId="19" fillId="30" borderId="35" xfId="0" applyNumberFormat="1" applyFont="1" applyFill="1" applyBorder="1" applyAlignment="1">
      <alignment horizontal="center"/>
    </xf>
    <xf numFmtId="164" fontId="19" fillId="30" borderId="26" xfId="46" applyFont="1" applyFill="1" applyBorder="1" applyAlignment="1">
      <alignment horizontal="center"/>
    </xf>
    <xf numFmtId="171" fontId="19" fillId="30" borderId="26" xfId="2" applyNumberFormat="1" applyFont="1" applyFill="1" applyBorder="1" applyAlignment="1">
      <alignment horizontal="center"/>
    </xf>
    <xf numFmtId="190" fontId="0" fillId="0" borderId="0" xfId="0" applyNumberFormat="1" applyAlignment="1">
      <alignment horizontal="center"/>
    </xf>
    <xf numFmtId="190" fontId="19" fillId="0" borderId="0" xfId="0" applyNumberFormat="1" applyFont="1" applyAlignment="1">
      <alignment horizontal="center" vertical="center"/>
    </xf>
    <xf numFmtId="164" fontId="19" fillId="0" borderId="0" xfId="0" applyNumberFormat="1" applyFont="1" applyAlignment="1">
      <alignment horizontal="center" vertical="center"/>
    </xf>
    <xf numFmtId="190" fontId="0" fillId="0" borderId="0" xfId="14" applyNumberFormat="1" applyFont="1" applyAlignment="1">
      <alignment horizontal="center"/>
    </xf>
    <xf numFmtId="0" fontId="19" fillId="0" borderId="0" xfId="0" applyFont="1" applyAlignment="1">
      <alignment horizontal="left"/>
    </xf>
    <xf numFmtId="0" fontId="18" fillId="0" borderId="0" xfId="0" applyFont="1" applyAlignment="1">
      <alignment horizontal="left"/>
    </xf>
    <xf numFmtId="190" fontId="19" fillId="0" borderId="0" xfId="0" applyNumberFormat="1" applyFont="1" applyAlignment="1">
      <alignment horizontal="left"/>
    </xf>
    <xf numFmtId="177" fontId="0" fillId="0" borderId="0" xfId="13" applyNumberFormat="1" applyFont="1" applyAlignment="1">
      <alignment horizontal="center"/>
    </xf>
    <xf numFmtId="165" fontId="0" fillId="0" borderId="0" xfId="29" applyFont="1" applyFill="1"/>
    <xf numFmtId="190" fontId="19" fillId="30" borderId="0" xfId="0" applyNumberFormat="1" applyFont="1" applyFill="1" applyAlignment="1">
      <alignment horizontal="center"/>
    </xf>
    <xf numFmtId="0" fontId="18" fillId="32" borderId="29" xfId="0" applyFont="1" applyFill="1" applyBorder="1" applyAlignment="1">
      <alignment horizontal="center" vertical="center" wrapText="1"/>
    </xf>
    <xf numFmtId="190" fontId="19" fillId="30" borderId="29" xfId="0" applyNumberFormat="1" applyFont="1" applyFill="1" applyBorder="1" applyAlignment="1">
      <alignment horizontal="center"/>
    </xf>
    <xf numFmtId="190" fontId="49" fillId="30" borderId="0" xfId="0" applyNumberFormat="1" applyFont="1" applyFill="1" applyAlignment="1">
      <alignment horizontal="center"/>
    </xf>
    <xf numFmtId="190" fontId="19" fillId="30" borderId="36" xfId="0" applyNumberFormat="1" applyFont="1" applyFill="1" applyBorder="1" applyAlignment="1">
      <alignment horizontal="center"/>
    </xf>
    <xf numFmtId="190" fontId="19" fillId="30" borderId="20" xfId="0" applyNumberFormat="1" applyFont="1" applyFill="1" applyBorder="1" applyAlignment="1">
      <alignment horizontal="center"/>
    </xf>
    <xf numFmtId="17" fontId="6" fillId="0" borderId="2" xfId="0" quotePrefix="1" applyNumberFormat="1" applyFont="1" applyBorder="1" applyAlignment="1">
      <alignment horizontal="center"/>
    </xf>
    <xf numFmtId="0" fontId="52" fillId="0" borderId="0" xfId="0" applyFont="1"/>
    <xf numFmtId="10" fontId="52" fillId="4" borderId="0" xfId="0" applyNumberFormat="1" applyFont="1" applyFill="1" applyAlignment="1">
      <alignment horizontal="right"/>
    </xf>
    <xf numFmtId="184" fontId="52" fillId="4" borderId="0" xfId="0" applyNumberFormat="1" applyFont="1" applyFill="1" applyAlignment="1">
      <alignment horizontal="center"/>
    </xf>
    <xf numFmtId="0" fontId="52" fillId="4" borderId="0" xfId="0" applyFont="1" applyFill="1" applyAlignment="1">
      <alignment horizontal="center"/>
    </xf>
    <xf numFmtId="0" fontId="53" fillId="4" borderId="1" xfId="0" applyFont="1" applyFill="1" applyBorder="1"/>
    <xf numFmtId="164" fontId="53" fillId="4" borderId="1" xfId="46" applyFont="1" applyFill="1" applyBorder="1"/>
    <xf numFmtId="9" fontId="52" fillId="4" borderId="0" xfId="11" applyFont="1" applyFill="1" applyAlignment="1">
      <alignment horizontal="center"/>
    </xf>
    <xf numFmtId="0" fontId="50" fillId="0" borderId="1" xfId="0" applyFont="1" applyBorder="1"/>
    <xf numFmtId="164" fontId="50" fillId="0" borderId="1" xfId="46" applyFont="1" applyBorder="1"/>
    <xf numFmtId="0" fontId="51" fillId="4" borderId="1" xfId="0" applyFont="1" applyFill="1" applyBorder="1"/>
    <xf numFmtId="9" fontId="51" fillId="35" borderId="1" xfId="11" applyFont="1" applyFill="1" applyBorder="1"/>
    <xf numFmtId="0" fontId="52" fillId="0" borderId="37" xfId="0" applyFont="1" applyBorder="1"/>
    <xf numFmtId="0" fontId="52" fillId="4" borderId="38" xfId="0" applyFont="1" applyFill="1" applyBorder="1" applyAlignment="1">
      <alignment horizontal="center"/>
    </xf>
    <xf numFmtId="0" fontId="52" fillId="4" borderId="39" xfId="0" applyFont="1" applyFill="1" applyBorder="1" applyAlignment="1">
      <alignment horizontal="center"/>
    </xf>
    <xf numFmtId="0" fontId="53" fillId="4" borderId="15" xfId="0" applyFont="1" applyFill="1" applyBorder="1"/>
    <xf numFmtId="10" fontId="53" fillId="4" borderId="15" xfId="0" applyNumberFormat="1" applyFont="1" applyFill="1" applyBorder="1"/>
    <xf numFmtId="0" fontId="50" fillId="4" borderId="15" xfId="0" applyFont="1" applyFill="1" applyBorder="1" applyAlignment="1">
      <alignment horizontal="center"/>
    </xf>
    <xf numFmtId="9" fontId="50" fillId="35" borderId="15" xfId="0" applyNumberFormat="1" applyFont="1" applyFill="1" applyBorder="1" applyAlignment="1">
      <alignment horizontal="center"/>
    </xf>
    <xf numFmtId="10" fontId="50" fillId="4" borderId="15" xfId="0" applyNumberFormat="1" applyFont="1" applyFill="1" applyBorder="1" applyAlignment="1">
      <alignment horizontal="center"/>
    </xf>
    <xf numFmtId="2" fontId="50" fillId="0" borderId="1" xfId="0" applyNumberFormat="1" applyFont="1" applyBorder="1"/>
    <xf numFmtId="10" fontId="50" fillId="0" borderId="1" xfId="0" applyNumberFormat="1" applyFont="1" applyBorder="1"/>
    <xf numFmtId="0" fontId="50" fillId="4" borderId="1" xfId="0" applyFont="1" applyFill="1" applyBorder="1" applyAlignment="1">
      <alignment horizontal="center"/>
    </xf>
    <xf numFmtId="10" fontId="50" fillId="4" borderId="1" xfId="0" applyNumberFormat="1" applyFont="1" applyFill="1" applyBorder="1" applyAlignment="1">
      <alignment horizontal="center"/>
    </xf>
    <xf numFmtId="9" fontId="50" fillId="4" borderId="1" xfId="0" applyNumberFormat="1" applyFont="1" applyFill="1" applyBorder="1" applyAlignment="1">
      <alignment horizontal="center"/>
    </xf>
    <xf numFmtId="0" fontId="50" fillId="0" borderId="11" xfId="0" applyFont="1" applyBorder="1"/>
    <xf numFmtId="10" fontId="50" fillId="4" borderId="1" xfId="0" applyNumberFormat="1" applyFont="1" applyFill="1" applyBorder="1" applyAlignment="1">
      <alignment horizontal="right"/>
    </xf>
    <xf numFmtId="10" fontId="50" fillId="4" borderId="11" xfId="0" applyNumberFormat="1" applyFont="1" applyFill="1" applyBorder="1" applyAlignment="1">
      <alignment horizontal="center"/>
    </xf>
    <xf numFmtId="0" fontId="52" fillId="0" borderId="40" xfId="0" applyFont="1" applyBorder="1"/>
    <xf numFmtId="10" fontId="52" fillId="4" borderId="40" xfId="0" applyNumberFormat="1" applyFont="1" applyFill="1" applyBorder="1" applyAlignment="1">
      <alignment horizontal="center"/>
    </xf>
    <xf numFmtId="0" fontId="5" fillId="10" borderId="1" xfId="0" applyFont="1" applyFill="1" applyBorder="1"/>
    <xf numFmtId="0" fontId="53" fillId="4" borderId="0" xfId="0" applyFont="1" applyFill="1"/>
    <xf numFmtId="164" fontId="53" fillId="4" borderId="0" xfId="46" applyFont="1" applyFill="1" applyBorder="1"/>
    <xf numFmtId="0" fontId="19" fillId="2" borderId="0" xfId="0" applyFont="1" applyFill="1"/>
    <xf numFmtId="0" fontId="19" fillId="0" borderId="0" xfId="0" applyFont="1" applyAlignment="1">
      <alignment horizontal="center"/>
    </xf>
    <xf numFmtId="0" fontId="19" fillId="30" borderId="17" xfId="0" applyFont="1" applyFill="1" applyBorder="1" applyAlignment="1">
      <alignment horizontal="center"/>
    </xf>
    <xf numFmtId="0" fontId="19" fillId="30" borderId="14" xfId="0" applyFont="1" applyFill="1" applyBorder="1" applyAlignment="1">
      <alignment horizontal="center"/>
    </xf>
    <xf numFmtId="0" fontId="19" fillId="0" borderId="11" xfId="0" applyFont="1" applyBorder="1"/>
    <xf numFmtId="194" fontId="19" fillId="0" borderId="7" xfId="45" applyNumberFormat="1" applyFont="1" applyBorder="1"/>
    <xf numFmtId="194" fontId="19" fillId="0" borderId="12" xfId="45" applyNumberFormat="1" applyFont="1" applyBorder="1"/>
    <xf numFmtId="194" fontId="19" fillId="0" borderId="0" xfId="45" applyNumberFormat="1" applyFont="1" applyFill="1" applyBorder="1"/>
    <xf numFmtId="0" fontId="19" fillId="0" borderId="7" xfId="0" applyFont="1" applyBorder="1"/>
    <xf numFmtId="0" fontId="19" fillId="0" borderId="13" xfId="0" applyFont="1" applyBorder="1"/>
    <xf numFmtId="194" fontId="19" fillId="0" borderId="17" xfId="45" applyNumberFormat="1" applyFont="1" applyBorder="1"/>
    <xf numFmtId="194" fontId="19" fillId="0" borderId="14" xfId="45" applyNumberFormat="1" applyFont="1" applyBorder="1"/>
    <xf numFmtId="0" fontId="19" fillId="0" borderId="17" xfId="0" applyFont="1" applyBorder="1"/>
    <xf numFmtId="0" fontId="19" fillId="0" borderId="13" xfId="0" applyFont="1" applyBorder="1" applyAlignment="1">
      <alignment wrapText="1"/>
    </xf>
    <xf numFmtId="0" fontId="19" fillId="0" borderId="17" xfId="0" applyFont="1" applyBorder="1" applyAlignment="1">
      <alignment wrapText="1"/>
    </xf>
    <xf numFmtId="0" fontId="19" fillId="11" borderId="1" xfId="0" applyFont="1" applyFill="1" applyBorder="1"/>
    <xf numFmtId="194" fontId="19" fillId="11" borderId="2" xfId="0" applyNumberFormat="1" applyFont="1" applyFill="1" applyBorder="1"/>
    <xf numFmtId="194" fontId="19" fillId="11" borderId="30" xfId="0" applyNumberFormat="1" applyFont="1" applyFill="1" applyBorder="1"/>
    <xf numFmtId="194" fontId="19" fillId="0" borderId="0" xfId="0" applyNumberFormat="1" applyFont="1"/>
    <xf numFmtId="0" fontId="19" fillId="30" borderId="1" xfId="0" applyFont="1" applyFill="1" applyBorder="1"/>
    <xf numFmtId="166" fontId="19" fillId="30" borderId="2" xfId="45" applyFont="1" applyFill="1" applyBorder="1"/>
    <xf numFmtId="194" fontId="19" fillId="30" borderId="30" xfId="45" applyNumberFormat="1" applyFont="1" applyFill="1" applyBorder="1"/>
    <xf numFmtId="2" fontId="19" fillId="0" borderId="0" xfId="0" applyNumberFormat="1" applyFont="1"/>
    <xf numFmtId="0" fontId="19" fillId="30" borderId="2" xfId="0" applyFont="1" applyFill="1" applyBorder="1"/>
    <xf numFmtId="0" fontId="19" fillId="11" borderId="15" xfId="0" applyFont="1" applyFill="1" applyBorder="1"/>
    <xf numFmtId="194" fontId="19" fillId="11" borderId="8" xfId="0" applyNumberFormat="1" applyFont="1" applyFill="1" applyBorder="1"/>
    <xf numFmtId="194" fontId="19" fillId="11" borderId="16" xfId="0" applyNumberFormat="1" applyFont="1" applyFill="1" applyBorder="1"/>
    <xf numFmtId="0" fontId="19" fillId="11" borderId="8" xfId="0" applyFont="1" applyFill="1" applyBorder="1"/>
    <xf numFmtId="0" fontId="19" fillId="11" borderId="2" xfId="0" applyFont="1" applyFill="1" applyBorder="1"/>
    <xf numFmtId="184" fontId="19" fillId="0" borderId="0" xfId="11" applyNumberFormat="1" applyFont="1"/>
    <xf numFmtId="166" fontId="19" fillId="0" borderId="0" xfId="0" applyNumberFormat="1" applyFont="1"/>
    <xf numFmtId="0" fontId="19" fillId="2" borderId="2" xfId="0" applyFont="1" applyFill="1" applyBorder="1"/>
    <xf numFmtId="194" fontId="19" fillId="2" borderId="30" xfId="45" applyNumberFormat="1" applyFont="1" applyFill="1" applyBorder="1"/>
    <xf numFmtId="9" fontId="0" fillId="0" borderId="1" xfId="11" applyFont="1" applyBorder="1"/>
    <xf numFmtId="171" fontId="0" fillId="0" borderId="0" xfId="0" applyNumberFormat="1" applyAlignment="1">
      <alignment horizontal="center"/>
    </xf>
    <xf numFmtId="171" fontId="54" fillId="0" borderId="0" xfId="48" applyNumberFormat="1" applyAlignment="1"/>
    <xf numFmtId="171" fontId="0" fillId="0" borderId="1" xfId="0" applyNumberFormat="1" applyBorder="1"/>
    <xf numFmtId="1" fontId="29" fillId="0" borderId="1" xfId="0" applyNumberFormat="1" applyFont="1" applyBorder="1"/>
    <xf numFmtId="0" fontId="23" fillId="20" borderId="1" xfId="49" applyFont="1" applyFill="1" applyBorder="1" applyAlignment="1">
      <alignment horizontal="center" vertical="center" wrapText="1"/>
    </xf>
    <xf numFmtId="0" fontId="18" fillId="32" borderId="19" xfId="0" applyFont="1" applyFill="1" applyBorder="1" applyAlignment="1">
      <alignment horizontal="center" vertical="center" wrapText="1"/>
    </xf>
    <xf numFmtId="171" fontId="0" fillId="0" borderId="0" xfId="2" applyNumberFormat="1" applyFont="1"/>
    <xf numFmtId="1" fontId="8" fillId="0" borderId="0" xfId="0" applyNumberFormat="1" applyFont="1"/>
    <xf numFmtId="165" fontId="8" fillId="0" borderId="0" xfId="29" applyFont="1"/>
    <xf numFmtId="195" fontId="9" fillId="20" borderId="6" xfId="0" applyNumberFormat="1" applyFont="1" applyFill="1" applyBorder="1" applyAlignment="1">
      <alignment horizontal="left" vertical="center" wrapText="1"/>
    </xf>
    <xf numFmtId="195" fontId="9" fillId="22" borderId="6" xfId="0" applyNumberFormat="1" applyFont="1" applyFill="1" applyBorder="1" applyAlignment="1">
      <alignment horizontal="left" vertical="center" wrapText="1"/>
    </xf>
    <xf numFmtId="9" fontId="6" fillId="0" borderId="0" xfId="11" applyFont="1"/>
    <xf numFmtId="14" fontId="9" fillId="20" borderId="6" xfId="16" applyNumberFormat="1" applyFont="1" applyFill="1" applyBorder="1" applyAlignment="1">
      <alignment horizontal="left" vertical="center" wrapText="1"/>
    </xf>
    <xf numFmtId="183" fontId="9" fillId="21" borderId="5" xfId="16" applyNumberFormat="1" applyFont="1" applyFill="1" applyBorder="1" applyAlignment="1">
      <alignment horizontal="right" vertical="top" wrapText="1"/>
    </xf>
    <xf numFmtId="14" fontId="9" fillId="22" borderId="6" xfId="36" applyNumberFormat="1" applyFont="1" applyFill="1" applyBorder="1" applyAlignment="1">
      <alignment horizontal="left" vertical="center" wrapText="1"/>
    </xf>
    <xf numFmtId="183" fontId="9" fillId="22" borderId="5" xfId="36" applyNumberFormat="1" applyFont="1" applyFill="1" applyBorder="1" applyAlignment="1">
      <alignment horizontal="right" vertical="top" wrapText="1"/>
    </xf>
    <xf numFmtId="14" fontId="9" fillId="20" borderId="6" xfId="40" applyNumberFormat="1" applyFont="1" applyFill="1" applyBorder="1" applyAlignment="1">
      <alignment horizontal="left" vertical="center" wrapText="1"/>
    </xf>
    <xf numFmtId="183" fontId="9" fillId="21" borderId="5" xfId="40" applyNumberFormat="1" applyFont="1" applyFill="1" applyBorder="1" applyAlignment="1">
      <alignment horizontal="right" vertical="center" wrapText="1"/>
    </xf>
    <xf numFmtId="14" fontId="9" fillId="20" borderId="6" xfId="41" applyNumberFormat="1" applyFont="1" applyFill="1" applyBorder="1" applyAlignment="1">
      <alignment horizontal="left" vertical="center" wrapText="1"/>
    </xf>
    <xf numFmtId="183" fontId="9" fillId="21" borderId="5" xfId="41" applyNumberFormat="1" applyFont="1" applyFill="1" applyBorder="1" applyAlignment="1">
      <alignment horizontal="right" vertical="center" wrapText="1"/>
    </xf>
    <xf numFmtId="14" fontId="9" fillId="22" borderId="6" xfId="44" applyNumberFormat="1" applyFont="1" applyFill="1" applyBorder="1" applyAlignment="1">
      <alignment horizontal="left" vertical="center" wrapText="1"/>
    </xf>
    <xf numFmtId="183" fontId="9" fillId="22" borderId="5" xfId="44" applyNumberFormat="1" applyFont="1" applyFill="1" applyBorder="1" applyAlignment="1">
      <alignment horizontal="right" vertical="center" wrapText="1"/>
    </xf>
    <xf numFmtId="14" fontId="9" fillId="22" borderId="6" xfId="16" applyNumberFormat="1" applyFont="1" applyFill="1" applyBorder="1" applyAlignment="1">
      <alignment horizontal="left" vertical="center" wrapText="1"/>
    </xf>
    <xf numFmtId="183" fontId="9" fillId="22" borderId="5" xfId="16" applyNumberFormat="1" applyFont="1" applyFill="1" applyBorder="1" applyAlignment="1">
      <alignment horizontal="right" vertical="top" wrapText="1"/>
    </xf>
    <xf numFmtId="14" fontId="9" fillId="20" borderId="6" xfId="26" applyNumberFormat="1" applyFont="1" applyFill="1" applyBorder="1" applyAlignment="1">
      <alignment horizontal="left" vertical="center" wrapText="1"/>
    </xf>
    <xf numFmtId="183" fontId="9" fillId="21" borderId="5" xfId="26" applyNumberFormat="1" applyFont="1" applyFill="1" applyBorder="1" applyAlignment="1">
      <alignment horizontal="right" vertical="top" wrapText="1"/>
    </xf>
    <xf numFmtId="14" fontId="9" fillId="20" borderId="6" xfId="33" applyNumberFormat="1" applyFont="1" applyFill="1" applyBorder="1" applyAlignment="1">
      <alignment horizontal="left" vertical="center" wrapText="1"/>
    </xf>
    <xf numFmtId="183" fontId="9" fillId="21" borderId="5" xfId="33" applyNumberFormat="1" applyFont="1" applyFill="1" applyBorder="1" applyAlignment="1">
      <alignment horizontal="right" vertical="top" wrapText="1"/>
    </xf>
    <xf numFmtId="14" fontId="9" fillId="20" borderId="6" xfId="36" applyNumberFormat="1" applyFont="1" applyFill="1" applyBorder="1" applyAlignment="1">
      <alignment horizontal="left" vertical="center" wrapText="1"/>
    </xf>
    <xf numFmtId="183" fontId="9" fillId="21" borderId="5" xfId="36" applyNumberFormat="1" applyFont="1" applyFill="1" applyBorder="1" applyAlignment="1">
      <alignment horizontal="right" vertical="top" wrapText="1"/>
    </xf>
    <xf numFmtId="14" fontId="9" fillId="22" borderId="6" xfId="40" applyNumberFormat="1" applyFont="1" applyFill="1" applyBorder="1" applyAlignment="1">
      <alignment horizontal="left" vertical="center" wrapText="1"/>
    </xf>
    <xf numFmtId="183" fontId="9" fillId="22" borderId="5" xfId="40" applyNumberFormat="1" applyFont="1" applyFill="1" applyBorder="1" applyAlignment="1">
      <alignment horizontal="right" vertical="center" wrapText="1"/>
    </xf>
    <xf numFmtId="14" fontId="9" fillId="22" borderId="6" xfId="41" applyNumberFormat="1" applyFont="1" applyFill="1" applyBorder="1" applyAlignment="1">
      <alignment horizontal="left" vertical="center" wrapText="1"/>
    </xf>
    <xf numFmtId="183" fontId="9" fillId="22" borderId="5" xfId="41" applyNumberFormat="1" applyFont="1" applyFill="1" applyBorder="1" applyAlignment="1">
      <alignment horizontal="right" vertical="center" wrapText="1"/>
    </xf>
    <xf numFmtId="14" fontId="9" fillId="20" borderId="6" xfId="44" applyNumberFormat="1" applyFont="1" applyFill="1" applyBorder="1" applyAlignment="1">
      <alignment horizontal="left" vertical="center" wrapText="1"/>
    </xf>
    <xf numFmtId="183" fontId="9" fillId="21" borderId="5" xfId="44" applyNumberFormat="1" applyFont="1" applyFill="1" applyBorder="1" applyAlignment="1">
      <alignment horizontal="right" vertical="center" wrapText="1"/>
    </xf>
    <xf numFmtId="14" fontId="9" fillId="22" borderId="6" xfId="26" applyNumberFormat="1" applyFont="1" applyFill="1" applyBorder="1" applyAlignment="1">
      <alignment horizontal="left" vertical="center" wrapText="1"/>
    </xf>
    <xf numFmtId="183" fontId="9" fillId="22" borderId="5" xfId="26" applyNumberFormat="1" applyFont="1" applyFill="1" applyBorder="1" applyAlignment="1">
      <alignment horizontal="right" vertical="top" wrapText="1"/>
    </xf>
    <xf numFmtId="14" fontId="9" fillId="22" borderId="6" xfId="33" applyNumberFormat="1" applyFont="1" applyFill="1" applyBorder="1" applyAlignment="1">
      <alignment horizontal="left" vertical="center" wrapText="1"/>
    </xf>
    <xf numFmtId="183" fontId="9" fillId="22" borderId="5" xfId="33" applyNumberFormat="1" applyFont="1" applyFill="1" applyBorder="1" applyAlignment="1">
      <alignment horizontal="right" vertical="top" wrapText="1"/>
    </xf>
    <xf numFmtId="14" fontId="9" fillId="20" borderId="1" xfId="25" applyNumberFormat="1" applyFont="1" applyFill="1" applyBorder="1" applyAlignment="1">
      <alignment horizontal="left" vertical="center" wrapText="1"/>
    </xf>
    <xf numFmtId="183" fontId="9" fillId="21" borderId="1" xfId="25" applyNumberFormat="1" applyFont="1" applyFill="1" applyBorder="1" applyAlignment="1">
      <alignment horizontal="right" vertical="top" wrapText="1"/>
    </xf>
    <xf numFmtId="14" fontId="9" fillId="22" borderId="23" xfId="25" applyNumberFormat="1" applyFont="1" applyFill="1" applyBorder="1" applyAlignment="1">
      <alignment horizontal="left" vertical="center" wrapText="1"/>
    </xf>
    <xf numFmtId="183" fontId="9" fillId="22" borderId="10" xfId="25" applyNumberFormat="1" applyFont="1" applyFill="1" applyBorder="1" applyAlignment="1">
      <alignment horizontal="right" vertical="top" wrapText="1"/>
    </xf>
    <xf numFmtId="14" fontId="9" fillId="20" borderId="6" xfId="25" applyNumberFormat="1" applyFont="1" applyFill="1" applyBorder="1" applyAlignment="1">
      <alignment horizontal="left" vertical="center" wrapText="1"/>
    </xf>
    <xf numFmtId="183" fontId="9" fillId="21" borderId="5" xfId="25" applyNumberFormat="1" applyFont="1" applyFill="1" applyBorder="1" applyAlignment="1">
      <alignment horizontal="right" vertical="top" wrapText="1"/>
    </xf>
    <xf numFmtId="14" fontId="9" fillId="22" borderId="6" xfId="25" applyNumberFormat="1" applyFont="1" applyFill="1" applyBorder="1" applyAlignment="1">
      <alignment horizontal="left" vertical="center" wrapText="1"/>
    </xf>
    <xf numFmtId="183" fontId="9" fillId="22" borderId="5" xfId="25" applyNumberFormat="1" applyFont="1" applyFill="1" applyBorder="1" applyAlignment="1">
      <alignment horizontal="right" vertical="top" wrapText="1"/>
    </xf>
    <xf numFmtId="14" fontId="9" fillId="20" borderId="6" xfId="28" applyNumberFormat="1" applyFont="1" applyFill="1" applyBorder="1" applyAlignment="1">
      <alignment horizontal="left" vertical="center" wrapText="1"/>
    </xf>
    <xf numFmtId="183" fontId="9" fillId="21" borderId="5" xfId="28" applyNumberFormat="1" applyFont="1" applyFill="1" applyBorder="1" applyAlignment="1">
      <alignment horizontal="right" vertical="top" wrapText="1"/>
    </xf>
    <xf numFmtId="14" fontId="9" fillId="22" borderId="6" xfId="28" applyNumberFormat="1" applyFont="1" applyFill="1" applyBorder="1" applyAlignment="1">
      <alignment horizontal="left" vertical="center" wrapText="1"/>
    </xf>
    <xf numFmtId="183" fontId="9" fillId="22" borderId="5" xfId="28" applyNumberFormat="1" applyFont="1" applyFill="1" applyBorder="1" applyAlignment="1">
      <alignment horizontal="right" vertical="top" wrapText="1"/>
    </xf>
    <xf numFmtId="183" fontId="9" fillId="21" borderId="5" xfId="0" applyNumberFormat="1" applyFont="1" applyFill="1" applyBorder="1" applyAlignment="1">
      <alignment horizontal="right" vertical="top" wrapText="1"/>
    </xf>
    <xf numFmtId="183" fontId="9" fillId="22" borderId="5" xfId="0" applyNumberFormat="1" applyFont="1" applyFill="1" applyBorder="1" applyAlignment="1">
      <alignment horizontal="right" vertical="top" wrapText="1"/>
    </xf>
    <xf numFmtId="177" fontId="7" fillId="0" borderId="1" xfId="2" applyNumberFormat="1" applyFont="1" applyFill="1" applyBorder="1"/>
    <xf numFmtId="183" fontId="9" fillId="9" borderId="5" xfId="0" applyNumberFormat="1" applyFont="1" applyFill="1" applyBorder="1" applyAlignment="1">
      <alignment horizontal="right" vertical="center" wrapText="1"/>
    </xf>
    <xf numFmtId="195" fontId="9" fillId="9" borderId="6" xfId="0" applyNumberFormat="1" applyFont="1" applyFill="1" applyBorder="1" applyAlignment="1">
      <alignment horizontal="left" vertical="center" wrapText="1"/>
    </xf>
    <xf numFmtId="0" fontId="54" fillId="0" borderId="0" xfId="48" applyFill="1" applyBorder="1" applyAlignment="1">
      <alignment horizontal="center" wrapText="1"/>
    </xf>
    <xf numFmtId="171" fontId="19" fillId="0" borderId="0" xfId="2" applyNumberFormat="1" applyFont="1" applyFill="1" applyBorder="1" applyAlignment="1">
      <alignment horizontal="center"/>
    </xf>
    <xf numFmtId="190" fontId="49" fillId="9" borderId="0" xfId="0" applyNumberFormat="1" applyFont="1" applyFill="1" applyAlignment="1">
      <alignment horizontal="center"/>
    </xf>
    <xf numFmtId="171" fontId="19" fillId="30" borderId="0" xfId="2" applyNumberFormat="1" applyFont="1" applyFill="1" applyBorder="1" applyAlignment="1">
      <alignment horizontal="center"/>
    </xf>
    <xf numFmtId="171" fontId="48" fillId="34" borderId="0" xfId="2" applyNumberFormat="1" applyFont="1" applyFill="1" applyBorder="1" applyAlignment="1">
      <alignment horizontal="center"/>
    </xf>
    <xf numFmtId="171" fontId="19" fillId="30" borderId="29" xfId="2" applyNumberFormat="1" applyFont="1" applyFill="1" applyBorder="1" applyAlignment="1">
      <alignment horizontal="center"/>
    </xf>
    <xf numFmtId="171" fontId="19" fillId="30" borderId="36" xfId="2" applyNumberFormat="1" applyFont="1" applyFill="1" applyBorder="1" applyAlignment="1">
      <alignment horizontal="center"/>
    </xf>
    <xf numFmtId="0" fontId="56" fillId="10" borderId="33" xfId="0" applyFont="1" applyFill="1" applyBorder="1"/>
    <xf numFmtId="17" fontId="57" fillId="37" borderId="29" xfId="50" applyNumberFormat="1" applyFont="1" applyFill="1" applyBorder="1" applyAlignment="1" applyProtection="1">
      <alignment horizontal="center" vertical="center"/>
      <protection locked="0"/>
    </xf>
    <xf numFmtId="17" fontId="56" fillId="38" borderId="29" xfId="50" applyNumberFormat="1" applyFont="1" applyFill="1" applyBorder="1" applyAlignment="1" applyProtection="1">
      <alignment horizontal="center" vertical="center"/>
      <protection locked="0"/>
    </xf>
    <xf numFmtId="0" fontId="58" fillId="0" borderId="34" xfId="0" applyFont="1" applyBorder="1"/>
    <xf numFmtId="188" fontId="58" fillId="0" borderId="0" xfId="29" applyNumberFormat="1" applyFont="1" applyFill="1" applyBorder="1"/>
    <xf numFmtId="188" fontId="58" fillId="0" borderId="0" xfId="29" applyNumberFormat="1" applyFont="1" applyBorder="1"/>
    <xf numFmtId="0" fontId="58" fillId="11" borderId="34" xfId="0" applyFont="1" applyFill="1" applyBorder="1"/>
    <xf numFmtId="165" fontId="58" fillId="11" borderId="0" xfId="29" applyFont="1" applyFill="1" applyBorder="1"/>
    <xf numFmtId="188" fontId="58" fillId="11" borderId="0" xfId="29" applyNumberFormat="1" applyFont="1" applyFill="1" applyBorder="1"/>
    <xf numFmtId="0" fontId="58" fillId="30" borderId="34" xfId="0" applyFont="1" applyFill="1" applyBorder="1"/>
    <xf numFmtId="165" fontId="58" fillId="30" borderId="0" xfId="0" applyNumberFormat="1" applyFont="1" applyFill="1"/>
    <xf numFmtId="0" fontId="58" fillId="36" borderId="34" xfId="0" applyFont="1" applyFill="1" applyBorder="1"/>
    <xf numFmtId="165" fontId="58" fillId="36" borderId="0" xfId="0" applyNumberFormat="1" applyFont="1" applyFill="1"/>
    <xf numFmtId="10" fontId="58" fillId="0" borderId="0" xfId="11" applyNumberFormat="1" applyFont="1" applyFill="1" applyBorder="1"/>
    <xf numFmtId="165" fontId="58" fillId="0" borderId="0" xfId="29" applyFont="1" applyBorder="1"/>
    <xf numFmtId="0" fontId="56" fillId="10" borderId="35" xfId="0" applyFont="1" applyFill="1" applyBorder="1"/>
    <xf numFmtId="165" fontId="56" fillId="10" borderId="36" xfId="29" applyFont="1" applyFill="1" applyBorder="1"/>
    <xf numFmtId="165" fontId="59" fillId="39" borderId="41" xfId="29" applyFont="1" applyFill="1" applyBorder="1"/>
    <xf numFmtId="0" fontId="0" fillId="40" borderId="0" xfId="0" applyFill="1"/>
    <xf numFmtId="0" fontId="56" fillId="10" borderId="11" xfId="0" applyFont="1" applyFill="1" applyBorder="1"/>
    <xf numFmtId="17" fontId="57" fillId="37" borderId="0" xfId="50" applyNumberFormat="1" applyFont="1" applyFill="1" applyAlignment="1" applyProtection="1">
      <alignment horizontal="center" vertical="center"/>
      <protection locked="0"/>
    </xf>
    <xf numFmtId="17" fontId="56" fillId="38" borderId="0" xfId="50" applyNumberFormat="1" applyFont="1" applyFill="1" applyAlignment="1" applyProtection="1">
      <alignment horizontal="center" vertical="center"/>
      <protection locked="0"/>
    </xf>
    <xf numFmtId="0" fontId="58" fillId="0" borderId="13" xfId="0" applyFont="1" applyBorder="1"/>
    <xf numFmtId="165" fontId="59" fillId="39" borderId="15" xfId="29" applyFont="1" applyFill="1" applyBorder="1"/>
    <xf numFmtId="188" fontId="58" fillId="0" borderId="13" xfId="29" applyNumberFormat="1" applyFont="1" applyBorder="1"/>
    <xf numFmtId="0" fontId="60" fillId="10" borderId="15" xfId="0" applyFont="1" applyFill="1" applyBorder="1"/>
    <xf numFmtId="165" fontId="60" fillId="10" borderId="15" xfId="29" applyFont="1" applyFill="1" applyBorder="1"/>
    <xf numFmtId="0" fontId="5" fillId="41" borderId="0" xfId="0" applyFont="1" applyFill="1"/>
    <xf numFmtId="165" fontId="5" fillId="41" borderId="0" xfId="0" applyNumberFormat="1" applyFont="1" applyFill="1"/>
    <xf numFmtId="188" fontId="58" fillId="35" borderId="0" xfId="29" applyNumberFormat="1" applyFont="1" applyFill="1" applyBorder="1"/>
    <xf numFmtId="0" fontId="56" fillId="10" borderId="1" xfId="0" applyFont="1" applyFill="1" applyBorder="1"/>
    <xf numFmtId="17" fontId="57" fillId="37" borderId="1" xfId="50" applyNumberFormat="1" applyFont="1" applyFill="1" applyBorder="1" applyAlignment="1" applyProtection="1">
      <alignment horizontal="center" vertical="center"/>
      <protection locked="0"/>
    </xf>
    <xf numFmtId="17" fontId="56" fillId="38" borderId="1" xfId="50" applyNumberFormat="1" applyFont="1" applyFill="1" applyBorder="1" applyAlignment="1" applyProtection="1">
      <alignment horizontal="center" vertical="center"/>
      <protection locked="0"/>
    </xf>
    <xf numFmtId="0" fontId="58" fillId="0" borderId="1" xfId="0" applyFont="1" applyBorder="1"/>
    <xf numFmtId="165" fontId="58" fillId="0" borderId="1" xfId="29" applyFont="1" applyBorder="1"/>
    <xf numFmtId="0" fontId="58" fillId="11" borderId="1" xfId="0" applyFont="1" applyFill="1" applyBorder="1"/>
    <xf numFmtId="165" fontId="58" fillId="11" borderId="1" xfId="29" applyFont="1" applyFill="1" applyBorder="1"/>
    <xf numFmtId="10" fontId="58" fillId="0" borderId="1" xfId="11" applyNumberFormat="1" applyFont="1" applyBorder="1"/>
    <xf numFmtId="165" fontId="59" fillId="10" borderId="1" xfId="0" applyNumberFormat="1" applyFont="1" applyFill="1" applyBorder="1"/>
    <xf numFmtId="165" fontId="59" fillId="10" borderId="1" xfId="29" applyFont="1" applyFill="1" applyBorder="1"/>
    <xf numFmtId="165" fontId="59" fillId="39" borderId="1" xfId="29" applyFont="1" applyFill="1" applyBorder="1"/>
    <xf numFmtId="189" fontId="58" fillId="30" borderId="0" xfId="0" applyNumberFormat="1" applyFont="1" applyFill="1"/>
    <xf numFmtId="17" fontId="56" fillId="38" borderId="2" xfId="50" applyNumberFormat="1" applyFont="1" applyFill="1" applyBorder="1" applyAlignment="1" applyProtection="1">
      <alignment horizontal="center" vertical="center"/>
      <protection locked="0"/>
    </xf>
    <xf numFmtId="165" fontId="58" fillId="0" borderId="2" xfId="29" applyFont="1" applyBorder="1"/>
    <xf numFmtId="165" fontId="58" fillId="11" borderId="2" xfId="29" applyFont="1" applyFill="1" applyBorder="1"/>
    <xf numFmtId="10" fontId="58" fillId="0" borderId="2" xfId="11" applyNumberFormat="1" applyFont="1" applyBorder="1"/>
    <xf numFmtId="165" fontId="59" fillId="39" borderId="2" xfId="29" applyFont="1" applyFill="1" applyBorder="1"/>
    <xf numFmtId="188" fontId="58" fillId="0" borderId="17" xfId="29" applyNumberFormat="1" applyFont="1" applyBorder="1"/>
    <xf numFmtId="165" fontId="59" fillId="39" borderId="8" xfId="29" applyFont="1" applyFill="1" applyBorder="1"/>
    <xf numFmtId="165" fontId="59" fillId="39" borderId="42" xfId="29" applyFont="1" applyFill="1" applyBorder="1"/>
    <xf numFmtId="0" fontId="5" fillId="5" borderId="43" xfId="0" applyFont="1" applyFill="1" applyBorder="1" applyAlignment="1">
      <alignment horizontal="center"/>
    </xf>
    <xf numFmtId="14" fontId="5" fillId="5" borderId="44" xfId="0" quotePrefix="1" applyNumberFormat="1" applyFont="1" applyFill="1" applyBorder="1" applyAlignment="1">
      <alignment horizontal="center"/>
    </xf>
    <xf numFmtId="14" fontId="5" fillId="5" borderId="29" xfId="0" quotePrefix="1" applyNumberFormat="1" applyFont="1" applyFill="1" applyBorder="1" applyAlignment="1">
      <alignment horizontal="center"/>
    </xf>
    <xf numFmtId="14" fontId="5" fillId="5" borderId="29" xfId="0" quotePrefix="1" applyNumberFormat="1" applyFont="1" applyFill="1" applyBorder="1"/>
    <xf numFmtId="14" fontId="18" fillId="5" borderId="44" xfId="0" quotePrefix="1" applyNumberFormat="1" applyFont="1" applyFill="1" applyBorder="1" applyAlignment="1">
      <alignment horizontal="center"/>
    </xf>
    <xf numFmtId="14" fontId="18" fillId="5" borderId="45" xfId="0" quotePrefix="1" applyNumberFormat="1" applyFont="1" applyFill="1" applyBorder="1" applyAlignment="1">
      <alignment horizontal="center"/>
    </xf>
    <xf numFmtId="17" fontId="6" fillId="0" borderId="47" xfId="0" quotePrefix="1" applyNumberFormat="1" applyFont="1" applyBorder="1" applyAlignment="1">
      <alignment horizontal="center"/>
    </xf>
    <xf numFmtId="171" fontId="0" fillId="0" borderId="47" xfId="2" applyNumberFormat="1" applyFont="1" applyFill="1" applyBorder="1" applyAlignment="1">
      <alignment vertical="center"/>
    </xf>
    <xf numFmtId="0" fontId="6" fillId="0" borderId="46" xfId="0" applyFont="1" applyBorder="1" applyAlignment="1">
      <alignment horizontal="center" vertical="center" wrapText="1"/>
    </xf>
    <xf numFmtId="168" fontId="8" fillId="0" borderId="47" xfId="3" applyFont="1" applyFill="1" applyBorder="1" applyAlignment="1">
      <alignment vertical="center"/>
    </xf>
    <xf numFmtId="0" fontId="6" fillId="4" borderId="46" xfId="0" applyFont="1" applyFill="1" applyBorder="1" applyAlignment="1">
      <alignment horizontal="center"/>
    </xf>
    <xf numFmtId="171" fontId="8" fillId="4" borderId="47" xfId="2" applyNumberFormat="1" applyFont="1" applyFill="1" applyBorder="1" applyAlignment="1"/>
    <xf numFmtId="170" fontId="6" fillId="4" borderId="46" xfId="0" applyNumberFormat="1" applyFont="1" applyFill="1" applyBorder="1" applyAlignment="1">
      <alignment horizontal="center"/>
    </xf>
    <xf numFmtId="171" fontId="0" fillId="4" borderId="47" xfId="2" applyNumberFormat="1" applyFont="1" applyFill="1" applyBorder="1" applyAlignment="1"/>
    <xf numFmtId="0" fontId="6" fillId="4" borderId="46" xfId="0" applyFont="1" applyFill="1" applyBorder="1" applyAlignment="1">
      <alignment horizontal="center" vertical="center" wrapText="1"/>
    </xf>
    <xf numFmtId="171" fontId="0" fillId="4" borderId="47" xfId="2" applyNumberFormat="1" applyFont="1" applyFill="1" applyBorder="1" applyAlignment="1">
      <alignment vertical="center"/>
    </xf>
    <xf numFmtId="0" fontId="5" fillId="5" borderId="46" xfId="0" applyFont="1" applyFill="1" applyBorder="1" applyAlignment="1">
      <alignment horizontal="center" vertical="center" wrapText="1"/>
    </xf>
    <xf numFmtId="171" fontId="6" fillId="4" borderId="47" xfId="2" applyNumberFormat="1" applyFont="1" applyFill="1" applyBorder="1" applyAlignment="1">
      <alignment vertical="center"/>
    </xf>
    <xf numFmtId="0" fontId="7" fillId="9" borderId="46" xfId="0" applyFont="1" applyFill="1" applyBorder="1" applyAlignment="1">
      <alignment horizontal="center" vertical="center" wrapText="1"/>
    </xf>
    <xf numFmtId="0" fontId="41" fillId="0" borderId="46" xfId="0" applyFont="1" applyBorder="1" applyAlignment="1">
      <alignment horizontal="center"/>
    </xf>
    <xf numFmtId="175" fontId="6" fillId="4" borderId="47" xfId="2" applyNumberFormat="1" applyFont="1" applyFill="1" applyBorder="1" applyAlignment="1">
      <alignment vertical="center"/>
    </xf>
    <xf numFmtId="0" fontId="5" fillId="5" borderId="46" xfId="0" applyFont="1" applyFill="1" applyBorder="1" applyAlignment="1">
      <alignment horizontal="center"/>
    </xf>
    <xf numFmtId="171" fontId="7" fillId="4" borderId="47" xfId="2" applyNumberFormat="1" applyFont="1" applyFill="1" applyBorder="1" applyAlignment="1"/>
    <xf numFmtId="0" fontId="6" fillId="9" borderId="46" xfId="0" applyFont="1" applyFill="1" applyBorder="1" applyAlignment="1">
      <alignment horizontal="center"/>
    </xf>
    <xf numFmtId="171" fontId="7" fillId="0" borderId="47" xfId="2" applyNumberFormat="1" applyFont="1" applyFill="1" applyBorder="1" applyAlignment="1"/>
    <xf numFmtId="0" fontId="6" fillId="9" borderId="48" xfId="0" applyFont="1" applyFill="1" applyBorder="1" applyAlignment="1">
      <alignment horizontal="center"/>
    </xf>
    <xf numFmtId="171" fontId="7" fillId="4" borderId="49" xfId="2" applyNumberFormat="1" applyFont="1" applyFill="1" applyBorder="1" applyAlignment="1">
      <alignment horizontal="center"/>
    </xf>
    <xf numFmtId="0" fontId="0" fillId="0" borderId="49" xfId="0" applyBorder="1"/>
    <xf numFmtId="171" fontId="7" fillId="4" borderId="49" xfId="2" applyNumberFormat="1" applyFont="1" applyFill="1" applyBorder="1" applyAlignment="1"/>
    <xf numFmtId="171" fontId="7" fillId="4" borderId="50" xfId="2" applyNumberFormat="1" applyFont="1" applyFill="1" applyBorder="1" applyAlignment="1"/>
    <xf numFmtId="171" fontId="7" fillId="4" borderId="51" xfId="2" applyNumberFormat="1" applyFont="1" applyFill="1" applyBorder="1" applyAlignment="1"/>
    <xf numFmtId="0" fontId="6" fillId="7" borderId="43" xfId="0" applyFont="1" applyFill="1" applyBorder="1" applyAlignment="1">
      <alignment horizontal="center"/>
    </xf>
    <xf numFmtId="0" fontId="0" fillId="0" borderId="44" xfId="0" applyBorder="1"/>
    <xf numFmtId="44" fontId="6" fillId="4" borderId="44" xfId="2" applyNumberFormat="1" applyFont="1" applyFill="1" applyBorder="1" applyAlignment="1">
      <alignment horizontal="center"/>
    </xf>
    <xf numFmtId="174" fontId="6" fillId="4" borderId="44" xfId="2" applyNumberFormat="1" applyFont="1" applyFill="1" applyBorder="1" applyAlignment="1">
      <alignment horizontal="center"/>
    </xf>
    <xf numFmtId="174" fontId="6" fillId="4" borderId="44" xfId="2" applyNumberFormat="1" applyFont="1" applyFill="1" applyBorder="1" applyAlignment="1"/>
    <xf numFmtId="174" fontId="6" fillId="4" borderId="45" xfId="2" applyNumberFormat="1" applyFont="1" applyFill="1" applyBorder="1" applyAlignment="1"/>
    <xf numFmtId="0" fontId="7" fillId="4" borderId="46" xfId="0" applyFont="1" applyFill="1" applyBorder="1" applyAlignment="1">
      <alignment horizontal="center"/>
    </xf>
    <xf numFmtId="171" fontId="7" fillId="7" borderId="47" xfId="2" applyNumberFormat="1" applyFont="1" applyFill="1" applyBorder="1" applyAlignment="1"/>
    <xf numFmtId="0" fontId="0" fillId="0" borderId="47" xfId="0" applyBorder="1"/>
    <xf numFmtId="0" fontId="6" fillId="19" borderId="46" xfId="0" applyFont="1" applyFill="1" applyBorder="1" applyAlignment="1">
      <alignment horizontal="center"/>
    </xf>
    <xf numFmtId="174" fontId="6" fillId="4" borderId="47" xfId="2" applyNumberFormat="1" applyFont="1" applyFill="1" applyBorder="1" applyAlignment="1"/>
    <xf numFmtId="171" fontId="7" fillId="19" borderId="47" xfId="2" applyNumberFormat="1" applyFont="1" applyFill="1" applyBorder="1" applyAlignment="1"/>
    <xf numFmtId="0" fontId="0" fillId="0" borderId="46" xfId="0" applyBorder="1"/>
    <xf numFmtId="0" fontId="6" fillId="27" borderId="46" xfId="0" applyFont="1" applyFill="1" applyBorder="1" applyAlignment="1">
      <alignment horizontal="center"/>
    </xf>
    <xf numFmtId="171" fontId="7" fillId="27" borderId="47" xfId="2" applyNumberFormat="1" applyFont="1" applyFill="1" applyBorder="1" applyAlignment="1"/>
    <xf numFmtId="0" fontId="5" fillId="0" borderId="46" xfId="0" applyFont="1" applyBorder="1" applyAlignment="1">
      <alignment horizontal="center"/>
    </xf>
    <xf numFmtId="0" fontId="6" fillId="8" borderId="46" xfId="0" applyFont="1" applyFill="1" applyBorder="1" applyAlignment="1">
      <alignment horizontal="center"/>
    </xf>
    <xf numFmtId="171" fontId="7" fillId="8" borderId="47" xfId="2" applyNumberFormat="1" applyFont="1" applyFill="1" applyBorder="1" applyAlignment="1"/>
    <xf numFmtId="171" fontId="7" fillId="9" borderId="47" xfId="2" applyNumberFormat="1" applyFont="1" applyFill="1" applyBorder="1" applyAlignment="1"/>
    <xf numFmtId="0" fontId="6" fillId="24" borderId="46" xfId="0" applyFont="1" applyFill="1" applyBorder="1" applyAlignment="1">
      <alignment horizontal="center"/>
    </xf>
    <xf numFmtId="171" fontId="7" fillId="24" borderId="47" xfId="2" applyNumberFormat="1" applyFont="1" applyFill="1" applyBorder="1" applyAlignment="1"/>
    <xf numFmtId="0" fontId="6" fillId="28" borderId="46" xfId="0" applyFont="1" applyFill="1" applyBorder="1" applyAlignment="1">
      <alignment horizontal="center"/>
    </xf>
    <xf numFmtId="171" fontId="7" fillId="28" borderId="47" xfId="2" applyNumberFormat="1" applyFont="1" applyFill="1" applyBorder="1" applyAlignment="1"/>
    <xf numFmtId="171" fontId="7" fillId="6" borderId="47" xfId="2" applyNumberFormat="1" applyFont="1" applyFill="1" applyBorder="1" applyAlignment="1"/>
    <xf numFmtId="0" fontId="6" fillId="18" borderId="46" xfId="0" applyFont="1" applyFill="1" applyBorder="1" applyAlignment="1">
      <alignment horizontal="center"/>
    </xf>
    <xf numFmtId="171" fontId="7" fillId="18" borderId="47" xfId="2" applyNumberFormat="1" applyFont="1" applyFill="1" applyBorder="1" applyAlignment="1"/>
    <xf numFmtId="0" fontId="6" fillId="2" borderId="46" xfId="0" applyFont="1" applyFill="1" applyBorder="1" applyAlignment="1">
      <alignment horizontal="center"/>
    </xf>
    <xf numFmtId="0" fontId="5" fillId="5" borderId="48" xfId="0" applyFont="1" applyFill="1" applyBorder="1" applyAlignment="1">
      <alignment horizontal="center"/>
    </xf>
    <xf numFmtId="171" fontId="7" fillId="24" borderId="49" xfId="2" applyNumberFormat="1" applyFont="1" applyFill="1" applyBorder="1" applyAlignment="1">
      <alignment horizontal="center"/>
    </xf>
    <xf numFmtId="171" fontId="7" fillId="2" borderId="49" xfId="2" applyNumberFormat="1" applyFont="1" applyFill="1" applyBorder="1" applyAlignment="1">
      <alignment horizontal="center"/>
    </xf>
    <xf numFmtId="171" fontId="7" fillId="2" borderId="49" xfId="2" applyNumberFormat="1" applyFont="1" applyFill="1" applyBorder="1" applyAlignment="1"/>
    <xf numFmtId="171" fontId="6" fillId="27" borderId="49" xfId="2" applyNumberFormat="1" applyFont="1" applyFill="1" applyBorder="1" applyAlignment="1">
      <alignment horizontal="center"/>
    </xf>
    <xf numFmtId="171" fontId="6" fillId="27" borderId="51" xfId="2" applyNumberFormat="1" applyFont="1" applyFill="1" applyBorder="1" applyAlignment="1">
      <alignment horizontal="center"/>
    </xf>
    <xf numFmtId="171" fontId="7" fillId="4" borderId="44" xfId="2" applyNumberFormat="1" applyFont="1" applyFill="1" applyBorder="1" applyAlignment="1">
      <alignment horizontal="center"/>
    </xf>
    <xf numFmtId="171" fontId="7" fillId="16" borderId="44" xfId="2" applyNumberFormat="1" applyFont="1" applyFill="1" applyBorder="1" applyAlignment="1">
      <alignment horizontal="center"/>
    </xf>
    <xf numFmtId="171" fontId="7" fillId="4" borderId="44" xfId="2" applyNumberFormat="1" applyFont="1" applyFill="1" applyBorder="1" applyAlignment="1"/>
    <xf numFmtId="171" fontId="7" fillId="4" borderId="52" xfId="2" applyNumberFormat="1" applyFont="1" applyFill="1" applyBorder="1" applyAlignment="1"/>
    <xf numFmtId="171" fontId="7" fillId="4" borderId="45" xfId="2" applyNumberFormat="1" applyFont="1" applyFill="1" applyBorder="1" applyAlignment="1"/>
    <xf numFmtId="0" fontId="41" fillId="0" borderId="48" xfId="0" applyFont="1" applyBorder="1" applyAlignment="1">
      <alignment horizontal="center"/>
    </xf>
    <xf numFmtId="171" fontId="6" fillId="0" borderId="36" xfId="2" applyNumberFormat="1" applyFont="1" applyFill="1" applyBorder="1" applyAlignment="1">
      <alignment horizontal="center"/>
    </xf>
    <xf numFmtId="171" fontId="6" fillId="4" borderId="36" xfId="2" applyNumberFormat="1" applyFont="1" applyFill="1" applyBorder="1" applyAlignment="1">
      <alignment horizontal="center" vertical="center"/>
    </xf>
    <xf numFmtId="171" fontId="6" fillId="4" borderId="36" xfId="2" applyNumberFormat="1" applyFont="1" applyFill="1" applyBorder="1" applyAlignment="1">
      <alignment vertical="center"/>
    </xf>
    <xf numFmtId="171" fontId="6" fillId="4" borderId="49" xfId="2" applyNumberFormat="1" applyFont="1" applyFill="1" applyBorder="1" applyAlignment="1">
      <alignment vertical="center"/>
    </xf>
    <xf numFmtId="171" fontId="6" fillId="4" borderId="50" xfId="2" applyNumberFormat="1" applyFont="1" applyFill="1" applyBorder="1" applyAlignment="1">
      <alignment vertical="center"/>
    </xf>
    <xf numFmtId="171" fontId="6" fillId="4" borderId="51" xfId="2" applyNumberFormat="1" applyFont="1" applyFill="1" applyBorder="1" applyAlignment="1">
      <alignment vertical="center"/>
    </xf>
    <xf numFmtId="179" fontId="0" fillId="0" borderId="0" xfId="13" applyNumberFormat="1" applyFont="1"/>
    <xf numFmtId="177" fontId="0" fillId="0" borderId="0" xfId="13" applyNumberFormat="1" applyFont="1"/>
    <xf numFmtId="0" fontId="41" fillId="0" borderId="0" xfId="0" applyFont="1" applyAlignment="1">
      <alignment horizontal="center"/>
    </xf>
    <xf numFmtId="0" fontId="34" fillId="40" borderId="0" xfId="0" applyFont="1" applyFill="1"/>
    <xf numFmtId="9" fontId="34" fillId="0" borderId="0" xfId="0" applyNumberFormat="1" applyFont="1"/>
    <xf numFmtId="171" fontId="6" fillId="0" borderId="0" xfId="2" applyNumberFormat="1" applyFont="1" applyBorder="1"/>
    <xf numFmtId="171" fontId="7" fillId="0" borderId="0" xfId="2" applyNumberFormat="1" applyFont="1" applyFill="1" applyBorder="1"/>
    <xf numFmtId="177" fontId="7" fillId="0" borderId="0" xfId="2" applyNumberFormat="1" applyFont="1" applyFill="1" applyBorder="1"/>
    <xf numFmtId="177" fontId="0" fillId="0" borderId="0" xfId="13" applyNumberFormat="1" applyFont="1" applyFill="1" applyBorder="1" applyAlignment="1">
      <alignment horizontal="center"/>
    </xf>
    <xf numFmtId="192" fontId="58" fillId="0" borderId="0" xfId="29" applyNumberFormat="1" applyFont="1" applyBorder="1"/>
    <xf numFmtId="187" fontId="19" fillId="0" borderId="0" xfId="0" applyNumberFormat="1" applyFont="1"/>
    <xf numFmtId="183" fontId="9" fillId="0" borderId="5" xfId="0" applyNumberFormat="1" applyFont="1" applyBorder="1" applyAlignment="1">
      <alignment horizontal="right" vertical="center" wrapText="1"/>
    </xf>
    <xf numFmtId="165" fontId="58" fillId="0" borderId="0" xfId="29" applyFont="1" applyFill="1" applyBorder="1"/>
    <xf numFmtId="196" fontId="19" fillId="0" borderId="0" xfId="0" applyNumberFormat="1" applyFont="1"/>
    <xf numFmtId="171" fontId="0" fillId="3" borderId="47" xfId="2" applyNumberFormat="1" applyFont="1" applyFill="1" applyBorder="1" applyAlignment="1">
      <alignment vertical="center"/>
    </xf>
    <xf numFmtId="17" fontId="62" fillId="38" borderId="2" xfId="50" applyNumberFormat="1" applyFont="1" applyFill="1" applyBorder="1" applyAlignment="1" applyProtection="1">
      <alignment horizontal="center" vertical="center"/>
      <protection locked="0"/>
    </xf>
    <xf numFmtId="17" fontId="62" fillId="38" borderId="0" xfId="50" applyNumberFormat="1" applyFont="1" applyFill="1" applyAlignment="1" applyProtection="1">
      <alignment horizontal="center" vertical="center"/>
      <protection locked="0"/>
    </xf>
    <xf numFmtId="17" fontId="62" fillId="38" borderId="29" xfId="50" applyNumberFormat="1" applyFont="1" applyFill="1" applyBorder="1" applyAlignment="1" applyProtection="1">
      <alignment horizontal="center" vertical="center"/>
      <protection locked="0"/>
    </xf>
    <xf numFmtId="175" fontId="7" fillId="0" borderId="0" xfId="11" applyNumberFormat="1" applyFont="1" applyFill="1" applyBorder="1" applyAlignment="1">
      <alignment horizontal="center" vertical="center"/>
    </xf>
    <xf numFmtId="165" fontId="58" fillId="0" borderId="2" xfId="29" applyFont="1" applyFill="1" applyBorder="1"/>
    <xf numFmtId="165" fontId="61" fillId="0" borderId="0" xfId="0" applyNumberFormat="1" applyFont="1"/>
    <xf numFmtId="0" fontId="15" fillId="0" borderId="0" xfId="1" applyFont="1"/>
    <xf numFmtId="0" fontId="1" fillId="0" borderId="0" xfId="1"/>
    <xf numFmtId="0" fontId="0" fillId="0" borderId="0" xfId="0" applyAlignment="1">
      <alignment wrapText="1"/>
    </xf>
    <xf numFmtId="171" fontId="6" fillId="0" borderId="0" xfId="2" applyNumberFormat="1" applyFont="1" applyBorder="1" applyAlignment="1">
      <alignment horizontal="center"/>
    </xf>
    <xf numFmtId="9" fontId="0" fillId="0" borderId="0" xfId="11" applyFont="1" applyAlignment="1">
      <alignment horizontal="center"/>
    </xf>
    <xf numFmtId="171" fontId="7" fillId="4" borderId="0" xfId="2" applyNumberFormat="1" applyFont="1" applyFill="1" applyBorder="1" applyAlignment="1"/>
    <xf numFmtId="192" fontId="0" fillId="0" borderId="1" xfId="0" applyNumberFormat="1" applyBorder="1" applyAlignment="1">
      <alignment horizontal="right"/>
    </xf>
    <xf numFmtId="0" fontId="0" fillId="0" borderId="1" xfId="0" applyBorder="1" applyAlignment="1">
      <alignment horizontal="right"/>
    </xf>
    <xf numFmtId="171" fontId="0" fillId="0" borderId="1" xfId="2" applyNumberFormat="1" applyFont="1" applyBorder="1" applyAlignment="1">
      <alignment horizontal="right"/>
    </xf>
    <xf numFmtId="171" fontId="6" fillId="0" borderId="1" xfId="2" applyNumberFormat="1" applyFont="1" applyBorder="1" applyAlignment="1">
      <alignment horizontal="right"/>
    </xf>
    <xf numFmtId="188" fontId="59" fillId="39" borderId="41" xfId="29" applyNumberFormat="1" applyFont="1" applyFill="1" applyBorder="1"/>
    <xf numFmtId="189" fontId="58" fillId="36" borderId="0" xfId="0" applyNumberFormat="1" applyFont="1" applyFill="1"/>
    <xf numFmtId="197" fontId="0" fillId="0" borderId="0" xfId="0" applyNumberFormat="1"/>
    <xf numFmtId="186" fontId="16" fillId="0" borderId="26" xfId="1" applyNumberFormat="1" applyFont="1" applyBorder="1" applyAlignment="1">
      <alignment horizontal="right"/>
    </xf>
    <xf numFmtId="0" fontId="17" fillId="17" borderId="53" xfId="1" applyFont="1" applyFill="1" applyBorder="1" applyAlignment="1">
      <alignment horizontal="center" vertical="center" wrapText="1"/>
    </xf>
    <xf numFmtId="0" fontId="17" fillId="17" borderId="54" xfId="1" applyFont="1" applyFill="1" applyBorder="1" applyAlignment="1">
      <alignment horizontal="center" vertical="center" wrapText="1"/>
    </xf>
    <xf numFmtId="178" fontId="16" fillId="0" borderId="55" xfId="1" applyNumberFormat="1" applyFont="1" applyBorder="1" applyAlignment="1">
      <alignment horizontal="right"/>
    </xf>
    <xf numFmtId="186" fontId="16" fillId="0" borderId="20" xfId="1" applyNumberFormat="1" applyFont="1" applyBorder="1" applyAlignment="1">
      <alignment horizontal="right"/>
    </xf>
    <xf numFmtId="178" fontId="16" fillId="0" borderId="56" xfId="1" applyNumberFormat="1" applyFont="1" applyBorder="1" applyAlignment="1">
      <alignment horizontal="right"/>
    </xf>
    <xf numFmtId="196" fontId="0" fillId="0" borderId="0" xfId="0" applyNumberFormat="1" applyAlignment="1">
      <alignment wrapText="1"/>
    </xf>
    <xf numFmtId="188" fontId="0" fillId="0" borderId="0" xfId="0" applyNumberFormat="1" applyAlignment="1">
      <alignment wrapText="1"/>
    </xf>
    <xf numFmtId="0" fontId="5" fillId="10" borderId="0" xfId="0" applyFont="1" applyFill="1" applyAlignment="1">
      <alignment horizontal="center"/>
    </xf>
    <xf numFmtId="49" fontId="16" fillId="0" borderId="57" xfId="1" applyNumberFormat="1" applyFont="1" applyBorder="1" applyAlignment="1">
      <alignment horizontal="right"/>
    </xf>
    <xf numFmtId="198" fontId="19" fillId="30" borderId="34" xfId="0" applyNumberFormat="1" applyFont="1" applyFill="1" applyBorder="1" applyAlignment="1">
      <alignment horizontal="center"/>
    </xf>
    <xf numFmtId="177" fontId="0" fillId="0" borderId="0" xfId="0" applyNumberFormat="1" applyAlignment="1">
      <alignment horizontal="center"/>
    </xf>
    <xf numFmtId="193" fontId="0" fillId="0" borderId="0" xfId="11" applyNumberFormat="1" applyFont="1" applyAlignment="1">
      <alignment horizontal="center"/>
    </xf>
    <xf numFmtId="165" fontId="0" fillId="0" borderId="0" xfId="0" applyNumberFormat="1" applyAlignment="1">
      <alignment wrapText="1"/>
    </xf>
    <xf numFmtId="0" fontId="56" fillId="10" borderId="0" xfId="0" applyFont="1" applyFill="1"/>
    <xf numFmtId="165" fontId="56" fillId="10" borderId="0" xfId="29" applyFont="1" applyFill="1" applyBorder="1"/>
    <xf numFmtId="165" fontId="59" fillId="39" borderId="0" xfId="29" applyFont="1" applyFill="1" applyBorder="1"/>
    <xf numFmtId="188" fontId="59" fillId="39" borderId="0" xfId="29" applyNumberFormat="1" applyFont="1" applyFill="1" applyBorder="1"/>
    <xf numFmtId="0" fontId="56" fillId="0" borderId="0" xfId="0" applyFont="1"/>
    <xf numFmtId="165" fontId="56" fillId="0" borderId="0" xfId="29" applyFont="1" applyFill="1" applyBorder="1"/>
    <xf numFmtId="165" fontId="59" fillId="0" borderId="0" xfId="29" applyFont="1" applyFill="1" applyBorder="1"/>
    <xf numFmtId="188" fontId="59" fillId="0" borderId="0" xfId="29" applyNumberFormat="1" applyFont="1" applyFill="1" applyBorder="1"/>
    <xf numFmtId="171" fontId="0" fillId="0" borderId="0" xfId="2" applyNumberFormat="1" applyFont="1" applyFill="1"/>
    <xf numFmtId="14" fontId="63" fillId="20" borderId="6" xfId="0" applyNumberFormat="1" applyFont="1" applyFill="1" applyBorder="1" applyAlignment="1">
      <alignment horizontal="left" vertical="center" wrapText="1"/>
    </xf>
    <xf numFmtId="183" fontId="63" fillId="21" borderId="5" xfId="0" applyNumberFormat="1" applyFont="1" applyFill="1" applyBorder="1" applyAlignment="1">
      <alignment horizontal="right" vertical="center" wrapText="1"/>
    </xf>
    <xf numFmtId="14" fontId="63" fillId="22" borderId="6" xfId="0" applyNumberFormat="1" applyFont="1" applyFill="1" applyBorder="1" applyAlignment="1">
      <alignment horizontal="left" vertical="center" wrapText="1"/>
    </xf>
    <xf numFmtId="183" fontId="63" fillId="22" borderId="5" xfId="0" applyNumberFormat="1" applyFont="1" applyFill="1" applyBorder="1" applyAlignment="1">
      <alignment horizontal="right" vertical="center" wrapText="1"/>
    </xf>
    <xf numFmtId="49" fontId="16" fillId="0" borderId="55" xfId="1" applyNumberFormat="1" applyFont="1" applyBorder="1" applyAlignment="1">
      <alignment horizontal="right"/>
    </xf>
    <xf numFmtId="186" fontId="16" fillId="0" borderId="58" xfId="1" applyNumberFormat="1" applyFont="1" applyBorder="1" applyAlignment="1">
      <alignment horizontal="right"/>
    </xf>
    <xf numFmtId="0" fontId="64" fillId="0" borderId="0" xfId="0" applyFont="1" applyAlignment="1">
      <alignment horizontal="right"/>
    </xf>
    <xf numFmtId="10" fontId="58" fillId="0" borderId="0" xfId="11" applyNumberFormat="1" applyFont="1" applyBorder="1"/>
    <xf numFmtId="17" fontId="16" fillId="0" borderId="35" xfId="1" applyNumberFormat="1" applyFont="1" applyBorder="1" applyAlignment="1">
      <alignment horizontal="right"/>
    </xf>
    <xf numFmtId="186" fontId="1" fillId="0" borderId="25" xfId="1" applyNumberFormat="1" applyBorder="1"/>
    <xf numFmtId="170" fontId="6" fillId="42" borderId="46" xfId="0" applyNumberFormat="1" applyFont="1" applyFill="1" applyBorder="1" applyAlignment="1">
      <alignment horizontal="center"/>
    </xf>
    <xf numFmtId="171" fontId="0" fillId="42" borderId="1" xfId="2" applyNumberFormat="1" applyFont="1" applyFill="1" applyBorder="1" applyAlignment="1">
      <alignment horizontal="center"/>
    </xf>
    <xf numFmtId="171" fontId="0" fillId="42" borderId="1" xfId="2" applyNumberFormat="1" applyFont="1" applyFill="1" applyBorder="1" applyAlignment="1"/>
    <xf numFmtId="171" fontId="0" fillId="42" borderId="2" xfId="2" applyNumberFormat="1" applyFont="1" applyFill="1" applyBorder="1" applyAlignment="1"/>
    <xf numFmtId="171" fontId="0" fillId="42" borderId="47" xfId="2" applyNumberFormat="1" applyFont="1" applyFill="1" applyBorder="1" applyAlignment="1"/>
    <xf numFmtId="0" fontId="65" fillId="0" borderId="0" xfId="0" applyFont="1"/>
    <xf numFmtId="0" fontId="65" fillId="0" borderId="0" xfId="0" applyFont="1" applyAlignment="1">
      <alignment horizontal="center" vertical="center"/>
    </xf>
    <xf numFmtId="177" fontId="29" fillId="0" borderId="0" xfId="13" applyNumberFormat="1" applyFont="1"/>
    <xf numFmtId="171" fontId="29" fillId="4" borderId="0" xfId="2" applyNumberFormat="1" applyFont="1" applyFill="1" applyBorder="1" applyAlignment="1">
      <alignment horizontal="left" vertical="center"/>
    </xf>
    <xf numFmtId="177" fontId="29" fillId="0" borderId="0" xfId="13" applyNumberFormat="1" applyFont="1" applyAlignment="1">
      <alignment horizontal="left"/>
    </xf>
    <xf numFmtId="0" fontId="0" fillId="0" borderId="1" xfId="0" applyBorder="1" applyAlignment="1">
      <alignment horizontal="center" vertical="center"/>
    </xf>
    <xf numFmtId="2" fontId="0" fillId="0" borderId="1" xfId="0" applyNumberFormat="1" applyBorder="1" applyAlignment="1">
      <alignment horizontal="center" vertical="center"/>
    </xf>
    <xf numFmtId="0" fontId="6" fillId="35" borderId="43" xfId="0" applyFont="1" applyFill="1" applyBorder="1" applyAlignment="1">
      <alignment horizontal="left" vertical="center"/>
    </xf>
    <xf numFmtId="0" fontId="6" fillId="35" borderId="44" xfId="0" applyFont="1" applyFill="1" applyBorder="1" applyAlignment="1">
      <alignment horizontal="left"/>
    </xf>
    <xf numFmtId="0" fontId="6" fillId="35" borderId="45" xfId="0" applyFont="1" applyFill="1" applyBorder="1" applyAlignment="1">
      <alignment horizontal="left"/>
    </xf>
    <xf numFmtId="0" fontId="0" fillId="0" borderId="46" xfId="0" applyBorder="1" applyAlignment="1">
      <alignment horizontal="left"/>
    </xf>
    <xf numFmtId="0" fontId="0" fillId="0" borderId="1" xfId="0" applyBorder="1" applyAlignment="1">
      <alignment horizontal="left"/>
    </xf>
    <xf numFmtId="0" fontId="0" fillId="0" borderId="47"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1" fontId="0" fillId="0" borderId="51" xfId="0" applyNumberFormat="1" applyBorder="1" applyAlignment="1">
      <alignment horizontal="left"/>
    </xf>
    <xf numFmtId="0" fontId="0" fillId="2" borderId="0" xfId="0" applyFill="1"/>
    <xf numFmtId="0" fontId="0" fillId="30" borderId="0" xfId="0" applyFill="1"/>
    <xf numFmtId="0" fontId="0" fillId="43" borderId="0" xfId="0" applyFill="1"/>
    <xf numFmtId="165" fontId="29" fillId="0" borderId="0" xfId="0" applyNumberFormat="1" applyFont="1" applyAlignment="1">
      <alignment vertical="top"/>
    </xf>
    <xf numFmtId="0" fontId="29" fillId="0" borderId="0" xfId="0" applyFont="1" applyAlignment="1">
      <alignment vertical="top"/>
    </xf>
    <xf numFmtId="0" fontId="65" fillId="0" borderId="0" xfId="0" applyFont="1" applyAlignment="1">
      <alignment horizontal="left" vertical="center"/>
    </xf>
    <xf numFmtId="0" fontId="65" fillId="0" borderId="0" xfId="0" applyFont="1" applyAlignment="1">
      <alignment horizontal="left"/>
    </xf>
    <xf numFmtId="14" fontId="18" fillId="5" borderId="0" xfId="0" quotePrefix="1" applyNumberFormat="1" applyFont="1" applyFill="1" applyAlignment="1">
      <alignment horizontal="center"/>
    </xf>
    <xf numFmtId="17" fontId="6" fillId="0" borderId="0" xfId="0" quotePrefix="1" applyNumberFormat="1" applyFont="1" applyAlignment="1">
      <alignment horizontal="center"/>
    </xf>
    <xf numFmtId="171" fontId="0" fillId="0" borderId="0" xfId="2" applyNumberFormat="1" applyFont="1" applyFill="1" applyBorder="1" applyAlignment="1">
      <alignment vertical="center"/>
    </xf>
    <xf numFmtId="171" fontId="8" fillId="4" borderId="0" xfId="2" applyNumberFormat="1" applyFont="1" applyFill="1" applyBorder="1" applyAlignment="1"/>
    <xf numFmtId="171" fontId="0" fillId="4" borderId="0" xfId="2" applyNumberFormat="1" applyFont="1" applyFill="1" applyBorder="1" applyAlignment="1"/>
    <xf numFmtId="171" fontId="0" fillId="42" borderId="0" xfId="2" applyNumberFormat="1" applyFont="1" applyFill="1" applyBorder="1" applyAlignment="1"/>
    <xf numFmtId="171" fontId="0" fillId="4" borderId="0" xfId="2" applyNumberFormat="1" applyFont="1" applyFill="1" applyBorder="1" applyAlignment="1">
      <alignment vertical="center"/>
    </xf>
    <xf numFmtId="171" fontId="0" fillId="3" borderId="0" xfId="2" applyNumberFormat="1" applyFont="1" applyFill="1" applyBorder="1" applyAlignment="1">
      <alignment vertical="center"/>
    </xf>
    <xf numFmtId="175" fontId="6" fillId="4" borderId="0" xfId="2" applyNumberFormat="1" applyFont="1" applyFill="1" applyBorder="1" applyAlignment="1">
      <alignment vertical="center"/>
    </xf>
    <xf numFmtId="174" fontId="6" fillId="4" borderId="0" xfId="2" applyNumberFormat="1" applyFont="1" applyFill="1" applyBorder="1" applyAlignment="1"/>
    <xf numFmtId="171" fontId="7" fillId="7" borderId="0" xfId="2" applyNumberFormat="1" applyFont="1" applyFill="1" applyBorder="1" applyAlignment="1"/>
    <xf numFmtId="171" fontId="7" fillId="19" borderId="0" xfId="2" applyNumberFormat="1" applyFont="1" applyFill="1" applyBorder="1" applyAlignment="1"/>
    <xf numFmtId="171" fontId="7" fillId="27" borderId="0" xfId="2" applyNumberFormat="1" applyFont="1" applyFill="1" applyBorder="1" applyAlignment="1"/>
    <xf numFmtId="171" fontId="7" fillId="8" borderId="0" xfId="2" applyNumberFormat="1" applyFont="1" applyFill="1" applyBorder="1" applyAlignment="1"/>
    <xf numFmtId="171" fontId="7" fillId="9" borderId="0" xfId="2" applyNumberFormat="1" applyFont="1" applyFill="1" applyBorder="1" applyAlignment="1"/>
    <xf numFmtId="171" fontId="7" fillId="24" borderId="0" xfId="2" applyNumberFormat="1" applyFont="1" applyFill="1" applyBorder="1" applyAlignment="1"/>
    <xf numFmtId="171" fontId="7" fillId="28" borderId="0" xfId="2" applyNumberFormat="1" applyFont="1" applyFill="1" applyBorder="1" applyAlignment="1"/>
    <xf numFmtId="171" fontId="7" fillId="6" borderId="0" xfId="2" applyNumberFormat="1" applyFont="1" applyFill="1" applyBorder="1" applyAlignment="1"/>
    <xf numFmtId="171" fontId="7" fillId="18" borderId="0" xfId="2" applyNumberFormat="1" applyFont="1" applyFill="1" applyBorder="1" applyAlignment="1"/>
    <xf numFmtId="171" fontId="6" fillId="27" borderId="0" xfId="2" applyNumberFormat="1" applyFont="1" applyFill="1" applyBorder="1" applyAlignment="1">
      <alignment horizontal="center"/>
    </xf>
    <xf numFmtId="0" fontId="0" fillId="0" borderId="0" xfId="0" applyAlignment="1">
      <alignment horizontal="center" vertical="center"/>
    </xf>
    <xf numFmtId="0" fontId="67" fillId="0" borderId="0" xfId="51" applyFont="1"/>
    <xf numFmtId="0" fontId="66" fillId="0" borderId="0" xfId="51"/>
    <xf numFmtId="0" fontId="68" fillId="0" borderId="0" xfId="51" applyFont="1" applyAlignment="1">
      <alignment horizontal="left"/>
    </xf>
    <xf numFmtId="0" fontId="69" fillId="17" borderId="59" xfId="51" applyFont="1" applyFill="1" applyBorder="1" applyAlignment="1">
      <alignment horizontal="center" vertical="center" wrapText="1"/>
    </xf>
    <xf numFmtId="0" fontId="68" fillId="44" borderId="60" xfId="51" applyFont="1" applyFill="1" applyBorder="1" applyAlignment="1">
      <alignment horizontal="right"/>
    </xf>
    <xf numFmtId="0" fontId="68" fillId="44" borderId="61" xfId="51" applyFont="1" applyFill="1" applyBorder="1" applyAlignment="1">
      <alignment horizontal="right"/>
    </xf>
    <xf numFmtId="0" fontId="68" fillId="44" borderId="62" xfId="51" applyFont="1" applyFill="1" applyBorder="1" applyAlignment="1">
      <alignment horizontal="right"/>
    </xf>
    <xf numFmtId="0" fontId="68" fillId="44" borderId="63" xfId="51" applyFont="1" applyFill="1" applyBorder="1" applyAlignment="1">
      <alignment horizontal="right"/>
    </xf>
    <xf numFmtId="0" fontId="68" fillId="44" borderId="64" xfId="51" applyFont="1" applyFill="1" applyBorder="1" applyAlignment="1">
      <alignment horizontal="right"/>
    </xf>
    <xf numFmtId="0" fontId="68" fillId="44" borderId="65" xfId="51" applyFont="1" applyFill="1" applyBorder="1" applyAlignment="1">
      <alignment horizontal="right"/>
    </xf>
    <xf numFmtId="0" fontId="68" fillId="44" borderId="66" xfId="51" applyFont="1" applyFill="1" applyBorder="1" applyAlignment="1">
      <alignment horizontal="right"/>
    </xf>
    <xf numFmtId="0" fontId="68" fillId="44" borderId="67" xfId="51" applyFont="1" applyFill="1" applyBorder="1" applyAlignment="1">
      <alignment horizontal="right"/>
    </xf>
    <xf numFmtId="0" fontId="68" fillId="44" borderId="68" xfId="51" applyFont="1" applyFill="1" applyBorder="1" applyAlignment="1">
      <alignment horizontal="right"/>
    </xf>
    <xf numFmtId="192" fontId="29" fillId="0" borderId="0" xfId="0" applyNumberFormat="1" applyFont="1"/>
    <xf numFmtId="0" fontId="55" fillId="0" borderId="0" xfId="0" applyFont="1" applyAlignment="1">
      <alignment horizontal="center" vertical="center"/>
    </xf>
    <xf numFmtId="0" fontId="5" fillId="10" borderId="8" xfId="0" applyFont="1" applyFill="1" applyBorder="1" applyAlignment="1">
      <alignment horizontal="center"/>
    </xf>
    <xf numFmtId="0" fontId="5" fillId="10" borderId="24" xfId="0" applyFont="1" applyFill="1" applyBorder="1" applyAlignment="1">
      <alignment horizontal="center"/>
    </xf>
    <xf numFmtId="0" fontId="65" fillId="0" borderId="0" xfId="0" applyFont="1" applyAlignment="1">
      <alignment horizontal="left" vertical="center"/>
    </xf>
    <xf numFmtId="170" fontId="6" fillId="4" borderId="46" xfId="0" applyNumberFormat="1" applyFont="1" applyFill="1" applyBorder="1" applyAlignment="1">
      <alignment horizontal="center" vertical="center"/>
    </xf>
    <xf numFmtId="0" fontId="41" fillId="0" borderId="0" xfId="0" applyFont="1" applyAlignment="1">
      <alignment horizontal="center"/>
    </xf>
    <xf numFmtId="0" fontId="6" fillId="45" borderId="0" xfId="0" applyFont="1" applyFill="1" applyAlignment="1">
      <alignment horizontal="center" vertical="center"/>
    </xf>
    <xf numFmtId="0" fontId="65" fillId="0" borderId="0" xfId="0" applyFont="1" applyAlignment="1">
      <alignment horizontal="center" vertical="center"/>
    </xf>
    <xf numFmtId="0" fontId="5" fillId="5" borderId="0" xfId="0" applyFont="1" applyFill="1" applyAlignment="1">
      <alignment horizontal="center"/>
    </xf>
    <xf numFmtId="170" fontId="6" fillId="4" borderId="1" xfId="0" applyNumberFormat="1" applyFont="1" applyFill="1" applyBorder="1" applyAlignment="1">
      <alignment horizontal="center" vertical="center"/>
    </xf>
    <xf numFmtId="0" fontId="0" fillId="0" borderId="11"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34" fillId="0" borderId="0" xfId="0" applyFont="1" applyAlignment="1">
      <alignment horizontal="center"/>
    </xf>
    <xf numFmtId="0" fontId="0" fillId="0" borderId="0" xfId="0" applyAlignment="1">
      <alignment horizontal="left" wrapText="1"/>
    </xf>
    <xf numFmtId="0" fontId="0" fillId="0" borderId="1" xfId="0" applyBorder="1" applyAlignment="1">
      <alignment horizontal="center"/>
    </xf>
    <xf numFmtId="0" fontId="18" fillId="12" borderId="7" xfId="0" applyFont="1" applyFill="1" applyBorder="1" applyAlignment="1">
      <alignment horizontal="center" vertical="center" wrapText="1"/>
    </xf>
    <xf numFmtId="0" fontId="18" fillId="12" borderId="8" xfId="0" applyFont="1" applyFill="1" applyBorder="1" applyAlignment="1">
      <alignment horizontal="center" vertical="center" wrapText="1"/>
    </xf>
    <xf numFmtId="0" fontId="18" fillId="10" borderId="1" xfId="0" applyFont="1" applyFill="1" applyBorder="1" applyAlignment="1">
      <alignment horizontal="center"/>
    </xf>
    <xf numFmtId="0" fontId="6" fillId="11" borderId="0" xfId="0" applyFont="1" applyFill="1" applyAlignment="1">
      <alignment horizontal="center"/>
    </xf>
    <xf numFmtId="0" fontId="5" fillId="10" borderId="0" xfId="0" applyFont="1" applyFill="1" applyAlignment="1">
      <alignment horizontal="center"/>
    </xf>
    <xf numFmtId="0" fontId="25" fillId="0" borderId="1" xfId="0" applyFont="1" applyBorder="1" applyAlignment="1">
      <alignment horizontal="center"/>
    </xf>
    <xf numFmtId="0" fontId="25" fillId="0" borderId="2" xfId="0" applyFont="1" applyBorder="1" applyAlignment="1">
      <alignment horizontal="center"/>
    </xf>
    <xf numFmtId="0" fontId="25" fillId="0" borderId="30" xfId="0" applyFont="1" applyBorder="1" applyAlignment="1">
      <alignment horizontal="center"/>
    </xf>
    <xf numFmtId="0" fontId="6" fillId="0" borderId="1" xfId="0" applyFont="1" applyBorder="1" applyAlignment="1">
      <alignment horizontal="center"/>
    </xf>
    <xf numFmtId="0" fontId="6" fillId="0" borderId="11" xfId="0" applyFont="1" applyBorder="1" applyAlignment="1">
      <alignment horizontal="center"/>
    </xf>
    <xf numFmtId="0" fontId="47" fillId="31" borderId="0" xfId="0" applyFont="1" applyFill="1" applyAlignment="1">
      <alignment horizontal="center" vertical="center" wrapText="1"/>
    </xf>
    <xf numFmtId="0" fontId="6" fillId="0" borderId="8" xfId="0" applyFont="1" applyBorder="1" applyAlignment="1">
      <alignment horizontal="center"/>
    </xf>
    <xf numFmtId="0" fontId="6" fillId="0" borderId="24" xfId="0" applyFont="1" applyBorder="1" applyAlignment="1">
      <alignment horizontal="center"/>
    </xf>
    <xf numFmtId="0" fontId="25" fillId="6" borderId="2" xfId="0" applyFont="1" applyFill="1" applyBorder="1" applyAlignment="1">
      <alignment horizontal="center"/>
    </xf>
    <xf numFmtId="0" fontId="25" fillId="6" borderId="30" xfId="0" applyFont="1" applyFill="1" applyBorder="1" applyAlignment="1">
      <alignment horizontal="center"/>
    </xf>
    <xf numFmtId="17" fontId="18" fillId="32" borderId="31" xfId="47" applyNumberFormat="1" applyFont="1" applyFill="1" applyBorder="1" applyAlignment="1">
      <alignment horizontal="center" vertical="center"/>
    </xf>
    <xf numFmtId="17" fontId="18" fillId="32" borderId="32" xfId="47" applyNumberFormat="1" applyFont="1" applyFill="1" applyBorder="1" applyAlignment="1">
      <alignment horizontal="center" vertical="center"/>
    </xf>
    <xf numFmtId="0" fontId="19" fillId="30" borderId="7" xfId="0" applyFont="1" applyFill="1" applyBorder="1" applyAlignment="1">
      <alignment horizontal="center"/>
    </xf>
    <xf numFmtId="0" fontId="19" fillId="30" borderId="12" xfId="0" applyFont="1" applyFill="1" applyBorder="1" applyAlignment="1">
      <alignment horizontal="center"/>
    </xf>
    <xf numFmtId="0" fontId="19" fillId="30" borderId="7" xfId="0" applyFont="1" applyFill="1" applyBorder="1" applyAlignment="1">
      <alignment horizontal="center" wrapText="1"/>
    </xf>
    <xf numFmtId="0" fontId="19" fillId="30" borderId="12" xfId="0" applyFont="1" applyFill="1" applyBorder="1" applyAlignment="1">
      <alignment horizontal="center" wrapText="1"/>
    </xf>
  </cellXfs>
  <cellStyles count="52">
    <cellStyle name="Comma" xfId="13" builtinId="3"/>
    <cellStyle name="Comma [0]" xfId="29" builtinId="6"/>
    <cellStyle name="Currency" xfId="2" builtinId="4"/>
    <cellStyle name="Currency [0]" xfId="46" builtinId="7"/>
    <cellStyle name="Hyperlink" xfId="48" builtinId="8"/>
    <cellStyle name="Millares 2" xfId="14" xr:uid="{00000000-0005-0000-0000-000001000000}"/>
    <cellStyle name="Millares 3" xfId="35" xr:uid="{D16C4E28-F72E-4035-B1D1-0245C1B472C5}"/>
    <cellStyle name="Millares 9 2" xfId="5" xr:uid="{00000000-0005-0000-0000-000002000000}"/>
    <cellStyle name="Moneda 2" xfId="10" xr:uid="{00000000-0005-0000-0000-000004000000}"/>
    <cellStyle name="Moneda 2 2" xfId="8" xr:uid="{00000000-0005-0000-0000-000005000000}"/>
    <cellStyle name="Moneda 3" xfId="3" xr:uid="{00000000-0005-0000-0000-000006000000}"/>
    <cellStyle name="Moneda 4" xfId="45" xr:uid="{3845E2BB-66F5-4489-BAAA-DD0BA184B154}"/>
    <cellStyle name="Normal" xfId="0" builtinId="0"/>
    <cellStyle name="Normal - Style1 2" xfId="1" xr:uid="{00000000-0005-0000-0000-000008000000}"/>
    <cellStyle name="Normal 10" xfId="20" xr:uid="{0319615D-498A-44FF-AEC9-46E360350E8D}"/>
    <cellStyle name="Normal 11" xfId="21" xr:uid="{D1F54526-796A-4ACE-91F0-802FF6AA36CB}"/>
    <cellStyle name="Normal 12" xfId="22" xr:uid="{C5295346-5DE6-45C5-8DA8-EAAD72AE2DE8}"/>
    <cellStyle name="Normal 13" xfId="23" xr:uid="{54C59CB0-7469-4866-8CE2-A4B3B5A0DACD}"/>
    <cellStyle name="Normal 14" xfId="24" xr:uid="{FB5CB556-0901-4DD4-AB01-D55D33222736}"/>
    <cellStyle name="Normal 15" xfId="25" xr:uid="{17B2C6F0-653B-4E44-96A9-BCEB0AB39267}"/>
    <cellStyle name="Normal 16" xfId="26" xr:uid="{14AA6727-33B9-40CA-BB57-2B3C57EB7F25}"/>
    <cellStyle name="Normal 17" xfId="27" xr:uid="{A37D82FB-C40B-4179-952B-01F3331CB759}"/>
    <cellStyle name="Normal 18" xfId="28" xr:uid="{663446F5-9690-47FB-99F2-8FE120226DC9}"/>
    <cellStyle name="Normal 19" xfId="30" xr:uid="{E8EDDF87-E89C-488A-8A17-539655E0F81E}"/>
    <cellStyle name="Normal 2" xfId="7" xr:uid="{00000000-0005-0000-0000-000009000000}"/>
    <cellStyle name="Normal 2 2" xfId="39" xr:uid="{9BFD0AD8-3012-41A0-AC61-FF20A6DDDFC4}"/>
    <cellStyle name="Normal 2 4 2" xfId="47" xr:uid="{1590316E-BDD4-4B99-AAAA-DFC0B453BED7}"/>
    <cellStyle name="Normal 20" xfId="31" xr:uid="{587596D5-25BF-4121-91E5-5696FF5440BE}"/>
    <cellStyle name="Normal 21" xfId="32" xr:uid="{3F9BCECB-5F66-4020-BCA2-EF764D5D5633}"/>
    <cellStyle name="Normal 22" xfId="33" xr:uid="{7E8AD88E-7ECB-4B1A-A771-4821D89E18ED}"/>
    <cellStyle name="Normal 23" xfId="34" xr:uid="{3A797753-D530-41F8-BBA3-4EE4B73C8A52}"/>
    <cellStyle name="Normal 24" xfId="36" xr:uid="{3FFA6CFE-F1F6-4C58-B51E-08909F19D215}"/>
    <cellStyle name="Normal 25" xfId="37" xr:uid="{7857ADC6-8A7E-4A36-A6F3-57FE9A80CA68}"/>
    <cellStyle name="Normal 26" xfId="38" xr:uid="{9174B5DB-72B1-44A0-AC65-0E8D9560E9B9}"/>
    <cellStyle name="Normal 27" xfId="40" xr:uid="{54555F55-24DA-4A65-A6E4-47E4545C24C0}"/>
    <cellStyle name="Normal 28" xfId="41" xr:uid="{9E552081-7E23-4474-8F62-453EF8B47551}"/>
    <cellStyle name="Normal 29" xfId="42" xr:uid="{3D670845-157F-4ED0-BE58-A0E883B7C52B}"/>
    <cellStyle name="Normal 3" xfId="12" xr:uid="{00000000-0005-0000-0000-00000A000000}"/>
    <cellStyle name="Normal 30" xfId="43" xr:uid="{E7F71184-5754-4341-BE20-B24F1434F9D7}"/>
    <cellStyle name="Normal 31" xfId="44" xr:uid="{41426AEE-2C7C-4172-A19A-948E36EC79B5}"/>
    <cellStyle name="Normal 32" xfId="51" xr:uid="{8BF85A25-20B2-457E-99BD-12FD577390C4}"/>
    <cellStyle name="Normal 4" xfId="4" xr:uid="{00000000-0005-0000-0000-00000B000000}"/>
    <cellStyle name="Normal 4 2" xfId="9" xr:uid="{00000000-0005-0000-0000-00000C000000}"/>
    <cellStyle name="Normal 5" xfId="15" xr:uid="{00000000-0005-0000-0000-00000D000000}"/>
    <cellStyle name="Normal 5 2" xfId="49" xr:uid="{3908A704-75F6-4672-8C00-1EBB43BF0AFF}"/>
    <cellStyle name="Normal 6" xfId="16" xr:uid="{00000000-0005-0000-0000-00000E000000}"/>
    <cellStyle name="Normal 7" xfId="17" xr:uid="{A75EC8CF-A0F5-471B-918C-AAF370F65860}"/>
    <cellStyle name="Normal 8" xfId="18" xr:uid="{C0FAB61A-BDD2-46D6-B92A-D62539088AB0}"/>
    <cellStyle name="Normal 9" xfId="19" xr:uid="{E4208342-2AB2-4D99-8A51-3BA481796888}"/>
    <cellStyle name="Normal 94" xfId="50" xr:uid="{851AD09C-4BA0-4F88-A05B-BB616B689441}"/>
    <cellStyle name="Percent" xfId="11" builtinId="5"/>
    <cellStyle name="Percent 2" xfId="6" xr:uid="{00000000-0005-0000-0000-00000F000000}"/>
  </cellStyles>
  <dxfs count="0"/>
  <tableStyles count="1" defaultTableStyle="TableStyleMedium2" defaultPivotStyle="PivotStyleLight16">
    <tableStyle name="Invisible" pivot="0" table="0" count="0" xr9:uid="{FBCDC843-2A44-4C71-BE2D-73DEB95A08FD}"/>
  </tableStyles>
  <colors>
    <mruColors>
      <color rgb="FF66FFCC"/>
      <color rgb="FFFE7166"/>
      <color rgb="FFCCFFFF"/>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externalLink" Target="externalLinks/externalLink23.xml"/><Relationship Id="rId47" Type="http://schemas.openxmlformats.org/officeDocument/2006/relationships/externalLink" Target="externalLinks/externalLink28.xml"/><Relationship Id="rId50" Type="http://schemas.openxmlformats.org/officeDocument/2006/relationships/externalLink" Target="externalLinks/externalLink31.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0.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externalLink" Target="externalLinks/externalLink29.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20" Type="http://schemas.openxmlformats.org/officeDocument/2006/relationships/externalLink" Target="externalLinks/externalLink1.xml"/><Relationship Id="rId41" Type="http://schemas.openxmlformats.org/officeDocument/2006/relationships/externalLink" Target="externalLinks/externalLink22.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externalLink" Target="externalLinks/externalLink3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emf"/></Relationships>
</file>

<file path=xl/drawings/_rels/drawing11.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5</xdr:col>
      <xdr:colOff>226505</xdr:colOff>
      <xdr:row>30</xdr:row>
      <xdr:rowOff>21981</xdr:rowOff>
    </xdr:to>
    <xdr:pic>
      <xdr:nvPicPr>
        <xdr:cNvPr id="2" name="Imagen 1">
          <a:extLst>
            <a:ext uri="{FF2B5EF4-FFF2-40B4-BE49-F238E27FC236}">
              <a16:creationId xmlns:a16="http://schemas.microsoft.com/office/drawing/2014/main" id="{C5810C5A-FF9C-5BFB-9CF8-7833F998C179}"/>
            </a:ext>
          </a:extLst>
        </xdr:cNvPr>
        <xdr:cNvPicPr>
          <a:picLocks noChangeAspect="1"/>
        </xdr:cNvPicPr>
      </xdr:nvPicPr>
      <xdr:blipFill>
        <a:blip xmlns:r="http://schemas.openxmlformats.org/officeDocument/2006/relationships" r:embed="rId1"/>
        <a:stretch>
          <a:fillRect/>
        </a:stretch>
      </xdr:blipFill>
      <xdr:spPr>
        <a:xfrm>
          <a:off x="0" y="1143000"/>
          <a:ext cx="4422389" cy="4593981"/>
        </a:xfrm>
        <a:prstGeom prst="rect">
          <a:avLst/>
        </a:prstGeom>
      </xdr:spPr>
    </xdr:pic>
    <xdr:clientData/>
  </xdr:twoCellAnchor>
  <xdr:twoCellAnchor>
    <xdr:from>
      <xdr:col>56</xdr:col>
      <xdr:colOff>273537</xdr:colOff>
      <xdr:row>2</xdr:row>
      <xdr:rowOff>109904</xdr:rowOff>
    </xdr:from>
    <xdr:to>
      <xdr:col>57</xdr:col>
      <xdr:colOff>75710</xdr:colOff>
      <xdr:row>27</xdr:row>
      <xdr:rowOff>4885</xdr:rowOff>
    </xdr:to>
    <xdr:cxnSp macro="">
      <xdr:nvCxnSpPr>
        <xdr:cNvPr id="4" name="Conector recto de flecha 3">
          <a:extLst>
            <a:ext uri="{FF2B5EF4-FFF2-40B4-BE49-F238E27FC236}">
              <a16:creationId xmlns:a16="http://schemas.microsoft.com/office/drawing/2014/main" id="{85CCC40A-3D3B-4FF6-831B-5663D3881659}"/>
            </a:ext>
          </a:extLst>
        </xdr:cNvPr>
        <xdr:cNvCxnSpPr/>
      </xdr:nvCxnSpPr>
      <xdr:spPr>
        <a:xfrm>
          <a:off x="3209191" y="481135"/>
          <a:ext cx="310173" cy="4535365"/>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editAs="oneCell">
    <xdr:from>
      <xdr:col>42</xdr:col>
      <xdr:colOff>98479</xdr:colOff>
      <xdr:row>9</xdr:row>
      <xdr:rowOff>4535</xdr:rowOff>
    </xdr:from>
    <xdr:to>
      <xdr:col>57</xdr:col>
      <xdr:colOff>168448</xdr:colOff>
      <xdr:row>47</xdr:row>
      <xdr:rowOff>26517</xdr:rowOff>
    </xdr:to>
    <xdr:pic>
      <xdr:nvPicPr>
        <xdr:cNvPr id="3" name="Imagen 1">
          <a:extLst>
            <a:ext uri="{FF2B5EF4-FFF2-40B4-BE49-F238E27FC236}">
              <a16:creationId xmlns:a16="http://schemas.microsoft.com/office/drawing/2014/main" id="{E3792AAF-8A8A-4F91-ABEA-A64A9E55A970}"/>
            </a:ext>
          </a:extLst>
        </xdr:cNvPr>
        <xdr:cNvPicPr>
          <a:picLocks noChangeAspect="1"/>
        </xdr:cNvPicPr>
      </xdr:nvPicPr>
      <xdr:blipFill>
        <a:blip xmlns:r="http://schemas.openxmlformats.org/officeDocument/2006/relationships" r:embed="rId1"/>
        <a:stretch>
          <a:fillRect/>
        </a:stretch>
      </xdr:blipFill>
      <xdr:spPr>
        <a:xfrm>
          <a:off x="29422779" y="1661885"/>
          <a:ext cx="7912219" cy="7019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355600</xdr:colOff>
      <xdr:row>12</xdr:row>
      <xdr:rowOff>133350</xdr:rowOff>
    </xdr:from>
    <xdr:to>
      <xdr:col>6</xdr:col>
      <xdr:colOff>996950</xdr:colOff>
      <xdr:row>12</xdr:row>
      <xdr:rowOff>133350</xdr:rowOff>
    </xdr:to>
    <xdr:cxnSp macro="">
      <xdr:nvCxnSpPr>
        <xdr:cNvPr id="2" name="Straight Arrow Connector 1">
          <a:extLst>
            <a:ext uri="{FF2B5EF4-FFF2-40B4-BE49-F238E27FC236}">
              <a16:creationId xmlns:a16="http://schemas.microsoft.com/office/drawing/2014/main" id="{E13A29DE-DA0F-4364-B1E4-16971068638B}"/>
            </a:ext>
          </a:extLst>
        </xdr:cNvPr>
        <xdr:cNvCxnSpPr/>
      </xdr:nvCxnSpPr>
      <xdr:spPr>
        <a:xfrm>
          <a:off x="5130800" y="2349500"/>
          <a:ext cx="6413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666750</xdr:colOff>
      <xdr:row>3</xdr:row>
      <xdr:rowOff>146050</xdr:rowOff>
    </xdr:from>
    <xdr:to>
      <xdr:col>10</xdr:col>
      <xdr:colOff>237082</xdr:colOff>
      <xdr:row>5</xdr:row>
      <xdr:rowOff>147716</xdr:rowOff>
    </xdr:to>
    <xdr:pic>
      <xdr:nvPicPr>
        <xdr:cNvPr id="3" name="Picture 2">
          <a:extLst>
            <a:ext uri="{FF2B5EF4-FFF2-40B4-BE49-F238E27FC236}">
              <a16:creationId xmlns:a16="http://schemas.microsoft.com/office/drawing/2014/main" id="{10C57F59-D4B1-4577-8906-3EFEB98A0E4B}"/>
            </a:ext>
          </a:extLst>
        </xdr:cNvPr>
        <xdr:cNvPicPr>
          <a:picLocks noChangeAspect="1"/>
        </xdr:cNvPicPr>
      </xdr:nvPicPr>
      <xdr:blipFill>
        <a:blip xmlns:r="http://schemas.openxmlformats.org/officeDocument/2006/relationships" r:embed="rId1"/>
        <a:stretch>
          <a:fillRect/>
        </a:stretch>
      </xdr:blipFill>
      <xdr:spPr>
        <a:xfrm>
          <a:off x="3105150" y="698500"/>
          <a:ext cx="7869782" cy="369966"/>
        </a:xfrm>
        <a:prstGeom prst="rect">
          <a:avLst/>
        </a:prstGeom>
      </xdr:spPr>
    </xdr:pic>
    <xdr:clientData/>
  </xdr:twoCellAnchor>
  <xdr:twoCellAnchor editAs="oneCell">
    <xdr:from>
      <xdr:col>0</xdr:col>
      <xdr:colOff>0</xdr:colOff>
      <xdr:row>8</xdr:row>
      <xdr:rowOff>63500</xdr:rowOff>
    </xdr:from>
    <xdr:to>
      <xdr:col>6</xdr:col>
      <xdr:colOff>552837</xdr:colOff>
      <xdr:row>22</xdr:row>
      <xdr:rowOff>108161</xdr:rowOff>
    </xdr:to>
    <xdr:pic>
      <xdr:nvPicPr>
        <xdr:cNvPr id="4" name="Picture 3">
          <a:extLst>
            <a:ext uri="{FF2B5EF4-FFF2-40B4-BE49-F238E27FC236}">
              <a16:creationId xmlns:a16="http://schemas.microsoft.com/office/drawing/2014/main" id="{FC6F0245-90CC-480D-88AB-E7EDA5833779}"/>
            </a:ext>
          </a:extLst>
        </xdr:cNvPr>
        <xdr:cNvPicPr>
          <a:picLocks noChangeAspect="1"/>
        </xdr:cNvPicPr>
      </xdr:nvPicPr>
      <xdr:blipFill>
        <a:blip xmlns:r="http://schemas.openxmlformats.org/officeDocument/2006/relationships" r:embed="rId2"/>
        <a:stretch>
          <a:fillRect/>
        </a:stretch>
      </xdr:blipFill>
      <xdr:spPr>
        <a:xfrm>
          <a:off x="0" y="1536700"/>
          <a:ext cx="5328037" cy="2635461"/>
        </a:xfrm>
        <a:prstGeom prst="rect">
          <a:avLst/>
        </a:prstGeom>
      </xdr:spPr>
    </xdr:pic>
    <xdr:clientData/>
  </xdr:twoCellAnchor>
  <xdr:twoCellAnchor editAs="oneCell">
    <xdr:from>
      <xdr:col>12</xdr:col>
      <xdr:colOff>2673350</xdr:colOff>
      <xdr:row>28</xdr:row>
      <xdr:rowOff>19050</xdr:rowOff>
    </xdr:from>
    <xdr:to>
      <xdr:col>14</xdr:col>
      <xdr:colOff>876451</xdr:colOff>
      <xdr:row>35</xdr:row>
      <xdr:rowOff>51477</xdr:rowOff>
    </xdr:to>
    <xdr:pic>
      <xdr:nvPicPr>
        <xdr:cNvPr id="5" name="Picture 4">
          <a:extLst>
            <a:ext uri="{FF2B5EF4-FFF2-40B4-BE49-F238E27FC236}">
              <a16:creationId xmlns:a16="http://schemas.microsoft.com/office/drawing/2014/main" id="{778B7A27-22D7-EA99-A819-414022507641}"/>
            </a:ext>
          </a:extLst>
        </xdr:cNvPr>
        <xdr:cNvPicPr>
          <a:picLocks noChangeAspect="1"/>
        </xdr:cNvPicPr>
      </xdr:nvPicPr>
      <xdr:blipFill>
        <a:blip xmlns:r="http://schemas.openxmlformats.org/officeDocument/2006/relationships" r:embed="rId3"/>
        <a:stretch>
          <a:fillRect/>
        </a:stretch>
      </xdr:blipFill>
      <xdr:spPr>
        <a:xfrm>
          <a:off x="15017750" y="5187950"/>
          <a:ext cx="2775101" cy="1321477"/>
        </a:xfrm>
        <a:prstGeom prst="rect">
          <a:avLst/>
        </a:prstGeom>
      </xdr:spPr>
    </xdr:pic>
    <xdr:clientData/>
  </xdr:twoCellAnchor>
  <xdr:twoCellAnchor editAs="oneCell">
    <xdr:from>
      <xdr:col>12</xdr:col>
      <xdr:colOff>1162050</xdr:colOff>
      <xdr:row>22</xdr:row>
      <xdr:rowOff>25400</xdr:rowOff>
    </xdr:from>
    <xdr:to>
      <xdr:col>16</xdr:col>
      <xdr:colOff>216198</xdr:colOff>
      <xdr:row>25</xdr:row>
      <xdr:rowOff>158785</xdr:rowOff>
    </xdr:to>
    <xdr:pic>
      <xdr:nvPicPr>
        <xdr:cNvPr id="6" name="Picture 5">
          <a:extLst>
            <a:ext uri="{FF2B5EF4-FFF2-40B4-BE49-F238E27FC236}">
              <a16:creationId xmlns:a16="http://schemas.microsoft.com/office/drawing/2014/main" id="{E4912503-A4D2-FCD3-8550-C065D3C80347}"/>
            </a:ext>
          </a:extLst>
        </xdr:cNvPr>
        <xdr:cNvPicPr>
          <a:picLocks noChangeAspect="1"/>
        </xdr:cNvPicPr>
      </xdr:nvPicPr>
      <xdr:blipFill>
        <a:blip xmlns:r="http://schemas.openxmlformats.org/officeDocument/2006/relationships" r:embed="rId4"/>
        <a:stretch>
          <a:fillRect/>
        </a:stretch>
      </xdr:blipFill>
      <xdr:spPr>
        <a:xfrm>
          <a:off x="13506450" y="4089400"/>
          <a:ext cx="5797848" cy="6858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66675</xdr:rowOff>
    </xdr:from>
    <xdr:to>
      <xdr:col>143</xdr:col>
      <xdr:colOff>330580</xdr:colOff>
      <xdr:row>3</xdr:row>
      <xdr:rowOff>109803</xdr:rowOff>
    </xdr:to>
    <xdr:pic>
      <xdr:nvPicPr>
        <xdr:cNvPr id="2" name="Imagen 2">
          <a:extLst>
            <a:ext uri="{FF2B5EF4-FFF2-40B4-BE49-F238E27FC236}">
              <a16:creationId xmlns:a16="http://schemas.microsoft.com/office/drawing/2014/main" id="{D515470C-CD2E-48A2-B029-72475ED7F8E2}"/>
            </a:ext>
          </a:extLst>
        </xdr:cNvPr>
        <xdr:cNvPicPr>
          <a:picLocks noChangeAspect="1"/>
        </xdr:cNvPicPr>
      </xdr:nvPicPr>
      <xdr:blipFill>
        <a:blip xmlns:r="http://schemas.openxmlformats.org/officeDocument/2006/relationships" r:embed="rId1"/>
        <a:stretch>
          <a:fillRect/>
        </a:stretch>
      </xdr:blipFill>
      <xdr:spPr>
        <a:xfrm>
          <a:off x="2051050" y="250825"/>
          <a:ext cx="8496680" cy="4114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609600</xdr:colOff>
      <xdr:row>1</xdr:row>
      <xdr:rowOff>66675</xdr:rowOff>
    </xdr:from>
    <xdr:to>
      <xdr:col>7</xdr:col>
      <xdr:colOff>108330</xdr:colOff>
      <xdr:row>3</xdr:row>
      <xdr:rowOff>109803</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09600" y="257175"/>
          <a:ext cx="8095238" cy="419048"/>
        </a:xfrm>
        <a:prstGeom prst="rect">
          <a:avLst/>
        </a:prstGeom>
      </xdr:spPr>
    </xdr:pic>
    <xdr:clientData/>
  </xdr:twoCellAnchor>
  <xdr:twoCellAnchor editAs="oneCell">
    <xdr:from>
      <xdr:col>137</xdr:col>
      <xdr:colOff>239955</xdr:colOff>
      <xdr:row>13</xdr:row>
      <xdr:rowOff>6350</xdr:rowOff>
    </xdr:from>
    <xdr:to>
      <xdr:col>139</xdr:col>
      <xdr:colOff>343065</xdr:colOff>
      <xdr:row>23</xdr:row>
      <xdr:rowOff>152400</xdr:rowOff>
    </xdr:to>
    <xdr:pic>
      <xdr:nvPicPr>
        <xdr:cNvPr id="2" name="Picture 1">
          <a:extLst>
            <a:ext uri="{FF2B5EF4-FFF2-40B4-BE49-F238E27FC236}">
              <a16:creationId xmlns:a16="http://schemas.microsoft.com/office/drawing/2014/main" id="{9991D3A5-3174-E0F8-5AA4-6AD07F951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48755" y="2305050"/>
          <a:ext cx="2046210" cy="198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609600</xdr:colOff>
      <xdr:row>1</xdr:row>
      <xdr:rowOff>66675</xdr:rowOff>
    </xdr:from>
    <xdr:to>
      <xdr:col>41</xdr:col>
      <xdr:colOff>632718</xdr:colOff>
      <xdr:row>3</xdr:row>
      <xdr:rowOff>97103</xdr:rowOff>
    </xdr:to>
    <xdr:pic>
      <xdr:nvPicPr>
        <xdr:cNvPr id="2" name="Imagen 1">
          <a:extLst>
            <a:ext uri="{FF2B5EF4-FFF2-40B4-BE49-F238E27FC236}">
              <a16:creationId xmlns:a16="http://schemas.microsoft.com/office/drawing/2014/main" id="{5969CE51-0244-40FF-8D83-E89577931D55}"/>
            </a:ext>
          </a:extLst>
        </xdr:cNvPr>
        <xdr:cNvPicPr>
          <a:picLocks noChangeAspect="1"/>
        </xdr:cNvPicPr>
      </xdr:nvPicPr>
      <xdr:blipFill>
        <a:blip xmlns:r="http://schemas.openxmlformats.org/officeDocument/2006/relationships" r:embed="rId1"/>
        <a:stretch>
          <a:fillRect/>
        </a:stretch>
      </xdr:blipFill>
      <xdr:spPr>
        <a:xfrm>
          <a:off x="609600" y="250825"/>
          <a:ext cx="8455918" cy="3987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25401</xdr:colOff>
      <xdr:row>2</xdr:row>
      <xdr:rowOff>19765</xdr:rowOff>
    </xdr:from>
    <xdr:to>
      <xdr:col>4</xdr:col>
      <xdr:colOff>0</xdr:colOff>
      <xdr:row>6</xdr:row>
      <xdr:rowOff>5889</xdr:rowOff>
    </xdr:to>
    <xdr:pic>
      <xdr:nvPicPr>
        <xdr:cNvPr id="2" name="Imagen 1">
          <a:extLst>
            <a:ext uri="{FF2B5EF4-FFF2-40B4-BE49-F238E27FC236}">
              <a16:creationId xmlns:a16="http://schemas.microsoft.com/office/drawing/2014/main" id="{2876A0EF-F439-4AB7-8C6D-760BFC9CA9C5}"/>
            </a:ext>
          </a:extLst>
        </xdr:cNvPr>
        <xdr:cNvPicPr>
          <a:picLocks noChangeAspect="1"/>
        </xdr:cNvPicPr>
      </xdr:nvPicPr>
      <xdr:blipFill>
        <a:blip xmlns:r="http://schemas.openxmlformats.org/officeDocument/2006/relationships" r:embed="rId1"/>
        <a:stretch>
          <a:fillRect/>
        </a:stretch>
      </xdr:blipFill>
      <xdr:spPr>
        <a:xfrm>
          <a:off x="189924" y="227583"/>
          <a:ext cx="2035462" cy="7335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11</xdr:col>
      <xdr:colOff>710045</xdr:colOff>
      <xdr:row>25</xdr:row>
      <xdr:rowOff>5773</xdr:rowOff>
    </xdr:from>
    <xdr:to>
      <xdr:col>12</xdr:col>
      <xdr:colOff>386773</xdr:colOff>
      <xdr:row>26</xdr:row>
      <xdr:rowOff>161637</xdr:rowOff>
    </xdr:to>
    <xdr:sp macro="" textlink="">
      <xdr:nvSpPr>
        <xdr:cNvPr id="3" name="Flecha: hacia la izquierda 3">
          <a:extLst>
            <a:ext uri="{FF2B5EF4-FFF2-40B4-BE49-F238E27FC236}">
              <a16:creationId xmlns:a16="http://schemas.microsoft.com/office/drawing/2014/main" id="{00000000-0008-0000-0100-000003000000}"/>
            </a:ext>
          </a:extLst>
        </xdr:cNvPr>
        <xdr:cNvSpPr/>
      </xdr:nvSpPr>
      <xdr:spPr>
        <a:xfrm>
          <a:off x="8234795" y="805873"/>
          <a:ext cx="400628" cy="34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GT" sz="1100"/>
        </a:p>
      </xdr:txBody>
    </xdr:sp>
    <xdr:clientData/>
  </xdr:twoCellAnchor>
  <xdr:twoCellAnchor>
    <xdr:from>
      <xdr:col>13</xdr:col>
      <xdr:colOff>481445</xdr:colOff>
      <xdr:row>36</xdr:row>
      <xdr:rowOff>181265</xdr:rowOff>
    </xdr:from>
    <xdr:to>
      <xdr:col>14</xdr:col>
      <xdr:colOff>28863</xdr:colOff>
      <xdr:row>38</xdr:row>
      <xdr:rowOff>57728</xdr:rowOff>
    </xdr:to>
    <xdr:sp macro="" textlink="">
      <xdr:nvSpPr>
        <xdr:cNvPr id="5" name="Flecha: hacia la izquierda 6">
          <a:extLst>
            <a:ext uri="{FF2B5EF4-FFF2-40B4-BE49-F238E27FC236}">
              <a16:creationId xmlns:a16="http://schemas.microsoft.com/office/drawing/2014/main" id="{00000000-0008-0000-0100-000005000000}"/>
            </a:ext>
          </a:extLst>
        </xdr:cNvPr>
        <xdr:cNvSpPr/>
      </xdr:nvSpPr>
      <xdr:spPr>
        <a:xfrm>
          <a:off x="9453995" y="3076865"/>
          <a:ext cx="271318" cy="2574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GT" sz="1100"/>
        </a:p>
      </xdr:txBody>
    </xdr:sp>
    <xdr:clientData/>
  </xdr:twoCellAnchor>
  <xdr:twoCellAnchor editAs="oneCell">
    <xdr:from>
      <xdr:col>0</xdr:col>
      <xdr:colOff>263786</xdr:colOff>
      <xdr:row>140</xdr:row>
      <xdr:rowOff>77433</xdr:rowOff>
    </xdr:from>
    <xdr:to>
      <xdr:col>61</xdr:col>
      <xdr:colOff>385320</xdr:colOff>
      <xdr:row>147</xdr:row>
      <xdr:rowOff>149150</xdr:rowOff>
    </xdr:to>
    <xdr:pic>
      <xdr:nvPicPr>
        <xdr:cNvPr id="2" name="Imagen 1">
          <a:extLst>
            <a:ext uri="{FF2B5EF4-FFF2-40B4-BE49-F238E27FC236}">
              <a16:creationId xmlns:a16="http://schemas.microsoft.com/office/drawing/2014/main" id="{811F7368-082F-2955-78E0-6D7C861F4D25}"/>
            </a:ext>
          </a:extLst>
        </xdr:cNvPr>
        <xdr:cNvPicPr>
          <a:picLocks noChangeAspect="1"/>
        </xdr:cNvPicPr>
      </xdr:nvPicPr>
      <xdr:blipFill>
        <a:blip xmlns:r="http://schemas.openxmlformats.org/officeDocument/2006/relationships" r:embed="rId1"/>
        <a:stretch>
          <a:fillRect/>
        </a:stretch>
      </xdr:blipFill>
      <xdr:spPr>
        <a:xfrm>
          <a:off x="263786" y="3089574"/>
          <a:ext cx="6707343" cy="13876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762000</xdr:colOff>
      <xdr:row>11</xdr:row>
      <xdr:rowOff>17255</xdr:rowOff>
    </xdr:from>
    <xdr:to>
      <xdr:col>6</xdr:col>
      <xdr:colOff>663176</xdr:colOff>
      <xdr:row>27</xdr:row>
      <xdr:rowOff>109650</xdr:rowOff>
    </xdr:to>
    <xdr:pic>
      <xdr:nvPicPr>
        <xdr:cNvPr id="2" name="Imagen 1">
          <a:extLst>
            <a:ext uri="{FF2B5EF4-FFF2-40B4-BE49-F238E27FC236}">
              <a16:creationId xmlns:a16="http://schemas.microsoft.com/office/drawing/2014/main" id="{C325810F-058B-4135-BEB7-E1D663EFE17D}"/>
            </a:ext>
          </a:extLst>
        </xdr:cNvPr>
        <xdr:cNvPicPr>
          <a:picLocks noChangeAspect="1"/>
        </xdr:cNvPicPr>
      </xdr:nvPicPr>
      <xdr:blipFill>
        <a:blip xmlns:r="http://schemas.openxmlformats.org/officeDocument/2006/relationships" r:embed="rId1"/>
        <a:stretch>
          <a:fillRect/>
        </a:stretch>
      </xdr:blipFill>
      <xdr:spPr>
        <a:xfrm>
          <a:off x="762000" y="1846055"/>
          <a:ext cx="5968601" cy="30013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314325</xdr:colOff>
      <xdr:row>1</xdr:row>
      <xdr:rowOff>123825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314325" cy="314325"/>
        </a:xfrm>
        <a:prstGeom prst="rect">
          <a:avLst/>
        </a:prstGeom>
        <a:solidFill>
          <a:srgbClr val="FFFFFF"/>
        </a:solidFill>
        <a:ln w="9525" cmpd="sng">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438150</xdr:colOff>
      <xdr:row>7</xdr:row>
      <xdr:rowOff>126366</xdr:rowOff>
    </xdr:from>
    <xdr:to>
      <xdr:col>85</xdr:col>
      <xdr:colOff>428625</xdr:colOff>
      <xdr:row>18</xdr:row>
      <xdr:rowOff>88266</xdr:rowOff>
    </xdr:to>
    <xdr:pic>
      <xdr:nvPicPr>
        <xdr:cNvPr id="2" name="Picture 6">
          <a:extLst>
            <a:ext uri="{FF2B5EF4-FFF2-40B4-BE49-F238E27FC236}">
              <a16:creationId xmlns:a16="http://schemas.microsoft.com/office/drawing/2014/main" id="{B1EEBB5C-BD4A-4A5D-9D32-DD9FDB6C0C0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415416"/>
          <a:ext cx="7356475" cy="198755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668020</xdr:colOff>
      <xdr:row>1</xdr:row>
      <xdr:rowOff>102870</xdr:rowOff>
    </xdr:from>
    <xdr:to>
      <xdr:col>15</xdr:col>
      <xdr:colOff>438878</xdr:colOff>
      <xdr:row>4</xdr:row>
      <xdr:rowOff>22167</xdr:rowOff>
    </xdr:to>
    <xdr:pic>
      <xdr:nvPicPr>
        <xdr:cNvPr id="3" name="Imagen 2">
          <a:extLst>
            <a:ext uri="{FF2B5EF4-FFF2-40B4-BE49-F238E27FC236}">
              <a16:creationId xmlns:a16="http://schemas.microsoft.com/office/drawing/2014/main" id="{775149C9-EED6-4A63-BDCF-EEBDFDF35BDF}"/>
            </a:ext>
          </a:extLst>
        </xdr:cNvPr>
        <xdr:cNvPicPr>
          <a:picLocks noChangeAspect="1"/>
        </xdr:cNvPicPr>
      </xdr:nvPicPr>
      <xdr:blipFill>
        <a:blip xmlns:r="http://schemas.openxmlformats.org/officeDocument/2006/relationships" r:embed="rId1"/>
        <a:stretch>
          <a:fillRect/>
        </a:stretch>
      </xdr:blipFill>
      <xdr:spPr>
        <a:xfrm>
          <a:off x="7823200" y="285750"/>
          <a:ext cx="4516213" cy="464127"/>
        </a:xfrm>
        <a:prstGeom prst="rect">
          <a:avLst/>
        </a:prstGeom>
      </xdr:spPr>
    </xdr:pic>
    <xdr:clientData/>
  </xdr:twoCellAnchor>
  <xdr:twoCellAnchor editAs="oneCell">
    <xdr:from>
      <xdr:col>9</xdr:col>
      <xdr:colOff>320040</xdr:colOff>
      <xdr:row>4</xdr:row>
      <xdr:rowOff>132080</xdr:rowOff>
    </xdr:from>
    <xdr:to>
      <xdr:col>16</xdr:col>
      <xdr:colOff>16513</xdr:colOff>
      <xdr:row>6</xdr:row>
      <xdr:rowOff>169494</xdr:rowOff>
    </xdr:to>
    <xdr:pic>
      <xdr:nvPicPr>
        <xdr:cNvPr id="4" name="Imagen 3">
          <a:extLst>
            <a:ext uri="{FF2B5EF4-FFF2-40B4-BE49-F238E27FC236}">
              <a16:creationId xmlns:a16="http://schemas.microsoft.com/office/drawing/2014/main" id="{E5D0085C-01D1-41C8-AD7B-202FE96108C0}"/>
            </a:ext>
          </a:extLst>
        </xdr:cNvPr>
        <xdr:cNvPicPr>
          <a:picLocks noChangeAspect="1"/>
        </xdr:cNvPicPr>
      </xdr:nvPicPr>
      <xdr:blipFill>
        <a:blip xmlns:r="http://schemas.openxmlformats.org/officeDocument/2006/relationships" r:embed="rId2"/>
        <a:stretch>
          <a:fillRect/>
        </a:stretch>
      </xdr:blipFill>
      <xdr:spPr>
        <a:xfrm>
          <a:off x="7475220" y="863600"/>
          <a:ext cx="5240023" cy="406984"/>
        </a:xfrm>
        <a:prstGeom prst="rect">
          <a:avLst/>
        </a:prstGeom>
      </xdr:spPr>
    </xdr:pic>
    <xdr:clientData/>
  </xdr:twoCellAnchor>
  <xdr:twoCellAnchor editAs="oneCell">
    <xdr:from>
      <xdr:col>10</xdr:col>
      <xdr:colOff>134620</xdr:colOff>
      <xdr:row>7</xdr:row>
      <xdr:rowOff>31750</xdr:rowOff>
    </xdr:from>
    <xdr:to>
      <xdr:col>16</xdr:col>
      <xdr:colOff>942</xdr:colOff>
      <xdr:row>9</xdr:row>
      <xdr:rowOff>59640</xdr:rowOff>
    </xdr:to>
    <xdr:pic>
      <xdr:nvPicPr>
        <xdr:cNvPr id="5" name="Imagen 4">
          <a:extLst>
            <a:ext uri="{FF2B5EF4-FFF2-40B4-BE49-F238E27FC236}">
              <a16:creationId xmlns:a16="http://schemas.microsoft.com/office/drawing/2014/main" id="{38047227-7739-4B66-9F8C-AE0CDCDDCF06}"/>
            </a:ext>
          </a:extLst>
        </xdr:cNvPr>
        <xdr:cNvPicPr>
          <a:picLocks noChangeAspect="1"/>
        </xdr:cNvPicPr>
      </xdr:nvPicPr>
      <xdr:blipFill>
        <a:blip xmlns:r="http://schemas.openxmlformats.org/officeDocument/2006/relationships" r:embed="rId3"/>
        <a:stretch>
          <a:fillRect/>
        </a:stretch>
      </xdr:blipFill>
      <xdr:spPr>
        <a:xfrm>
          <a:off x="8082280" y="1311910"/>
          <a:ext cx="4601928" cy="397460"/>
        </a:xfrm>
        <a:prstGeom prst="rect">
          <a:avLst/>
        </a:prstGeom>
      </xdr:spPr>
    </xdr:pic>
    <xdr:clientData/>
  </xdr:twoCellAnchor>
  <xdr:twoCellAnchor editAs="oneCell">
    <xdr:from>
      <xdr:col>9</xdr:col>
      <xdr:colOff>91441</xdr:colOff>
      <xdr:row>10</xdr:row>
      <xdr:rowOff>114301</xdr:rowOff>
    </xdr:from>
    <xdr:to>
      <xdr:col>18</xdr:col>
      <xdr:colOff>167641</xdr:colOff>
      <xdr:row>15</xdr:row>
      <xdr:rowOff>17749</xdr:rowOff>
    </xdr:to>
    <xdr:pic>
      <xdr:nvPicPr>
        <xdr:cNvPr id="7" name="Imagen 6">
          <a:extLst>
            <a:ext uri="{FF2B5EF4-FFF2-40B4-BE49-F238E27FC236}">
              <a16:creationId xmlns:a16="http://schemas.microsoft.com/office/drawing/2014/main" id="{B70DD586-DF6B-418C-81C7-4D4FBBE52323}"/>
            </a:ext>
          </a:extLst>
        </xdr:cNvPr>
        <xdr:cNvPicPr>
          <a:picLocks noChangeAspect="1"/>
        </xdr:cNvPicPr>
      </xdr:nvPicPr>
      <xdr:blipFill>
        <a:blip xmlns:r="http://schemas.openxmlformats.org/officeDocument/2006/relationships" r:embed="rId4"/>
        <a:stretch>
          <a:fillRect/>
        </a:stretch>
      </xdr:blipFill>
      <xdr:spPr>
        <a:xfrm>
          <a:off x="8618221" y="1943101"/>
          <a:ext cx="7216140" cy="817848"/>
        </a:xfrm>
        <a:prstGeom prst="rect">
          <a:avLst/>
        </a:prstGeom>
      </xdr:spPr>
    </xdr:pic>
    <xdr:clientData/>
  </xdr:twoCellAnchor>
  <xdr:twoCellAnchor>
    <xdr:from>
      <xdr:col>3</xdr:col>
      <xdr:colOff>449580</xdr:colOff>
      <xdr:row>17</xdr:row>
      <xdr:rowOff>114300</xdr:rowOff>
    </xdr:from>
    <xdr:to>
      <xdr:col>4</xdr:col>
      <xdr:colOff>182880</xdr:colOff>
      <xdr:row>18</xdr:row>
      <xdr:rowOff>60960</xdr:rowOff>
    </xdr:to>
    <xdr:sp macro="" textlink="">
      <xdr:nvSpPr>
        <xdr:cNvPr id="14" name="Rectángulo 13">
          <a:extLst>
            <a:ext uri="{FF2B5EF4-FFF2-40B4-BE49-F238E27FC236}">
              <a16:creationId xmlns:a16="http://schemas.microsoft.com/office/drawing/2014/main" id="{AD9954E4-03B5-4ED1-9E52-1E37743FD4CF}"/>
            </a:ext>
          </a:extLst>
        </xdr:cNvPr>
        <xdr:cNvSpPr/>
      </xdr:nvSpPr>
      <xdr:spPr>
        <a:xfrm>
          <a:off x="2827020" y="3223260"/>
          <a:ext cx="525780" cy="129540"/>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564777</xdr:colOff>
      <xdr:row>8</xdr:row>
      <xdr:rowOff>62752</xdr:rowOff>
    </xdr:from>
    <xdr:to>
      <xdr:col>6</xdr:col>
      <xdr:colOff>327436</xdr:colOff>
      <xdr:row>20</xdr:row>
      <xdr:rowOff>95181</xdr:rowOff>
    </xdr:to>
    <xdr:pic>
      <xdr:nvPicPr>
        <xdr:cNvPr id="17" name="Imagen 16">
          <a:extLst>
            <a:ext uri="{FF2B5EF4-FFF2-40B4-BE49-F238E27FC236}">
              <a16:creationId xmlns:a16="http://schemas.microsoft.com/office/drawing/2014/main" id="{47E30328-3205-4C64-9ED8-9866DB3CF2CA}"/>
            </a:ext>
          </a:extLst>
        </xdr:cNvPr>
        <xdr:cNvPicPr>
          <a:picLocks noChangeAspect="1"/>
        </xdr:cNvPicPr>
      </xdr:nvPicPr>
      <xdr:blipFill>
        <a:blip xmlns:r="http://schemas.openxmlformats.org/officeDocument/2006/relationships" r:embed="rId5"/>
        <a:stretch>
          <a:fillRect/>
        </a:stretch>
      </xdr:blipFill>
      <xdr:spPr>
        <a:xfrm>
          <a:off x="564777" y="1497105"/>
          <a:ext cx="5898776" cy="2197293"/>
        </a:xfrm>
        <a:prstGeom prst="rect">
          <a:avLst/>
        </a:prstGeom>
      </xdr:spPr>
    </xdr:pic>
    <xdr:clientData/>
  </xdr:twoCellAnchor>
  <xdr:twoCellAnchor editAs="oneCell">
    <xdr:from>
      <xdr:col>0</xdr:col>
      <xdr:colOff>592231</xdr:colOff>
      <xdr:row>8</xdr:row>
      <xdr:rowOff>68916</xdr:rowOff>
    </xdr:from>
    <xdr:to>
      <xdr:col>7</xdr:col>
      <xdr:colOff>41276</xdr:colOff>
      <xdr:row>19</xdr:row>
      <xdr:rowOff>173355</xdr:rowOff>
    </xdr:to>
    <xdr:pic>
      <xdr:nvPicPr>
        <xdr:cNvPr id="6" name="Imagen 5">
          <a:extLst>
            <a:ext uri="{FF2B5EF4-FFF2-40B4-BE49-F238E27FC236}">
              <a16:creationId xmlns:a16="http://schemas.microsoft.com/office/drawing/2014/main" id="{840ED641-8558-43E1-BDC8-7145CE16013B}"/>
            </a:ext>
          </a:extLst>
        </xdr:cNvPr>
        <xdr:cNvPicPr>
          <a:picLocks noChangeAspect="1"/>
        </xdr:cNvPicPr>
      </xdr:nvPicPr>
      <xdr:blipFill>
        <a:blip xmlns:r="http://schemas.openxmlformats.org/officeDocument/2006/relationships" r:embed="rId6"/>
        <a:stretch>
          <a:fillRect/>
        </a:stretch>
      </xdr:blipFill>
      <xdr:spPr>
        <a:xfrm>
          <a:off x="592231" y="1592916"/>
          <a:ext cx="6202270" cy="2207559"/>
        </a:xfrm>
        <a:prstGeom prst="rect">
          <a:avLst/>
        </a:prstGeom>
      </xdr:spPr>
    </xdr:pic>
    <xdr:clientData/>
  </xdr:twoCellAnchor>
  <xdr:twoCellAnchor editAs="oneCell">
    <xdr:from>
      <xdr:col>9</xdr:col>
      <xdr:colOff>438150</xdr:colOff>
      <xdr:row>16</xdr:row>
      <xdr:rowOff>123825</xdr:rowOff>
    </xdr:from>
    <xdr:to>
      <xdr:col>22</xdr:col>
      <xdr:colOff>343532</xdr:colOff>
      <xdr:row>50</xdr:row>
      <xdr:rowOff>172580</xdr:rowOff>
    </xdr:to>
    <xdr:pic>
      <xdr:nvPicPr>
        <xdr:cNvPr id="8" name="Imagen 7">
          <a:extLst>
            <a:ext uri="{FF2B5EF4-FFF2-40B4-BE49-F238E27FC236}">
              <a16:creationId xmlns:a16="http://schemas.microsoft.com/office/drawing/2014/main" id="{23FE4D18-7F6F-DE1C-62F1-61FB7F74670E}"/>
            </a:ext>
          </a:extLst>
        </xdr:cNvPr>
        <xdr:cNvPicPr>
          <a:picLocks noChangeAspect="1"/>
        </xdr:cNvPicPr>
      </xdr:nvPicPr>
      <xdr:blipFill>
        <a:blip xmlns:r="http://schemas.openxmlformats.org/officeDocument/2006/relationships" r:embed="rId7"/>
        <a:stretch>
          <a:fillRect/>
        </a:stretch>
      </xdr:blipFill>
      <xdr:spPr>
        <a:xfrm>
          <a:off x="8953500" y="3019425"/>
          <a:ext cx="10182857" cy="6201905"/>
        </a:xfrm>
        <a:prstGeom prst="rect">
          <a:avLst/>
        </a:prstGeom>
      </xdr:spPr>
    </xdr:pic>
    <xdr:clientData/>
  </xdr:twoCellAnchor>
  <xdr:twoCellAnchor editAs="oneCell">
    <xdr:from>
      <xdr:col>0</xdr:col>
      <xdr:colOff>647700</xdr:colOff>
      <xdr:row>8</xdr:row>
      <xdr:rowOff>131445</xdr:rowOff>
    </xdr:from>
    <xdr:to>
      <xdr:col>6</xdr:col>
      <xdr:colOff>542925</xdr:colOff>
      <xdr:row>19</xdr:row>
      <xdr:rowOff>38861</xdr:rowOff>
    </xdr:to>
    <xdr:pic>
      <xdr:nvPicPr>
        <xdr:cNvPr id="2" name="Imagen 1">
          <a:extLst>
            <a:ext uri="{FF2B5EF4-FFF2-40B4-BE49-F238E27FC236}">
              <a16:creationId xmlns:a16="http://schemas.microsoft.com/office/drawing/2014/main" id="{584C4E31-A49C-14AF-B900-56A0CFCC0E31}"/>
            </a:ext>
          </a:extLst>
        </xdr:cNvPr>
        <xdr:cNvPicPr>
          <a:picLocks noChangeAspect="1"/>
        </xdr:cNvPicPr>
      </xdr:nvPicPr>
      <xdr:blipFill>
        <a:blip xmlns:r="http://schemas.openxmlformats.org/officeDocument/2006/relationships" r:embed="rId8"/>
        <a:stretch>
          <a:fillRect/>
        </a:stretch>
      </xdr:blipFill>
      <xdr:spPr>
        <a:xfrm>
          <a:off x="647700" y="1655445"/>
          <a:ext cx="5876925" cy="2002916"/>
        </a:xfrm>
        <a:prstGeom prst="rect">
          <a:avLst/>
        </a:prstGeom>
      </xdr:spPr>
    </xdr:pic>
    <xdr:clientData/>
  </xdr:twoCellAnchor>
  <xdr:twoCellAnchor editAs="oneCell">
    <xdr:from>
      <xdr:col>0</xdr:col>
      <xdr:colOff>76200</xdr:colOff>
      <xdr:row>7</xdr:row>
      <xdr:rowOff>47625</xdr:rowOff>
    </xdr:from>
    <xdr:to>
      <xdr:col>8</xdr:col>
      <xdr:colOff>682980</xdr:colOff>
      <xdr:row>23</xdr:row>
      <xdr:rowOff>9525</xdr:rowOff>
    </xdr:to>
    <xdr:pic>
      <xdr:nvPicPr>
        <xdr:cNvPr id="11" name="Imagen 10">
          <a:extLst>
            <a:ext uri="{FF2B5EF4-FFF2-40B4-BE49-F238E27FC236}">
              <a16:creationId xmlns:a16="http://schemas.microsoft.com/office/drawing/2014/main" id="{84E53DB6-8BBC-10B6-131C-2CA33942D511}"/>
            </a:ext>
          </a:extLst>
        </xdr:cNvPr>
        <xdr:cNvPicPr>
          <a:picLocks noChangeAspect="1"/>
        </xdr:cNvPicPr>
      </xdr:nvPicPr>
      <xdr:blipFill>
        <a:blip xmlns:r="http://schemas.openxmlformats.org/officeDocument/2006/relationships" r:embed="rId9"/>
        <a:stretch>
          <a:fillRect/>
        </a:stretch>
      </xdr:blipFill>
      <xdr:spPr>
        <a:xfrm>
          <a:off x="76200" y="1381125"/>
          <a:ext cx="8131530" cy="3009900"/>
        </a:xfrm>
        <a:prstGeom prst="rect">
          <a:avLst/>
        </a:prstGeom>
      </xdr:spPr>
    </xdr:pic>
    <xdr:clientData/>
  </xdr:twoCellAnchor>
  <xdr:twoCellAnchor editAs="oneCell">
    <xdr:from>
      <xdr:col>0</xdr:col>
      <xdr:colOff>0</xdr:colOff>
      <xdr:row>7</xdr:row>
      <xdr:rowOff>40480</xdr:rowOff>
    </xdr:from>
    <xdr:to>
      <xdr:col>8</xdr:col>
      <xdr:colOff>683559</xdr:colOff>
      <xdr:row>25</xdr:row>
      <xdr:rowOff>130011</xdr:rowOff>
    </xdr:to>
    <xdr:pic>
      <xdr:nvPicPr>
        <xdr:cNvPr id="9" name="Imagen 8">
          <a:extLst>
            <a:ext uri="{FF2B5EF4-FFF2-40B4-BE49-F238E27FC236}">
              <a16:creationId xmlns:a16="http://schemas.microsoft.com/office/drawing/2014/main" id="{2101BD66-DEF6-7AF8-D400-385FB04197E8}"/>
            </a:ext>
          </a:extLst>
        </xdr:cNvPr>
        <xdr:cNvPicPr>
          <a:picLocks noChangeAspect="1"/>
        </xdr:cNvPicPr>
      </xdr:nvPicPr>
      <xdr:blipFill>
        <a:blip xmlns:r="http://schemas.openxmlformats.org/officeDocument/2006/relationships" r:embed="rId10"/>
        <a:stretch>
          <a:fillRect/>
        </a:stretch>
      </xdr:blipFill>
      <xdr:spPr>
        <a:xfrm>
          <a:off x="0" y="1373980"/>
          <a:ext cx="8225118" cy="3518531"/>
        </a:xfrm>
        <a:prstGeom prst="rect">
          <a:avLst/>
        </a:prstGeom>
      </xdr:spPr>
    </xdr:pic>
    <xdr:clientData/>
  </xdr:twoCellAnchor>
  <xdr:twoCellAnchor editAs="oneCell">
    <xdr:from>
      <xdr:col>0</xdr:col>
      <xdr:colOff>0</xdr:colOff>
      <xdr:row>7</xdr:row>
      <xdr:rowOff>43198</xdr:rowOff>
    </xdr:from>
    <xdr:to>
      <xdr:col>8</xdr:col>
      <xdr:colOff>739588</xdr:colOff>
      <xdr:row>26</xdr:row>
      <xdr:rowOff>79656</xdr:rowOff>
    </xdr:to>
    <xdr:pic>
      <xdr:nvPicPr>
        <xdr:cNvPr id="13" name="Imagen 12">
          <a:extLst>
            <a:ext uri="{FF2B5EF4-FFF2-40B4-BE49-F238E27FC236}">
              <a16:creationId xmlns:a16="http://schemas.microsoft.com/office/drawing/2014/main" id="{24A43CEB-AB62-0D49-E79E-3E985D7431E7}"/>
            </a:ext>
          </a:extLst>
        </xdr:cNvPr>
        <xdr:cNvPicPr>
          <a:picLocks noChangeAspect="1"/>
        </xdr:cNvPicPr>
      </xdr:nvPicPr>
      <xdr:blipFill>
        <a:blip xmlns:r="http://schemas.openxmlformats.org/officeDocument/2006/relationships" r:embed="rId11"/>
        <a:stretch>
          <a:fillRect/>
        </a:stretch>
      </xdr:blipFill>
      <xdr:spPr>
        <a:xfrm>
          <a:off x="0" y="1376698"/>
          <a:ext cx="8281147" cy="3655958"/>
        </a:xfrm>
        <a:prstGeom prst="rect">
          <a:avLst/>
        </a:prstGeom>
      </xdr:spPr>
    </xdr:pic>
    <xdr:clientData/>
  </xdr:twoCellAnchor>
  <xdr:twoCellAnchor editAs="oneCell">
    <xdr:from>
      <xdr:col>0</xdr:col>
      <xdr:colOff>1</xdr:colOff>
      <xdr:row>7</xdr:row>
      <xdr:rowOff>43962</xdr:rowOff>
    </xdr:from>
    <xdr:to>
      <xdr:col>8</xdr:col>
      <xdr:colOff>732693</xdr:colOff>
      <xdr:row>26</xdr:row>
      <xdr:rowOff>102577</xdr:rowOff>
    </xdr:to>
    <xdr:pic>
      <xdr:nvPicPr>
        <xdr:cNvPr id="10" name="Imagen 9">
          <a:extLst>
            <a:ext uri="{FF2B5EF4-FFF2-40B4-BE49-F238E27FC236}">
              <a16:creationId xmlns:a16="http://schemas.microsoft.com/office/drawing/2014/main" id="{EC0107A6-69C8-4680-9221-26E80FCA4E09}"/>
            </a:ext>
          </a:extLst>
        </xdr:cNvPr>
        <xdr:cNvPicPr>
          <a:picLocks noChangeAspect="1"/>
        </xdr:cNvPicPr>
      </xdr:nvPicPr>
      <xdr:blipFill>
        <a:blip xmlns:r="http://schemas.openxmlformats.org/officeDocument/2006/relationships" r:embed="rId12"/>
        <a:stretch>
          <a:fillRect/>
        </a:stretch>
      </xdr:blipFill>
      <xdr:spPr>
        <a:xfrm>
          <a:off x="1" y="1377462"/>
          <a:ext cx="8242788" cy="36781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666750</xdr:colOff>
      <xdr:row>5</xdr:row>
      <xdr:rowOff>133350</xdr:rowOff>
    </xdr:from>
    <xdr:to>
      <xdr:col>10</xdr:col>
      <xdr:colOff>8289304</xdr:colOff>
      <xdr:row>47</xdr:row>
      <xdr:rowOff>189488</xdr:rowOff>
    </xdr:to>
    <xdr:pic>
      <xdr:nvPicPr>
        <xdr:cNvPr id="2" name="Imagen 1">
          <a:extLst>
            <a:ext uri="{FF2B5EF4-FFF2-40B4-BE49-F238E27FC236}">
              <a16:creationId xmlns:a16="http://schemas.microsoft.com/office/drawing/2014/main" id="{9C827851-2B81-3C0F-3499-150EFAA1EC08}"/>
            </a:ext>
          </a:extLst>
        </xdr:cNvPr>
        <xdr:cNvPicPr>
          <a:picLocks noChangeAspect="1"/>
        </xdr:cNvPicPr>
      </xdr:nvPicPr>
      <xdr:blipFill>
        <a:blip xmlns:r="http://schemas.openxmlformats.org/officeDocument/2006/relationships" r:embed="rId1"/>
        <a:stretch>
          <a:fillRect/>
        </a:stretch>
      </xdr:blipFill>
      <xdr:spPr>
        <a:xfrm>
          <a:off x="7372350" y="1085850"/>
          <a:ext cx="10047619" cy="8095238"/>
        </a:xfrm>
        <a:prstGeom prst="rect">
          <a:avLst/>
        </a:prstGeom>
      </xdr:spPr>
    </xdr:pic>
    <xdr:clientData/>
  </xdr:twoCellAnchor>
  <xdr:twoCellAnchor editAs="oneCell">
    <xdr:from>
      <xdr:col>10</xdr:col>
      <xdr:colOff>21914</xdr:colOff>
      <xdr:row>51</xdr:row>
      <xdr:rowOff>79465</xdr:rowOff>
    </xdr:from>
    <xdr:to>
      <xdr:col>12</xdr:col>
      <xdr:colOff>464057</xdr:colOff>
      <xdr:row>74</xdr:row>
      <xdr:rowOff>147780</xdr:rowOff>
    </xdr:to>
    <xdr:pic>
      <xdr:nvPicPr>
        <xdr:cNvPr id="3" name="Imagen 2">
          <a:extLst>
            <a:ext uri="{FF2B5EF4-FFF2-40B4-BE49-F238E27FC236}">
              <a16:creationId xmlns:a16="http://schemas.microsoft.com/office/drawing/2014/main" id="{D23DA989-69C1-DDFE-2074-D377A330C8B3}"/>
            </a:ext>
          </a:extLst>
        </xdr:cNvPr>
        <xdr:cNvPicPr>
          <a:picLocks noChangeAspect="1"/>
        </xdr:cNvPicPr>
      </xdr:nvPicPr>
      <xdr:blipFill>
        <a:blip xmlns:r="http://schemas.openxmlformats.org/officeDocument/2006/relationships" r:embed="rId2"/>
        <a:stretch>
          <a:fillRect/>
        </a:stretch>
      </xdr:blipFill>
      <xdr:spPr>
        <a:xfrm>
          <a:off x="9155028" y="10072551"/>
          <a:ext cx="13853343" cy="45750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gyefs0001\mpd%20graf%20soplado\A&#209;O%202007\Diciembre%202007\Blowing%20Pascuales%20Mpd%20Graf%20Diciembre%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1\MARIO~1.KEX\LOCALS~1\Temp\notes6030C8\~07972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jenny.chu\Local%20Settings\Temporary%20Internet%20Files\OLK38\BSP%202006v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andb07\Hysoft\PET%20Common\Global-Reporting\FY%202007%2008\03%202007%20Sep\Monthly%20Management%20Reporting\Capital%20Reporting\REGION%20Capital%20Summaries\(New)%20BG_PET_Capex%20Monthly%20reporting%20_0908%20(37)-PPN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RLIM\USERS\Planificacion%20y%20Desarrollo\Comun\VENTAS\Informes%20Gerenciales\C.%20Operativos\Sur\1999\CompGranCO%20Su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Data\Users\ESPERA~1.MOR\AppData\Local\Temp\notesD14D2B\HC%20Amcor%20MARZO%202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mandb07\Hysoft\PET%20Common\Global-Reporting\FY%202007%2008\02%202007%20Aug\Monthly%20Management%20Reporting\Capital%20Reporting\REGION%20Capital%20Summaries\Models%20received\BG_PET_Capex%20Monthly%20Reporting_0807%20_PPN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Luis.Caiza\Documents\GESTIONES\AGUA\consumo%20de%20agua\GESTION%20H2O%20GG.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LINA~1.RAM\AppData\Local\Temp\notes3BA98F\SabMiller%20Ecuador\CEAV%20AbInbev_Overall%20Proposal_V5%20+%20propuesta.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ivan.roa\AppData\Local\Temp\notesAF3A78\PE_IT_Budget_FY13_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ET%20Common\Global-Reporting\FY%202007%2008\Budget%20FY07%2008\B%20+%203%20File%20to%20Abbotsford\BG_PET%20-%20Forecast%20(8).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file:///\\Schmalbach-admo\produccion\Documents%20and%20Settings\fesparza\Configuraci&#243;n%20local\Archivos%20temporales%20de%20Internet\OLK4\Documents%20and%20Settings\alexfonseca\Configura&#231;&#245;es%20locais\Temporary%20Internet%20Files\OLK6\Planilla%20para%20calculo%20MKI%20(20-6-02)%20Rev%202.xls?C8E1A27A" TargetMode="External"/><Relationship Id="rId1" Type="http://schemas.openxmlformats.org/officeDocument/2006/relationships/externalLinkPath" Target="file:///\\C8E1A27A\Planilla%20para%20calculo%20MKI%20(20-6-02)%20Rev%2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WINDOWS\Temporary%20Internet%20Files\OLKB246\proyecciones\2001\3+9\norte%203+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1\SANDRA~1.VEL\CONFIG~1\Temp\notesECF2F1\Peru%204400-%20FY1011%20Budget%20Load%20file-14.01.1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soplado.guayaquil\AppData\Roaming\Microsoft\Excel\A&#209;O%202011\Agosto%2011\A&#209;O%202011\Agosto%2011\REPORTES%20DE%20PRODUCCION\2011\Reporte%20del%20mes%20de%20Abril\REPORTE%20DEL%2024%20DE%20ABRI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nts%20and%20Settings\augusto.ruiz\Mis%20documentos\Ingenier&#237;a%20&amp;%20Proyectos\04.%20INFO%20TECNICA\Estimated%20prices-%20Machines%20&amp;%20Auxiliary%20Equipment.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priscila\Configuraci&#243;n%20local\Archivos%20temporales%20de%20Internet\OLKB6\COMPARATIVO%2020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PET%20Common\Global-Reporting\FY%202006%2007\03%202006%20Sep\Reporting%20Packages\BG_NA%20-%20Capex%20Report%200607.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Budget%20Koala%20Arca%20FY2004\Budget%20Koala%20Arca%20FY2004\Budget%20Koala%20Arca%20FY2004\Budget0506\Load%20Files%20Units\Amcor%20Budget%202004-2005%20NEW%20FORMA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WINDOWS\Temporary%20Internet%20Files\OLKB246\proyecciones\2001\3+9\CENTRO%203+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FileServer\PRODUCCION\INYECCION\MPD%20Graf\A&#241;o%202014\Febrero14\Injection%20Ecuador%20MPD%20Graf%20Febrero%202014.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Documents%20and%20Settings\Priscila\Mis%20documentos\COMPARATIVO%2020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My%20Documents\APPLA\APPSA%20Injection%20Molds_2008.12.1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MPD%20Graf\A&#241;o%202010\Junio%202010\Injection%20Ecuador%20MPD%20Graf%20Junio%20201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Documents%20and%20Settings\alexfonseca\Configura&#231;&#245;es%20locais\Temporary%20Internet%20Files\OLK6\Planilla%20para%20calculo%20MKI%20(20-6-02)%20Rev%20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MPD%20Graf\A&#241;o%202012\Diciembre\Injection%20Ecuador%20MPD%20Graf%20Diciembre%202012.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PET%20Common\Global-Reporting\FY%202006%2007\03%202006%20Sep\Reporting%20Packages\BG_NA%20-%20Capex%20Report%2006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Controllers\1_Actual\Mths0607\08%20February%2007\13%20Capex%20Reporting\AMCOR%20-%20Capex%20Report%20-%200207%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Equipo%20Amcor\Estados%20Financieros%20Amcor\P&amp;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dcordova\Configuraci&#243;n%20local\Archivos%20temporales%20de%20Internet\Content.IE5\KR0CLNDF\Master%20Costo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RLIM\USERS\Planificacion%20y%20Desarrollo\Comun\VENTAS\Stream\99\Octubre\Vt10peru.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nnt06\hysoft\Apps\CarsNew\Statutory\SLUSStatFiles\StatTemplateSLUSA_1220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RESUMEN DIARIO"/>
      <sheetName val="Hoja5"/>
      <sheetName val="Hoja2"/>
      <sheetName val="PRODUCTO x MAQ"/>
      <sheetName val="CONSOLIDADO"/>
      <sheetName val="PROD Y CONSUMOS"/>
      <sheetName val="Resumen"/>
      <sheetName val="Transf. Sidel "/>
      <sheetName val="Transf. Mag"/>
      <sheetName val="Inv Pre"/>
      <sheetName val="CUADRES"/>
      <sheetName val="BE"/>
      <sheetName val="Mag 1"/>
      <sheetName val="Graf. Mag 1"/>
      <sheetName val="Mag 2"/>
      <sheetName val="Graf. Mag 2"/>
      <sheetName val="Mag 3"/>
      <sheetName val="Graf. Mag 3"/>
      <sheetName val="Mag 4"/>
      <sheetName val="Graf. Mag 4"/>
      <sheetName val="Sidel 1032"/>
      <sheetName val="Graf. Sidel 1032"/>
      <sheetName val="Sidel 302"/>
      <sheetName val="Graf. Sidel 302"/>
      <sheetName val="Sidel 1014"/>
      <sheetName val="Graf. Sidel 14"/>
      <sheetName val="Materiales"/>
      <sheetName val="Soplado general"/>
      <sheetName val="Hoja4"/>
      <sheetName val=" ME Operadores"/>
      <sheetName val="Plan accion"/>
      <sheetName val="Paros"/>
      <sheetName val="Hoja1"/>
      <sheetName val="Gráfico2"/>
      <sheetName val="Gráfico1"/>
      <sheetName val="REP PAROS"/>
      <sheetName val="Hoja3"/>
      <sheetName val="Scrap vs maquina"/>
      <sheetName val="REPORTE SCRAP"/>
      <sheetName val="scrap"/>
      <sheetName val="scrap por causa"/>
      <sheetName val="Menu_Principal"/>
      <sheetName val="RESUMEN_DIARIO"/>
      <sheetName val="PRODUCTO_x_MAQ"/>
      <sheetName val="PROD_Y_CONSUMOS"/>
      <sheetName val="Transf__Sidel_"/>
      <sheetName val="Transf__Mag"/>
      <sheetName val="Inv_Pre"/>
      <sheetName val="Mag_1"/>
      <sheetName val="Graf__Mag_1"/>
      <sheetName val="Mag_2"/>
      <sheetName val="Graf__Mag_2"/>
      <sheetName val="Mag_3"/>
      <sheetName val="Graf__Mag_3"/>
      <sheetName val="Mag_4"/>
      <sheetName val="Graf__Mag_4"/>
      <sheetName val="Sidel_1032"/>
      <sheetName val="Graf__Sidel_1032"/>
      <sheetName val="Sidel_302"/>
      <sheetName val="Graf__Sidel_302"/>
      <sheetName val="Sidel_1014"/>
      <sheetName val="Graf__Sidel_14"/>
      <sheetName val="Soplado_general"/>
      <sheetName val="_ME_Operadores"/>
      <sheetName val="Plan_accion"/>
      <sheetName val="REP_PAROS"/>
      <sheetName val="Scrap_vs_maquina"/>
      <sheetName val="REPORTE_SCRAP"/>
      <sheetName val="scrap_por_causa"/>
      <sheetName val="Menu_Principal1"/>
      <sheetName val="RESUMEN_DIARIO1"/>
      <sheetName val="PRODUCTO_x_MAQ1"/>
      <sheetName val="PROD_Y_CONSUMOS1"/>
      <sheetName val="Transf__Sidel_1"/>
      <sheetName val="Transf__Mag1"/>
      <sheetName val="Inv_Pre1"/>
      <sheetName val="Mag_11"/>
      <sheetName val="Graf__Mag_11"/>
      <sheetName val="Mag_21"/>
      <sheetName val="Graf__Mag_21"/>
      <sheetName val="Mag_31"/>
      <sheetName val="Graf__Mag_31"/>
      <sheetName val="Mag_41"/>
      <sheetName val="Graf__Mag_41"/>
      <sheetName val="Sidel_10321"/>
      <sheetName val="Graf__Sidel_10321"/>
      <sheetName val="Sidel_3021"/>
      <sheetName val="Graf__Sidel_3021"/>
      <sheetName val="Sidel_10141"/>
      <sheetName val="Graf__Sidel_141"/>
      <sheetName val="Soplado_general1"/>
      <sheetName val="_ME_Operadores1"/>
      <sheetName val="Plan_accion1"/>
      <sheetName val="REP_PAROS1"/>
      <sheetName val="Scrap_vs_maquina1"/>
      <sheetName val="REPORTE_SCRAP1"/>
      <sheetName val="scrap_por_caus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3">
          <cell r="E3" t="str">
            <v>Producto</v>
          </cell>
        </row>
        <row r="4">
          <cell r="E4" t="str">
            <v>Tampico 350 cc</v>
          </cell>
        </row>
        <row r="5">
          <cell r="E5" t="str">
            <v>Tampico 350 cc</v>
          </cell>
        </row>
        <row r="11">
          <cell r="E11" t="str">
            <v>Tampico 350 cc</v>
          </cell>
        </row>
        <row r="12">
          <cell r="E12" t="str">
            <v>Tampico 350 cc</v>
          </cell>
        </row>
        <row r="18">
          <cell r="E18" t="str">
            <v>Tampico 350 cc</v>
          </cell>
        </row>
        <row r="19">
          <cell r="E19" t="str">
            <v>Tampico 350 cc</v>
          </cell>
        </row>
        <row r="25">
          <cell r="E25" t="str">
            <v>Tampico 350 cc</v>
          </cell>
        </row>
        <row r="26">
          <cell r="E26" t="str">
            <v>Tampico 350 cc</v>
          </cell>
        </row>
        <row r="32">
          <cell r="E32" t="str">
            <v>Tampico 350 cc</v>
          </cell>
        </row>
        <row r="33">
          <cell r="E33" t="str">
            <v>Profit 350 cc UV</v>
          </cell>
        </row>
        <row r="34">
          <cell r="E34" t="str">
            <v>Profit 350 cc UV</v>
          </cell>
        </row>
        <row r="39">
          <cell r="E39" t="str">
            <v>Profit 350 cc UV</v>
          </cell>
        </row>
        <row r="40">
          <cell r="E40" t="str">
            <v>Profit 350 cc UV</v>
          </cell>
        </row>
        <row r="46">
          <cell r="E46" t="str">
            <v>Profit 350 cc UV</v>
          </cell>
        </row>
        <row r="47">
          <cell r="E47" t="str">
            <v>Profit 350 cc UV</v>
          </cell>
        </row>
        <row r="53">
          <cell r="E53" t="str">
            <v>Profit 350 cc UV</v>
          </cell>
        </row>
        <row r="54">
          <cell r="E54" t="str">
            <v>Profit 350 cc UV</v>
          </cell>
        </row>
        <row r="60">
          <cell r="E60" t="str">
            <v>Profit 350 cc UV</v>
          </cell>
        </row>
        <row r="61">
          <cell r="E61" t="str">
            <v>Profit 350 cc UV</v>
          </cell>
        </row>
        <row r="67">
          <cell r="E67" t="str">
            <v xml:space="preserve">NO PROGRAMADA </v>
          </cell>
        </row>
        <row r="68">
          <cell r="E68" t="str">
            <v xml:space="preserve">NO PROGRAMADA </v>
          </cell>
        </row>
        <row r="74">
          <cell r="E74" t="str">
            <v xml:space="preserve">NO PROGRAMADA </v>
          </cell>
        </row>
        <row r="75">
          <cell r="E75" t="str">
            <v xml:space="preserve">NO PROGRAMADA </v>
          </cell>
        </row>
        <row r="81">
          <cell r="E81" t="str">
            <v>Profit 350 cc UV</v>
          </cell>
        </row>
        <row r="82">
          <cell r="E82" t="str">
            <v>Profit 350 cc UV</v>
          </cell>
        </row>
        <row r="88">
          <cell r="E88" t="str">
            <v>Profit 350 cc UV</v>
          </cell>
        </row>
        <row r="89">
          <cell r="E89" t="str">
            <v>Profit 350 cc UV</v>
          </cell>
        </row>
        <row r="95">
          <cell r="E95" t="str">
            <v>Profit 350 cc UV</v>
          </cell>
        </row>
        <row r="96">
          <cell r="E96" t="str">
            <v>Profit 350 cc UV</v>
          </cell>
        </row>
        <row r="102">
          <cell r="E102" t="str">
            <v>Profit 350 cc UV</v>
          </cell>
        </row>
        <row r="103">
          <cell r="E103" t="str">
            <v>Profit 350 cc UV</v>
          </cell>
        </row>
        <row r="109">
          <cell r="E109" t="str">
            <v>Profit 350 cc UV</v>
          </cell>
        </row>
        <row r="110">
          <cell r="E110" t="str">
            <v>Profit 350 cc UV</v>
          </cell>
        </row>
        <row r="111">
          <cell r="E111" t="str">
            <v>Tampico 350 cc</v>
          </cell>
        </row>
        <row r="116">
          <cell r="E116" t="str">
            <v>Tampico 350 cc</v>
          </cell>
        </row>
        <row r="117">
          <cell r="E117" t="str">
            <v>Tampico 350 cc</v>
          </cell>
        </row>
        <row r="123">
          <cell r="E123" t="str">
            <v>Tampico 350 cc</v>
          </cell>
        </row>
        <row r="124">
          <cell r="E124" t="str">
            <v>Tampico 350 cc</v>
          </cell>
        </row>
        <row r="130">
          <cell r="E130" t="str">
            <v>Tampico 350 cc</v>
          </cell>
        </row>
        <row r="131">
          <cell r="E131" t="str">
            <v>Tampico 350 cc</v>
          </cell>
        </row>
        <row r="137">
          <cell r="E137" t="str">
            <v>Tampico 350 cc</v>
          </cell>
        </row>
        <row r="138">
          <cell r="E138" t="str">
            <v>Tampico 350 cc</v>
          </cell>
        </row>
        <row r="144">
          <cell r="E144" t="str">
            <v>Tampico 350 cc</v>
          </cell>
        </row>
        <row r="145">
          <cell r="E145" t="str">
            <v>Tampico 350 cc</v>
          </cell>
        </row>
        <row r="151">
          <cell r="E151" t="str">
            <v>Tampico 350 cc</v>
          </cell>
        </row>
        <row r="152">
          <cell r="E152" t="str">
            <v>Tampico 350 cc</v>
          </cell>
        </row>
        <row r="158">
          <cell r="E158" t="str">
            <v>Tampico 350 cc</v>
          </cell>
        </row>
        <row r="159">
          <cell r="E159" t="str">
            <v>Tampico 350 cc</v>
          </cell>
        </row>
        <row r="165">
          <cell r="E165" t="str">
            <v>Profit 350 cc UV</v>
          </cell>
        </row>
        <row r="166">
          <cell r="E166" t="str">
            <v>Profit 350 cc UV</v>
          </cell>
        </row>
        <row r="172">
          <cell r="E172" t="str">
            <v>Profit 350 cc UV</v>
          </cell>
        </row>
        <row r="173">
          <cell r="E173" t="str">
            <v>Profit 350 cc UV</v>
          </cell>
        </row>
        <row r="179">
          <cell r="E179" t="str">
            <v xml:space="preserve">NO PROGRAMADA </v>
          </cell>
        </row>
        <row r="180">
          <cell r="E180" t="str">
            <v xml:space="preserve">NO PROGRAMADA </v>
          </cell>
        </row>
        <row r="186">
          <cell r="E186" t="str">
            <v>Profit 350 cc UV</v>
          </cell>
        </row>
        <row r="187">
          <cell r="E187" t="str">
            <v>Profit 350 cc UV</v>
          </cell>
        </row>
        <row r="193">
          <cell r="E193" t="str">
            <v>Profit 350 cc UV</v>
          </cell>
        </row>
        <row r="194">
          <cell r="E194" t="str">
            <v>Profit 350 cc UV</v>
          </cell>
        </row>
        <row r="200">
          <cell r="E200" t="str">
            <v>Profit 350 cc UV</v>
          </cell>
        </row>
        <row r="201">
          <cell r="E201" t="str">
            <v xml:space="preserve">NO PROGRAMADA </v>
          </cell>
        </row>
        <row r="207">
          <cell r="E207" t="str">
            <v xml:space="preserve">NO PROGRAMADA </v>
          </cell>
        </row>
        <row r="208">
          <cell r="E208" t="str">
            <v>Gota Rosada 600 cc</v>
          </cell>
        </row>
      </sheetData>
      <sheetData sheetId="14" refreshError="1"/>
      <sheetData sheetId="15" refreshError="1">
        <row r="82">
          <cell r="E82" t="str">
            <v>Profit 600 cc UV</v>
          </cell>
        </row>
        <row r="88">
          <cell r="E88" t="str">
            <v>Profit 600 cc UV</v>
          </cell>
        </row>
        <row r="89">
          <cell r="E89" t="str">
            <v>Profit 600 cc UV</v>
          </cell>
        </row>
        <row r="95">
          <cell r="E95" t="str">
            <v>Profit 600 cc UV</v>
          </cell>
        </row>
        <row r="96">
          <cell r="E96" t="str">
            <v>Profit 600 cc UV</v>
          </cell>
        </row>
        <row r="102">
          <cell r="E102" t="str">
            <v>Profit 600 cc UV</v>
          </cell>
        </row>
        <row r="103">
          <cell r="E103" t="str">
            <v>Profit 600 cc UV</v>
          </cell>
        </row>
        <row r="109">
          <cell r="E109" t="str">
            <v>Profit 600 cc UV</v>
          </cell>
        </row>
        <row r="110">
          <cell r="E110" t="str">
            <v>Profit 600 cc UV</v>
          </cell>
        </row>
        <row r="116">
          <cell r="E116" t="str">
            <v xml:space="preserve">NO PROGRAMADA </v>
          </cell>
        </row>
        <row r="117">
          <cell r="E117" t="str">
            <v xml:space="preserve">NO PROGRAMADA </v>
          </cell>
        </row>
        <row r="123">
          <cell r="E123" t="str">
            <v xml:space="preserve">NO PROGRAMADA </v>
          </cell>
        </row>
        <row r="124">
          <cell r="E124" t="str">
            <v xml:space="preserve">NO PROGRAMADA </v>
          </cell>
        </row>
        <row r="130">
          <cell r="E130" t="str">
            <v xml:space="preserve">NO PROGRAMADA </v>
          </cell>
        </row>
        <row r="131">
          <cell r="E131" t="str">
            <v>Generica 355 cc</v>
          </cell>
        </row>
        <row r="137">
          <cell r="E137" t="str">
            <v>Generica 355 cc</v>
          </cell>
        </row>
        <row r="138">
          <cell r="E138" t="str">
            <v>Generica 355 cc</v>
          </cell>
        </row>
        <row r="144">
          <cell r="E144" t="str">
            <v>Generica 355 cc</v>
          </cell>
        </row>
        <row r="145">
          <cell r="E145" t="str">
            <v>Generica 355 cc</v>
          </cell>
        </row>
        <row r="151">
          <cell r="E151" t="str">
            <v>Generica 355 cc</v>
          </cell>
        </row>
        <row r="152">
          <cell r="E152" t="str">
            <v xml:space="preserve">NO PROGRAMADA </v>
          </cell>
        </row>
        <row r="158">
          <cell r="E158" t="str">
            <v xml:space="preserve">NO PROGRAMADA </v>
          </cell>
        </row>
        <row r="159">
          <cell r="E159" t="str">
            <v xml:space="preserve">NO PROGRAMADA </v>
          </cell>
        </row>
        <row r="165">
          <cell r="E165" t="str">
            <v xml:space="preserve">NO PROGRAMADA </v>
          </cell>
        </row>
        <row r="166">
          <cell r="E166" t="str">
            <v xml:space="preserve">NO PROGRAMADA </v>
          </cell>
        </row>
        <row r="172">
          <cell r="E172" t="str">
            <v>Limonada 330 cc</v>
          </cell>
        </row>
        <row r="173">
          <cell r="E173" t="str">
            <v>Limonada 330 cc</v>
          </cell>
        </row>
        <row r="179">
          <cell r="E179" t="str">
            <v xml:space="preserve">NO PROGRAMADA </v>
          </cell>
        </row>
        <row r="180">
          <cell r="E180" t="str">
            <v xml:space="preserve">NO PROGRAMADA </v>
          </cell>
        </row>
        <row r="186">
          <cell r="E186" t="str">
            <v>Limonada 330 cc</v>
          </cell>
        </row>
        <row r="187">
          <cell r="E187" t="str">
            <v>Limonada 330 cc</v>
          </cell>
        </row>
        <row r="193">
          <cell r="E193" t="str">
            <v>Limonada 330 cc</v>
          </cell>
        </row>
        <row r="194">
          <cell r="E194" t="str">
            <v>Limonada 330 cc</v>
          </cell>
        </row>
        <row r="200">
          <cell r="E200" t="str">
            <v>Limonada 330 cc</v>
          </cell>
        </row>
        <row r="201">
          <cell r="E201" t="str">
            <v>Limonada 330 cc</v>
          </cell>
        </row>
        <row r="207">
          <cell r="E207" t="str">
            <v>Naranja 330 cc</v>
          </cell>
        </row>
        <row r="208">
          <cell r="E208" t="str">
            <v>Naranja 330 cc</v>
          </cell>
        </row>
      </sheetData>
      <sheetData sheetId="16" refreshError="1"/>
      <sheetData sheetId="17" refreshError="1">
        <row r="4">
          <cell r="E4" t="str">
            <v>Champ Cuad 2000 cc</v>
          </cell>
        </row>
        <row r="5">
          <cell r="E5" t="str">
            <v>Champ Cuad 2000 cc</v>
          </cell>
        </row>
        <row r="11">
          <cell r="E11" t="str">
            <v>Champ Cuad 2000 cc</v>
          </cell>
        </row>
        <row r="12">
          <cell r="E12" t="str">
            <v>Champ Cuad 2000 cc</v>
          </cell>
        </row>
        <row r="18">
          <cell r="E18" t="str">
            <v>Champ Cuad 2000 cc</v>
          </cell>
        </row>
        <row r="19">
          <cell r="E19" t="str">
            <v>Champ Cuad 2000 cc</v>
          </cell>
        </row>
        <row r="25">
          <cell r="E25" t="str">
            <v>Champ Cuad 2000 cc</v>
          </cell>
        </row>
        <row r="26">
          <cell r="E26" t="str">
            <v>Champ Cuad 2000 cc</v>
          </cell>
        </row>
        <row r="32">
          <cell r="E32" t="str">
            <v>Champ Cuad 2000 cc</v>
          </cell>
        </row>
        <row r="33">
          <cell r="E33" t="str">
            <v>Champ Cuad 2000 cc</v>
          </cell>
        </row>
        <row r="39">
          <cell r="E39" t="str">
            <v xml:space="preserve">NO PROGRAMADA </v>
          </cell>
        </row>
        <row r="40">
          <cell r="E40" t="str">
            <v xml:space="preserve">NO PROGRAMADA </v>
          </cell>
        </row>
        <row r="46">
          <cell r="E46" t="str">
            <v xml:space="preserve">NO PROGRAMADA </v>
          </cell>
        </row>
        <row r="47">
          <cell r="E47" t="str">
            <v xml:space="preserve">NO PROGRAMADA </v>
          </cell>
        </row>
        <row r="53">
          <cell r="E53" t="str">
            <v xml:space="preserve">NO PROGRAMADA </v>
          </cell>
        </row>
        <row r="54">
          <cell r="E54" t="str">
            <v xml:space="preserve">NO PROGRAMADA </v>
          </cell>
        </row>
        <row r="60">
          <cell r="E60" t="str">
            <v xml:space="preserve">NO PROGRAMADA </v>
          </cell>
        </row>
        <row r="61">
          <cell r="E61" t="str">
            <v xml:space="preserve">NO PROGRAMADA </v>
          </cell>
        </row>
        <row r="67">
          <cell r="E67" t="str">
            <v>Gota UV 600 Ccc</v>
          </cell>
        </row>
        <row r="68">
          <cell r="E68" t="str">
            <v>Gota UV 600 Ccc</v>
          </cell>
        </row>
        <row r="74">
          <cell r="E74" t="str">
            <v>Gota UV 600 Ccc</v>
          </cell>
        </row>
        <row r="75">
          <cell r="E75" t="str">
            <v>Gota UV 600 Ccc</v>
          </cell>
        </row>
        <row r="81">
          <cell r="E81" t="str">
            <v>Gota UV 600 Ccc</v>
          </cell>
        </row>
        <row r="82">
          <cell r="E82" t="str">
            <v>Gota UV 600 Ccc</v>
          </cell>
        </row>
        <row r="88">
          <cell r="E88" t="str">
            <v>Gota UV 600 Ccc</v>
          </cell>
        </row>
        <row r="89">
          <cell r="E89" t="str">
            <v>Gota UV 600 Ccc</v>
          </cell>
        </row>
        <row r="95">
          <cell r="E95" t="str">
            <v>Gota UV 600 Ccc</v>
          </cell>
        </row>
        <row r="96">
          <cell r="E96" t="str">
            <v>Gota UV 600 Ccc</v>
          </cell>
        </row>
        <row r="102">
          <cell r="E102" t="str">
            <v>Gota UV 600 Ccc</v>
          </cell>
        </row>
        <row r="103">
          <cell r="E103" t="str">
            <v>Gota UV 600 Ccc</v>
          </cell>
        </row>
        <row r="109">
          <cell r="E109" t="str">
            <v>Gota UV 600 Ccc</v>
          </cell>
        </row>
        <row r="110">
          <cell r="E110" t="str">
            <v>Gota UV 600 Ccc</v>
          </cell>
        </row>
        <row r="116">
          <cell r="E116" t="str">
            <v>Gota UV 600 Ccc</v>
          </cell>
        </row>
        <row r="117">
          <cell r="E117" t="str">
            <v>Gota UV 600 Ccc</v>
          </cell>
        </row>
        <row r="123">
          <cell r="E123" t="str">
            <v>Gota UV 600 Ccc</v>
          </cell>
        </row>
        <row r="124">
          <cell r="E124" t="str">
            <v>Gota UV 600 Ccc</v>
          </cell>
        </row>
        <row r="130">
          <cell r="E130" t="str">
            <v xml:space="preserve">NO PROGRAMADA </v>
          </cell>
        </row>
        <row r="131">
          <cell r="E131" t="str">
            <v xml:space="preserve">NO PROGRAMADA </v>
          </cell>
        </row>
        <row r="137">
          <cell r="E137" t="str">
            <v xml:space="preserve">NO PROGRAMADA </v>
          </cell>
        </row>
        <row r="138">
          <cell r="E138" t="str">
            <v xml:space="preserve">NO PROGRAMADA </v>
          </cell>
        </row>
        <row r="144">
          <cell r="E144" t="str">
            <v xml:space="preserve">NO PROGRAMADA </v>
          </cell>
        </row>
        <row r="145">
          <cell r="E145" t="str">
            <v>Gota Cel 600 cc</v>
          </cell>
        </row>
        <row r="151">
          <cell r="E151" t="str">
            <v>Gota Cel 600 cc</v>
          </cell>
        </row>
        <row r="152">
          <cell r="E152" t="str">
            <v>Gota UV 600 Ccc</v>
          </cell>
        </row>
        <row r="158">
          <cell r="E158" t="str">
            <v>Gota UV 600 Ccc</v>
          </cell>
        </row>
        <row r="159">
          <cell r="E159" t="str">
            <v>Gota UV 600 Ccc</v>
          </cell>
        </row>
        <row r="165">
          <cell r="E165" t="str">
            <v>Gota UV 600 Ccc</v>
          </cell>
        </row>
        <row r="166">
          <cell r="E166" t="str">
            <v>Gota UV 600 Ccc</v>
          </cell>
        </row>
        <row r="172">
          <cell r="E172" t="str">
            <v>Gota UV 600 Ccc</v>
          </cell>
        </row>
        <row r="173">
          <cell r="E173" t="str">
            <v>Gota UV 600 Ccc</v>
          </cell>
        </row>
        <row r="174">
          <cell r="E174" t="str">
            <v>Gota Cel 600 cc</v>
          </cell>
        </row>
        <row r="179">
          <cell r="E179" t="str">
            <v xml:space="preserve">NO PROGRAMADA </v>
          </cell>
        </row>
        <row r="180">
          <cell r="E180" t="str">
            <v xml:space="preserve">NO PROGRAMADA </v>
          </cell>
        </row>
        <row r="186">
          <cell r="E186" t="str">
            <v>Gota Cel 600 cc</v>
          </cell>
        </row>
        <row r="187">
          <cell r="E187" t="str">
            <v>Gota Cel 600 cc</v>
          </cell>
        </row>
        <row r="193">
          <cell r="E193" t="str">
            <v>Gota Cel 600 cc</v>
          </cell>
        </row>
        <row r="194">
          <cell r="E194" t="str">
            <v>Gota Rosada 600 cc</v>
          </cell>
        </row>
        <row r="195">
          <cell r="E195" t="str">
            <v>Gota Rosada 600 cc</v>
          </cell>
        </row>
        <row r="200">
          <cell r="E200" t="str">
            <v>Gota Rosada 600 cc</v>
          </cell>
        </row>
        <row r="201">
          <cell r="E201" t="str">
            <v>Gota Rosada 600 cc</v>
          </cell>
        </row>
        <row r="207">
          <cell r="E207" t="str">
            <v>Gota Rosada 600 cc</v>
          </cell>
        </row>
        <row r="208">
          <cell r="E208" t="str">
            <v>Limonada 1000 cc</v>
          </cell>
        </row>
      </sheetData>
      <sheetData sheetId="18" refreshError="1"/>
      <sheetData sheetId="19" refreshError="1">
        <row r="4">
          <cell r="E4" t="str">
            <v>Tampico 500 cc</v>
          </cell>
        </row>
        <row r="5">
          <cell r="E5" t="str">
            <v>Tampico 500 cc</v>
          </cell>
        </row>
        <row r="11">
          <cell r="E11" t="str">
            <v>Tampico 500 cc</v>
          </cell>
        </row>
        <row r="12">
          <cell r="E12" t="str">
            <v>Tampico 500 cc</v>
          </cell>
        </row>
        <row r="18">
          <cell r="E18" t="str">
            <v>Tampico 500 cc</v>
          </cell>
        </row>
        <row r="19">
          <cell r="E19" t="str">
            <v>Tampico 500 cc</v>
          </cell>
        </row>
        <row r="25">
          <cell r="E25" t="str">
            <v>Tampico 500 cc</v>
          </cell>
        </row>
        <row r="26">
          <cell r="E26" t="str">
            <v>Tampico 500 cc</v>
          </cell>
        </row>
        <row r="32">
          <cell r="E32" t="str">
            <v>Tampico 500 cc</v>
          </cell>
        </row>
        <row r="33">
          <cell r="E33" t="str">
            <v>Tampico 500 cc</v>
          </cell>
        </row>
        <row r="39">
          <cell r="E39" t="str">
            <v xml:space="preserve">NO PROGRAMADA </v>
          </cell>
        </row>
        <row r="40">
          <cell r="E40" t="str">
            <v xml:space="preserve">NO PROGRAMADA </v>
          </cell>
        </row>
        <row r="46">
          <cell r="E46" t="str">
            <v xml:space="preserve">NO PROGRAMADA </v>
          </cell>
        </row>
        <row r="47">
          <cell r="E47" t="str">
            <v xml:space="preserve">NO PROGRAMADA </v>
          </cell>
        </row>
        <row r="53">
          <cell r="E53" t="str">
            <v xml:space="preserve">NO PROGRAMADA </v>
          </cell>
        </row>
        <row r="54">
          <cell r="E54" t="str">
            <v xml:space="preserve">NO PROGRAMADA </v>
          </cell>
        </row>
        <row r="60">
          <cell r="E60" t="str">
            <v xml:space="preserve">NO PROGRAMADA </v>
          </cell>
        </row>
        <row r="61">
          <cell r="E61" t="str">
            <v>Limonada 330 cc</v>
          </cell>
        </row>
        <row r="67">
          <cell r="E67" t="str">
            <v>Limonada 330 cc</v>
          </cell>
        </row>
        <row r="68">
          <cell r="E68" t="str">
            <v>Limonada 330 cc</v>
          </cell>
        </row>
        <row r="74">
          <cell r="E74" t="str">
            <v>Limonada 330 cc</v>
          </cell>
        </row>
        <row r="75">
          <cell r="E75" t="str">
            <v>Limonada 330 cc</v>
          </cell>
        </row>
        <row r="81">
          <cell r="E81" t="str">
            <v>Limonada 330 cc</v>
          </cell>
        </row>
        <row r="82">
          <cell r="E82" t="str">
            <v xml:space="preserve">NO PROGRAMADA </v>
          </cell>
        </row>
        <row r="88">
          <cell r="E88" t="str">
            <v xml:space="preserve">NO PROGRAMADA </v>
          </cell>
        </row>
        <row r="89">
          <cell r="E89" t="str">
            <v>Generica V 500 cc</v>
          </cell>
        </row>
        <row r="95">
          <cell r="E95" t="str">
            <v>Generica V 500 cc</v>
          </cell>
        </row>
        <row r="96">
          <cell r="E96" t="str">
            <v>Generica V 500 cc</v>
          </cell>
        </row>
        <row r="102">
          <cell r="E102" t="str">
            <v>Limonada 330 cc</v>
          </cell>
        </row>
        <row r="103">
          <cell r="E103" t="str">
            <v>Limonada 330 cc</v>
          </cell>
        </row>
        <row r="109">
          <cell r="E109" t="str">
            <v>Limonada 330 cc</v>
          </cell>
        </row>
        <row r="110">
          <cell r="E110" t="str">
            <v>Limonada 330 cc</v>
          </cell>
        </row>
        <row r="116">
          <cell r="E116" t="str">
            <v>Limonada 330 cc</v>
          </cell>
        </row>
        <row r="117">
          <cell r="E117" t="str">
            <v>Limonada 330 cc</v>
          </cell>
        </row>
        <row r="123">
          <cell r="E123" t="str">
            <v>Limonada 330 cc</v>
          </cell>
        </row>
        <row r="124">
          <cell r="E124" t="str">
            <v>Limonada 330 cc</v>
          </cell>
        </row>
        <row r="130">
          <cell r="E130" t="str">
            <v>Limonada 330 cc</v>
          </cell>
        </row>
        <row r="131">
          <cell r="E131" t="str">
            <v>Limonada CR 330 cc</v>
          </cell>
        </row>
        <row r="132">
          <cell r="E132" t="str">
            <v>Limonada CR 330 cc</v>
          </cell>
        </row>
        <row r="137">
          <cell r="E137" t="str">
            <v xml:space="preserve">NO PROGRAMADA </v>
          </cell>
        </row>
        <row r="138">
          <cell r="E138" t="str">
            <v xml:space="preserve">NO PROGRAMADA </v>
          </cell>
        </row>
        <row r="144">
          <cell r="E144" t="str">
            <v xml:space="preserve">NO PROGRAMADA </v>
          </cell>
        </row>
        <row r="145">
          <cell r="E145" t="str">
            <v xml:space="preserve">NO PROGRAMADA </v>
          </cell>
        </row>
        <row r="151">
          <cell r="E151" t="str">
            <v xml:space="preserve">NO PROGRAMADA </v>
          </cell>
        </row>
        <row r="152">
          <cell r="E152" t="str">
            <v>Naranja 330 cc</v>
          </cell>
        </row>
        <row r="158">
          <cell r="E158" t="str">
            <v>Naranja 330 cc</v>
          </cell>
        </row>
        <row r="159">
          <cell r="E159" t="str">
            <v>Swirl 600 cc</v>
          </cell>
        </row>
        <row r="165">
          <cell r="E165" t="str">
            <v>Swirl 600 cc</v>
          </cell>
        </row>
        <row r="166">
          <cell r="E166" t="str">
            <v>Swirl 600 cc</v>
          </cell>
        </row>
        <row r="167">
          <cell r="E167" t="str">
            <v xml:space="preserve">Swirl 25 Gr 600 cc  </v>
          </cell>
        </row>
        <row r="168">
          <cell r="E168" t="str">
            <v>Swirl 600 cc</v>
          </cell>
        </row>
        <row r="172">
          <cell r="E172" t="str">
            <v xml:space="preserve">Swirl 25 Gr 600 cc  </v>
          </cell>
        </row>
        <row r="173">
          <cell r="E173" t="str">
            <v xml:space="preserve">Swirl 25 Gr 600 cc  </v>
          </cell>
        </row>
        <row r="179">
          <cell r="E179" t="str">
            <v xml:space="preserve">NO PROGRAMADA </v>
          </cell>
        </row>
        <row r="180">
          <cell r="E180" t="str">
            <v xml:space="preserve">NO PROGRAMADA </v>
          </cell>
        </row>
        <row r="186">
          <cell r="E186" t="str">
            <v xml:space="preserve">Swirl 25 Gr 600 cc  </v>
          </cell>
        </row>
        <row r="187">
          <cell r="E187" t="str">
            <v xml:space="preserve">Swirl 25 Gr 600 cc  </v>
          </cell>
        </row>
        <row r="193">
          <cell r="E193" t="str">
            <v xml:space="preserve">NO PROGRAMADA </v>
          </cell>
        </row>
        <row r="194">
          <cell r="E194" t="str">
            <v xml:space="preserve">NO PROGRAMADA </v>
          </cell>
        </row>
        <row r="200">
          <cell r="E200" t="str">
            <v xml:space="preserve">NO PROGRAMADA </v>
          </cell>
        </row>
        <row r="201">
          <cell r="E201" t="str">
            <v>Champ Cuad 375 cc</v>
          </cell>
        </row>
        <row r="207">
          <cell r="E207" t="str">
            <v>Champ Cuad 375 cc</v>
          </cell>
        </row>
        <row r="208">
          <cell r="E208" t="str">
            <v>Champ Cuad 375 cc</v>
          </cell>
        </row>
      </sheetData>
      <sheetData sheetId="20" refreshError="1"/>
      <sheetData sheetId="21" refreshError="1">
        <row r="4">
          <cell r="E4" t="str">
            <v>Generica 1500 cc</v>
          </cell>
        </row>
        <row r="5">
          <cell r="E5" t="str">
            <v>Generica 1500 cc</v>
          </cell>
        </row>
        <row r="11">
          <cell r="E11" t="str">
            <v>Generica 1500 cc</v>
          </cell>
        </row>
        <row r="12">
          <cell r="E12" t="str">
            <v>Generica 1500 cc</v>
          </cell>
        </row>
        <row r="18">
          <cell r="E18" t="str">
            <v>Generica 1500 cc</v>
          </cell>
        </row>
        <row r="19">
          <cell r="E19" t="str">
            <v>Generica 1500 cc</v>
          </cell>
        </row>
        <row r="25">
          <cell r="E25" t="str">
            <v>Generica 1500 cc</v>
          </cell>
        </row>
        <row r="26">
          <cell r="E26" t="str">
            <v>Generica 1500 cc</v>
          </cell>
        </row>
        <row r="32">
          <cell r="E32" t="str">
            <v>Generica 1500 cc</v>
          </cell>
        </row>
        <row r="33">
          <cell r="E33" t="str">
            <v>Generica 1500 cc</v>
          </cell>
        </row>
        <row r="39">
          <cell r="E39" t="str">
            <v>Generica 1500 cc</v>
          </cell>
        </row>
        <row r="40">
          <cell r="E40" t="str">
            <v>Generica 625 cc</v>
          </cell>
        </row>
        <row r="41">
          <cell r="E41" t="str">
            <v>Generica 625 cc</v>
          </cell>
        </row>
        <row r="46">
          <cell r="E46" t="str">
            <v>Generica 625 cc</v>
          </cell>
        </row>
        <row r="47">
          <cell r="E47" t="str">
            <v>Generica 625 cc</v>
          </cell>
        </row>
        <row r="53">
          <cell r="E53" t="str">
            <v>Generica 625 cc</v>
          </cell>
        </row>
        <row r="54">
          <cell r="E54" t="str">
            <v>Generica V 625 cc</v>
          </cell>
        </row>
        <row r="60">
          <cell r="E60" t="str">
            <v xml:space="preserve">Swirl 355 cc  </v>
          </cell>
        </row>
        <row r="61">
          <cell r="E61" t="str">
            <v xml:space="preserve">Swirl 355 cc  </v>
          </cell>
        </row>
        <row r="62">
          <cell r="E62" t="str">
            <v xml:space="preserve">Swirl 355 cc  </v>
          </cell>
        </row>
        <row r="67">
          <cell r="E67" t="str">
            <v xml:space="preserve">Swirl 355 cc  </v>
          </cell>
        </row>
        <row r="68">
          <cell r="E68" t="str">
            <v xml:space="preserve">Swirl 355 cc  </v>
          </cell>
        </row>
        <row r="74">
          <cell r="E74" t="str">
            <v xml:space="preserve">Swirl 355 cc  </v>
          </cell>
        </row>
        <row r="75">
          <cell r="E75" t="str">
            <v xml:space="preserve">Swirl 355 cc  </v>
          </cell>
        </row>
        <row r="81">
          <cell r="E81" t="str">
            <v xml:space="preserve">Swirl 355 cc  </v>
          </cell>
        </row>
        <row r="82">
          <cell r="E82" t="str">
            <v xml:space="preserve">Swirl 355 cc  </v>
          </cell>
        </row>
        <row r="88">
          <cell r="E88" t="str">
            <v>Generica 2500 cc</v>
          </cell>
        </row>
        <row r="89">
          <cell r="E89" t="str">
            <v>Generica 2500 cc</v>
          </cell>
        </row>
        <row r="95">
          <cell r="E95" t="str">
            <v>Generica 2500 cc</v>
          </cell>
        </row>
        <row r="96">
          <cell r="E96" t="str">
            <v xml:space="preserve">Swirl 355 cc  </v>
          </cell>
        </row>
        <row r="97">
          <cell r="E97" t="str">
            <v xml:space="preserve">Swirl 355 cc  </v>
          </cell>
        </row>
        <row r="102">
          <cell r="E102" t="str">
            <v xml:space="preserve">Swirl 355 cc  </v>
          </cell>
        </row>
        <row r="103">
          <cell r="E103" t="str">
            <v xml:space="preserve">Swirl 355 cc  </v>
          </cell>
        </row>
        <row r="109">
          <cell r="E109" t="str">
            <v xml:space="preserve">Swirl 355 cc  </v>
          </cell>
        </row>
        <row r="110">
          <cell r="E110" t="str">
            <v xml:space="preserve">Swirl 355 cc  </v>
          </cell>
        </row>
        <row r="116">
          <cell r="E116" t="str">
            <v xml:space="preserve">Swirl 355 cc  </v>
          </cell>
        </row>
        <row r="117">
          <cell r="E117" t="str">
            <v xml:space="preserve">Swirl 355 cc  </v>
          </cell>
        </row>
        <row r="123">
          <cell r="E123" t="str">
            <v xml:space="preserve">Swirl 355 cc  </v>
          </cell>
        </row>
        <row r="124">
          <cell r="E124" t="str">
            <v>Generica 1500 cc</v>
          </cell>
        </row>
        <row r="130">
          <cell r="E130" t="str">
            <v>Generica 1500 cc</v>
          </cell>
        </row>
        <row r="131">
          <cell r="E131" t="str">
            <v>Generica 1500 cc</v>
          </cell>
        </row>
        <row r="137">
          <cell r="E137" t="str">
            <v>Generica 1500 cc</v>
          </cell>
        </row>
        <row r="138">
          <cell r="E138" t="str">
            <v>Generica 1500 cc</v>
          </cell>
        </row>
        <row r="144">
          <cell r="E144" t="str">
            <v>Generica 1500 cc</v>
          </cell>
        </row>
        <row r="145">
          <cell r="E145" t="str">
            <v>Generica 1500 cc</v>
          </cell>
        </row>
        <row r="151">
          <cell r="E151" t="str">
            <v>Generica 1500 cc</v>
          </cell>
        </row>
        <row r="152">
          <cell r="E152" t="str">
            <v>Generica 1500 cc</v>
          </cell>
        </row>
        <row r="158">
          <cell r="E158" t="str">
            <v>Generica 1500 cc</v>
          </cell>
        </row>
        <row r="159">
          <cell r="E159" t="str">
            <v>Generica 625 cc</v>
          </cell>
        </row>
        <row r="165">
          <cell r="E165" t="str">
            <v>Generica 625 cc</v>
          </cell>
        </row>
        <row r="166">
          <cell r="E166" t="str">
            <v>Generica 625 cc</v>
          </cell>
        </row>
        <row r="172">
          <cell r="E172" t="str">
            <v>Generica 625 cc</v>
          </cell>
        </row>
        <row r="173">
          <cell r="E173" t="str">
            <v>Generica 625 cc</v>
          </cell>
        </row>
        <row r="179">
          <cell r="E179" t="str">
            <v>NO PROGRAMADA</v>
          </cell>
        </row>
        <row r="180">
          <cell r="E180" t="str">
            <v>NO PROGRAMADA</v>
          </cell>
        </row>
        <row r="186">
          <cell r="E186" t="str">
            <v>Generica 625 cc</v>
          </cell>
        </row>
        <row r="187">
          <cell r="E187" t="str">
            <v>Generica 625 cc</v>
          </cell>
        </row>
        <row r="193">
          <cell r="E193" t="str">
            <v>Generica 625 cc</v>
          </cell>
        </row>
        <row r="194">
          <cell r="E194" t="str">
            <v>NO PROGRAMADA</v>
          </cell>
        </row>
        <row r="200">
          <cell r="E200" t="str">
            <v>Generica 2000 cc</v>
          </cell>
        </row>
        <row r="201">
          <cell r="E201" t="str">
            <v>Generica 2000 cc</v>
          </cell>
        </row>
        <row r="207">
          <cell r="E207" t="str">
            <v>Generica 1750 cc</v>
          </cell>
        </row>
        <row r="208">
          <cell r="E208" t="str">
            <v>Dasani s/g 450 cc</v>
          </cell>
        </row>
        <row r="209">
          <cell r="E209" t="str">
            <v>Generica 2000 cc</v>
          </cell>
        </row>
        <row r="210">
          <cell r="E210" t="str">
            <v>Generica 2000 cc</v>
          </cell>
        </row>
      </sheetData>
      <sheetData sheetId="22" refreshError="1"/>
      <sheetData sheetId="23" refreshError="1">
        <row r="4">
          <cell r="E4" t="str">
            <v>Generica 60 3000 cc</v>
          </cell>
        </row>
        <row r="5">
          <cell r="E5" t="str">
            <v>Generica 1750 cc</v>
          </cell>
        </row>
        <row r="10">
          <cell r="E10" t="str">
            <v>Generica 1750 cc</v>
          </cell>
        </row>
        <row r="11">
          <cell r="E11" t="str">
            <v>Generica 1750 cc</v>
          </cell>
        </row>
        <row r="17">
          <cell r="E17" t="str">
            <v>Generica 1750 cc</v>
          </cell>
        </row>
        <row r="18">
          <cell r="E18" t="str">
            <v>Generica 1750 cc</v>
          </cell>
        </row>
        <row r="24">
          <cell r="E24" t="str">
            <v>Generica 1750 cc</v>
          </cell>
        </row>
        <row r="25">
          <cell r="E25" t="str">
            <v>Generica 1750 cc</v>
          </cell>
        </row>
        <row r="31">
          <cell r="E31" t="str">
            <v>Generica 1750 cc</v>
          </cell>
        </row>
        <row r="32">
          <cell r="E32" t="str">
            <v>Generica 1750 cc</v>
          </cell>
        </row>
        <row r="38">
          <cell r="E38" t="str">
            <v>Ovit 500 cc</v>
          </cell>
        </row>
        <row r="39">
          <cell r="E39" t="str">
            <v>Ovit 500 cc</v>
          </cell>
        </row>
        <row r="40">
          <cell r="E40" t="str">
            <v>Ovit 500 cc</v>
          </cell>
        </row>
        <row r="45">
          <cell r="E45" t="str">
            <v>Ovit 500 cc</v>
          </cell>
        </row>
        <row r="46">
          <cell r="E46" t="str">
            <v>Ovit 500 cc</v>
          </cell>
        </row>
        <row r="47">
          <cell r="E47" t="str">
            <v>Ovit 500 cc</v>
          </cell>
        </row>
        <row r="52">
          <cell r="E52" t="str">
            <v>Ovit 500 cc</v>
          </cell>
        </row>
        <row r="53">
          <cell r="E53" t="str">
            <v>Ovit 500 cc</v>
          </cell>
        </row>
        <row r="59">
          <cell r="E59" t="str">
            <v>Manten. Preventivo</v>
          </cell>
        </row>
        <row r="60">
          <cell r="E60" t="str">
            <v>Dasani s/g 450 cc</v>
          </cell>
        </row>
        <row r="66">
          <cell r="E66" t="str">
            <v>Dasani s/g 450 cc</v>
          </cell>
        </row>
        <row r="67">
          <cell r="E67" t="str">
            <v>Dasani s/g 450 cc</v>
          </cell>
        </row>
        <row r="73">
          <cell r="E73" t="str">
            <v>Dasani s/g 450 cc</v>
          </cell>
        </row>
        <row r="74">
          <cell r="E74" t="str">
            <v>Dasani s/g 450 cc</v>
          </cell>
        </row>
        <row r="80">
          <cell r="E80" t="str">
            <v>Dasani s/g 450 cc</v>
          </cell>
        </row>
        <row r="81">
          <cell r="E81" t="str">
            <v xml:space="preserve">Swirl 355 cc  </v>
          </cell>
        </row>
        <row r="83">
          <cell r="E83" t="str">
            <v xml:space="preserve">   Ovit 500 cc</v>
          </cell>
        </row>
        <row r="87">
          <cell r="E87" t="str">
            <v xml:space="preserve">Swirl 355 cc  </v>
          </cell>
        </row>
        <row r="88">
          <cell r="E88" t="str">
            <v xml:space="preserve">Swirl 355 cc  </v>
          </cell>
        </row>
        <row r="89">
          <cell r="E89" t="str">
            <v>Dasani s/g 450 cc</v>
          </cell>
        </row>
        <row r="93">
          <cell r="E93" t="str">
            <v xml:space="preserve">Swirl 355 cc  </v>
          </cell>
        </row>
        <row r="94">
          <cell r="E94" t="str">
            <v xml:space="preserve">Swirl 355 cc  </v>
          </cell>
        </row>
        <row r="95">
          <cell r="E95" t="str">
            <v xml:space="preserve">Swirl 355 cc  </v>
          </cell>
        </row>
        <row r="100">
          <cell r="E100" t="str">
            <v xml:space="preserve">Swirl 355 cc  </v>
          </cell>
        </row>
        <row r="101">
          <cell r="E101" t="str">
            <v xml:space="preserve">Swirl 355 cc  </v>
          </cell>
        </row>
        <row r="107">
          <cell r="E107" t="str">
            <v xml:space="preserve">Swirl 355 cc  </v>
          </cell>
        </row>
        <row r="108">
          <cell r="E108" t="str">
            <v xml:space="preserve">Swirl 355 cc  </v>
          </cell>
        </row>
        <row r="114">
          <cell r="E114" t="str">
            <v>Dasani s/g 450 cc</v>
          </cell>
        </row>
        <row r="115">
          <cell r="E115" t="str">
            <v>Generica 1750 cc</v>
          </cell>
        </row>
        <row r="116">
          <cell r="E116" t="str">
            <v>Generica 1750 cc</v>
          </cell>
        </row>
        <row r="121">
          <cell r="E121" t="str">
            <v>Generica 1750 cc</v>
          </cell>
        </row>
        <row r="122">
          <cell r="E122" t="str">
            <v>Generica 1750 cc</v>
          </cell>
        </row>
        <row r="128">
          <cell r="E128" t="str">
            <v>Generica 1750 cc</v>
          </cell>
        </row>
        <row r="129">
          <cell r="E129" t="str">
            <v>Generica 1750 cc</v>
          </cell>
        </row>
        <row r="135">
          <cell r="E135" t="str">
            <v xml:space="preserve">NO PROGRAMADA </v>
          </cell>
        </row>
        <row r="136">
          <cell r="E136" t="str">
            <v xml:space="preserve">NO PROGRAMADA </v>
          </cell>
        </row>
        <row r="142">
          <cell r="E142" t="str">
            <v>Fontana s/g 625 cc</v>
          </cell>
        </row>
        <row r="143">
          <cell r="E143" t="str">
            <v>Fontana s/g 625 cc</v>
          </cell>
        </row>
        <row r="149">
          <cell r="E149" t="str">
            <v>Fontana s/g 625 cc</v>
          </cell>
        </row>
        <row r="150">
          <cell r="E150" t="str">
            <v>Fontana s/g 625 cc</v>
          </cell>
        </row>
        <row r="156">
          <cell r="E156" t="str">
            <v>Fontana s/g 625 cc</v>
          </cell>
        </row>
        <row r="157">
          <cell r="E157" t="str">
            <v>Fontana s/g 625 cc</v>
          </cell>
        </row>
        <row r="163">
          <cell r="E163" t="str">
            <v>Fontana s/g 625 cc</v>
          </cell>
        </row>
        <row r="164">
          <cell r="E164" t="str">
            <v>Fontana s/g 625 cc</v>
          </cell>
        </row>
        <row r="170">
          <cell r="E170" t="str">
            <v>Fontana s/g 625 cc</v>
          </cell>
        </row>
        <row r="171">
          <cell r="E171" t="str">
            <v>Swirl 600 cc</v>
          </cell>
        </row>
        <row r="172">
          <cell r="E172" t="str">
            <v>Swirl 600 cc</v>
          </cell>
        </row>
        <row r="177">
          <cell r="E177" t="str">
            <v xml:space="preserve">NO PROGRAMADA </v>
          </cell>
        </row>
        <row r="178">
          <cell r="E178" t="str">
            <v xml:space="preserve">NO PROGRAMADA </v>
          </cell>
        </row>
        <row r="179">
          <cell r="E179" t="str">
            <v>Fontana s/g 625 cc</v>
          </cell>
        </row>
        <row r="184">
          <cell r="E184" t="str">
            <v>Swirl 600 cc</v>
          </cell>
        </row>
        <row r="185">
          <cell r="E185" t="str">
            <v>Swirl 600 cc</v>
          </cell>
        </row>
      </sheetData>
      <sheetData sheetId="24" refreshError="1"/>
      <sheetData sheetId="25" refreshError="1">
        <row r="4">
          <cell r="E4" t="str">
            <v>Generica 1350 cc CR</v>
          </cell>
        </row>
        <row r="5">
          <cell r="E5" t="str">
            <v>Generica 1350 cc CR</v>
          </cell>
        </row>
        <row r="6">
          <cell r="E6" t="str">
            <v>Generica 1350 cc CR</v>
          </cell>
        </row>
        <row r="7">
          <cell r="E7" t="str">
            <v>Generica 1350 cc CR</v>
          </cell>
        </row>
        <row r="8">
          <cell r="E8" t="str">
            <v>Generica 1350 cc CR</v>
          </cell>
        </row>
        <row r="9">
          <cell r="E9" t="str">
            <v>Generica 1350 cc CR</v>
          </cell>
        </row>
        <row r="10">
          <cell r="E10" t="str">
            <v>Generica 1350 cc CR</v>
          </cell>
        </row>
        <row r="12">
          <cell r="E12" t="str">
            <v>Generica 1350 cc CR</v>
          </cell>
        </row>
        <row r="13">
          <cell r="E13" t="str">
            <v>Generica 1350 cc CR</v>
          </cell>
        </row>
        <row r="19">
          <cell r="E19" t="str">
            <v>Generica 1350 cc CR</v>
          </cell>
        </row>
        <row r="20">
          <cell r="E20" t="str">
            <v>Generica 1350 cc CR</v>
          </cell>
        </row>
        <row r="21">
          <cell r="E21" t="str">
            <v>Generica 1350 cc CR</v>
          </cell>
        </row>
        <row r="26">
          <cell r="E26" t="str">
            <v>Generica 1350 cc CR</v>
          </cell>
        </row>
        <row r="27">
          <cell r="E27" t="str">
            <v>Generica 1350 cc CR</v>
          </cell>
        </row>
        <row r="28">
          <cell r="E28" t="str">
            <v>Generica 1350 cc CR</v>
          </cell>
        </row>
        <row r="33">
          <cell r="E33" t="str">
            <v>Generica 1350 cc CR</v>
          </cell>
        </row>
        <row r="34">
          <cell r="E34" t="str">
            <v>Generica 1350 cc CR</v>
          </cell>
        </row>
        <row r="35">
          <cell r="E35" t="str">
            <v>Generica 1350 cc CR</v>
          </cell>
        </row>
        <row r="40">
          <cell r="E40" t="str">
            <v>Generica 1350 cc CR</v>
          </cell>
        </row>
        <row r="41">
          <cell r="E41" t="str">
            <v>Generica 1350 cc CR</v>
          </cell>
        </row>
        <row r="42">
          <cell r="E42" t="str">
            <v>Generica 1350 cc CR</v>
          </cell>
        </row>
        <row r="43">
          <cell r="E43" t="str">
            <v>Generica 1350 cc CR</v>
          </cell>
        </row>
        <row r="44">
          <cell r="E44" t="str">
            <v>Generica 1350 cc CR</v>
          </cell>
        </row>
        <row r="47">
          <cell r="E47" t="str">
            <v>Generica 1350 cc CR</v>
          </cell>
        </row>
        <row r="48">
          <cell r="E48" t="str">
            <v>Generica 1350 cc CR</v>
          </cell>
        </row>
        <row r="49">
          <cell r="E49" t="str">
            <v>Generica 1350 cc CR</v>
          </cell>
        </row>
        <row r="50">
          <cell r="E50" t="str">
            <v>Generica 1350 cc CR</v>
          </cell>
        </row>
        <row r="51">
          <cell r="E51" t="str">
            <v>Generica 1350 cc CR</v>
          </cell>
        </row>
        <row r="52">
          <cell r="E52" t="str">
            <v>Generica 1350 cc CR</v>
          </cell>
        </row>
        <row r="53">
          <cell r="E53" t="str">
            <v>Generica 1350 cc CR</v>
          </cell>
        </row>
        <row r="55">
          <cell r="E55" t="str">
            <v>Generica 1350 cc CR</v>
          </cell>
        </row>
        <row r="56">
          <cell r="E56" t="str">
            <v>Generica 1350 cc CR</v>
          </cell>
        </row>
        <row r="57">
          <cell r="E57" t="str">
            <v>Generica 1350 cc CR</v>
          </cell>
        </row>
        <row r="62">
          <cell r="E62" t="str">
            <v>Generica 1350 cc CR</v>
          </cell>
        </row>
        <row r="63">
          <cell r="E63" t="str">
            <v>Generica 1350 cc CR</v>
          </cell>
        </row>
        <row r="64">
          <cell r="E64" t="str">
            <v>Generica 1350 cc VE</v>
          </cell>
        </row>
        <row r="65">
          <cell r="E65" t="str">
            <v>Generica 1350 cc VE</v>
          </cell>
        </row>
        <row r="66">
          <cell r="E66" t="str">
            <v>Generica 1350 cc VE</v>
          </cell>
        </row>
        <row r="67">
          <cell r="E67" t="str">
            <v>Generica 1350 cc CR</v>
          </cell>
        </row>
        <row r="69">
          <cell r="E69" t="str">
            <v>Generica 1350 cc CR</v>
          </cell>
        </row>
        <row r="70">
          <cell r="E70" t="str">
            <v>Generica 1350 cc CR</v>
          </cell>
        </row>
        <row r="71">
          <cell r="E71" t="str">
            <v>Generica 1350 cc CR</v>
          </cell>
        </row>
        <row r="76">
          <cell r="E76" t="str">
            <v>Generica 1350 cc CR</v>
          </cell>
        </row>
        <row r="77">
          <cell r="E77" t="str">
            <v>Generica 1350 cc CR</v>
          </cell>
        </row>
        <row r="78">
          <cell r="E78" t="str">
            <v>Generica 1350 cc CR</v>
          </cell>
        </row>
        <row r="79">
          <cell r="E79" t="str">
            <v>Generica 1350 cc CR</v>
          </cell>
        </row>
        <row r="80">
          <cell r="E80" t="str">
            <v>Generica 1350 cc VE</v>
          </cell>
        </row>
        <row r="83">
          <cell r="E83" t="str">
            <v>Generica 1350 cc VE</v>
          </cell>
        </row>
        <row r="84">
          <cell r="E84" t="str">
            <v>Generica 1350 cc CR</v>
          </cell>
        </row>
        <row r="85">
          <cell r="E85" t="str">
            <v>Generica 1350 cc CR</v>
          </cell>
        </row>
        <row r="86">
          <cell r="E86" t="str">
            <v>Generica 1350 cc VE</v>
          </cell>
        </row>
        <row r="87">
          <cell r="E87" t="str">
            <v>Generica 1350 cc CR</v>
          </cell>
        </row>
        <row r="88">
          <cell r="E88" t="str">
            <v>Generica 1350 cc CR</v>
          </cell>
        </row>
        <row r="90">
          <cell r="E90" t="str">
            <v>Generica 1350 cc CR</v>
          </cell>
        </row>
        <row r="91">
          <cell r="E91" t="str">
            <v>Generica 1350 cc CR</v>
          </cell>
        </row>
        <row r="92">
          <cell r="E92" t="str">
            <v>Generica 1350 cc CR</v>
          </cell>
        </row>
        <row r="93">
          <cell r="E93" t="str">
            <v>Generica 1350 cc CR</v>
          </cell>
        </row>
        <row r="97">
          <cell r="E97" t="str">
            <v>Generica 1350 cc CR</v>
          </cell>
        </row>
        <row r="99">
          <cell r="E99" t="str">
            <v>Generica 1350 cc CR</v>
          </cell>
        </row>
        <row r="100">
          <cell r="E100" t="str">
            <v>Generica 1350 cc CR</v>
          </cell>
        </row>
        <row r="101">
          <cell r="E101" t="str">
            <v>Generica 1350 cc CR</v>
          </cell>
        </row>
        <row r="104">
          <cell r="E104" t="str">
            <v>Generica 1350 cc CR</v>
          </cell>
        </row>
        <row r="105">
          <cell r="E105" t="str">
            <v>Generica 1350 cc CR</v>
          </cell>
        </row>
        <row r="106">
          <cell r="E106" t="str">
            <v>Generica 1350 cc CR</v>
          </cell>
        </row>
        <row r="107">
          <cell r="E107" t="str">
            <v>Generica 1350 cc CR</v>
          </cell>
        </row>
        <row r="111">
          <cell r="E111" t="str">
            <v>Generica 1350 cc CR</v>
          </cell>
        </row>
        <row r="112">
          <cell r="E112" t="str">
            <v>Generica 1350 cc VF</v>
          </cell>
        </row>
        <row r="113">
          <cell r="E113" t="str">
            <v>Generica 1350 cc VE</v>
          </cell>
        </row>
        <row r="114">
          <cell r="E114" t="str">
            <v>Generica 1350 cc VE</v>
          </cell>
        </row>
        <row r="115">
          <cell r="E115" t="str">
            <v>Generica 1350 cc CR</v>
          </cell>
        </row>
        <row r="118">
          <cell r="E118" t="str">
            <v>Generica 1350 cc CR</v>
          </cell>
        </row>
        <row r="119">
          <cell r="E119" t="str">
            <v>Generica 1350 cc CR</v>
          </cell>
        </row>
        <row r="120">
          <cell r="E120" t="str">
            <v>Generica 1350 cc CR</v>
          </cell>
        </row>
        <row r="121">
          <cell r="E121" t="str">
            <v>Generica 1350 cc CR</v>
          </cell>
        </row>
        <row r="125">
          <cell r="E125" t="str">
            <v>Generica 1350 cc CR</v>
          </cell>
        </row>
        <row r="126">
          <cell r="E126" t="str">
            <v>Generica 1350 cc CR</v>
          </cell>
        </row>
        <row r="127">
          <cell r="E127" t="str">
            <v>Generica 1350 cc CR</v>
          </cell>
        </row>
        <row r="132">
          <cell r="E132" t="str">
            <v>Generica 1350 cc CR</v>
          </cell>
        </row>
        <row r="133">
          <cell r="E133" t="str">
            <v>Generica 1350 cc CR</v>
          </cell>
        </row>
        <row r="134">
          <cell r="E134" t="str">
            <v>Generica 1350 cc CR</v>
          </cell>
        </row>
        <row r="135">
          <cell r="E135" t="str">
            <v>Generica 1350 cc CR</v>
          </cell>
        </row>
        <row r="136">
          <cell r="E136" t="str">
            <v>Generica 1350 cc CR</v>
          </cell>
        </row>
        <row r="139">
          <cell r="E139" t="str">
            <v>Generica 1350 cc CR</v>
          </cell>
        </row>
        <row r="140">
          <cell r="E140" t="str">
            <v>Generica 1350 cc CR</v>
          </cell>
        </row>
        <row r="141">
          <cell r="E141" t="str">
            <v>Generica 1350 cc CR</v>
          </cell>
        </row>
        <row r="142">
          <cell r="E142" t="str">
            <v>Generica 1350 cc CR</v>
          </cell>
        </row>
        <row r="143">
          <cell r="E143" t="str">
            <v>Generica 1350 cc CR</v>
          </cell>
        </row>
        <row r="146">
          <cell r="E146" t="str">
            <v>Generica 1350 cc CR</v>
          </cell>
        </row>
        <row r="147">
          <cell r="E147" t="str">
            <v>Generica 1350 cc CR</v>
          </cell>
        </row>
        <row r="148">
          <cell r="E148" t="str">
            <v>Generica 1350 cc CR</v>
          </cell>
        </row>
        <row r="149">
          <cell r="E149" t="str">
            <v>Generica 1350 cc CR</v>
          </cell>
        </row>
        <row r="153">
          <cell r="E153" t="str">
            <v>Generica 1350 cc CR</v>
          </cell>
        </row>
        <row r="154">
          <cell r="E154" t="str">
            <v>Generica 1350 cc CR</v>
          </cell>
        </row>
        <row r="155">
          <cell r="E155" t="str">
            <v>Generica 1350 cc VE</v>
          </cell>
        </row>
        <row r="160">
          <cell r="E160" t="str">
            <v>Generica 1350 cc VE</v>
          </cell>
        </row>
        <row r="161">
          <cell r="E161" t="str">
            <v>Generica 1350 cc VE</v>
          </cell>
        </row>
        <row r="162">
          <cell r="E162" t="str">
            <v>Generica 1350 cc CR</v>
          </cell>
        </row>
        <row r="167">
          <cell r="E167" t="str">
            <v>Generica 1350 cc VE</v>
          </cell>
        </row>
        <row r="168">
          <cell r="E168" t="str">
            <v>Generica 1350 cc CR</v>
          </cell>
        </row>
        <row r="169">
          <cell r="E169" t="str">
            <v>Generica 1350 cc CR</v>
          </cell>
        </row>
        <row r="174">
          <cell r="E174" t="str">
            <v>Generica 1350 cc CR</v>
          </cell>
        </row>
        <row r="175">
          <cell r="E175" t="str">
            <v>Generica 1350 cc CR</v>
          </cell>
        </row>
        <row r="181">
          <cell r="E181" t="str">
            <v>NO PROGRAMADA</v>
          </cell>
        </row>
        <row r="182">
          <cell r="E182" t="str">
            <v>NO PROGRAMADA</v>
          </cell>
        </row>
        <row r="183">
          <cell r="E183" t="str">
            <v>Generica 1350 cc VE</v>
          </cell>
        </row>
        <row r="188">
          <cell r="E188" t="str">
            <v>Generica 1350 cc CR</v>
          </cell>
        </row>
        <row r="189">
          <cell r="E189" t="str">
            <v>Generica 1350 cc VE</v>
          </cell>
        </row>
        <row r="190">
          <cell r="E190" t="str">
            <v>Generica 1350 cc CR</v>
          </cell>
        </row>
        <row r="195">
          <cell r="E195" t="str">
            <v>Generica 1350 cc CR</v>
          </cell>
        </row>
        <row r="196">
          <cell r="E196" t="str">
            <v>Generica 1350 cc CR</v>
          </cell>
        </row>
        <row r="197">
          <cell r="E197" t="str">
            <v>Generica 1350 cc CR</v>
          </cell>
        </row>
        <row r="202">
          <cell r="E202" t="str">
            <v>Generica 1350 cc CR</v>
          </cell>
        </row>
        <row r="203">
          <cell r="E203" t="str">
            <v>Generica 1350 cc VE</v>
          </cell>
        </row>
        <row r="204">
          <cell r="E204" t="str">
            <v>Generica 1350 cc CR</v>
          </cell>
        </row>
        <row r="205">
          <cell r="E205" t="str">
            <v>Generica 1350 cc VE</v>
          </cell>
        </row>
        <row r="206">
          <cell r="E206" t="str">
            <v>Generica 1350 cc CR</v>
          </cell>
        </row>
        <row r="207">
          <cell r="E207" t="str">
            <v>Generica 1350 cc CR</v>
          </cell>
        </row>
        <row r="209">
          <cell r="E209" t="str">
            <v>Generica 1350 cc CR</v>
          </cell>
        </row>
        <row r="210">
          <cell r="E210" t="str">
            <v>Generica 1350 cc CR</v>
          </cell>
        </row>
        <row r="211">
          <cell r="E211" t="str">
            <v>Generica 1350 cc CR</v>
          </cell>
        </row>
        <row r="212">
          <cell r="E212" t="str">
            <v>Generica 1350 cc CR</v>
          </cell>
        </row>
        <row r="213">
          <cell r="E213" t="str">
            <v>Generica 1350 cc CR</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 val="CTP Analysis"/>
      <sheetName val="Cold_Halves"/>
      <sheetName val="Hot_Runners"/>
      <sheetName val="CTP_Analysis"/>
    </sheetNames>
    <sheetDataSet>
      <sheetData sheetId="0"/>
      <sheetData sheetId="1"/>
      <sheetData sheetId="2" refreshError="1">
        <row r="2">
          <cell r="B2" t="str">
            <v xml:space="preserve">Argentina </v>
          </cell>
          <cell r="D2" t="str">
            <v>Itagüí</v>
          </cell>
          <cell r="F2" t="str">
            <v>CSD</v>
          </cell>
          <cell r="H2" t="str">
            <v xml:space="preserve">Operativo </v>
          </cell>
          <cell r="L2">
            <v>1990</v>
          </cell>
        </row>
        <row r="3">
          <cell r="B3" t="str">
            <v>Brasil</v>
          </cell>
          <cell r="D3" t="str">
            <v>Los Olivos</v>
          </cell>
          <cell r="F3" t="str">
            <v>DRS</v>
          </cell>
          <cell r="H3" t="str">
            <v>Idle</v>
          </cell>
          <cell r="L3">
            <v>1991</v>
          </cell>
        </row>
        <row r="4">
          <cell r="B4" t="str">
            <v xml:space="preserve">Colombia </v>
          </cell>
          <cell r="D4" t="str">
            <v>Manaus</v>
          </cell>
          <cell r="F4" t="str">
            <v>HS</v>
          </cell>
          <cell r="H4" t="str">
            <v>Leasing</v>
          </cell>
          <cell r="L4">
            <v>1992</v>
          </cell>
        </row>
        <row r="5">
          <cell r="B5" t="str">
            <v xml:space="preserve">Ecuador </v>
          </cell>
          <cell r="D5" t="str">
            <v>Pascuales</v>
          </cell>
          <cell r="F5" t="str">
            <v>LIQ</v>
          </cell>
          <cell r="L5">
            <v>1993</v>
          </cell>
        </row>
        <row r="6">
          <cell r="B6" t="str">
            <v>Perú</v>
          </cell>
          <cell r="D6" t="str">
            <v>Pilar</v>
          </cell>
          <cell r="F6" t="str">
            <v>OIL</v>
          </cell>
          <cell r="L6">
            <v>1994</v>
          </cell>
        </row>
        <row r="7">
          <cell r="B7" t="str">
            <v>Venezuela</v>
          </cell>
          <cell r="D7" t="str">
            <v>Poços de Caldas</v>
          </cell>
          <cell r="F7" t="str">
            <v>WTR</v>
          </cell>
          <cell r="L7">
            <v>1995</v>
          </cell>
        </row>
        <row r="8">
          <cell r="D8" t="str">
            <v>T - Jundiaí Femsa</v>
          </cell>
          <cell r="L8">
            <v>1996</v>
          </cell>
        </row>
        <row r="9">
          <cell r="D9" t="str">
            <v>T - Queimados</v>
          </cell>
          <cell r="L9">
            <v>1997</v>
          </cell>
        </row>
        <row r="10">
          <cell r="D10" t="str">
            <v>Ushuaia</v>
          </cell>
          <cell r="L10">
            <v>1998</v>
          </cell>
        </row>
        <row r="11">
          <cell r="D11" t="str">
            <v>Valencia</v>
          </cell>
          <cell r="L11">
            <v>1999</v>
          </cell>
        </row>
        <row r="12">
          <cell r="L12">
            <v>2000</v>
          </cell>
        </row>
        <row r="13">
          <cell r="L13">
            <v>2001</v>
          </cell>
        </row>
        <row r="14">
          <cell r="L14">
            <v>2002</v>
          </cell>
        </row>
        <row r="15">
          <cell r="L15">
            <v>2003</v>
          </cell>
        </row>
        <row r="16">
          <cell r="L16">
            <v>2004</v>
          </cell>
        </row>
        <row r="17">
          <cell r="L17">
            <v>2005</v>
          </cell>
        </row>
        <row r="18">
          <cell r="L18">
            <v>2006</v>
          </cell>
        </row>
        <row r="19">
          <cell r="L19">
            <v>2007</v>
          </cell>
        </row>
        <row r="20">
          <cell r="L20">
            <v>2008</v>
          </cell>
        </row>
        <row r="21">
          <cell r="L21">
            <v>2009</v>
          </cell>
        </row>
        <row r="22">
          <cell r="L22">
            <v>2010</v>
          </cell>
        </row>
        <row r="23">
          <cell r="L23">
            <v>2011</v>
          </cell>
        </row>
        <row r="24">
          <cell r="L24">
            <v>2012</v>
          </cell>
        </row>
        <row r="25">
          <cell r="L25">
            <v>2013</v>
          </cell>
        </row>
        <row r="26">
          <cell r="L26">
            <v>2014</v>
          </cell>
        </row>
        <row r="27">
          <cell r="L27">
            <v>2015</v>
          </cell>
        </row>
        <row r="28">
          <cell r="L28">
            <v>2016</v>
          </cell>
        </row>
        <row r="29">
          <cell r="L29">
            <v>2017</v>
          </cell>
        </row>
        <row r="30">
          <cell r="L30">
            <v>2018</v>
          </cell>
        </row>
        <row r="31">
          <cell r="L31">
            <v>2019</v>
          </cell>
        </row>
        <row r="32">
          <cell r="L32">
            <v>2020</v>
          </cell>
        </row>
        <row r="33">
          <cell r="L33">
            <v>2021</v>
          </cell>
        </row>
        <row r="34">
          <cell r="L34">
            <v>2022</v>
          </cell>
        </row>
        <row r="35">
          <cell r="L35">
            <v>2023</v>
          </cell>
        </row>
        <row r="36">
          <cell r="L36">
            <v>2024</v>
          </cell>
        </row>
        <row r="37">
          <cell r="L37">
            <v>2025</v>
          </cell>
        </row>
        <row r="38">
          <cell r="L38">
            <v>2026</v>
          </cell>
        </row>
        <row r="39">
          <cell r="L39">
            <v>2027</v>
          </cell>
        </row>
        <row r="40">
          <cell r="L40">
            <v>2028</v>
          </cell>
        </row>
        <row r="41">
          <cell r="L41">
            <v>2029</v>
          </cell>
        </row>
        <row r="42">
          <cell r="L42">
            <v>2030</v>
          </cell>
        </row>
      </sheetData>
      <sheetData sheetId="3" refreshError="1"/>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BSP Instr"/>
      <sheetName val="P&amp;L"/>
      <sheetName val="BS"/>
      <sheetName val="SI"/>
      <sheetName val="TAX"/>
      <sheetName val="CAPEX"/>
      <sheetName val="CAPEX Instr"/>
      <sheetName val="PLI"/>
      <sheetName val="CUST"/>
      <sheetName val="PROFIT SUMMARY"/>
      <sheetName val="P.P.P."/>
      <sheetName val="PROFIT BRIDGE"/>
      <sheetName val="B+3+OVERLAYS"/>
      <sheetName val="Cost Analysis - Corp Ent Only"/>
      <sheetName val="REF"/>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Consol Report"/>
      <sheetName val="BG Report"/>
      <sheetName val="Data sheet"/>
      <sheetName val="Data Validation"/>
      <sheetName val="Instructions User"/>
      <sheetName val="Instructions"/>
      <sheetName val="HQ Control"/>
      <sheetName val="Control"/>
      <sheetName val="Consol_Report"/>
      <sheetName val="BG_Report"/>
      <sheetName val="Data_sheet"/>
      <sheetName val="Data_Validation"/>
      <sheetName val="Instructions_User"/>
      <sheetName val="HQ_Control"/>
      <sheetName val="Peru Real"/>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D25" t="str">
            <v>A</v>
          </cell>
        </row>
        <row r="26">
          <cell r="D26" t="str">
            <v>U</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98"/>
      <sheetName val="CONSOL 99"/>
      <sheetName val="COMP CONSOL"/>
      <sheetName val="ICA 98"/>
      <sheetName val="ICA 99"/>
      <sheetName val="COMP ICA"/>
      <sheetName val="AQP 98"/>
      <sheetName val="AQP 99"/>
      <sheetName val="COMP AQP"/>
      <sheetName val="TAC 98"/>
      <sheetName val="TAC 99"/>
      <sheetName val="COMP TAC"/>
      <sheetName val="CUS 98"/>
      <sheetName val="CUS 99"/>
      <sheetName val="COMP CUS"/>
      <sheetName val="JUL 98"/>
      <sheetName val="JUL 99"/>
      <sheetName val="COMP JUL"/>
      <sheetName val="Verificacion"/>
      <sheetName val="CONSOL 97 "/>
      <sheetName val="CUS 97"/>
      <sheetName val="ICA 97 "/>
      <sheetName val="JUL 97"/>
      <sheetName val="AQP 97"/>
      <sheetName val="TAC 97"/>
      <sheetName val="CONSOL_98"/>
      <sheetName val="CONSOL_99"/>
      <sheetName val="COMP_CONSOL"/>
      <sheetName val="ICA_98"/>
      <sheetName val="ICA_99"/>
      <sheetName val="COMP_ICA"/>
      <sheetName val="AQP_98"/>
      <sheetName val="AQP_99"/>
      <sheetName val="COMP_AQP"/>
      <sheetName val="TAC_98"/>
      <sheetName val="TAC_99"/>
      <sheetName val="COMP_TAC"/>
      <sheetName val="CUS_98"/>
      <sheetName val="CUS_99"/>
      <sheetName val="COMP_CUS"/>
      <sheetName val="JUL_98"/>
      <sheetName val="JUL_99"/>
      <sheetName val="COMP_JUL"/>
      <sheetName val="CONSOL_97_"/>
      <sheetName val="CUS_97"/>
      <sheetName val="ICA_97_"/>
      <sheetName val="JUL_97"/>
      <sheetName val="AQP_97"/>
      <sheetName val="TAC_97"/>
      <sheetName val="VALIDACION DATOS"/>
      <sheetName val="CONSOL_981"/>
      <sheetName val="CONSOL_991"/>
      <sheetName val="COMP_CONSOL1"/>
      <sheetName val="ICA_981"/>
      <sheetName val="ICA_991"/>
      <sheetName val="COMP_ICA1"/>
      <sheetName val="AQP_981"/>
      <sheetName val="AQP_991"/>
      <sheetName val="COMP_AQP1"/>
      <sheetName val="TAC_981"/>
      <sheetName val="TAC_991"/>
      <sheetName val="COMP_TAC1"/>
      <sheetName val="CUS_981"/>
      <sheetName val="CUS_991"/>
      <sheetName val="COMP_CUS1"/>
      <sheetName val="JUL_981"/>
      <sheetName val="JUL_991"/>
      <sheetName val="COMP_JUL1"/>
      <sheetName val="CONSOL_97_1"/>
      <sheetName val="CUS_971"/>
      <sheetName val="ICA_97_1"/>
      <sheetName val="JUL_971"/>
      <sheetName val="AQP_971"/>
      <sheetName val="TAC_971"/>
      <sheetName val="VALIDACION_DATOS"/>
      <sheetName val="CONSOL_982"/>
      <sheetName val="CONSOL_992"/>
      <sheetName val="COMP_CONSOL2"/>
      <sheetName val="ICA_982"/>
      <sheetName val="ICA_992"/>
      <sheetName val="COMP_ICA2"/>
      <sheetName val="AQP_982"/>
      <sheetName val="AQP_992"/>
      <sheetName val="COMP_AQP2"/>
      <sheetName val="TAC_982"/>
      <sheetName val="TAC_992"/>
      <sheetName val="COMP_TAC2"/>
      <sheetName val="CUS_982"/>
      <sheetName val="CUS_992"/>
      <sheetName val="COMP_CUS2"/>
      <sheetName val="JUL_982"/>
      <sheetName val="JUL_992"/>
      <sheetName val="COMP_JUL2"/>
      <sheetName val="CONSOL_97_2"/>
      <sheetName val="CUS_972"/>
      <sheetName val="ICA_97_2"/>
      <sheetName val="JUL_972"/>
      <sheetName val="AQP_972"/>
      <sheetName val="TAC_972"/>
      <sheetName val="VALIDACION_DATOS1"/>
      <sheetName val="CONSOL_983"/>
      <sheetName val="CONSOL_993"/>
      <sheetName val="COMP_CONSOL3"/>
      <sheetName val="ICA_983"/>
      <sheetName val="ICA_993"/>
      <sheetName val="COMP_ICA3"/>
      <sheetName val="AQP_983"/>
      <sheetName val="AQP_993"/>
      <sheetName val="COMP_AQP3"/>
      <sheetName val="TAC_983"/>
      <sheetName val="TAC_993"/>
      <sheetName val="COMP_TAC3"/>
      <sheetName val="CUS_983"/>
      <sheetName val="CUS_993"/>
      <sheetName val="COMP_CUS3"/>
      <sheetName val="JUL_983"/>
      <sheetName val="JUL_993"/>
      <sheetName val="COMP_JUL3"/>
      <sheetName val="CONSOL_97_3"/>
      <sheetName val="CUS_973"/>
      <sheetName val="ICA_97_3"/>
      <sheetName val="JUL_973"/>
      <sheetName val="AQP_973"/>
      <sheetName val="TAC_973"/>
      <sheetName val="VALIDACION_DATOS2"/>
      <sheetName val="CONSOL_984"/>
      <sheetName val="CONSOL_994"/>
      <sheetName val="COMP_CONSOL4"/>
      <sheetName val="ICA_984"/>
      <sheetName val="ICA_994"/>
      <sheetName val="COMP_ICA4"/>
      <sheetName val="AQP_984"/>
      <sheetName val="AQP_994"/>
      <sheetName val="COMP_AQP4"/>
      <sheetName val="TAC_984"/>
      <sheetName val="TAC_994"/>
      <sheetName val="COMP_TAC4"/>
      <sheetName val="CUS_984"/>
      <sheetName val="CUS_994"/>
      <sheetName val="COMP_CUS4"/>
      <sheetName val="JUL_984"/>
      <sheetName val="JUL_994"/>
      <sheetName val="COMP_JUL4"/>
      <sheetName val="CONSOL_97_4"/>
      <sheetName val="CUS_974"/>
      <sheetName val="ICA_97_4"/>
      <sheetName val="JUL_974"/>
      <sheetName val="AQP_974"/>
      <sheetName val="TAC_974"/>
      <sheetName val="VALIDACION_DATOS3"/>
      <sheetName val="CONSOL_985"/>
      <sheetName val="CONSOL_995"/>
      <sheetName val="COMP_CONSOL5"/>
      <sheetName val="ICA_985"/>
      <sheetName val="ICA_995"/>
      <sheetName val="COMP_ICA5"/>
      <sheetName val="AQP_985"/>
      <sheetName val="AQP_995"/>
      <sheetName val="COMP_AQP5"/>
      <sheetName val="TAC_985"/>
      <sheetName val="TAC_995"/>
      <sheetName val="COMP_TAC5"/>
      <sheetName val="CUS_985"/>
      <sheetName val="CUS_995"/>
      <sheetName val="COMP_CUS5"/>
      <sheetName val="JUL_985"/>
      <sheetName val="JUL_995"/>
      <sheetName val="COMP_JUL5"/>
      <sheetName val="CONSOL_97_5"/>
      <sheetName val="CUS_975"/>
      <sheetName val="ICA_97_5"/>
      <sheetName val="JUL_975"/>
      <sheetName val="AQP_975"/>
      <sheetName val="TAC_975"/>
      <sheetName val="VALIDACION_DATOS4"/>
      <sheetName val="CONSOL_986"/>
      <sheetName val="CONSOL_996"/>
      <sheetName val="COMP_CONSOL6"/>
      <sheetName val="ICA_986"/>
      <sheetName val="ICA_996"/>
      <sheetName val="COMP_ICA6"/>
      <sheetName val="AQP_986"/>
      <sheetName val="AQP_996"/>
      <sheetName val="COMP_AQP6"/>
      <sheetName val="TAC_986"/>
      <sheetName val="TAC_996"/>
      <sheetName val="COMP_TAC6"/>
      <sheetName val="CUS_986"/>
      <sheetName val="CUS_996"/>
      <sheetName val="COMP_CUS6"/>
      <sheetName val="JUL_986"/>
      <sheetName val="JUL_996"/>
      <sheetName val="COMP_JUL6"/>
      <sheetName val="CONSOL_97_6"/>
      <sheetName val="CUS_976"/>
      <sheetName val="ICA_97_6"/>
      <sheetName val="JUL_976"/>
      <sheetName val="AQP_976"/>
      <sheetName val="TAC_976"/>
      <sheetName val="VALIDACION_DATO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C 2012-2013"/>
      <sheetName val="Listado Febrero 2012"/>
      <sheetName val="Sheet3"/>
    </sheetNames>
    <sheetDataSet>
      <sheetData sheetId="0" refreshError="1"/>
      <sheetData sheetId="1" refreshError="1"/>
      <sheetData sheetId="2" refreshError="1">
        <row r="4">
          <cell r="C4" t="str">
            <v>Operaciones</v>
          </cell>
          <cell r="D4" t="str">
            <v>Mano de Obra Directa</v>
          </cell>
          <cell r="F4" t="str">
            <v>Inyección</v>
          </cell>
          <cell r="G4" t="str">
            <v>Operadores De Máquina</v>
          </cell>
        </row>
        <row r="5">
          <cell r="C5" t="str">
            <v>Supply Chain</v>
          </cell>
          <cell r="D5" t="str">
            <v>Mano de Obra Indirecta</v>
          </cell>
          <cell r="F5" t="str">
            <v>Soplado</v>
          </cell>
          <cell r="G5" t="str">
            <v>Líderes De Equipo</v>
          </cell>
        </row>
        <row r="6">
          <cell r="C6" t="str">
            <v>Comercial</v>
          </cell>
          <cell r="D6" t="str">
            <v>SG&amp;A</v>
          </cell>
          <cell r="F6" t="str">
            <v>Inyecto-Soplado</v>
          </cell>
          <cell r="G6" t="str">
            <v>Manejo De Materiales</v>
          </cell>
        </row>
        <row r="7">
          <cell r="C7" t="str">
            <v>RRHH</v>
          </cell>
          <cell r="F7" t="str">
            <v>General</v>
          </cell>
          <cell r="G7" t="str">
            <v>Selección</v>
          </cell>
        </row>
        <row r="8">
          <cell r="C8" t="str">
            <v>Finanzas</v>
          </cell>
          <cell r="G8" t="str">
            <v>Depósito</v>
          </cell>
        </row>
        <row r="9">
          <cell r="C9" t="str">
            <v>IT</v>
          </cell>
          <cell r="G9" t="str">
            <v>Mantenimiento</v>
          </cell>
        </row>
        <row r="10">
          <cell r="C10" t="str">
            <v>Gerencia General</v>
          </cell>
          <cell r="G10" t="str">
            <v>Calidad</v>
          </cell>
        </row>
        <row r="11">
          <cell r="G11" t="str">
            <v>Limpieza</v>
          </cell>
        </row>
        <row r="12">
          <cell r="G12" t="str">
            <v>Tercerizados afectados a producción</v>
          </cell>
        </row>
        <row r="13">
          <cell r="G13" t="str">
            <v>Otros/Mano de Obra Directa o Indirecta</v>
          </cell>
        </row>
        <row r="14">
          <cell r="G14" t="str">
            <v>SG&amp;A</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ry"/>
      <sheetName val="Consol Report"/>
      <sheetName val="BG Report"/>
      <sheetName val="Data sheet"/>
      <sheetName val="Data Validation"/>
      <sheetName val="Instructions User"/>
      <sheetName val="Instructions"/>
      <sheetName val="HQ Control"/>
      <sheetName val="Control"/>
      <sheetName val="Consol_Report"/>
      <sheetName val="BG_Report"/>
      <sheetName val="Data_sheet"/>
      <sheetName val="Data_Validation"/>
      <sheetName val="Instructions_User"/>
      <sheetName val="HQ_Control"/>
      <sheetName val="Consol_Report1"/>
      <sheetName val="BG_Report1"/>
      <sheetName val="Data_sheet1"/>
      <sheetName val="Data_Validation1"/>
      <sheetName val="Instructions_User1"/>
      <sheetName val="HQ_Control1"/>
      <sheetName val="Consol_Report2"/>
      <sheetName val="BG_Report2"/>
      <sheetName val="Data_sheet2"/>
      <sheetName val="Data_Validation2"/>
      <sheetName val="Instructions_User2"/>
      <sheetName val="HQ_Control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2">
          <cell r="B32">
            <v>2</v>
          </cell>
        </row>
        <row r="55">
          <cell r="B55" t="e">
            <v>#VALUE!</v>
          </cell>
        </row>
        <row r="57">
          <cell r="B57" t="e">
            <v>#VALUE!</v>
          </cell>
        </row>
        <row r="58">
          <cell r="B58" t="e">
            <v>#VALUE!</v>
          </cell>
        </row>
        <row r="70">
          <cell r="B70">
            <v>0.82</v>
          </cell>
        </row>
      </sheetData>
      <sheetData sheetId="8" refreshError="1">
        <row r="3">
          <cell r="K3" t="str">
            <v>PET</v>
          </cell>
        </row>
        <row r="6">
          <cell r="K6" t="str">
            <v>USD</v>
          </cell>
        </row>
        <row r="7">
          <cell r="K7">
            <v>1</v>
          </cell>
        </row>
        <row r="11">
          <cell r="B11" t="b">
            <v>0</v>
          </cell>
          <cell r="D11" t="str">
            <v>M</v>
          </cell>
          <cell r="H11" t="str">
            <v>Jul</v>
          </cell>
          <cell r="K11" t="str">
            <v>NORTH AMERICA</v>
          </cell>
          <cell r="X11">
            <v>0</v>
          </cell>
        </row>
        <row r="12">
          <cell r="D12" t="str">
            <v>HSE</v>
          </cell>
          <cell r="H12" t="str">
            <v>Aug</v>
          </cell>
          <cell r="K12" t="str">
            <v>LATIN AMERICA</v>
          </cell>
          <cell r="X12" t="str">
            <v>NA - CSD/WATER</v>
          </cell>
        </row>
        <row r="13">
          <cell r="D13" t="str">
            <v>GB</v>
          </cell>
          <cell r="H13" t="str">
            <v>Sep</v>
          </cell>
          <cell r="K13" t="str">
            <v>EUROPE</v>
          </cell>
          <cell r="X13" t="str">
            <v>NA - CUSTOM</v>
          </cell>
        </row>
        <row r="14">
          <cell r="D14" t="str">
            <v>C</v>
          </cell>
          <cell r="H14" t="str">
            <v>Oct</v>
          </cell>
          <cell r="K14" t="str">
            <v>BERICAP</v>
          </cell>
          <cell r="X14" t="str">
            <v>NA - DPD</v>
          </cell>
        </row>
        <row r="15">
          <cell r="D15" t="str">
            <v>R</v>
          </cell>
          <cell r="H15" t="str">
            <v>Nov</v>
          </cell>
          <cell r="K15" t="str">
            <v>CORPORATE</v>
          </cell>
          <cell r="X15" t="str">
            <v>LA - CSD/WATER</v>
          </cell>
        </row>
        <row r="16">
          <cell r="D16" t="str">
            <v>D</v>
          </cell>
          <cell r="H16" t="str">
            <v>Dec</v>
          </cell>
          <cell r="X16" t="str">
            <v>LA - CUSTOM</v>
          </cell>
        </row>
        <row r="17">
          <cell r="D17" t="str">
            <v>IT</v>
          </cell>
          <cell r="H17" t="str">
            <v>Jan</v>
          </cell>
          <cell r="X17" t="str">
            <v>CORPORATE</v>
          </cell>
        </row>
        <row r="18">
          <cell r="D18" t="str">
            <v>GP</v>
          </cell>
          <cell r="H18" t="str">
            <v>Feb</v>
          </cell>
        </row>
        <row r="19">
          <cell r="D19" t="str">
            <v>SO</v>
          </cell>
          <cell r="H19" t="str">
            <v>Mar</v>
          </cell>
        </row>
        <row r="20">
          <cell r="D20" t="str">
            <v>DIV</v>
          </cell>
          <cell r="H20" t="str">
            <v>Apr</v>
          </cell>
        </row>
        <row r="21">
          <cell r="D21" t="str">
            <v>ACQ</v>
          </cell>
          <cell r="H21" t="str">
            <v>May</v>
          </cell>
        </row>
        <row r="22">
          <cell r="H22" t="str">
            <v>Jun</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atos (AGUA)"/>
      <sheetName val="Lecturas (AGUA)"/>
      <sheetName val="Lecturas"/>
      <sheetName val="Base Datos"/>
      <sheetName val="ESQUEMA CONSUMO"/>
    </sheetNames>
    <sheetDataSet>
      <sheetData sheetId="0"/>
      <sheetData sheetId="1">
        <row r="29">
          <cell r="G29">
            <v>4161</v>
          </cell>
        </row>
      </sheetData>
      <sheetData sheetId="2">
        <row r="79">
          <cell r="C79">
            <v>113997</v>
          </cell>
        </row>
      </sheetData>
      <sheetData sheetId="3">
        <row r="2">
          <cell r="B2" t="str">
            <v>FECHA</v>
          </cell>
          <cell r="C2" t="str">
            <v>LUGAR DE MEDICIÓN</v>
          </cell>
          <cell r="D2" t="str">
            <v>CONSUMO M3</v>
          </cell>
          <cell r="E2" t="str">
            <v>$</v>
          </cell>
          <cell r="F2" t="str">
            <v>CONSUMO M3</v>
          </cell>
          <cell r="G2" t="str">
            <v>$</v>
          </cell>
          <cell r="H2" t="str">
            <v>CONSUMO M3</v>
          </cell>
          <cell r="I2" t="str">
            <v>$</v>
          </cell>
          <cell r="J2" t="str">
            <v>DIAS FACT.</v>
          </cell>
        </row>
        <row r="3">
          <cell r="B3">
            <v>41305</v>
          </cell>
        </row>
        <row r="4">
          <cell r="B4">
            <v>41305</v>
          </cell>
        </row>
        <row r="5">
          <cell r="B5">
            <v>41305</v>
          </cell>
        </row>
        <row r="6">
          <cell r="B6">
            <v>41305</v>
          </cell>
        </row>
        <row r="7">
          <cell r="B7">
            <v>41305</v>
          </cell>
        </row>
        <row r="8">
          <cell r="B8">
            <v>41305</v>
          </cell>
        </row>
        <row r="9">
          <cell r="B9">
            <v>41305</v>
          </cell>
        </row>
        <row r="10">
          <cell r="B10">
            <v>41305</v>
          </cell>
        </row>
        <row r="11">
          <cell r="B11">
            <v>41305</v>
          </cell>
        </row>
        <row r="12">
          <cell r="B12">
            <v>41305</v>
          </cell>
        </row>
        <row r="13">
          <cell r="B13">
            <v>41305</v>
          </cell>
        </row>
        <row r="14">
          <cell r="B14">
            <v>41305</v>
          </cell>
        </row>
        <row r="15">
          <cell r="B15">
            <v>41305</v>
          </cell>
        </row>
        <row r="16">
          <cell r="B16">
            <v>41305</v>
          </cell>
        </row>
        <row r="17">
          <cell r="B17">
            <v>41305</v>
          </cell>
        </row>
        <row r="18">
          <cell r="B18">
            <v>41332</v>
          </cell>
        </row>
        <row r="19">
          <cell r="B19">
            <v>41332</v>
          </cell>
        </row>
        <row r="20">
          <cell r="B20">
            <v>41332</v>
          </cell>
        </row>
        <row r="21">
          <cell r="B21">
            <v>41332</v>
          </cell>
        </row>
        <row r="22">
          <cell r="B22">
            <v>41332</v>
          </cell>
        </row>
        <row r="23">
          <cell r="B23">
            <v>41332</v>
          </cell>
        </row>
        <row r="24">
          <cell r="B24">
            <v>41332</v>
          </cell>
        </row>
        <row r="25">
          <cell r="B25">
            <v>41332</v>
          </cell>
        </row>
        <row r="26">
          <cell r="B26">
            <v>41332</v>
          </cell>
        </row>
        <row r="27">
          <cell r="B27">
            <v>41332</v>
          </cell>
        </row>
        <row r="28">
          <cell r="B28">
            <v>41332</v>
          </cell>
        </row>
        <row r="29">
          <cell r="B29">
            <v>41332</v>
          </cell>
        </row>
        <row r="30">
          <cell r="B30">
            <v>41332</v>
          </cell>
        </row>
        <row r="31">
          <cell r="B31">
            <v>41332</v>
          </cell>
        </row>
        <row r="32">
          <cell r="B32">
            <v>41332</v>
          </cell>
        </row>
        <row r="33">
          <cell r="B33">
            <v>41360</v>
          </cell>
        </row>
        <row r="34">
          <cell r="B34">
            <v>41360</v>
          </cell>
        </row>
        <row r="35">
          <cell r="B35">
            <v>41360</v>
          </cell>
        </row>
        <row r="36">
          <cell r="B36">
            <v>41360</v>
          </cell>
        </row>
        <row r="37">
          <cell r="B37">
            <v>41360</v>
          </cell>
        </row>
        <row r="38">
          <cell r="B38">
            <v>41360</v>
          </cell>
        </row>
        <row r="39">
          <cell r="B39">
            <v>41360</v>
          </cell>
        </row>
        <row r="40">
          <cell r="B40">
            <v>41360</v>
          </cell>
        </row>
        <row r="41">
          <cell r="B41">
            <v>41360</v>
          </cell>
        </row>
        <row r="42">
          <cell r="B42">
            <v>41360</v>
          </cell>
        </row>
        <row r="43">
          <cell r="B43">
            <v>41360</v>
          </cell>
        </row>
        <row r="44">
          <cell r="B44">
            <v>41360</v>
          </cell>
        </row>
        <row r="45">
          <cell r="B45">
            <v>41360</v>
          </cell>
        </row>
        <row r="46">
          <cell r="B46">
            <v>41360</v>
          </cell>
        </row>
        <row r="47">
          <cell r="B47">
            <v>41360</v>
          </cell>
        </row>
        <row r="48">
          <cell r="B48">
            <v>41393</v>
          </cell>
        </row>
        <row r="49">
          <cell r="B49">
            <v>41393</v>
          </cell>
        </row>
        <row r="50">
          <cell r="B50">
            <v>41393</v>
          </cell>
        </row>
        <row r="51">
          <cell r="B51">
            <v>41393</v>
          </cell>
        </row>
        <row r="52">
          <cell r="B52">
            <v>41393</v>
          </cell>
        </row>
        <row r="53">
          <cell r="B53">
            <v>41393</v>
          </cell>
        </row>
        <row r="54">
          <cell r="B54">
            <v>41393</v>
          </cell>
        </row>
        <row r="55">
          <cell r="B55">
            <v>41393</v>
          </cell>
        </row>
        <row r="56">
          <cell r="B56">
            <v>41393</v>
          </cell>
        </row>
        <row r="57">
          <cell r="B57">
            <v>41393</v>
          </cell>
        </row>
        <row r="58">
          <cell r="B58">
            <v>41393</v>
          </cell>
        </row>
        <row r="59">
          <cell r="B59">
            <v>41393</v>
          </cell>
        </row>
        <row r="60">
          <cell r="B60">
            <v>41393</v>
          </cell>
        </row>
        <row r="61">
          <cell r="B61">
            <v>41393</v>
          </cell>
        </row>
        <row r="62">
          <cell r="B62">
            <v>41393</v>
          </cell>
        </row>
        <row r="63">
          <cell r="B63">
            <v>41424</v>
          </cell>
        </row>
        <row r="64">
          <cell r="B64">
            <v>41424</v>
          </cell>
        </row>
        <row r="65">
          <cell r="B65">
            <v>41424</v>
          </cell>
        </row>
        <row r="66">
          <cell r="B66">
            <v>41424</v>
          </cell>
        </row>
        <row r="67">
          <cell r="B67">
            <v>41424</v>
          </cell>
        </row>
        <row r="68">
          <cell r="B68">
            <v>41424</v>
          </cell>
        </row>
        <row r="69">
          <cell r="B69">
            <v>41424</v>
          </cell>
        </row>
        <row r="70">
          <cell r="B70">
            <v>41424</v>
          </cell>
        </row>
        <row r="71">
          <cell r="B71">
            <v>41424</v>
          </cell>
        </row>
        <row r="72">
          <cell r="B72">
            <v>41424</v>
          </cell>
        </row>
        <row r="73">
          <cell r="B73">
            <v>41424</v>
          </cell>
        </row>
        <row r="74">
          <cell r="B74">
            <v>41424</v>
          </cell>
        </row>
        <row r="75">
          <cell r="B75">
            <v>41424</v>
          </cell>
        </row>
        <row r="76">
          <cell r="B76">
            <v>41424</v>
          </cell>
        </row>
        <row r="77">
          <cell r="B77">
            <v>41424</v>
          </cell>
        </row>
        <row r="78">
          <cell r="B78">
            <v>41453</v>
          </cell>
        </row>
        <row r="79">
          <cell r="B79">
            <v>41453</v>
          </cell>
        </row>
        <row r="80">
          <cell r="B80">
            <v>41453</v>
          </cell>
        </row>
        <row r="81">
          <cell r="B81">
            <v>41453</v>
          </cell>
        </row>
        <row r="82">
          <cell r="B82">
            <v>41453</v>
          </cell>
        </row>
        <row r="83">
          <cell r="B83">
            <v>41453</v>
          </cell>
        </row>
        <row r="84">
          <cell r="B84">
            <v>41453</v>
          </cell>
        </row>
        <row r="85">
          <cell r="B85">
            <v>41453</v>
          </cell>
        </row>
        <row r="86">
          <cell r="B86">
            <v>41453</v>
          </cell>
        </row>
        <row r="87">
          <cell r="B87">
            <v>41453</v>
          </cell>
        </row>
        <row r="88">
          <cell r="B88">
            <v>41453</v>
          </cell>
        </row>
        <row r="89">
          <cell r="B89">
            <v>41453</v>
          </cell>
        </row>
        <row r="90">
          <cell r="B90">
            <v>41453</v>
          </cell>
        </row>
        <row r="91">
          <cell r="B91">
            <v>41453</v>
          </cell>
        </row>
        <row r="92">
          <cell r="B92">
            <v>41453</v>
          </cell>
        </row>
        <row r="93">
          <cell r="B93">
            <v>41485</v>
          </cell>
        </row>
        <row r="94">
          <cell r="B94">
            <v>41485</v>
          </cell>
        </row>
        <row r="95">
          <cell r="B95">
            <v>41485</v>
          </cell>
        </row>
        <row r="96">
          <cell r="B96">
            <v>41485</v>
          </cell>
        </row>
        <row r="97">
          <cell r="B97">
            <v>41485</v>
          </cell>
        </row>
        <row r="98">
          <cell r="B98">
            <v>41485</v>
          </cell>
        </row>
        <row r="99">
          <cell r="B99">
            <v>41485</v>
          </cell>
        </row>
        <row r="100">
          <cell r="B100">
            <v>41485</v>
          </cell>
        </row>
        <row r="101">
          <cell r="B101">
            <v>41485</v>
          </cell>
        </row>
        <row r="102">
          <cell r="B102">
            <v>41485</v>
          </cell>
        </row>
        <row r="103">
          <cell r="B103">
            <v>41485</v>
          </cell>
        </row>
        <row r="104">
          <cell r="B104">
            <v>41485</v>
          </cell>
        </row>
        <row r="105">
          <cell r="B105">
            <v>41485</v>
          </cell>
        </row>
        <row r="106">
          <cell r="B106">
            <v>41485</v>
          </cell>
        </row>
        <row r="107">
          <cell r="B107">
            <v>41485</v>
          </cell>
        </row>
        <row r="108">
          <cell r="B108">
            <v>41516</v>
          </cell>
        </row>
        <row r="109">
          <cell r="B109">
            <v>41516</v>
          </cell>
        </row>
        <row r="110">
          <cell r="B110">
            <v>41516</v>
          </cell>
        </row>
        <row r="111">
          <cell r="B111">
            <v>41516</v>
          </cell>
        </row>
        <row r="112">
          <cell r="B112">
            <v>41516</v>
          </cell>
        </row>
        <row r="113">
          <cell r="B113">
            <v>41516</v>
          </cell>
        </row>
        <row r="114">
          <cell r="B114">
            <v>41516</v>
          </cell>
        </row>
        <row r="115">
          <cell r="B115">
            <v>41516</v>
          </cell>
        </row>
        <row r="116">
          <cell r="B116">
            <v>41516</v>
          </cell>
        </row>
        <row r="117">
          <cell r="B117">
            <v>41516</v>
          </cell>
        </row>
        <row r="118">
          <cell r="B118">
            <v>41516</v>
          </cell>
        </row>
        <row r="119">
          <cell r="B119">
            <v>41516</v>
          </cell>
        </row>
        <row r="120">
          <cell r="B120">
            <v>41516</v>
          </cell>
        </row>
        <row r="121">
          <cell r="B121">
            <v>41516</v>
          </cell>
        </row>
        <row r="122">
          <cell r="B122">
            <v>41516</v>
          </cell>
        </row>
        <row r="123">
          <cell r="B123">
            <v>41543</v>
          </cell>
        </row>
        <row r="124">
          <cell r="B124">
            <v>41543</v>
          </cell>
        </row>
        <row r="125">
          <cell r="B125">
            <v>41543</v>
          </cell>
        </row>
        <row r="126">
          <cell r="B126">
            <v>41543</v>
          </cell>
        </row>
        <row r="127">
          <cell r="B127">
            <v>41543</v>
          </cell>
        </row>
        <row r="128">
          <cell r="B128">
            <v>41543</v>
          </cell>
        </row>
        <row r="129">
          <cell r="B129">
            <v>41543</v>
          </cell>
        </row>
        <row r="130">
          <cell r="B130">
            <v>41543</v>
          </cell>
        </row>
        <row r="131">
          <cell r="B131">
            <v>41543</v>
          </cell>
        </row>
        <row r="132">
          <cell r="B132">
            <v>41543</v>
          </cell>
        </row>
        <row r="133">
          <cell r="B133">
            <v>41543</v>
          </cell>
        </row>
        <row r="134">
          <cell r="B134">
            <v>41543</v>
          </cell>
        </row>
        <row r="135">
          <cell r="B135">
            <v>41543</v>
          </cell>
        </row>
        <row r="136">
          <cell r="B136">
            <v>41543</v>
          </cell>
        </row>
        <row r="137">
          <cell r="B137">
            <v>41543</v>
          </cell>
        </row>
        <row r="138">
          <cell r="B138">
            <v>41569</v>
          </cell>
        </row>
        <row r="139">
          <cell r="B139">
            <v>41569</v>
          </cell>
        </row>
        <row r="140">
          <cell r="B140">
            <v>41569</v>
          </cell>
        </row>
        <row r="141">
          <cell r="B141">
            <v>41569</v>
          </cell>
        </row>
      </sheetData>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BOM"/>
      <sheetName val="Project Assumptions &amp; Scope"/>
      <sheetName val="Cash Flow"/>
      <sheetName val="P&amp;L"/>
      <sheetName val="PF &amp; BM Assump"/>
      <sheetName val="Opportunity Investment &amp; Refurb"/>
      <sheetName val="Prod Vs Deman"/>
      <sheetName val="Overrun form"/>
      <sheetName val="NBA"/>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IT_Budget 12_13"/>
      <sheetName val="Hoja3"/>
    </sheetNames>
    <sheetDataSet>
      <sheetData sheetId="0">
        <row r="3">
          <cell r="F3">
            <v>6131100420</v>
          </cell>
        </row>
        <row r="4">
          <cell r="F4">
            <v>6131100418</v>
          </cell>
        </row>
        <row r="5">
          <cell r="F5">
            <v>6131100438</v>
          </cell>
        </row>
        <row r="6">
          <cell r="F6">
            <v>6132000488</v>
          </cell>
        </row>
        <row r="7">
          <cell r="F7" t="str">
            <v>MGTSAL</v>
          </cell>
        </row>
        <row r="8">
          <cell r="F8" t="str">
            <v>MGTSALARY</v>
          </cell>
        </row>
        <row r="9">
          <cell r="F9">
            <v>6132000437</v>
          </cell>
        </row>
        <row r="10">
          <cell r="F10">
            <v>6132000439</v>
          </cell>
        </row>
        <row r="11">
          <cell r="F11">
            <v>6132000443</v>
          </cell>
        </row>
        <row r="12">
          <cell r="F12">
            <v>6132000448</v>
          </cell>
        </row>
        <row r="13">
          <cell r="F13">
            <v>6132000457</v>
          </cell>
        </row>
        <row r="14">
          <cell r="F14">
            <v>6132000458</v>
          </cell>
        </row>
        <row r="15">
          <cell r="F15">
            <v>6132000461</v>
          </cell>
        </row>
        <row r="16">
          <cell r="F16">
            <v>6132000486</v>
          </cell>
        </row>
        <row r="17">
          <cell r="F17">
            <v>6132000519</v>
          </cell>
        </row>
        <row r="18">
          <cell r="F18" t="str">
            <v>OTHBEN</v>
          </cell>
        </row>
        <row r="19">
          <cell r="F19" t="str">
            <v>BENEF</v>
          </cell>
        </row>
        <row r="20">
          <cell r="F20" t="str">
            <v>LABOR</v>
          </cell>
        </row>
        <row r="21">
          <cell r="F21">
            <v>6151100407</v>
          </cell>
        </row>
        <row r="22">
          <cell r="F22">
            <v>6151100402</v>
          </cell>
        </row>
        <row r="23">
          <cell r="F23">
            <v>6151100408</v>
          </cell>
        </row>
        <row r="24">
          <cell r="F24">
            <v>6151100411</v>
          </cell>
        </row>
        <row r="25">
          <cell r="F25">
            <v>6151100409</v>
          </cell>
        </row>
        <row r="26">
          <cell r="F26" t="str">
            <v>MAINTRPR</v>
          </cell>
        </row>
        <row r="27">
          <cell r="F27">
            <v>6122000401</v>
          </cell>
        </row>
        <row r="28">
          <cell r="F28">
            <v>6122000403</v>
          </cell>
        </row>
        <row r="29">
          <cell r="F29">
            <v>6122000406</v>
          </cell>
        </row>
        <row r="30">
          <cell r="F30" t="str">
            <v>SUPPLIES</v>
          </cell>
        </row>
        <row r="31">
          <cell r="F31">
            <v>6158110401</v>
          </cell>
        </row>
        <row r="32">
          <cell r="F32">
            <v>6158120401</v>
          </cell>
        </row>
        <row r="33">
          <cell r="F33">
            <v>6158190401</v>
          </cell>
        </row>
        <row r="34">
          <cell r="F34">
            <v>6158130401</v>
          </cell>
        </row>
        <row r="35">
          <cell r="F35">
            <v>6158900448</v>
          </cell>
        </row>
        <row r="36">
          <cell r="F36" t="str">
            <v>TRAVEL</v>
          </cell>
        </row>
        <row r="37">
          <cell r="F37">
            <v>6153120401</v>
          </cell>
        </row>
        <row r="38">
          <cell r="F38" t="str">
            <v>RENTSLEASE</v>
          </cell>
        </row>
        <row r="39">
          <cell r="F39">
            <v>6152100401</v>
          </cell>
        </row>
        <row r="40">
          <cell r="F40" t="str">
            <v>PROFFEES</v>
          </cell>
        </row>
        <row r="41">
          <cell r="F41">
            <v>6152400402</v>
          </cell>
        </row>
        <row r="42">
          <cell r="F42">
            <v>6152400407</v>
          </cell>
        </row>
        <row r="43">
          <cell r="F43">
            <v>6152400418</v>
          </cell>
        </row>
        <row r="44">
          <cell r="F44" t="str">
            <v>OTHOUTSERV</v>
          </cell>
        </row>
        <row r="45">
          <cell r="F45" t="str">
            <v>OUTSIDESERV</v>
          </cell>
        </row>
        <row r="46">
          <cell r="F46">
            <v>6158200401</v>
          </cell>
        </row>
        <row r="47">
          <cell r="F47">
            <v>6158200403</v>
          </cell>
        </row>
        <row r="48">
          <cell r="F48" t="str">
            <v>COMM</v>
          </cell>
        </row>
        <row r="49">
          <cell r="F49">
            <v>6158900405</v>
          </cell>
        </row>
        <row r="50">
          <cell r="F50">
            <v>6152400414</v>
          </cell>
        </row>
        <row r="51">
          <cell r="F51">
            <v>6158900408</v>
          </cell>
        </row>
        <row r="52">
          <cell r="F52" t="str">
            <v>EMPLOY</v>
          </cell>
        </row>
        <row r="53">
          <cell r="F53">
            <v>6158900418</v>
          </cell>
        </row>
        <row r="54">
          <cell r="F54">
            <v>6158900449</v>
          </cell>
        </row>
        <row r="55">
          <cell r="F55" t="str">
            <v>OTHEXP</v>
          </cell>
        </row>
        <row r="56">
          <cell r="F56">
            <v>6142300000</v>
          </cell>
        </row>
        <row r="57">
          <cell r="F57">
            <v>6142300007</v>
          </cell>
        </row>
        <row r="58">
          <cell r="F58" t="str">
            <v>DEPRFA</v>
          </cell>
        </row>
        <row r="59">
          <cell r="F59">
            <v>6141100010</v>
          </cell>
        </row>
        <row r="60">
          <cell r="F60" t="str">
            <v>AMORTINT</v>
          </cell>
        </row>
        <row r="61">
          <cell r="F61" t="str">
            <v>DEPR</v>
          </cell>
        </row>
        <row r="62">
          <cell r="F62" t="str">
            <v>EXP</v>
          </cell>
        </row>
      </sheetData>
      <sheetData sheetId="1"/>
      <sheetData sheetId="2">
        <row r="2">
          <cell r="B2" t="str">
            <v>Account</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ummary"/>
      <sheetName val="Instructions"/>
      <sheetName val="Entry"/>
      <sheetName val="Summary"/>
      <sheetName val="Key Charts"/>
      <sheetName val="Profit Bridge"/>
      <sheetName val="Overall-Master"/>
      <sheetName val="Profit Bridge-Master"/>
      <sheetName val="Capex-Master"/>
      <sheetName val="Start"/>
      <sheetName val="Overall-PET"/>
      <sheetName val="Profit Bridge-PET"/>
      <sheetName val="Capex-PET"/>
      <sheetName val="Control"/>
      <sheetName val="Selector"/>
      <sheetName val="AllData"/>
      <sheetName val="Profit Bridge Data"/>
      <sheetName val="Assumptions"/>
      <sheetName val="BG_PET - Forecast (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 PRODUCC"/>
      <sheetName val="CARGA SCRAP"/>
      <sheetName val="CARGA PARADAS"/>
      <sheetName val="CARGA RECLAMOS"/>
      <sheetName val="MKI"/>
      <sheetName val="Reporte Produccion"/>
      <sheetName val="CRITERIOS PRODUCC"/>
      <sheetName val="CRITERIOS PARADA"/>
      <sheetName val="Grafico Scrap"/>
      <sheetName val="Grafico Paradas"/>
      <sheetName val="DATA"/>
      <sheetName val="HQ Control"/>
      <sheetName val="HP BG Mapping"/>
      <sheetName val="Control"/>
      <sheetName val="Assumptions"/>
      <sheetName val="CARGA_PRODUCC"/>
      <sheetName val="CARGA_SCRAP"/>
      <sheetName val="CARGA_PARADAS"/>
      <sheetName val="CARGA_RECLAMOS"/>
      <sheetName val="Reporte_Produccion"/>
      <sheetName val="CRITERIOS_PRODUCC"/>
      <sheetName val="CRITERIOS_PARADA"/>
      <sheetName val="Grafico_Scrap"/>
      <sheetName val="Grafico_Paradas"/>
      <sheetName val="HQ_Control"/>
      <sheetName val="HP_BG_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A2" t="str">
            <v>Clear</v>
          </cell>
          <cell r="C2" t="str">
            <v>A01-Inyección Corta</v>
          </cell>
          <cell r="N2">
            <v>37408</v>
          </cell>
        </row>
        <row r="3">
          <cell r="A3" t="str">
            <v>Blue</v>
          </cell>
          <cell r="C3" t="str">
            <v>A02-Rebaba en L.de Cierre</v>
          </cell>
          <cell r="N3">
            <v>37409</v>
          </cell>
        </row>
        <row r="4">
          <cell r="A4" t="str">
            <v>VCC</v>
          </cell>
          <cell r="C4" t="str">
            <v>A03-Daño Crítico TSS/Rosca/Anillo</v>
          </cell>
          <cell r="N4">
            <v>37410</v>
          </cell>
        </row>
        <row r="5">
          <cell r="A5" t="str">
            <v>VSS</v>
          </cell>
          <cell r="C5" t="str">
            <v>A04-Pellets sin fundir</v>
          </cell>
          <cell r="N5">
            <v>37411</v>
          </cell>
        </row>
        <row r="6">
          <cell r="A6" t="str">
            <v>Green</v>
          </cell>
          <cell r="C6" t="str">
            <v>A05-Contaminación Externa</v>
          </cell>
          <cell r="N6">
            <v>37412</v>
          </cell>
        </row>
        <row r="7">
          <cell r="A7" t="str">
            <v>Blue ECO</v>
          </cell>
          <cell r="C7" t="str">
            <v>A06-Pto.Inyección Cristalizado</v>
          </cell>
          <cell r="N7">
            <v>37413</v>
          </cell>
        </row>
        <row r="8">
          <cell r="C8" t="str">
            <v>A07-Material Degradado</v>
          </cell>
          <cell r="N8">
            <v>37414</v>
          </cell>
        </row>
        <row r="9">
          <cell r="C9" t="str">
            <v>A08-Pto.Inyección Perforado</v>
          </cell>
          <cell r="N9">
            <v>37415</v>
          </cell>
        </row>
        <row r="10">
          <cell r="C10" t="str">
            <v>A09-Anillo de Humedad</v>
          </cell>
          <cell r="N10">
            <v>37416</v>
          </cell>
        </row>
        <row r="11">
          <cell r="C11" t="str">
            <v>A10-Inclusiones</v>
          </cell>
          <cell r="N11">
            <v>37417</v>
          </cell>
        </row>
        <row r="12">
          <cell r="C12" t="str">
            <v>A11-Endcap Deformado</v>
          </cell>
          <cell r="N12">
            <v>37418</v>
          </cell>
        </row>
        <row r="13">
          <cell r="C13" t="str">
            <v>A12-Preformas Pegadas</v>
          </cell>
          <cell r="N13">
            <v>37419</v>
          </cell>
        </row>
        <row r="14">
          <cell r="C14" t="str">
            <v>A13 Cristalización gate crítico</v>
          </cell>
          <cell r="N14">
            <v>37420</v>
          </cell>
        </row>
        <row r="15">
          <cell r="C15" t="str">
            <v>A14-Doble línea de cierre</v>
          </cell>
          <cell r="N15">
            <v>37421</v>
          </cell>
        </row>
        <row r="16">
          <cell r="C16" t="str">
            <v>A15-Preforma Banana</v>
          </cell>
          <cell r="N16">
            <v>37422</v>
          </cell>
        </row>
        <row r="17">
          <cell r="C17" t="str">
            <v>A16-Burbujas &gt; 1 mm</v>
          </cell>
          <cell r="N17">
            <v>37423</v>
          </cell>
        </row>
        <row r="18">
          <cell r="C18" t="str">
            <v>A17-Espina de Pescado</v>
          </cell>
          <cell r="N18">
            <v>37424</v>
          </cell>
        </row>
        <row r="19">
          <cell r="C19" t="str">
            <v>A18-Preforma Colapsada</v>
          </cell>
          <cell r="N19">
            <v>37425</v>
          </cell>
        </row>
        <row r="20">
          <cell r="C20" t="str">
            <v>A19-Humedad Polarizada</v>
          </cell>
          <cell r="N20">
            <v>37426</v>
          </cell>
        </row>
        <row r="21">
          <cell r="C21" t="str">
            <v>A20-Finish Ovalado</v>
          </cell>
          <cell r="N21">
            <v>37427</v>
          </cell>
        </row>
        <row r="22">
          <cell r="C22" t="str">
            <v>A21-Preformas Mezcladas</v>
          </cell>
          <cell r="N22">
            <v>37428</v>
          </cell>
        </row>
        <row r="23">
          <cell r="C23" t="str">
            <v>B01-Daño Mayor TSS/Rosca/Anillo</v>
          </cell>
          <cell r="N23">
            <v>37429</v>
          </cell>
        </row>
        <row r="24">
          <cell r="C24" t="str">
            <v>B02-Pto.Inyección Largo &gt; 3 mm</v>
          </cell>
          <cell r="N24">
            <v>37430</v>
          </cell>
        </row>
        <row r="25">
          <cell r="C25" t="str">
            <v>B03-Rebaba Línea de Cierre Mayor</v>
          </cell>
          <cell r="N25">
            <v>37431</v>
          </cell>
        </row>
        <row r="26">
          <cell r="C26" t="str">
            <v>B04-Marcas/Rayas en Cuerpo</v>
          </cell>
          <cell r="N26">
            <v>37432</v>
          </cell>
        </row>
        <row r="27">
          <cell r="C27" t="str">
            <v>B05-Espina de Pescado Mayor</v>
          </cell>
          <cell r="N27">
            <v>37433</v>
          </cell>
        </row>
        <row r="28">
          <cell r="C28" t="str">
            <v>B06-Líneas de Arrastre Cristalino</v>
          </cell>
          <cell r="N28">
            <v>37434</v>
          </cell>
        </row>
        <row r="29">
          <cell r="C29" t="str">
            <v>B07-Opalescencia</v>
          </cell>
          <cell r="N29">
            <v>37435</v>
          </cell>
        </row>
        <row r="30">
          <cell r="C30" t="str">
            <v>B08-Burbujas &lt; 1 mm</v>
          </cell>
          <cell r="N30">
            <v>37436</v>
          </cell>
        </row>
        <row r="31">
          <cell r="C31" t="str">
            <v>B09-Cristalización Gate Mayor</v>
          </cell>
          <cell r="N31">
            <v>37437</v>
          </cell>
        </row>
        <row r="32">
          <cell r="C32" t="str">
            <v>B10-Pto.Inyección Arrancado</v>
          </cell>
          <cell r="N32">
            <v>37438</v>
          </cell>
        </row>
        <row r="33">
          <cell r="C33" t="str">
            <v>B11-Fuera de Color</v>
          </cell>
        </row>
        <row r="34">
          <cell r="C34" t="str">
            <v>B12-Inclusiones &lt; 0.5 mm</v>
          </cell>
        </row>
        <row r="35">
          <cell r="C35" t="str">
            <v>B13-Rechupes Mayores</v>
          </cell>
        </row>
        <row r="36">
          <cell r="C36" t="str">
            <v>C01-Molde Sucio</v>
          </cell>
        </row>
        <row r="37">
          <cell r="C37" t="str">
            <v>C02-Marcas/Rayas Superfic.</v>
          </cell>
        </row>
        <row r="38">
          <cell r="C38" t="str">
            <v>C03-Hilos &gt; 13 mm</v>
          </cell>
        </row>
        <row r="39">
          <cell r="C39" t="str">
            <v>C04-Delaminación</v>
          </cell>
        </row>
        <row r="40">
          <cell r="C40" t="str">
            <v>C05-Rebaba Línea de Cierre Menor</v>
          </cell>
        </row>
        <row r="41">
          <cell r="C41" t="str">
            <v>C06-Rechupes Menores</v>
          </cell>
        </row>
        <row r="42">
          <cell r="C42" t="str">
            <v>C07-Aureola alrededor del Gate</v>
          </cell>
        </row>
        <row r="43">
          <cell r="C43" t="str">
            <v>C08-Daño estético TSS</v>
          </cell>
        </row>
        <row r="44">
          <cell r="C44" t="str">
            <v>L1-AA fuera de especific.</v>
          </cell>
        </row>
        <row r="45">
          <cell r="C45" t="str">
            <v>L2-Caída en Depósito</v>
          </cell>
        </row>
        <row r="46">
          <cell r="C46" t="str">
            <v>L3-Mezcla de Resina</v>
          </cell>
        </row>
        <row r="47">
          <cell r="C47" t="str">
            <v>L4-Devolución de Cliente</v>
          </cell>
        </row>
        <row r="48">
          <cell r="C48" t="str">
            <v>L5-Exceso de Inventario</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SOLO 1 SBO"/>
      <sheetName val="NORTE"/>
      <sheetName val="Ventas"/>
      <sheetName val="Inca Kola"/>
      <sheetName val="Kola Inglesa"/>
      <sheetName val="San Antonio"/>
      <sheetName val="CALC COMISSAO VENDAS - VARIAVEL"/>
      <sheetName val="Dados"/>
      <sheetName val="#REF"/>
      <sheetName val="Preço Deposito"/>
      <sheetName val="SOLO_1_SBO"/>
      <sheetName val="Inca_Kola"/>
      <sheetName val="Kola_Inglesa"/>
      <sheetName val="San_Antonio"/>
      <sheetName val="CALC_COMISSAO_VENDAS_-_VARIAVEL"/>
      <sheetName val="Preço_Deposito"/>
      <sheetName val="SOLO_1_SBO1"/>
      <sheetName val="Inca_Kola1"/>
      <sheetName val="Kola_Inglesa1"/>
      <sheetName val="San_Antonio1"/>
      <sheetName val="CALC_COMISSAO_VENDAS_-_VARIAVE1"/>
      <sheetName val="Preço_Deposito1"/>
      <sheetName val="SOLO_1_SBO2"/>
      <sheetName val="Inca_Kola2"/>
      <sheetName val="Kola_Inglesa2"/>
      <sheetName val="San_Antonio2"/>
      <sheetName val="CALC_COMISSAO_VENDAS_-_VARIAVE2"/>
      <sheetName val="Preço_Deposito2"/>
      <sheetName val="SOLO_1_SBO3"/>
      <sheetName val="Inca_Kola3"/>
      <sheetName val="Kola_Inglesa3"/>
      <sheetName val="San_Antonio3"/>
      <sheetName val="CALC_COMISSAO_VENDAS_-_VARIAVE3"/>
      <sheetName val="Preço_Deposito3"/>
      <sheetName val="SOLO_1_SBO4"/>
      <sheetName val="Inca_Kola4"/>
      <sheetName val="Kola_Inglesa4"/>
      <sheetName val="San_Antonio4"/>
      <sheetName val="CALC_COMISSAO_VENDAS_-_VARIAVE4"/>
      <sheetName val="Preço_Deposito4"/>
      <sheetName val="SOLO_1_SBO5"/>
      <sheetName val="Inca_Kola5"/>
      <sheetName val="Kola_Inglesa5"/>
      <sheetName val="San_Antonio5"/>
      <sheetName val="CALC_COMISSAO_VENDAS_-_VARIAVE5"/>
      <sheetName val="Preço_Deposito5"/>
      <sheetName val="SOLO_1_SBO6"/>
      <sheetName val="Inca_Kola6"/>
      <sheetName val="Kola_Inglesa6"/>
      <sheetName val="San_Antonio6"/>
      <sheetName val="CALC_COMISSAO_VENDAS_-_VARIAVE6"/>
      <sheetName val="Preço_Deposito6"/>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Rates"/>
      <sheetName val="P&amp;L"/>
      <sheetName val="BS"/>
      <sheetName val="Fixed Assets"/>
      <sheetName val="CAPX"/>
      <sheetName val="Volumes"/>
      <sheetName val="Other Stats"/>
      <sheetName val="Contact List"/>
      <sheetName val="Module1"/>
      <sheetName val="Module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s "/>
      <sheetName val="Varios"/>
      <sheetName val="Hoja3"/>
    </sheetNames>
    <sheetDataSet>
      <sheetData sheetId="0"/>
      <sheetData sheetId="1">
        <row r="2">
          <cell r="B2" t="str">
            <v>F,1000CC,1014,TAMP,CR,28PCO,28</v>
          </cell>
        </row>
        <row r="3">
          <cell r="B3" t="str">
            <v>F,500CC,3078,DASA,CR,28PCO,15G,HT</v>
          </cell>
        </row>
        <row r="4">
          <cell r="B4" t="str">
            <v>F,500CC,3078,DASAET,CR,28PCO,15G,HT</v>
          </cell>
        </row>
        <row r="5">
          <cell r="B5" t="str">
            <v>F,400CC,4158,NEST,CR,28PCO,15G,HT</v>
          </cell>
        </row>
        <row r="6">
          <cell r="B6" t="str">
            <v>F,500CC,3591,NEST,CR,28PCO,15G,HT</v>
          </cell>
        </row>
        <row r="7">
          <cell r="B7" t="str">
            <v>F,500CC,2048,GOTA,CL,28PCO,18G</v>
          </cell>
        </row>
        <row r="8">
          <cell r="B8" t="str">
            <v>F,375CC,400,CH C,CR,28PCO,18G</v>
          </cell>
        </row>
        <row r="9">
          <cell r="B9" t="str">
            <v>F,500CC,300,CH C,CR,28PCO,18G</v>
          </cell>
        </row>
        <row r="10">
          <cell r="B10" t="str">
            <v>F,250CC,500,COCO,CR,28PCO,18G</v>
          </cell>
        </row>
        <row r="11">
          <cell r="B11" t="str">
            <v>F,250CC,300,GEN,CR,28PCO,18G</v>
          </cell>
        </row>
        <row r="12">
          <cell r="B12" t="str">
            <v>F,355CC,3366,GEN,CR,28PCO,18G</v>
          </cell>
        </row>
        <row r="13">
          <cell r="B13" t="str">
            <v>F,355CC,300,GEN,CR,28PCO,18G</v>
          </cell>
        </row>
        <row r="14">
          <cell r="B14" t="str">
            <v>F,500CC,2312,GEN,CR,28PCO,18G</v>
          </cell>
        </row>
        <row r="15">
          <cell r="B15" t="str">
            <v>F,500CC,3240,GEN,CR,28PCO,18G</v>
          </cell>
        </row>
        <row r="16">
          <cell r="B16" t="str">
            <v>F,400CC,4158,NEST,CR,28PCO,18G,HT</v>
          </cell>
        </row>
        <row r="17">
          <cell r="B17" t="str">
            <v>F,350CC,3600,POWER,CR,28PCO,18G,HT</v>
          </cell>
        </row>
        <row r="18">
          <cell r="B18" t="str">
            <v>F,350CC,2754,TAMP,CR,28PCO,18G</v>
          </cell>
        </row>
        <row r="19">
          <cell r="B19" t="str">
            <v>F,500CC,2248,TAMP,CR,28PCO,18G</v>
          </cell>
        </row>
        <row r="20">
          <cell r="B20" t="str">
            <v>F,330CC,400,NAR,OR,28PCO,18G</v>
          </cell>
        </row>
        <row r="21">
          <cell r="B21" t="str">
            <v>F,355CC,300,GEN,VL,28PCO,18G</v>
          </cell>
        </row>
        <row r="22">
          <cell r="B22" t="str">
            <v>F,330CC,400,LIM,VL,28PCO,18G</v>
          </cell>
        </row>
        <row r="23">
          <cell r="B23" t="str">
            <v>F,500CC,2048,GOTA,UV,28PCO,18G</v>
          </cell>
        </row>
        <row r="24">
          <cell r="B24" t="str">
            <v>F,350CC,2754,PROF,UV,28PCO,18G</v>
          </cell>
        </row>
        <row r="25">
          <cell r="B25" t="str">
            <v>F,500CC,2048,GOTA,RS,28PCO,18G</v>
          </cell>
        </row>
        <row r="26">
          <cell r="B26" t="str">
            <v>F,500CC,2142,OVIT,CL,28PCO,22G</v>
          </cell>
        </row>
        <row r="27">
          <cell r="B27" t="str">
            <v>F,355CC,300,GEN,CR,28PCO,22G</v>
          </cell>
        </row>
        <row r="28">
          <cell r="B28" t="str">
            <v>F,500CC,300,GEN,CR,28PCO,22G</v>
          </cell>
        </row>
        <row r="29">
          <cell r="B29" t="str">
            <v>F,330CC,400,LIM,CR,28PCO,22G</v>
          </cell>
        </row>
        <row r="30">
          <cell r="B30" t="str">
            <v>F,500CC,2142,OVIT,CR,28PCO,22G</v>
          </cell>
        </row>
        <row r="31">
          <cell r="B31" t="str">
            <v>F,500CC,250,JEFF,UV,28PCO,22G</v>
          </cell>
        </row>
        <row r="32">
          <cell r="B32" t="str">
            <v>F,625CC,250,GEN,CR,28PCO,25G</v>
          </cell>
        </row>
        <row r="33">
          <cell r="B33" t="str">
            <v>F,625CC,2023,MNZ,CR,28PCO,25G</v>
          </cell>
        </row>
        <row r="34">
          <cell r="B34" t="str">
            <v>F,625CC,2023,MNZD,CR,28PCO,25G</v>
          </cell>
        </row>
        <row r="35">
          <cell r="B35" t="str">
            <v>F,625CC,2023,TROP,CR,28PCO,25G</v>
          </cell>
        </row>
        <row r="36">
          <cell r="B36" t="str">
            <v>F,625CC,2023,TRPD,CR,28PCO,25G</v>
          </cell>
        </row>
        <row r="37">
          <cell r="B37" t="str">
            <v>F,500CC,2142,PROF,UV,28PCO,25G</v>
          </cell>
        </row>
        <row r="38">
          <cell r="B38" t="str">
            <v>F,300CC,5280,SUN,CR,38PCO,26.7</v>
          </cell>
        </row>
        <row r="39">
          <cell r="B39" t="str">
            <v>F,500CC,3040,FANT,CR,28PCO,28G,HT</v>
          </cell>
        </row>
        <row r="40">
          <cell r="B40" t="str">
            <v>F,250CC,5750,COCA,CR,28PCO,28G,HT</v>
          </cell>
        </row>
        <row r="41">
          <cell r="B41" t="str">
            <v>F,410CC,3591,COCA,CR,28PCO,28G,HT</v>
          </cell>
        </row>
        <row r="42">
          <cell r="B42" t="str">
            <v>F,500CC,3192,COCA,CR,28PCO,28G,HT</v>
          </cell>
        </row>
        <row r="43">
          <cell r="B43" t="str">
            <v>F,500CC,3192,COCALG,CR,28PCO,28G,HT</v>
          </cell>
        </row>
        <row r="44">
          <cell r="B44" t="str">
            <v>F,500CC,3192,ZERO,CR,28PCO,28G,HT</v>
          </cell>
        </row>
        <row r="45">
          <cell r="B45" t="str">
            <v>F,410C,3591,FANT,CR,28PCO,28G,HT</v>
          </cell>
        </row>
        <row r="46">
          <cell r="B46" t="str">
            <v>F,410CC,3591,FRES,CR,28PCO,28G,HT</v>
          </cell>
        </row>
        <row r="47">
          <cell r="B47" t="str">
            <v>F,410CC,3591,INC,CR,28PCO,28G,HT</v>
          </cell>
        </row>
        <row r="48">
          <cell r="B48" t="str">
            <v>F,410CC,3591,MNZ,CR,28PCO,28G,HT</v>
          </cell>
        </row>
        <row r="49">
          <cell r="B49" t="str">
            <v>F,410CC,3591,SPRIT,VE,28PCO,28G,HT</v>
          </cell>
        </row>
        <row r="50">
          <cell r="B50" t="str">
            <v>F,1500CC,130,GEN,CR,28PCO,37G</v>
          </cell>
        </row>
        <row r="51">
          <cell r="B51" t="str">
            <v>F,1500CC,815,MNZ,CR,28PCO,37G</v>
          </cell>
        </row>
        <row r="52">
          <cell r="B52" t="str">
            <v>F,1500CC,815,TROP,CR,28PCO,37G</v>
          </cell>
        </row>
        <row r="53">
          <cell r="B53" t="str">
            <v>F,1500CC,815,MNZ,CR,28PCO,40G</v>
          </cell>
        </row>
        <row r="54">
          <cell r="B54" t="str">
            <v>F,1500CC,815,TROP,CR,28PCO,40G</v>
          </cell>
        </row>
        <row r="55">
          <cell r="B55" t="str">
            <v>F,1500CC,130,GEN,VE,28PCO,44G</v>
          </cell>
        </row>
        <row r="56">
          <cell r="B56" t="str">
            <v>F,1000CC,180,LIM,VL,28PCO,44G</v>
          </cell>
        </row>
        <row r="57">
          <cell r="B57" t="str">
            <v>F,2000CC,635,GEN,CR,28PCO,47G</v>
          </cell>
        </row>
        <row r="58">
          <cell r="B58" t="str">
            <v>F,2000CC,100,GEN,CR,28PCO,47G</v>
          </cell>
        </row>
        <row r="59">
          <cell r="B59" t="str">
            <v>F,2000CC,635,MNZ,CR,28PCO,47G</v>
          </cell>
        </row>
        <row r="60">
          <cell r="B60" t="str">
            <v>F,2000CC,635,MNZD,CR,28PCO,47G</v>
          </cell>
        </row>
        <row r="61">
          <cell r="B61" t="str">
            <v>F,2000CC,635,TROPD,CR,28PCO,47G</v>
          </cell>
        </row>
        <row r="62">
          <cell r="B62" t="str">
            <v>F,2000CC,635,TROP,CR,28PCO,47G</v>
          </cell>
        </row>
        <row r="63">
          <cell r="B63" t="str">
            <v>F,2000CC,100,CH C,CR,28PCO,53G</v>
          </cell>
        </row>
        <row r="64">
          <cell r="B64" t="str">
            <v>F,2000CC,635,GEN,CR,28PCO,53G</v>
          </cell>
        </row>
        <row r="65">
          <cell r="B65" t="str">
            <v>F,2000CC,100,GEN,CR,28PCO,53G</v>
          </cell>
        </row>
        <row r="66">
          <cell r="B66" t="str">
            <v>F,2000CC,635,MNZ,CR,28PCO,53G</v>
          </cell>
        </row>
        <row r="67">
          <cell r="B67" t="str">
            <v>F,2000CC,635,MNZD,CR,28PCO,53G</v>
          </cell>
        </row>
        <row r="68">
          <cell r="B68" t="str">
            <v>F,2000CC,635,TROPD,CR,28PCO,53G</v>
          </cell>
        </row>
        <row r="69">
          <cell r="B69" t="str">
            <v>F,2000CC,635,TROP,CR,28PCO,53G</v>
          </cell>
        </row>
        <row r="70">
          <cell r="B70" t="str">
            <v>F,2000CC,100,GEN,AC,28PCO,56G</v>
          </cell>
        </row>
        <row r="71">
          <cell r="B71" t="str">
            <v>F,3000CC,80,GEN,AC,28PCO,56G</v>
          </cell>
        </row>
        <row r="72">
          <cell r="B72" t="str">
            <v>F,2000CC,100,CH C,CR,28PCO,56G</v>
          </cell>
        </row>
        <row r="73">
          <cell r="B73" t="str">
            <v>F,3000CC,475,GEN,CR,28PCO,56G</v>
          </cell>
        </row>
        <row r="74">
          <cell r="B74" t="str">
            <v>F,3000CC,80,GEN,CR,28PCO,56G</v>
          </cell>
        </row>
        <row r="75">
          <cell r="B75" t="str">
            <v>F,2000CC,100,GEN,VE,28PCO,56G</v>
          </cell>
        </row>
        <row r="76">
          <cell r="B76" t="str">
            <v>F,3000CC,80,GEN,VE,28PCO,56G</v>
          </cell>
        </row>
        <row r="77">
          <cell r="B77" t="str">
            <v>F,3000CC,475,GEN,CR,28PCO,60G</v>
          </cell>
        </row>
        <row r="78">
          <cell r="B78" t="str">
            <v>F,3000CC,80,GEN,CR,28PCO,60G</v>
          </cell>
        </row>
        <row r="79">
          <cell r="B79" t="str">
            <v>F,3000CC,80,GEN,VE,28PCO,60G</v>
          </cell>
        </row>
        <row r="80">
          <cell r="B80" t="str">
            <v>F,1500CC,120,GRRFA,CR,28PCO,62G</v>
          </cell>
        </row>
        <row r="81">
          <cell r="B81" t="str">
            <v>F,500CC,3420,CIEL,CR,28PCO,15G,HT</v>
          </cell>
        </row>
        <row r="82">
          <cell r="B82" t="str">
            <v>F,500CC,300,CH C,CR,28PCO,15G</v>
          </cell>
        </row>
        <row r="83">
          <cell r="B83" t="str">
            <v>F,350CC,2754,OVIT,28PCO,15G</v>
          </cell>
        </row>
        <row r="84">
          <cell r="B84" t="str">
            <v>F,500CC,3591,NEST,CR,28PCO,18G,HT</v>
          </cell>
        </row>
        <row r="85">
          <cell r="B85" t="str">
            <v>F,500CC,250,GOTA,CL,28PCO,18G</v>
          </cell>
        </row>
        <row r="86">
          <cell r="B86" t="str">
            <v>F,625CC,2023,GEN,CR,28PCO,25G</v>
          </cell>
        </row>
        <row r="87">
          <cell r="B87" t="str">
            <v>F,410CC,3420,ZERO,CR,28PCO,28G,HT</v>
          </cell>
        </row>
        <row r="88">
          <cell r="B88" t="str">
            <v>F,500CC,2304,DASA,CR,28PCO,15G,HT</v>
          </cell>
        </row>
        <row r="89">
          <cell r="B89" t="str">
            <v>F,625CC,2023,AJECIE,CR,28PCO,18G</v>
          </cell>
        </row>
        <row r="90">
          <cell r="B90" t="str">
            <v>F,600CC,250,GOTA,CL,28PCO,22G</v>
          </cell>
        </row>
        <row r="91">
          <cell r="B91" t="str">
            <v>F,500CC,2431,FANT,CR,28PCO,28G,HT</v>
          </cell>
        </row>
        <row r="92">
          <cell r="B92" t="str">
            <v>F,1500CC,815,GEN,CR,28PCO,37G</v>
          </cell>
        </row>
        <row r="93">
          <cell r="B93" t="str">
            <v>F,2000CC,635,MNZ,CR,28PCO,53G</v>
          </cell>
        </row>
        <row r="94">
          <cell r="B94" t="str">
            <v>F,2000CC,508,TROP,CR,28PCO,53G</v>
          </cell>
        </row>
        <row r="95">
          <cell r="B95" t="str">
            <v>F,500CC,3420,CIETOR,CR,28PCO,15G,HT</v>
          </cell>
        </row>
        <row r="96">
          <cell r="B96" t="str">
            <v>F,500CC,3420,CIEJAM,CR,28PCO,15G,HT</v>
          </cell>
        </row>
        <row r="97">
          <cell r="B97" t="str">
            <v>F,500CC,3192,FANT,CR,28PCO,28G,HT</v>
          </cell>
        </row>
        <row r="98">
          <cell r="B98" t="str">
            <v>F,500CC,2048,GOTA,CL,28PCO,18G, HT</v>
          </cell>
        </row>
        <row r="99">
          <cell r="B99" t="str">
            <v>F,500CC,2304,DASA,CR,28PCO,18G,HT</v>
          </cell>
        </row>
        <row r="100">
          <cell r="B100" t="str">
            <v>F,500CC,2312,GEN,CR,28PCO,25G</v>
          </cell>
        </row>
        <row r="101">
          <cell r="B101" t="str">
            <v>F,550CC,3240,VALL,CR,28PCO,15G,HT</v>
          </cell>
        </row>
        <row r="102">
          <cell r="B102" t="str">
            <v>F,500CC,3420,GEN,CR,28PCO,18G</v>
          </cell>
        </row>
        <row r="103">
          <cell r="B103" t="str">
            <v>F,330CC,3360,LIM,VL,28PCO,18G</v>
          </cell>
        </row>
        <row r="104">
          <cell r="B104" t="str">
            <v>F,1500CC,815,GEN,VE,28PCO,37G</v>
          </cell>
        </row>
        <row r="105">
          <cell r="B105" t="str">
            <v>F,410CC,3591,SPRIT,CR,28PCO,28G,HT</v>
          </cell>
        </row>
        <row r="106">
          <cell r="B106" t="str">
            <v>F,3000CC,475,GEN,CR,28PCO,56G,PA</v>
          </cell>
        </row>
        <row r="107">
          <cell r="B107" t="str">
            <v>F,450CC,3762,VALLE,CR,28PCO,15G,HT</v>
          </cell>
        </row>
        <row r="108">
          <cell r="B108" t="str">
            <v>F,3000CC,475,GEN,AC,28PCO,56G,PA</v>
          </cell>
        </row>
        <row r="109">
          <cell r="B109" t="str">
            <v>F,3000CC,475,GEN,CR,28PCO,56G,PA</v>
          </cell>
        </row>
        <row r="110">
          <cell r="B110" t="str">
            <v>F,3000CC,80,GEN,CR,28PCO,56G,PA</v>
          </cell>
        </row>
        <row r="111">
          <cell r="B111" t="str">
            <v>F,500CC,3591,NESVER,CR,28PCO,15G,HT</v>
          </cell>
        </row>
        <row r="112">
          <cell r="B112" t="str">
            <v>F,1500CC,120,GRRFA,UV,28PCO,56G,PA</v>
          </cell>
        </row>
        <row r="113">
          <cell r="B113" t="str">
            <v>F,500CC,2142,PROF,UV,28PCO,28G</v>
          </cell>
        </row>
        <row r="114">
          <cell r="B114" t="str">
            <v xml:space="preserve">NO PROGRAMADA </v>
          </cell>
        </row>
        <row r="115">
          <cell r="B115" t="str">
            <v>MANTENIMIENTO PREVENTIVO</v>
          </cell>
        </row>
        <row r="116">
          <cell r="B116" t="str">
            <v>FALTA DE MATERIAL</v>
          </cell>
        </row>
      </sheetData>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PSA Machines &amp; Utilities"/>
      <sheetName val="Pet Injection Machines"/>
      <sheetName val="listas"/>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06"/>
      <sheetName val="AGO06"/>
      <sheetName val="SEP06"/>
      <sheetName val="OCT06"/>
      <sheetName val="NOV06"/>
      <sheetName val="DIC06"/>
      <sheetName val="RESUMEN ENE07"/>
      <sheetName val="ACUMJUN06"/>
      <sheetName val="RESUMEN FEB07"/>
      <sheetName val="ENE07"/>
      <sheetName val="FEB07"/>
      <sheetName val="Table"/>
    </sheetNames>
    <sheetDataSet>
      <sheetData sheetId="0"/>
      <sheetData sheetId="1"/>
      <sheetData sheetId="2"/>
      <sheetData sheetId="3"/>
      <sheetData sheetId="4"/>
      <sheetData sheetId="5"/>
      <sheetData sheetId="6"/>
      <sheetData sheetId="7"/>
      <sheetData sheetId="8"/>
      <sheetData sheetId="9">
        <row r="1">
          <cell r="A1" t="str">
            <v>ACTNUMST</v>
          </cell>
          <cell r="B1" t="str">
            <v>ACTDESCR</v>
          </cell>
          <cell r="C1">
            <v>0</v>
          </cell>
        </row>
        <row r="2">
          <cell r="A2" t="str">
            <v>00-11101-01-01</v>
          </cell>
          <cell r="B2" t="str">
            <v>Caja General</v>
          </cell>
          <cell r="C2">
            <v>0</v>
          </cell>
        </row>
        <row r="3">
          <cell r="A3" t="str">
            <v>00-11102-01-01</v>
          </cell>
          <cell r="B3" t="str">
            <v>Caja Chica Administrativa Guayaquil (Tesoreria)</v>
          </cell>
          <cell r="C3">
            <v>0</v>
          </cell>
        </row>
        <row r="4">
          <cell r="A4" t="str">
            <v>00-11102-02-01</v>
          </cell>
          <cell r="B4" t="str">
            <v>Caja Chica Planta Pascuales (Compras)</v>
          </cell>
          <cell r="C4">
            <v>0</v>
          </cell>
        </row>
        <row r="5">
          <cell r="A5" t="str">
            <v>00-11102-03-01</v>
          </cell>
          <cell r="B5" t="str">
            <v>Caja Chica Administrativa Quito</v>
          </cell>
          <cell r="C5">
            <v>0</v>
          </cell>
        </row>
        <row r="6">
          <cell r="A6" t="str">
            <v>00-11102-99-01</v>
          </cell>
          <cell r="B6" t="str">
            <v>Caja en Tránsito</v>
          </cell>
          <cell r="C6">
            <v>0</v>
          </cell>
        </row>
        <row r="7">
          <cell r="A7" t="str">
            <v>00-11201-02-01</v>
          </cell>
          <cell r="B7" t="str">
            <v>Banco Bolivariano Cta.Cte.# 5155759</v>
          </cell>
          <cell r="C7">
            <v>-1350064.77</v>
          </cell>
        </row>
        <row r="8">
          <cell r="A8" t="str">
            <v>00-11201-03-01</v>
          </cell>
          <cell r="B8" t="str">
            <v>Banco de Guayaquil Cta.Cte.# 148727-2</v>
          </cell>
          <cell r="C8">
            <v>-3826.14</v>
          </cell>
        </row>
        <row r="9">
          <cell r="A9" t="str">
            <v>00-11201-04-01</v>
          </cell>
          <cell r="B9" t="str">
            <v>Banco International Cta.Cte.# 100010011-8</v>
          </cell>
          <cell r="C9">
            <v>-1013.52</v>
          </cell>
        </row>
        <row r="10">
          <cell r="A10" t="str">
            <v>00-11201-05-01</v>
          </cell>
          <cell r="B10" t="str">
            <v>Banco Produbanco Cta.Cte.# 0200604829-1</v>
          </cell>
          <cell r="C10">
            <v>-524546.24</v>
          </cell>
        </row>
        <row r="11">
          <cell r="A11" t="str">
            <v>00-11401-01-01</v>
          </cell>
          <cell r="B11" t="str">
            <v>Cuentas por Cobrar Clientes Locales</v>
          </cell>
          <cell r="C11">
            <v>-659990.01</v>
          </cell>
        </row>
        <row r="12">
          <cell r="A12" t="str">
            <v>00-11402-01-01</v>
          </cell>
          <cell r="B12" t="str">
            <v>Otras Cuentas por Cobrar</v>
          </cell>
          <cell r="C12">
            <v>-13501.3</v>
          </cell>
        </row>
        <row r="13">
          <cell r="A13" t="str">
            <v>00-11501-01-01</v>
          </cell>
          <cell r="B13" t="str">
            <v>Ctas.por Cobrar Accion.G.Menéndez R.</v>
          </cell>
          <cell r="C13">
            <v>-3000</v>
          </cell>
        </row>
        <row r="14">
          <cell r="A14" t="str">
            <v>00-11502-01-01</v>
          </cell>
          <cell r="B14" t="str">
            <v>Ctas.por Cobrar Cías.Relac.Milantop</v>
          </cell>
          <cell r="C14">
            <v>43.16</v>
          </cell>
        </row>
        <row r="15">
          <cell r="A15" t="str">
            <v>00-11502-09-01</v>
          </cell>
          <cell r="B15" t="str">
            <v>Ctas.por Cobrar Cias. Relac .Amcor Venezuela</v>
          </cell>
          <cell r="C15">
            <v>-249227.59</v>
          </cell>
        </row>
        <row r="16">
          <cell r="A16" t="str">
            <v>00-11503-01-01</v>
          </cell>
          <cell r="B16" t="str">
            <v>Ctas.por Cobrar Empleados Administ.</v>
          </cell>
          <cell r="C16">
            <v>-779.34</v>
          </cell>
        </row>
        <row r="17">
          <cell r="A17" t="str">
            <v>00-11504-01-01</v>
          </cell>
          <cell r="B17" t="str">
            <v>Ctas.por Cobrar Empleados Planta</v>
          </cell>
          <cell r="C17">
            <v>-104.8</v>
          </cell>
        </row>
        <row r="18">
          <cell r="A18" t="str">
            <v>00-11505-05-01</v>
          </cell>
          <cell r="B18" t="str">
            <v>Iva Pagado</v>
          </cell>
          <cell r="C18">
            <v>-66773.119999999995</v>
          </cell>
        </row>
        <row r="19">
          <cell r="A19" t="str">
            <v>00-11506-01-01</v>
          </cell>
          <cell r="B19" t="str">
            <v>Retención en La Fuente</v>
          </cell>
          <cell r="C19">
            <v>38644.620000000003</v>
          </cell>
        </row>
        <row r="20">
          <cell r="A20" t="str">
            <v>00-11506-03-01</v>
          </cell>
          <cell r="B20" t="str">
            <v>Credito Tributario</v>
          </cell>
          <cell r="C20">
            <v>-68847.289999999994</v>
          </cell>
        </row>
        <row r="21">
          <cell r="A21" t="str">
            <v>00-11507-01-01</v>
          </cell>
          <cell r="B21" t="str">
            <v>Reclamos por Cobrar</v>
          </cell>
          <cell r="C21">
            <v>-6946.36</v>
          </cell>
        </row>
        <row r="22">
          <cell r="A22" t="str">
            <v>00-11509-01-01</v>
          </cell>
          <cell r="B22" t="str">
            <v>Anticipo Proveedores</v>
          </cell>
          <cell r="C22">
            <v>-143.71</v>
          </cell>
        </row>
        <row r="23">
          <cell r="A23" t="str">
            <v>00-11509-03-01</v>
          </cell>
          <cell r="B23" t="str">
            <v>Otros Anticipos</v>
          </cell>
          <cell r="C23">
            <v>-1373.76</v>
          </cell>
        </row>
        <row r="24">
          <cell r="A24" t="str">
            <v>00-11514-01-01</v>
          </cell>
          <cell r="B24" t="str">
            <v>Anticipos Prov. Locales - Compras</v>
          </cell>
          <cell r="C24">
            <v>-1742.79</v>
          </cell>
        </row>
        <row r="25">
          <cell r="A25" t="str">
            <v>00-11515-01-01</v>
          </cell>
          <cell r="B25" t="str">
            <v>Anticipo Prov. Exterior - Compras</v>
          </cell>
          <cell r="C25">
            <v>-31393.3</v>
          </cell>
        </row>
        <row r="26">
          <cell r="A26" t="str">
            <v>00-11601-01-01</v>
          </cell>
          <cell r="B26" t="str">
            <v>Invent.Prod.Termin. Preformas Nacional</v>
          </cell>
          <cell r="C26">
            <v>-99102.94</v>
          </cell>
        </row>
        <row r="27">
          <cell r="A27" t="str">
            <v>00-11601-02-01</v>
          </cell>
          <cell r="B27" t="str">
            <v>Invent.Prod.Term. Preformas Importadas</v>
          </cell>
          <cell r="C27">
            <v>0</v>
          </cell>
        </row>
        <row r="28">
          <cell r="A28" t="str">
            <v>00-11601-03-01</v>
          </cell>
          <cell r="B28" t="str">
            <v>Invent.Prod.Termin. Envases Nacional</v>
          </cell>
          <cell r="C28">
            <v>106284.54</v>
          </cell>
        </row>
        <row r="29">
          <cell r="A29" t="str">
            <v>00-11601-03-02</v>
          </cell>
          <cell r="B29" t="str">
            <v>Invent.Prod.Term.Envases Import.</v>
          </cell>
          <cell r="C29">
            <v>0</v>
          </cell>
        </row>
        <row r="30">
          <cell r="A30" t="str">
            <v>00-11603-01-01</v>
          </cell>
          <cell r="B30" t="str">
            <v>Invent.Mater.Prima Resina</v>
          </cell>
          <cell r="C30">
            <v>-1649841.3</v>
          </cell>
        </row>
        <row r="31">
          <cell r="A31" t="str">
            <v>00-11603-02-01</v>
          </cell>
          <cell r="B31" t="str">
            <v>Invent.Mater.Prima Pigmentos</v>
          </cell>
          <cell r="C31">
            <v>-3237.16</v>
          </cell>
        </row>
        <row r="32">
          <cell r="A32" t="str">
            <v>00-11604-01-01</v>
          </cell>
          <cell r="B32" t="str">
            <v>Invent.Material de Embalaje</v>
          </cell>
          <cell r="C32">
            <v>66103.09</v>
          </cell>
        </row>
        <row r="33">
          <cell r="A33" t="str">
            <v>00-11609-06-01</v>
          </cell>
          <cell r="B33" t="str">
            <v>Importac. en transito Varios</v>
          </cell>
          <cell r="C33">
            <v>-141783.04999999999</v>
          </cell>
        </row>
        <row r="34">
          <cell r="A34" t="str">
            <v>00-11610-01-01</v>
          </cell>
          <cell r="B34" t="str">
            <v>Amortización Inventarios Obsoletos</v>
          </cell>
          <cell r="C34">
            <v>-82.12</v>
          </cell>
        </row>
        <row r="35">
          <cell r="A35" t="str">
            <v>00-11701-11-01</v>
          </cell>
          <cell r="B35" t="str">
            <v>Seguro Amcor</v>
          </cell>
          <cell r="C35">
            <v>-4196.6000000000004</v>
          </cell>
        </row>
        <row r="36">
          <cell r="A36" t="str">
            <v>00-11701-11-02</v>
          </cell>
          <cell r="B36" t="str">
            <v>Amortiz.Acum.Seguros Amcor</v>
          </cell>
          <cell r="C36">
            <v>-4144.9399999999996</v>
          </cell>
        </row>
        <row r="37">
          <cell r="A37" t="str">
            <v>00-11801-01-01</v>
          </cell>
          <cell r="B37" t="str">
            <v>Resina y Pigmentos</v>
          </cell>
          <cell r="C37">
            <v>1814866.48</v>
          </cell>
        </row>
        <row r="38">
          <cell r="A38" t="str">
            <v>00-11901-01-01</v>
          </cell>
          <cell r="B38" t="str">
            <v>Preforma</v>
          </cell>
          <cell r="C38">
            <v>115527.33</v>
          </cell>
        </row>
        <row r="39">
          <cell r="A39" t="str">
            <v>00-12001-01-01</v>
          </cell>
          <cell r="B39" t="str">
            <v>Importaciones en trámite (R)</v>
          </cell>
          <cell r="C39">
            <v>22594.2</v>
          </cell>
        </row>
        <row r="40">
          <cell r="A40" t="str">
            <v>00-12201-02-01</v>
          </cell>
          <cell r="B40" t="str">
            <v>Depreciac.Acumul.Edificio</v>
          </cell>
          <cell r="C40">
            <v>-37.17</v>
          </cell>
        </row>
        <row r="41">
          <cell r="A41" t="str">
            <v>00-12202-01-01</v>
          </cell>
          <cell r="B41" t="str">
            <v>Instalaciones</v>
          </cell>
          <cell r="C41">
            <v>0</v>
          </cell>
        </row>
        <row r="42">
          <cell r="A42" t="str">
            <v>00-12202-02-01</v>
          </cell>
          <cell r="B42" t="str">
            <v>Depreciac.Acumul.Instalaciones</v>
          </cell>
          <cell r="C42">
            <v>-9084.08</v>
          </cell>
        </row>
        <row r="43">
          <cell r="A43" t="str">
            <v>00-12203-01-01</v>
          </cell>
          <cell r="B43" t="str">
            <v>Maquinarias y Equipos</v>
          </cell>
          <cell r="C43">
            <v>0</v>
          </cell>
        </row>
        <row r="44">
          <cell r="A44" t="str">
            <v>00-12203-02-01</v>
          </cell>
          <cell r="B44" t="str">
            <v>Depreciac.Acumul.Maquinarias y Equipos</v>
          </cell>
          <cell r="C44">
            <v>-45890.23</v>
          </cell>
        </row>
        <row r="45">
          <cell r="A45" t="str">
            <v>00-12203-02-02</v>
          </cell>
          <cell r="B45" t="str">
            <v>Depreciac.Acumul.Moldes</v>
          </cell>
          <cell r="C45">
            <v>-58684.55</v>
          </cell>
        </row>
        <row r="46">
          <cell r="A46" t="str">
            <v>00-12204-01-01</v>
          </cell>
          <cell r="B46" t="str">
            <v>Equipos de Oficina</v>
          </cell>
          <cell r="C46">
            <v>0</v>
          </cell>
        </row>
        <row r="47">
          <cell r="A47" t="str">
            <v>00-12204-02-01</v>
          </cell>
          <cell r="B47" t="str">
            <v>Depreciac.Acumul.Equipos de Oficina</v>
          </cell>
          <cell r="C47">
            <v>-700.57</v>
          </cell>
        </row>
        <row r="48">
          <cell r="A48" t="str">
            <v>00-12205-01-01</v>
          </cell>
          <cell r="B48" t="str">
            <v>Muebles y Enseres</v>
          </cell>
          <cell r="C48">
            <v>0</v>
          </cell>
        </row>
        <row r="49">
          <cell r="A49" t="str">
            <v>00-12205-02-01</v>
          </cell>
          <cell r="B49" t="str">
            <v>Depreciac.Acumul.Muebles y Enseres</v>
          </cell>
          <cell r="C49">
            <v>-632.79</v>
          </cell>
        </row>
        <row r="50">
          <cell r="A50" t="str">
            <v>00-12206-01-01</v>
          </cell>
          <cell r="B50" t="str">
            <v>Equipos de Computación</v>
          </cell>
          <cell r="C50">
            <v>0</v>
          </cell>
        </row>
        <row r="51">
          <cell r="A51" t="str">
            <v>00-12206-02-01</v>
          </cell>
          <cell r="B51" t="str">
            <v>Depreciac.Acumul.Equipos de Computación</v>
          </cell>
          <cell r="C51">
            <v>-4356.63</v>
          </cell>
        </row>
        <row r="52">
          <cell r="A52" t="str">
            <v>00-12207-02-01</v>
          </cell>
          <cell r="B52" t="str">
            <v>Depreciac.Acumul.Vehiculos</v>
          </cell>
          <cell r="C52">
            <v>-1112.48</v>
          </cell>
        </row>
        <row r="53">
          <cell r="A53" t="str">
            <v>00-12208-01-01</v>
          </cell>
          <cell r="B53" t="str">
            <v>Equipos de Laboratorio</v>
          </cell>
          <cell r="C53">
            <v>0</v>
          </cell>
        </row>
        <row r="54">
          <cell r="A54" t="str">
            <v>00-12208-02-01</v>
          </cell>
          <cell r="B54" t="str">
            <v>Depreciac.Acumul.Equipos de Laboratorio</v>
          </cell>
          <cell r="C54">
            <v>-3626.09</v>
          </cell>
        </row>
        <row r="55">
          <cell r="A55" t="str">
            <v>00-12209-02-02</v>
          </cell>
          <cell r="B55" t="str">
            <v>Depreciac.Acumul.Equipos Varios</v>
          </cell>
          <cell r="C55">
            <v>-7328.27</v>
          </cell>
        </row>
        <row r="56">
          <cell r="A56" t="str">
            <v>00-12210-18-01</v>
          </cell>
          <cell r="B56" t="str">
            <v>CEAV 05/06 ECU#04 Sidel-Peru-hr</v>
          </cell>
          <cell r="C56">
            <v>-292.94</v>
          </cell>
        </row>
        <row r="57">
          <cell r="A57" t="str">
            <v>00-12210-23-01</v>
          </cell>
          <cell r="B57" t="str">
            <v>CEAV 05/06 ECU#09 Sidel Pascuales</v>
          </cell>
          <cell r="C57">
            <v>1418.63</v>
          </cell>
        </row>
        <row r="58">
          <cell r="A58" t="str">
            <v>00-12210-33-01</v>
          </cell>
          <cell r="B58" t="str">
            <v>CEAV 05/06 ECU#19 Sistema enfriamiento inyección</v>
          </cell>
          <cell r="C58">
            <v>1322</v>
          </cell>
        </row>
        <row r="59">
          <cell r="A59" t="str">
            <v>00-12210-34-01</v>
          </cell>
          <cell r="B59" t="str">
            <v>CEAV 05/06 ECU#20 Sistema telefónico</v>
          </cell>
          <cell r="C59">
            <v>9000</v>
          </cell>
        </row>
        <row r="60">
          <cell r="A60" t="str">
            <v>00-12210-42-01</v>
          </cell>
          <cell r="B60" t="str">
            <v>CEAV 06/07 ECU#01</v>
          </cell>
          <cell r="C60">
            <v>2928.86</v>
          </cell>
        </row>
        <row r="61">
          <cell r="A61" t="str">
            <v>00-12210-43-01</v>
          </cell>
          <cell r="B61" t="str">
            <v>CEAV 06/07 ECU#04 Transfer SBO-10 Quito</v>
          </cell>
          <cell r="C61">
            <v>8312.5300000000007</v>
          </cell>
        </row>
        <row r="62">
          <cell r="A62" t="str">
            <v>00-12211-01-01</v>
          </cell>
          <cell r="B62" t="str">
            <v>Moldes</v>
          </cell>
          <cell r="C62">
            <v>0</v>
          </cell>
        </row>
        <row r="63">
          <cell r="A63" t="str">
            <v>00-12212-01-01</v>
          </cell>
          <cell r="B63" t="str">
            <v>Equipos Varios</v>
          </cell>
          <cell r="C63">
            <v>0</v>
          </cell>
        </row>
        <row r="64">
          <cell r="A64" t="str">
            <v>00-13102-01-01</v>
          </cell>
          <cell r="B64" t="str">
            <v>Otros Cargos Diferidos</v>
          </cell>
          <cell r="C64">
            <v>23500</v>
          </cell>
        </row>
        <row r="65">
          <cell r="A65" t="str">
            <v>00-13102-01-02</v>
          </cell>
          <cell r="B65" t="str">
            <v>Amortizac.Acum.OO.Cargos Diferidos</v>
          </cell>
          <cell r="C65">
            <v>-7666.67</v>
          </cell>
        </row>
        <row r="66">
          <cell r="A66" t="str">
            <v>00-14111-01-01</v>
          </cell>
          <cell r="B66" t="str">
            <v>Valores por Liquidar</v>
          </cell>
          <cell r="C66">
            <v>12433.86</v>
          </cell>
        </row>
        <row r="67">
          <cell r="A67" t="str">
            <v>00-21202-01-01</v>
          </cell>
          <cell r="B67" t="str">
            <v>Obligac. Bco.Guayaquil</v>
          </cell>
          <cell r="C67">
            <v>3474.63</v>
          </cell>
        </row>
        <row r="68">
          <cell r="A68" t="str">
            <v>00-21202-02-01</v>
          </cell>
          <cell r="B68" t="str">
            <v>Oblig. Bco Internac.Cont.# 100304385</v>
          </cell>
          <cell r="C68">
            <v>905.92</v>
          </cell>
        </row>
        <row r="69">
          <cell r="A69" t="str">
            <v>00-21202-06-01</v>
          </cell>
          <cell r="B69" t="str">
            <v>Oblig. Bco. Produbanco</v>
          </cell>
          <cell r="C69">
            <v>2683.55</v>
          </cell>
        </row>
        <row r="70">
          <cell r="A70" t="str">
            <v>00-21205-01-01</v>
          </cell>
          <cell r="B70" t="str">
            <v>Intereses por Pagar</v>
          </cell>
          <cell r="C70">
            <v>-3678.18</v>
          </cell>
        </row>
        <row r="71">
          <cell r="A71" t="str">
            <v>00-21205-02-01</v>
          </cell>
          <cell r="B71" t="str">
            <v>INTERESES POR PAGAR AMCOR</v>
          </cell>
          <cell r="C71">
            <v>-105259.6</v>
          </cell>
        </row>
        <row r="72">
          <cell r="A72" t="str">
            <v>00-21301-01-01</v>
          </cell>
          <cell r="B72" t="str">
            <v>Proveedores Locales</v>
          </cell>
          <cell r="C72">
            <v>225296.23</v>
          </cell>
        </row>
        <row r="73">
          <cell r="A73" t="str">
            <v>00-21301-20-02</v>
          </cell>
          <cell r="B73" t="str">
            <v>Provisión Auditoria Fiscal Local</v>
          </cell>
          <cell r="C73">
            <v>-23500</v>
          </cell>
        </row>
        <row r="74">
          <cell r="A74" t="str">
            <v>00-21301-21-01</v>
          </cell>
          <cell r="B74" t="str">
            <v>Compolan S.A.</v>
          </cell>
          <cell r="C74">
            <v>-9.25</v>
          </cell>
        </row>
        <row r="75">
          <cell r="A75" t="str">
            <v>00-21302-01-01</v>
          </cell>
          <cell r="B75" t="str">
            <v>Proveedores del Exterior</v>
          </cell>
          <cell r="C75">
            <v>-275426.2</v>
          </cell>
        </row>
        <row r="76">
          <cell r="A76" t="str">
            <v>00-21402-11-01</v>
          </cell>
          <cell r="B76" t="str">
            <v>AMCOR PERU</v>
          </cell>
          <cell r="C76">
            <v>-119082.18</v>
          </cell>
        </row>
        <row r="77">
          <cell r="A77" t="str">
            <v>00-21402-14-01</v>
          </cell>
          <cell r="B77" t="str">
            <v>AMCOR USA</v>
          </cell>
          <cell r="C77">
            <v>2837931.85</v>
          </cell>
        </row>
        <row r="78">
          <cell r="A78" t="str">
            <v>00-21402-15-01</v>
          </cell>
          <cell r="B78" t="str">
            <v>AMCOR COLOMBIA</v>
          </cell>
          <cell r="C78">
            <v>-17528.7</v>
          </cell>
        </row>
        <row r="79">
          <cell r="A79" t="str">
            <v>00-21402-16-01</v>
          </cell>
          <cell r="B79" t="str">
            <v>AMCOR MANCHESTER</v>
          </cell>
          <cell r="C79">
            <v>27543.07</v>
          </cell>
        </row>
        <row r="80">
          <cell r="A80" t="str">
            <v>00-21402-18-01</v>
          </cell>
          <cell r="B80" t="str">
            <v>AMCOR CANADA</v>
          </cell>
          <cell r="C80">
            <v>80487.460000000006</v>
          </cell>
        </row>
        <row r="81">
          <cell r="A81" t="str">
            <v>00-21404-01-01</v>
          </cell>
          <cell r="B81" t="str">
            <v>Cuentas por Liquidar</v>
          </cell>
          <cell r="C81">
            <v>292661.3</v>
          </cell>
        </row>
        <row r="82">
          <cell r="A82" t="str">
            <v>00-21405-01-01</v>
          </cell>
          <cell r="B82" t="str">
            <v>Acreedores Varios</v>
          </cell>
          <cell r="C82">
            <v>68590.600000000006</v>
          </cell>
        </row>
        <row r="83">
          <cell r="A83" t="str">
            <v>00-21405-02-01</v>
          </cell>
          <cell r="B83" t="str">
            <v>Anticipo de Clientes</v>
          </cell>
          <cell r="C83">
            <v>0</v>
          </cell>
        </row>
        <row r="84">
          <cell r="A84" t="str">
            <v>00-21405-05-01</v>
          </cell>
          <cell r="B84" t="str">
            <v>REBATE EBC</v>
          </cell>
          <cell r="C84">
            <v>-55470.96</v>
          </cell>
        </row>
        <row r="85">
          <cell r="A85" t="str">
            <v>00-21501-01-01</v>
          </cell>
          <cell r="B85" t="str">
            <v>I.V.A. Cobrado</v>
          </cell>
          <cell r="C85">
            <v>-9777.4</v>
          </cell>
        </row>
        <row r="86">
          <cell r="A86" t="str">
            <v>00-21501-03-01</v>
          </cell>
          <cell r="B86" t="str">
            <v>30% I.V.A. Retenido</v>
          </cell>
          <cell r="C86">
            <v>-413.24</v>
          </cell>
        </row>
        <row r="87">
          <cell r="A87" t="str">
            <v>00-21501-04-01</v>
          </cell>
          <cell r="B87" t="str">
            <v>70% I.V.A. Retenido</v>
          </cell>
          <cell r="C87">
            <v>-5814.51</v>
          </cell>
        </row>
        <row r="88">
          <cell r="A88" t="str">
            <v>00-21501-05-01</v>
          </cell>
          <cell r="B88" t="str">
            <v>100% I.V.A. Retenido</v>
          </cell>
          <cell r="C88">
            <v>1304.21</v>
          </cell>
        </row>
        <row r="89">
          <cell r="A89" t="str">
            <v>00-21502-01-01</v>
          </cell>
          <cell r="B89" t="str">
            <v>Retencion del 1% compra</v>
          </cell>
          <cell r="C89">
            <v>105.57</v>
          </cell>
        </row>
        <row r="90">
          <cell r="A90" t="str">
            <v>00-21502-02-01</v>
          </cell>
          <cell r="B90" t="str">
            <v>Retencion del 5% compra</v>
          </cell>
          <cell r="C90">
            <v>-654.33000000000004</v>
          </cell>
        </row>
        <row r="91">
          <cell r="A91" t="str">
            <v>00-21502-03-01</v>
          </cell>
          <cell r="B91" t="str">
            <v>Retencion del 8% compra</v>
          </cell>
          <cell r="C91">
            <v>1722.94</v>
          </cell>
        </row>
        <row r="92">
          <cell r="A92" t="str">
            <v>00-21502-05-01</v>
          </cell>
          <cell r="B92" t="str">
            <v>Retención del 0,1% compra</v>
          </cell>
          <cell r="C92">
            <v>42.09</v>
          </cell>
        </row>
        <row r="93">
          <cell r="A93" t="str">
            <v>00-21502-06-01</v>
          </cell>
          <cell r="B93" t="str">
            <v>Retención Impto.Renta Sueldos</v>
          </cell>
          <cell r="C93">
            <v>-734.94</v>
          </cell>
        </row>
        <row r="94">
          <cell r="A94" t="str">
            <v>00-21503-09-01</v>
          </cell>
          <cell r="B94" t="str">
            <v>Impuesto a la Renta de Cía.</v>
          </cell>
          <cell r="C94">
            <v>-80936</v>
          </cell>
        </row>
        <row r="95">
          <cell r="A95" t="str">
            <v>00-21601-01-01</v>
          </cell>
          <cell r="B95" t="str">
            <v>Aporte Individual</v>
          </cell>
          <cell r="C95">
            <v>-1198.6600000000001</v>
          </cell>
        </row>
        <row r="96">
          <cell r="A96" t="str">
            <v>00-21601-02-01</v>
          </cell>
          <cell r="B96" t="str">
            <v>Prestamos al Iess</v>
          </cell>
          <cell r="C96">
            <v>-91.94</v>
          </cell>
        </row>
        <row r="97">
          <cell r="A97" t="str">
            <v>00-21602-01-01</v>
          </cell>
          <cell r="B97" t="str">
            <v>Nominas por pagar</v>
          </cell>
          <cell r="C97">
            <v>-68.02</v>
          </cell>
        </row>
        <row r="98">
          <cell r="A98" t="str">
            <v>00-21602-02-01</v>
          </cell>
          <cell r="B98" t="str">
            <v>Aporte Patronal</v>
          </cell>
          <cell r="C98">
            <v>-1557.22</v>
          </cell>
        </row>
        <row r="99">
          <cell r="A99" t="str">
            <v>00-21602-03-01</v>
          </cell>
          <cell r="B99" t="str">
            <v>Décimo Tercer Sueldo</v>
          </cell>
          <cell r="C99">
            <v>-8777.4599999999991</v>
          </cell>
        </row>
        <row r="100">
          <cell r="A100" t="str">
            <v>00-21602-04-01</v>
          </cell>
          <cell r="B100" t="str">
            <v>Décimo Cuarto Sueldo</v>
          </cell>
          <cell r="C100">
            <v>-2644.11</v>
          </cell>
        </row>
        <row r="101">
          <cell r="A101" t="str">
            <v>00-21602-07-01</v>
          </cell>
          <cell r="B101" t="str">
            <v>Fondo de Reserva</v>
          </cell>
          <cell r="C101">
            <v>-109.66</v>
          </cell>
        </row>
        <row r="102">
          <cell r="A102" t="str">
            <v>00-21602-08-01</v>
          </cell>
          <cell r="B102" t="str">
            <v>Vacaciones</v>
          </cell>
          <cell r="C102">
            <v>-4388.7700000000004</v>
          </cell>
        </row>
        <row r="103">
          <cell r="A103" t="str">
            <v>00-21602-16-01</v>
          </cell>
          <cell r="B103" t="str">
            <v>Bonos Ejecutivos Por Pagar</v>
          </cell>
          <cell r="C103">
            <v>-2700</v>
          </cell>
        </row>
        <row r="104">
          <cell r="A104" t="str">
            <v>00-21701-01-01</v>
          </cell>
          <cell r="B104" t="str">
            <v>15% Participación de Utilidades</v>
          </cell>
          <cell r="C104">
            <v>-10554.99</v>
          </cell>
        </row>
        <row r="105">
          <cell r="A105" t="str">
            <v>00-22301-07-01</v>
          </cell>
          <cell r="B105" t="str">
            <v>Doctos.por Pagar L.Plazo - Amcor  USA</v>
          </cell>
          <cell r="C105">
            <v>37140.019999999997</v>
          </cell>
        </row>
        <row r="106">
          <cell r="A106" t="str">
            <v>00-41101-01-01</v>
          </cell>
          <cell r="B106" t="str">
            <v>Venta de Envases Retornables P.E.T</v>
          </cell>
          <cell r="C106">
            <v>-2439646.4</v>
          </cell>
        </row>
        <row r="107">
          <cell r="A107" t="str">
            <v>00-41101-02-01</v>
          </cell>
          <cell r="B107" t="str">
            <v>Venta de Envases No Retornables P.R.B</v>
          </cell>
          <cell r="C107">
            <v>-381362.53</v>
          </cell>
        </row>
        <row r="108">
          <cell r="A108" t="str">
            <v>00-41102-01-01</v>
          </cell>
          <cell r="B108" t="str">
            <v>Venta de Preformas Nacionales</v>
          </cell>
          <cell r="C108">
            <v>-682283.76</v>
          </cell>
        </row>
        <row r="109">
          <cell r="A109" t="str">
            <v>00-41102-02-01</v>
          </cell>
          <cell r="B109" t="str">
            <v>Venta de Preformas Importadas</v>
          </cell>
          <cell r="C109">
            <v>-19466.64</v>
          </cell>
        </row>
        <row r="110">
          <cell r="A110" t="str">
            <v>00-41106-01-01</v>
          </cell>
          <cell r="B110" t="str">
            <v>Venta de Material Reciclaje</v>
          </cell>
          <cell r="C110">
            <v>-23262.99</v>
          </cell>
        </row>
        <row r="111">
          <cell r="A111" t="str">
            <v>00-41201-01-01</v>
          </cell>
          <cell r="B111" t="str">
            <v>Venta por Servicio de Fajillado</v>
          </cell>
          <cell r="C111">
            <v>-191.2</v>
          </cell>
        </row>
        <row r="112">
          <cell r="A112" t="str">
            <v>00-42101-01-01</v>
          </cell>
          <cell r="B112" t="str">
            <v>Descuentos y devoluciones sobre Ventas</v>
          </cell>
          <cell r="C112">
            <v>13220.83</v>
          </cell>
        </row>
        <row r="113">
          <cell r="A113" t="str">
            <v>00-42101-02-01</v>
          </cell>
          <cell r="B113" t="str">
            <v>Descuentos y devoluciones sobre ventas Envases</v>
          </cell>
          <cell r="C113">
            <v>183.38</v>
          </cell>
        </row>
        <row r="114">
          <cell r="A114" t="str">
            <v>00-42101-03-01</v>
          </cell>
          <cell r="B114" t="str">
            <v>Descuentos y devoluciones sobre ventas Preformas</v>
          </cell>
          <cell r="C114">
            <v>10683.98</v>
          </cell>
        </row>
        <row r="115">
          <cell r="A115" t="str">
            <v>00-42101-05-01</v>
          </cell>
          <cell r="B115" t="str">
            <v>Descuentos y devoluciones sobre ventas Reciclado</v>
          </cell>
          <cell r="C115">
            <v>330</v>
          </cell>
        </row>
        <row r="116">
          <cell r="A116" t="str">
            <v>00-42101-06-01</v>
          </cell>
          <cell r="B116" t="str">
            <v>Descuentos EBC</v>
          </cell>
          <cell r="C116">
            <v>55470.96</v>
          </cell>
        </row>
        <row r="117">
          <cell r="A117" t="str">
            <v>00-43401-01-06</v>
          </cell>
          <cell r="B117" t="str">
            <v>Venta de Maquinarias y Equipos (GW)</v>
          </cell>
          <cell r="C117">
            <v>-9500</v>
          </cell>
        </row>
        <row r="118">
          <cell r="A118" t="str">
            <v>00-51101-01-01</v>
          </cell>
          <cell r="B118" t="str">
            <v>Costo de Venta  Envases Nacionales</v>
          </cell>
          <cell r="C118">
            <v>1500476.63</v>
          </cell>
        </row>
        <row r="119">
          <cell r="A119" t="str">
            <v>00-51101-02-01</v>
          </cell>
          <cell r="B119" t="str">
            <v>Costo de Venta  Envases Importados</v>
          </cell>
          <cell r="C119">
            <v>101605.94</v>
          </cell>
        </row>
        <row r="120">
          <cell r="A120" t="str">
            <v>00-51102-01-01</v>
          </cell>
          <cell r="B120" t="str">
            <v>Costo de Venta Preformas Nacionales</v>
          </cell>
          <cell r="C120">
            <v>466997.98</v>
          </cell>
        </row>
        <row r="121">
          <cell r="A121" t="str">
            <v>00-51102-02-01</v>
          </cell>
          <cell r="B121" t="str">
            <v>Costo de Venta Preformas Importadas</v>
          </cell>
          <cell r="C121">
            <v>19342.96</v>
          </cell>
        </row>
        <row r="122">
          <cell r="A122" t="str">
            <v>00-51104-01-01</v>
          </cell>
          <cell r="B122" t="str">
            <v>Subcontract- Variance</v>
          </cell>
          <cell r="C122">
            <v>84833.34</v>
          </cell>
        </row>
        <row r="123">
          <cell r="A123" t="str">
            <v>00-51110-01-01</v>
          </cell>
          <cell r="B123" t="str">
            <v>Costo de  Pigmento</v>
          </cell>
          <cell r="C123">
            <v>8999.6200000000008</v>
          </cell>
        </row>
        <row r="124">
          <cell r="A124" t="str">
            <v>00-52102-03-01</v>
          </cell>
          <cell r="B124" t="str">
            <v>Inv. Producto Obsoleto</v>
          </cell>
          <cell r="C124">
            <v>82.12</v>
          </cell>
        </row>
        <row r="125">
          <cell r="A125" t="str">
            <v>00-52103-01-01</v>
          </cell>
          <cell r="B125" t="str">
            <v>Plástico Pascuales</v>
          </cell>
          <cell r="C125">
            <v>5628.21</v>
          </cell>
        </row>
        <row r="126">
          <cell r="A126" t="str">
            <v>00-52103-02-01</v>
          </cell>
          <cell r="B126" t="str">
            <v>Expandible Pascuales</v>
          </cell>
          <cell r="C126">
            <v>3644.24</v>
          </cell>
        </row>
        <row r="127">
          <cell r="A127" t="str">
            <v>00-52103-02-02</v>
          </cell>
          <cell r="B127" t="str">
            <v>Expandible EBC Gquil</v>
          </cell>
          <cell r="C127">
            <v>7969.28</v>
          </cell>
        </row>
        <row r="128">
          <cell r="A128" t="str">
            <v>00-52103-02-03</v>
          </cell>
          <cell r="B128" t="str">
            <v>Expandible EBC Quito</v>
          </cell>
          <cell r="C128">
            <v>1860.88</v>
          </cell>
        </row>
        <row r="129">
          <cell r="A129" t="str">
            <v>00-52103-03-01</v>
          </cell>
          <cell r="B129" t="str">
            <v>Cinta de embalaje Pascuales</v>
          </cell>
          <cell r="C129">
            <v>1215.19</v>
          </cell>
        </row>
        <row r="130">
          <cell r="A130" t="str">
            <v>00-52103-03-02</v>
          </cell>
          <cell r="B130" t="str">
            <v>Cinta de embalaje EBC Gquil</v>
          </cell>
          <cell r="C130">
            <v>58.33</v>
          </cell>
        </row>
        <row r="131">
          <cell r="A131" t="str">
            <v>00-52103-03-03</v>
          </cell>
          <cell r="B131" t="str">
            <v>Cinta de embalaje EBC Quito</v>
          </cell>
          <cell r="C131">
            <v>174.99</v>
          </cell>
        </row>
        <row r="132">
          <cell r="A132" t="str">
            <v>00-52103-04-01</v>
          </cell>
          <cell r="B132" t="str">
            <v>Zunchos Pascuales</v>
          </cell>
          <cell r="C132">
            <v>977.97</v>
          </cell>
        </row>
        <row r="133">
          <cell r="A133" t="str">
            <v>00-52103-05-01</v>
          </cell>
          <cell r="B133" t="str">
            <v>Grapas para zuncho Pascuales</v>
          </cell>
          <cell r="C133">
            <v>200.52</v>
          </cell>
        </row>
        <row r="134">
          <cell r="A134" t="str">
            <v>00-52103-06-01</v>
          </cell>
          <cell r="B134" t="str">
            <v>Pallets Pascuales</v>
          </cell>
          <cell r="C134">
            <v>11395</v>
          </cell>
        </row>
        <row r="135">
          <cell r="A135" t="str">
            <v>00-52103-06-02</v>
          </cell>
          <cell r="B135" t="str">
            <v>Pallets EBC Gquil</v>
          </cell>
          <cell r="C135">
            <v>300</v>
          </cell>
        </row>
        <row r="136">
          <cell r="A136" t="str">
            <v>00-52103-07-01</v>
          </cell>
          <cell r="B136" t="str">
            <v>Cajas para preformas Pascuales</v>
          </cell>
          <cell r="C136">
            <v>14801.96</v>
          </cell>
        </row>
        <row r="137">
          <cell r="A137" t="str">
            <v>00-52103-10-01</v>
          </cell>
          <cell r="B137" t="str">
            <v>Tapas para Cartón Pascuales</v>
          </cell>
          <cell r="C137">
            <v>2229.98</v>
          </cell>
        </row>
        <row r="138">
          <cell r="A138" t="str">
            <v>00-52103-14-01</v>
          </cell>
          <cell r="B138" t="str">
            <v>Láminas de Cartón Pascuales</v>
          </cell>
          <cell r="C138">
            <v>2640.7</v>
          </cell>
        </row>
        <row r="139">
          <cell r="A139" t="str">
            <v>00-52103-14-02</v>
          </cell>
          <cell r="B139" t="str">
            <v>Láminas de Cartón EBC Gquil</v>
          </cell>
          <cell r="C139">
            <v>360.66</v>
          </cell>
        </row>
        <row r="140">
          <cell r="A140" t="str">
            <v>00-52103-15-01</v>
          </cell>
          <cell r="B140" t="str">
            <v>Marco de madera Pascuales</v>
          </cell>
          <cell r="C140">
            <v>1488</v>
          </cell>
        </row>
        <row r="141">
          <cell r="A141" t="str">
            <v>00-52103-18-01</v>
          </cell>
          <cell r="B141" t="str">
            <v>Bandejas Pascuales</v>
          </cell>
          <cell r="C141">
            <v>12920.72</v>
          </cell>
        </row>
        <row r="142">
          <cell r="A142" t="str">
            <v>00-52103-18-02</v>
          </cell>
          <cell r="B142" t="str">
            <v>Bandejas EBC Gquil</v>
          </cell>
          <cell r="C142">
            <v>414</v>
          </cell>
        </row>
        <row r="143">
          <cell r="A143" t="str">
            <v>00-52103-18-03</v>
          </cell>
          <cell r="B143" t="str">
            <v>Bandejas EBC Quito</v>
          </cell>
          <cell r="C143">
            <v>3357.77</v>
          </cell>
        </row>
        <row r="144">
          <cell r="A144" t="str">
            <v>00-52103-27-01</v>
          </cell>
          <cell r="B144" t="str">
            <v>Pegamento Fuller Pascuales</v>
          </cell>
          <cell r="C144">
            <v>45.1</v>
          </cell>
        </row>
        <row r="145">
          <cell r="A145" t="str">
            <v>00-52103-27-02</v>
          </cell>
          <cell r="B145" t="str">
            <v>Pegamento Fuller EBC Gquil</v>
          </cell>
          <cell r="C145">
            <v>1250.5</v>
          </cell>
        </row>
        <row r="146">
          <cell r="A146" t="str">
            <v>00-52103-27-03</v>
          </cell>
          <cell r="B146" t="str">
            <v>Pegamento Fuller EBC Qto</v>
          </cell>
          <cell r="C146">
            <v>1267.75</v>
          </cell>
        </row>
        <row r="147">
          <cell r="A147" t="str">
            <v>00-52103-28-01</v>
          </cell>
          <cell r="B147" t="str">
            <v>Fundas Amcor #1 Pascuales</v>
          </cell>
          <cell r="C147">
            <v>4103.47</v>
          </cell>
        </row>
        <row r="148">
          <cell r="A148" t="str">
            <v>00-52103-29-01</v>
          </cell>
          <cell r="B148" t="str">
            <v>Fundas Amcor #2 Pascuales</v>
          </cell>
          <cell r="C148">
            <v>2525.4</v>
          </cell>
        </row>
        <row r="149">
          <cell r="A149" t="str">
            <v>00-52103-30-01</v>
          </cell>
          <cell r="B149" t="str">
            <v>Fundas Amcor #3 Pascuales</v>
          </cell>
          <cell r="C149">
            <v>1106.69</v>
          </cell>
        </row>
        <row r="150">
          <cell r="A150" t="str">
            <v>00-52103-30-02</v>
          </cell>
          <cell r="B150" t="str">
            <v>Fundas Amcor #3 EBC Gquil</v>
          </cell>
          <cell r="C150">
            <v>137.86000000000001</v>
          </cell>
        </row>
        <row r="151">
          <cell r="A151" t="str">
            <v>00-52103-31-01</v>
          </cell>
          <cell r="B151" t="str">
            <v>Fundas Amcor #4 Pascuales</v>
          </cell>
          <cell r="C151">
            <v>2602.9</v>
          </cell>
        </row>
        <row r="152">
          <cell r="A152" t="str">
            <v>00-52103-32-01</v>
          </cell>
          <cell r="B152" t="str">
            <v>Fundas Amcor #5 Pascuales</v>
          </cell>
          <cell r="C152">
            <v>1076</v>
          </cell>
        </row>
        <row r="153">
          <cell r="A153" t="str">
            <v>00-52103-32-02</v>
          </cell>
          <cell r="B153" t="str">
            <v>Fundas Amcor #5 EBC Gquil</v>
          </cell>
          <cell r="C153">
            <v>174.85</v>
          </cell>
        </row>
        <row r="154">
          <cell r="A154" t="str">
            <v>00-52103-33-01</v>
          </cell>
          <cell r="B154" t="str">
            <v>Fundas Amcor #6 Pascuales</v>
          </cell>
          <cell r="C154">
            <v>1002.99</v>
          </cell>
        </row>
        <row r="155">
          <cell r="A155" t="str">
            <v>00-52107-01-01</v>
          </cell>
          <cell r="B155" t="str">
            <v>Merma Inyección</v>
          </cell>
          <cell r="C155">
            <v>19681.23</v>
          </cell>
        </row>
        <row r="156">
          <cell r="A156" t="str">
            <v>00-52107-02-01</v>
          </cell>
          <cell r="B156" t="str">
            <v>Merma Soplado APPE Gquil</v>
          </cell>
          <cell r="C156">
            <v>8981.1299999999992</v>
          </cell>
        </row>
        <row r="157">
          <cell r="A157" t="str">
            <v>00-52107-04-01</v>
          </cell>
          <cell r="B157" t="str">
            <v>Merma Soplado EBC Gquil</v>
          </cell>
          <cell r="C157">
            <v>8333.11</v>
          </cell>
        </row>
        <row r="158">
          <cell r="A158" t="str">
            <v>00-52107-05-01</v>
          </cell>
          <cell r="B158" t="str">
            <v>Merma Soplado EBC Quito</v>
          </cell>
          <cell r="C158">
            <v>17985.759999999998</v>
          </cell>
        </row>
        <row r="159">
          <cell r="A159" t="str">
            <v>00-52107-07-01</v>
          </cell>
          <cell r="B159" t="str">
            <v>HFI</v>
          </cell>
          <cell r="C159">
            <v>12458.68</v>
          </cell>
        </row>
        <row r="160">
          <cell r="A160" t="str">
            <v>00-52107-08-01</v>
          </cell>
          <cell r="B160" t="str">
            <v>Muestras</v>
          </cell>
          <cell r="C160">
            <v>64</v>
          </cell>
        </row>
        <row r="161">
          <cell r="A161" t="str">
            <v>00-71101-01-01</v>
          </cell>
          <cell r="B161" t="str">
            <v>Intereses Ganados de Bancos</v>
          </cell>
          <cell r="C161">
            <v>-111.92</v>
          </cell>
        </row>
        <row r="162">
          <cell r="A162" t="str">
            <v>00-71101-03-01</v>
          </cell>
          <cell r="B162" t="str">
            <v>Intereses Ganados de Terceros</v>
          </cell>
          <cell r="C162">
            <v>-7701.23</v>
          </cell>
        </row>
        <row r="163">
          <cell r="A163" t="str">
            <v>00-71401-01-01</v>
          </cell>
          <cell r="B163" t="str">
            <v>Otros Ingresos</v>
          </cell>
          <cell r="C163">
            <v>-21259.72</v>
          </cell>
        </row>
        <row r="164">
          <cell r="A164" t="str">
            <v>00-71401-02-01</v>
          </cell>
          <cell r="B164" t="str">
            <v>Ajuste Costo Inventario</v>
          </cell>
          <cell r="C164">
            <v>42078.53</v>
          </cell>
        </row>
        <row r="165">
          <cell r="A165" t="str">
            <v>00-81101-02-01</v>
          </cell>
          <cell r="B165" t="str">
            <v>Intereses y Comisiones Pagadas Amcor</v>
          </cell>
          <cell r="C165">
            <v>105259.6</v>
          </cell>
        </row>
        <row r="166">
          <cell r="A166" t="str">
            <v>00-81101-03-01</v>
          </cell>
          <cell r="B166" t="str">
            <v>Intereses y Comisiones Pagadas a Terceros</v>
          </cell>
          <cell r="C166">
            <v>7183.5</v>
          </cell>
        </row>
        <row r="167">
          <cell r="A167" t="str">
            <v>00-81201-01-01</v>
          </cell>
          <cell r="B167" t="str">
            <v>Asistencia Tecnica Amcor</v>
          </cell>
          <cell r="C167">
            <v>17000</v>
          </cell>
        </row>
        <row r="168">
          <cell r="A168" t="str">
            <v>00-81401-01-01</v>
          </cell>
          <cell r="B168" t="str">
            <v>Gastos de Impuestos  Bancos</v>
          </cell>
          <cell r="C168">
            <v>2</v>
          </cell>
        </row>
        <row r="169">
          <cell r="A169" t="str">
            <v>00-81601-01-01</v>
          </cell>
          <cell r="B169" t="str">
            <v>Egresos Varios</v>
          </cell>
          <cell r="C169">
            <v>7339.53</v>
          </cell>
        </row>
        <row r="170">
          <cell r="A170" t="str">
            <v>00-81601-01-02</v>
          </cell>
          <cell r="B170" t="str">
            <v>Egresos Ejercicios Anteriores</v>
          </cell>
          <cell r="C170">
            <v>-12433.86</v>
          </cell>
        </row>
        <row r="171">
          <cell r="A171" t="str">
            <v>00-81602-01-01</v>
          </cell>
          <cell r="B171" t="str">
            <v>Ajuste Costo de Inventario</v>
          </cell>
          <cell r="C171">
            <v>-3.24</v>
          </cell>
        </row>
        <row r="172">
          <cell r="A172" t="str">
            <v>10-61101-01-01</v>
          </cell>
          <cell r="B172" t="str">
            <v>Sueldos y Salarios Pascuales</v>
          </cell>
          <cell r="C172">
            <v>12172.86</v>
          </cell>
        </row>
        <row r="173">
          <cell r="A173" t="str">
            <v>10-61101-01-02</v>
          </cell>
          <cell r="B173" t="str">
            <v>Sueldos y Salarios EBC Gquil</v>
          </cell>
          <cell r="C173">
            <v>7981.94</v>
          </cell>
        </row>
        <row r="174">
          <cell r="A174" t="str">
            <v>10-61101-01-03</v>
          </cell>
          <cell r="B174" t="str">
            <v>Sueldos y Salarios EBC Quito</v>
          </cell>
          <cell r="C174">
            <v>6610.42</v>
          </cell>
        </row>
        <row r="175">
          <cell r="A175" t="str">
            <v>10-61101-01-05</v>
          </cell>
          <cell r="B175" t="str">
            <v>Sueldos y Salarios Indirectos Pascuales</v>
          </cell>
          <cell r="C175">
            <v>28630.01</v>
          </cell>
        </row>
        <row r="176">
          <cell r="A176" t="str">
            <v>10-61101-01-06</v>
          </cell>
          <cell r="B176" t="str">
            <v>Sueldos y Salarios Indirectos EBC Guayaquil</v>
          </cell>
          <cell r="C176">
            <v>5641.39</v>
          </cell>
        </row>
        <row r="177">
          <cell r="A177" t="str">
            <v>10-61101-01-07</v>
          </cell>
          <cell r="B177" t="str">
            <v>Sueldos y Salarios Indirectos EBC Quito</v>
          </cell>
          <cell r="C177">
            <v>4295.16</v>
          </cell>
        </row>
        <row r="178">
          <cell r="A178" t="str">
            <v>10-61101-02-01</v>
          </cell>
          <cell r="B178" t="str">
            <v>Sobretiempos Sueldos Pascuales</v>
          </cell>
          <cell r="C178">
            <v>6372.17</v>
          </cell>
        </row>
        <row r="179">
          <cell r="A179" t="str">
            <v>10-61101-02-02</v>
          </cell>
          <cell r="B179" t="str">
            <v>Sobretiempos Sueldos EBC Gquil</v>
          </cell>
          <cell r="C179">
            <v>4878.96</v>
          </cell>
        </row>
        <row r="180">
          <cell r="A180" t="str">
            <v>10-61101-02-03</v>
          </cell>
          <cell r="B180" t="str">
            <v>Sobretiempos Sueldos EBC Quito</v>
          </cell>
          <cell r="C180">
            <v>3847.52</v>
          </cell>
        </row>
        <row r="181">
          <cell r="A181" t="str">
            <v>10-61101-02-05</v>
          </cell>
          <cell r="B181" t="str">
            <v>Sobretiempos Sueldos Indirectos Pascuales</v>
          </cell>
          <cell r="C181">
            <v>4326.03</v>
          </cell>
        </row>
        <row r="182">
          <cell r="A182" t="str">
            <v>10-61101-02-06</v>
          </cell>
          <cell r="B182" t="str">
            <v>Sobretiempo Sueldos Indirectos EBC Guayaquil</v>
          </cell>
          <cell r="C182">
            <v>1762.11</v>
          </cell>
        </row>
        <row r="183">
          <cell r="A183" t="str">
            <v>10-61101-02-07</v>
          </cell>
          <cell r="B183" t="str">
            <v>Sobretiempo Sueldos Indirectos EBC Quito</v>
          </cell>
          <cell r="C183">
            <v>2320.27</v>
          </cell>
        </row>
        <row r="184">
          <cell r="A184" t="str">
            <v>10-61101-04-01</v>
          </cell>
          <cell r="B184" t="str">
            <v>Vacaciones Pascuales</v>
          </cell>
          <cell r="C184">
            <v>774</v>
          </cell>
        </row>
        <row r="185">
          <cell r="A185" t="str">
            <v>10-61101-04-02</v>
          </cell>
          <cell r="B185" t="str">
            <v>Vacaciones EBC Gquil</v>
          </cell>
          <cell r="C185">
            <v>529.41999999999996</v>
          </cell>
        </row>
        <row r="186">
          <cell r="A186" t="str">
            <v>10-61101-04-03</v>
          </cell>
          <cell r="B186" t="str">
            <v>Vacaciones EBC Quito</v>
          </cell>
          <cell r="C186">
            <v>440.92</v>
          </cell>
        </row>
        <row r="187">
          <cell r="A187" t="str">
            <v>10-61101-04-05</v>
          </cell>
          <cell r="B187" t="str">
            <v>Vacaciones Indirectos Pascuales</v>
          </cell>
          <cell r="C187">
            <v>1191.6600000000001</v>
          </cell>
        </row>
        <row r="188">
          <cell r="A188" t="str">
            <v>10-61101-04-06</v>
          </cell>
          <cell r="B188" t="str">
            <v>Vacaciones Indirectos EBC Guayaquil</v>
          </cell>
          <cell r="C188">
            <v>266.18</v>
          </cell>
        </row>
        <row r="189">
          <cell r="A189" t="str">
            <v>10-61101-04-07</v>
          </cell>
          <cell r="B189" t="str">
            <v>Vacaciones Indirectos EBC Quito</v>
          </cell>
          <cell r="C189">
            <v>274.23</v>
          </cell>
        </row>
        <row r="190">
          <cell r="A190" t="str">
            <v>10-61101-05-01</v>
          </cell>
          <cell r="B190" t="str">
            <v>Decimo Tercer Sueldo Pascuales</v>
          </cell>
          <cell r="C190">
            <v>1548.05</v>
          </cell>
        </row>
        <row r="191">
          <cell r="A191" t="str">
            <v>10-61101-05-02</v>
          </cell>
          <cell r="B191" t="str">
            <v>Decimo Tercer Sueldo EBC Gquil</v>
          </cell>
          <cell r="C191">
            <v>1058.83</v>
          </cell>
        </row>
        <row r="192">
          <cell r="A192" t="str">
            <v>10-61101-05-03</v>
          </cell>
          <cell r="B192" t="str">
            <v>Decimo Tercer Sueldo EBC Quito</v>
          </cell>
          <cell r="C192">
            <v>881.84</v>
          </cell>
        </row>
        <row r="193">
          <cell r="A193" t="str">
            <v>10-61101-05-05</v>
          </cell>
          <cell r="B193" t="str">
            <v>Decimo Tercer Sueldo Indirectos Pascuales</v>
          </cell>
          <cell r="C193">
            <v>2383.2800000000002</v>
          </cell>
        </row>
        <row r="194">
          <cell r="A194" t="str">
            <v>10-61101-05-06</v>
          </cell>
          <cell r="B194" t="str">
            <v>Decimo Tercer Sueldo Indirectos EBC Guayaquil</v>
          </cell>
          <cell r="C194">
            <v>532.36</v>
          </cell>
        </row>
        <row r="195">
          <cell r="A195" t="str">
            <v>10-61101-05-07</v>
          </cell>
          <cell r="B195" t="str">
            <v>Decimo Tercer Sueldo Indirectos EBC Quito</v>
          </cell>
          <cell r="C195">
            <v>548.45000000000005</v>
          </cell>
        </row>
        <row r="196">
          <cell r="A196" t="str">
            <v>10-61101-06-01</v>
          </cell>
          <cell r="B196" t="str">
            <v>Decimo Cuarto Sueldo Pascuales</v>
          </cell>
          <cell r="C196">
            <v>678.74</v>
          </cell>
        </row>
        <row r="197">
          <cell r="A197" t="str">
            <v>10-61101-06-02</v>
          </cell>
          <cell r="B197" t="str">
            <v>Decimo Cuarto Sueldo EBC Gquil</v>
          </cell>
          <cell r="C197">
            <v>481.78</v>
          </cell>
        </row>
        <row r="198">
          <cell r="A198" t="str">
            <v>10-61101-06-03</v>
          </cell>
          <cell r="B198" t="str">
            <v>Decimo Cuarto Sueldo EBC Quito</v>
          </cell>
          <cell r="C198">
            <v>420.85</v>
          </cell>
        </row>
        <row r="199">
          <cell r="A199" t="str">
            <v>10-61101-06-05</v>
          </cell>
          <cell r="B199" t="str">
            <v>Decimo Cuarto Sueldo Indirectos Pascuales</v>
          </cell>
          <cell r="C199">
            <v>655.59</v>
          </cell>
        </row>
        <row r="200">
          <cell r="A200" t="str">
            <v>10-61101-06-06</v>
          </cell>
          <cell r="B200" t="str">
            <v>Decimo Cuarto Sueldo Indirectos EBC Guayaquil</v>
          </cell>
          <cell r="C200">
            <v>155.87</v>
          </cell>
        </row>
        <row r="201">
          <cell r="A201" t="str">
            <v>10-61101-06-07</v>
          </cell>
          <cell r="B201" t="str">
            <v>Decimo Cuarto Sueldo Indirectos EBC Quito</v>
          </cell>
          <cell r="C201">
            <v>141.69999999999999</v>
          </cell>
        </row>
        <row r="202">
          <cell r="A202" t="str">
            <v>10-61101-11-01</v>
          </cell>
          <cell r="B202" t="str">
            <v>Fondo de Reserva Pascuales</v>
          </cell>
          <cell r="C202">
            <v>36.29</v>
          </cell>
        </row>
        <row r="203">
          <cell r="A203" t="str">
            <v>10-61101-11-03</v>
          </cell>
          <cell r="B203" t="str">
            <v>Fondo de Reserva EBC Quito</v>
          </cell>
          <cell r="C203">
            <v>3.17</v>
          </cell>
        </row>
        <row r="204">
          <cell r="A204" t="str">
            <v>10-61101-11-05</v>
          </cell>
          <cell r="B204" t="str">
            <v>Fondo de Reserva Indirectos Pascuales</v>
          </cell>
          <cell r="C204">
            <v>19.559999999999999</v>
          </cell>
        </row>
        <row r="205">
          <cell r="A205" t="str">
            <v>10-61101-11-06</v>
          </cell>
          <cell r="B205" t="str">
            <v>Fondo de Reserva Indirectos EBC Guayaquil</v>
          </cell>
          <cell r="C205">
            <v>6.13</v>
          </cell>
        </row>
        <row r="206">
          <cell r="A206" t="str">
            <v>10-61101-11-07</v>
          </cell>
          <cell r="B206" t="str">
            <v>Fondo de Reserva Indirectos EBC Quito</v>
          </cell>
          <cell r="C206">
            <v>2.2400000000000002</v>
          </cell>
        </row>
        <row r="207">
          <cell r="A207" t="str">
            <v>10-61101-12-01</v>
          </cell>
          <cell r="B207" t="str">
            <v>Movilización Pascuales</v>
          </cell>
          <cell r="C207">
            <v>1515</v>
          </cell>
        </row>
        <row r="208">
          <cell r="A208" t="str">
            <v>10-61101-12-02</v>
          </cell>
          <cell r="B208" t="str">
            <v>Movilización EBC Gquil</v>
          </cell>
          <cell r="C208">
            <v>82</v>
          </cell>
        </row>
        <row r="209">
          <cell r="A209" t="str">
            <v>10-61101-12-03</v>
          </cell>
          <cell r="B209" t="str">
            <v>Movilización EBC Quito</v>
          </cell>
          <cell r="C209">
            <v>391.57</v>
          </cell>
        </row>
        <row r="210">
          <cell r="A210" t="str">
            <v>10-61101-12-05</v>
          </cell>
          <cell r="B210" t="str">
            <v>Movilización Indirectos Pascuales</v>
          </cell>
          <cell r="C210">
            <v>1674.5</v>
          </cell>
        </row>
        <row r="211">
          <cell r="A211" t="str">
            <v>10-61101-12-06</v>
          </cell>
          <cell r="B211" t="str">
            <v>Movilización Indirectos EBC Guayaquil</v>
          </cell>
          <cell r="C211">
            <v>178.5</v>
          </cell>
        </row>
        <row r="212">
          <cell r="A212" t="str">
            <v>10-61101-12-07</v>
          </cell>
          <cell r="B212" t="str">
            <v>Movilización Indirectos EBC Quito</v>
          </cell>
          <cell r="C212">
            <v>33</v>
          </cell>
        </row>
        <row r="213">
          <cell r="A213" t="str">
            <v>10-61101-13-01</v>
          </cell>
          <cell r="B213" t="str">
            <v>Alimentación Pascuales</v>
          </cell>
          <cell r="C213">
            <v>1887.8</v>
          </cell>
        </row>
        <row r="214">
          <cell r="A214" t="str">
            <v>10-61101-13-02</v>
          </cell>
          <cell r="B214" t="str">
            <v>Alimentación EBC Gquil</v>
          </cell>
          <cell r="C214">
            <v>1581.06</v>
          </cell>
        </row>
        <row r="215">
          <cell r="A215" t="str">
            <v>10-61101-13-03</v>
          </cell>
          <cell r="B215" t="str">
            <v>Alimentación EBC Quito</v>
          </cell>
          <cell r="C215">
            <v>1968.4</v>
          </cell>
        </row>
        <row r="216">
          <cell r="A216" t="str">
            <v>10-61101-13-05</v>
          </cell>
          <cell r="B216" t="str">
            <v>Alimentación Indirectos Pascuales</v>
          </cell>
          <cell r="C216">
            <v>1941.5</v>
          </cell>
        </row>
        <row r="217">
          <cell r="A217" t="str">
            <v>10-61101-13-06</v>
          </cell>
          <cell r="B217" t="str">
            <v>Alimentación Indirectos EBC Guayaquil</v>
          </cell>
          <cell r="C217">
            <v>526.36</v>
          </cell>
        </row>
        <row r="218">
          <cell r="A218" t="str">
            <v>10-61101-13-07</v>
          </cell>
          <cell r="B218" t="str">
            <v>Alimentación Indirectos EBC Quito</v>
          </cell>
          <cell r="C218">
            <v>731.9</v>
          </cell>
        </row>
        <row r="219">
          <cell r="A219" t="str">
            <v>10-61101-14-01</v>
          </cell>
          <cell r="B219" t="str">
            <v>Aporte Patronal, SECAP e IECE Pascuales</v>
          </cell>
          <cell r="C219">
            <v>2257.06</v>
          </cell>
        </row>
        <row r="220">
          <cell r="A220" t="str">
            <v>10-61101-14-02</v>
          </cell>
          <cell r="B220" t="str">
            <v>Aporte Patronal, SECAP e IECE EBC Gquil</v>
          </cell>
          <cell r="C220">
            <v>1543.79</v>
          </cell>
        </row>
        <row r="221">
          <cell r="A221" t="str">
            <v>10-61101-14-03</v>
          </cell>
          <cell r="B221" t="str">
            <v>Aporte Patronal, SECAP e IECE EBC Quito</v>
          </cell>
          <cell r="C221">
            <v>1285.69</v>
          </cell>
        </row>
        <row r="222">
          <cell r="A222" t="str">
            <v>10-61101-14-05</v>
          </cell>
          <cell r="B222" t="str">
            <v>Aporte Patronal, SECAP e IECE Indirectos Pascuales</v>
          </cell>
          <cell r="C222">
            <v>3474.87</v>
          </cell>
        </row>
        <row r="223">
          <cell r="A223" t="str">
            <v>10-61101-14-06</v>
          </cell>
          <cell r="B223" t="str">
            <v>Aporte Patronal SECAP e IECE Indirectos EBC Guayaq</v>
          </cell>
          <cell r="C223">
            <v>776.17</v>
          </cell>
        </row>
        <row r="224">
          <cell r="A224" t="str">
            <v>10-61101-14-07</v>
          </cell>
          <cell r="B224" t="str">
            <v>Aporte Patronal SECAP e IECE Indirectos EBC Quito</v>
          </cell>
          <cell r="C224">
            <v>799.62</v>
          </cell>
        </row>
        <row r="225">
          <cell r="A225" t="str">
            <v>10-61101-15-01</v>
          </cell>
          <cell r="B225" t="str">
            <v>Comisariato Pascuales</v>
          </cell>
          <cell r="C225">
            <v>48.93</v>
          </cell>
        </row>
        <row r="226">
          <cell r="A226" t="str">
            <v>10-61101-18-03</v>
          </cell>
          <cell r="B226" t="str">
            <v>Fiestas y Agasajos EBC Quito</v>
          </cell>
          <cell r="C226">
            <v>33.799999999999997</v>
          </cell>
        </row>
        <row r="227">
          <cell r="A227" t="str">
            <v>10-61101-20-01</v>
          </cell>
          <cell r="B227" t="str">
            <v>Bonificación Pascuales</v>
          </cell>
          <cell r="C227">
            <v>6192.98</v>
          </cell>
        </row>
        <row r="228">
          <cell r="A228" t="str">
            <v>10-61101-20-05</v>
          </cell>
          <cell r="B228" t="str">
            <v>Bonificación Indirectos Pascuales</v>
          </cell>
          <cell r="C228">
            <v>3015.71</v>
          </cell>
        </row>
        <row r="229">
          <cell r="A229" t="str">
            <v>10-61101-20-09</v>
          </cell>
          <cell r="B229" t="str">
            <v>Bonificaciones Ejecutivos MIP</v>
          </cell>
          <cell r="C229">
            <v>855</v>
          </cell>
        </row>
        <row r="230">
          <cell r="A230" t="str">
            <v>10-61101-25-01</v>
          </cell>
          <cell r="B230" t="str">
            <v>Alimentacion Pascuales</v>
          </cell>
          <cell r="C230">
            <v>303.82</v>
          </cell>
        </row>
        <row r="231">
          <cell r="A231" t="str">
            <v>10-61201-01-01</v>
          </cell>
          <cell r="B231" t="str">
            <v>Mantenimiento de Maquinaria Pascuales</v>
          </cell>
          <cell r="C231">
            <v>35261.379999999997</v>
          </cell>
        </row>
        <row r="232">
          <cell r="A232" t="str">
            <v>10-61201-01-02</v>
          </cell>
          <cell r="B232" t="str">
            <v>Mantenimiento de Maquinarias EBC Gquil</v>
          </cell>
          <cell r="C232">
            <v>3910.18</v>
          </cell>
        </row>
        <row r="233">
          <cell r="A233" t="str">
            <v>10-61201-01-03</v>
          </cell>
          <cell r="B233" t="str">
            <v>Mantenimiento de Maquinarias EBC Quito</v>
          </cell>
          <cell r="C233">
            <v>15907.41</v>
          </cell>
        </row>
        <row r="234">
          <cell r="A234" t="str">
            <v>10-61201-01-05</v>
          </cell>
          <cell r="B234" t="str">
            <v>Mantenimiento de Moldes Pascuales</v>
          </cell>
          <cell r="C234">
            <v>5428.27</v>
          </cell>
        </row>
        <row r="235">
          <cell r="A235" t="str">
            <v>10-61201-02-01</v>
          </cell>
          <cell r="B235" t="str">
            <v>Mantenimiento Edificios Pascuales</v>
          </cell>
          <cell r="C235">
            <v>4240</v>
          </cell>
        </row>
        <row r="236">
          <cell r="A236" t="str">
            <v>10-61201-03-01</v>
          </cell>
          <cell r="B236" t="str">
            <v>Combustible y Lubricantes Pascuales</v>
          </cell>
          <cell r="C236">
            <v>4129.08</v>
          </cell>
        </row>
        <row r="237">
          <cell r="A237" t="str">
            <v>10-61201-03-03</v>
          </cell>
          <cell r="B237" t="str">
            <v>Combustible y Lubricantes EBC Quito</v>
          </cell>
          <cell r="C237">
            <v>546.01</v>
          </cell>
        </row>
        <row r="238">
          <cell r="A238" t="str">
            <v>10-61201-04-01</v>
          </cell>
          <cell r="B238" t="str">
            <v>Energía Eléctrica Pascuales</v>
          </cell>
          <cell r="C238">
            <v>125668.78</v>
          </cell>
        </row>
        <row r="239">
          <cell r="A239" t="str">
            <v>10-61201-05-01</v>
          </cell>
          <cell r="B239" t="str">
            <v>Agua Potable Pascuales</v>
          </cell>
          <cell r="C239">
            <v>5388.7</v>
          </cell>
        </row>
        <row r="240">
          <cell r="A240" t="str">
            <v>10-61201-07-01</v>
          </cell>
          <cell r="B240" t="str">
            <v>Depreciaciones Maquinaria</v>
          </cell>
          <cell r="C240">
            <v>45890.23</v>
          </cell>
        </row>
        <row r="241">
          <cell r="A241" t="str">
            <v>10-61201-07-03</v>
          </cell>
          <cell r="B241" t="str">
            <v>Depreciaciones Equipos Varios</v>
          </cell>
          <cell r="C241">
            <v>7328.27</v>
          </cell>
        </row>
        <row r="242">
          <cell r="A242" t="str">
            <v>10-61201-07-04</v>
          </cell>
          <cell r="B242" t="str">
            <v>Depreciaciones Instalaciones</v>
          </cell>
          <cell r="C242">
            <v>9084.08</v>
          </cell>
        </row>
        <row r="243">
          <cell r="A243" t="str">
            <v>10-61201-07-06</v>
          </cell>
          <cell r="B243" t="str">
            <v>Depreciación Edificio</v>
          </cell>
          <cell r="C243">
            <v>37.17</v>
          </cell>
        </row>
        <row r="244">
          <cell r="A244" t="str">
            <v>10-61201-07-07</v>
          </cell>
          <cell r="B244" t="str">
            <v>Depreciacion Equipos de Laboratorio</v>
          </cell>
          <cell r="C244">
            <v>3626.09</v>
          </cell>
        </row>
        <row r="245">
          <cell r="A245" t="str">
            <v>10-61201-07-09</v>
          </cell>
          <cell r="B245" t="str">
            <v>Depreciacion Moldes</v>
          </cell>
          <cell r="C245">
            <v>58684.55</v>
          </cell>
        </row>
        <row r="246">
          <cell r="A246" t="str">
            <v>10-61201-07-10</v>
          </cell>
          <cell r="B246" t="str">
            <v>Depreciacion Vehiculos</v>
          </cell>
          <cell r="C246">
            <v>1112.48</v>
          </cell>
        </row>
        <row r="247">
          <cell r="A247" t="str">
            <v>10-61201-09-01</v>
          </cell>
          <cell r="B247" t="str">
            <v>Transporte Botellas y Resina Pascuales</v>
          </cell>
          <cell r="C247">
            <v>11933.75</v>
          </cell>
        </row>
        <row r="248">
          <cell r="A248" t="str">
            <v>10-61201-10-01</v>
          </cell>
          <cell r="B248" t="str">
            <v>Repuestos  y Herramientas Pascuales</v>
          </cell>
          <cell r="C248">
            <v>5450.81</v>
          </cell>
        </row>
        <row r="249">
          <cell r="A249" t="str">
            <v>10-61201-10-02</v>
          </cell>
          <cell r="B249" t="str">
            <v>Repuestos  y Herramientas EBC Gquil</v>
          </cell>
          <cell r="C249">
            <v>919.23</v>
          </cell>
        </row>
        <row r="250">
          <cell r="A250" t="str">
            <v>10-61201-10-03</v>
          </cell>
          <cell r="B250" t="str">
            <v>Repuestos  y Herramientas EBC Quito</v>
          </cell>
          <cell r="C250">
            <v>1769.92</v>
          </cell>
        </row>
        <row r="251">
          <cell r="A251" t="str">
            <v>10-61201-10-04</v>
          </cell>
          <cell r="B251" t="str">
            <v>Repuestos  y Herramientas APPE Quito</v>
          </cell>
          <cell r="C251">
            <v>230</v>
          </cell>
        </row>
        <row r="252">
          <cell r="A252" t="str">
            <v>10-61201-11-01</v>
          </cell>
          <cell r="B252" t="str">
            <v>Mantenimiento Equipo de Transporte Pascuales</v>
          </cell>
          <cell r="C252">
            <v>439</v>
          </cell>
        </row>
        <row r="253">
          <cell r="A253" t="str">
            <v>10-61201-11-02</v>
          </cell>
          <cell r="B253" t="str">
            <v>Mantenimiento Equipo de Transporte EBC Gquil</v>
          </cell>
          <cell r="C253">
            <v>97</v>
          </cell>
        </row>
        <row r="254">
          <cell r="A254" t="str">
            <v>10-61201-11-03</v>
          </cell>
          <cell r="B254" t="str">
            <v>Mantenimiento Equipo de Transporte EBC Quito</v>
          </cell>
          <cell r="C254">
            <v>585</v>
          </cell>
        </row>
        <row r="255">
          <cell r="A255" t="str">
            <v>10-61201-12-02</v>
          </cell>
          <cell r="B255" t="str">
            <v>Mantenimiento Equipo de Oficina EBC Gquil</v>
          </cell>
          <cell r="C255">
            <v>39</v>
          </cell>
        </row>
        <row r="256">
          <cell r="A256" t="str">
            <v>10-61201-12-03</v>
          </cell>
          <cell r="B256" t="str">
            <v>Mantenimiento Equipo de Oficina EBC Quito</v>
          </cell>
          <cell r="C256">
            <v>453.28</v>
          </cell>
        </row>
        <row r="257">
          <cell r="A257" t="str">
            <v>10-61201-13-01</v>
          </cell>
          <cell r="B257" t="str">
            <v>Manten. Maquinaria Krupp</v>
          </cell>
          <cell r="C257">
            <v>3059.86</v>
          </cell>
        </row>
        <row r="258">
          <cell r="A258" t="str">
            <v>10-61201-14-01</v>
          </cell>
          <cell r="B258" t="str">
            <v>Manten. Maquinaria Krauss</v>
          </cell>
          <cell r="C258">
            <v>20726.990000000002</v>
          </cell>
        </row>
        <row r="259">
          <cell r="A259" t="str">
            <v>10-61201-15-01</v>
          </cell>
          <cell r="B259" t="str">
            <v>Mante. Maquinaria Husky</v>
          </cell>
          <cell r="C259">
            <v>715.4</v>
          </cell>
        </row>
        <row r="260">
          <cell r="A260" t="str">
            <v>10-61201-16-01</v>
          </cell>
          <cell r="B260" t="str">
            <v>Manten. Maquinaria Mag Plastic</v>
          </cell>
          <cell r="C260">
            <v>3848.35</v>
          </cell>
        </row>
        <row r="261">
          <cell r="A261" t="str">
            <v>10-61201-17-01</v>
          </cell>
          <cell r="B261" t="str">
            <v>Otros Gastos Operacionales</v>
          </cell>
          <cell r="C261">
            <v>2059.4</v>
          </cell>
        </row>
        <row r="262">
          <cell r="A262" t="str">
            <v>10-61201-17-02</v>
          </cell>
          <cell r="B262" t="str">
            <v>Otros Gastos Operacionales EBC GYE</v>
          </cell>
          <cell r="C262">
            <v>480</v>
          </cell>
        </row>
        <row r="263">
          <cell r="A263" t="str">
            <v>10-61201-17-03</v>
          </cell>
          <cell r="B263" t="str">
            <v>Otros Gastos Operacionales EBC Quito</v>
          </cell>
          <cell r="C263">
            <v>70</v>
          </cell>
        </row>
        <row r="264">
          <cell r="A264" t="str">
            <v>10-61201-17-04</v>
          </cell>
          <cell r="B264" t="str">
            <v>Otros Gastos Operac. - Empaqplast</v>
          </cell>
          <cell r="C264">
            <v>114</v>
          </cell>
        </row>
        <row r="265">
          <cell r="A265" t="str">
            <v>10-61201-17-05</v>
          </cell>
          <cell r="B265" t="str">
            <v>Otros Gastos Operac. - Graham</v>
          </cell>
          <cell r="C265">
            <v>5826.96</v>
          </cell>
        </row>
        <row r="266">
          <cell r="A266" t="str">
            <v>10-61201-17-06</v>
          </cell>
          <cell r="B266" t="str">
            <v>Otros Gastos Oper.-Fajillado</v>
          </cell>
          <cell r="C266">
            <v>21523.06</v>
          </cell>
        </row>
        <row r="267">
          <cell r="A267" t="str">
            <v>10-61201-17-07</v>
          </cell>
          <cell r="B267" t="str">
            <v>Gastos de  Exportacion Intercias.</v>
          </cell>
          <cell r="C267">
            <v>907.98</v>
          </cell>
        </row>
        <row r="268">
          <cell r="A268" t="str">
            <v>10-61201-18-01</v>
          </cell>
          <cell r="B268" t="str">
            <v>Manten. Maquinaria Serv.Auxiliares</v>
          </cell>
          <cell r="C268">
            <v>9367.2000000000007</v>
          </cell>
        </row>
        <row r="269">
          <cell r="A269" t="str">
            <v>10-61201-18-02</v>
          </cell>
          <cell r="B269" t="str">
            <v>Mant. Servicios Auxiliares EBC Gquil</v>
          </cell>
          <cell r="C269">
            <v>7521.42</v>
          </cell>
        </row>
        <row r="270">
          <cell r="A270" t="str">
            <v>10-61201-18-03</v>
          </cell>
          <cell r="B270" t="str">
            <v>Mant. Servicios Auxiliares EBC Quito</v>
          </cell>
          <cell r="C270">
            <v>4116.46</v>
          </cell>
        </row>
        <row r="271">
          <cell r="A271" t="str">
            <v>10-61201-19-01</v>
          </cell>
          <cell r="B271" t="str">
            <v>Seguridad Industrial Pascuales</v>
          </cell>
          <cell r="C271">
            <v>199.94</v>
          </cell>
        </row>
        <row r="272">
          <cell r="A272" t="str">
            <v>10-61201-19-03</v>
          </cell>
          <cell r="B272" t="str">
            <v>Seguridad Industrial EBC UIO</v>
          </cell>
          <cell r="C272">
            <v>345.34</v>
          </cell>
        </row>
        <row r="273">
          <cell r="A273" t="str">
            <v>10-61201-20-01</v>
          </cell>
          <cell r="B273" t="str">
            <v>Mantenimiento Maq. Sidel Pascuales</v>
          </cell>
          <cell r="C273">
            <v>3216.14</v>
          </cell>
        </row>
        <row r="274">
          <cell r="A274" t="str">
            <v>10-61201-20-02</v>
          </cell>
          <cell r="B274" t="str">
            <v>Mantenimiento Maq. Sidel EBC Gquil</v>
          </cell>
          <cell r="C274">
            <v>9733.64</v>
          </cell>
        </row>
        <row r="275">
          <cell r="A275" t="str">
            <v>10-61201-20-03</v>
          </cell>
          <cell r="B275" t="str">
            <v>Mantenimiento Maq. Sidel EBC Quito</v>
          </cell>
          <cell r="C275">
            <v>260.24</v>
          </cell>
        </row>
        <row r="276">
          <cell r="A276" t="str">
            <v>10-61201-21-01</v>
          </cell>
          <cell r="B276" t="str">
            <v>Transporte de Materia Prima entre Plantas</v>
          </cell>
          <cell r="C276">
            <v>21983.62</v>
          </cell>
        </row>
        <row r="277">
          <cell r="A277" t="str">
            <v>10-61201-22-01</v>
          </cell>
          <cell r="B277" t="str">
            <v>Serv. Auxiliares en Edificios Pascuales</v>
          </cell>
          <cell r="C277">
            <v>7177.67</v>
          </cell>
        </row>
        <row r="278">
          <cell r="A278" t="str">
            <v>10-61201-22-02</v>
          </cell>
          <cell r="B278" t="str">
            <v>Serv. Auxiliares en Edificios EBC Gquil</v>
          </cell>
          <cell r="C278">
            <v>902.6</v>
          </cell>
        </row>
        <row r="279">
          <cell r="A279" t="str">
            <v>10-61201-22-03</v>
          </cell>
          <cell r="B279" t="str">
            <v>Serv. Auxiliares en Edificios EBC Quito</v>
          </cell>
          <cell r="C279">
            <v>1531.36</v>
          </cell>
        </row>
        <row r="280">
          <cell r="A280" t="str">
            <v>10-61201-23-01</v>
          </cell>
          <cell r="B280" t="str">
            <v>Suministros Area de Calidad Pascuales</v>
          </cell>
          <cell r="C280">
            <v>1991.46</v>
          </cell>
        </row>
        <row r="281">
          <cell r="A281" t="str">
            <v>10-61301-01-01</v>
          </cell>
          <cell r="B281" t="str">
            <v>Suministros de Oficina Pascuales</v>
          </cell>
          <cell r="C281">
            <v>2138.25</v>
          </cell>
        </row>
        <row r="282">
          <cell r="A282" t="str">
            <v>10-61301-01-03</v>
          </cell>
          <cell r="B282" t="str">
            <v>Suministros de Oficina EBC Quito</v>
          </cell>
          <cell r="C282">
            <v>165.07</v>
          </cell>
        </row>
        <row r="283">
          <cell r="A283" t="str">
            <v>10-61301-01-05</v>
          </cell>
          <cell r="B283" t="str">
            <v>Suministros de Computacion</v>
          </cell>
          <cell r="C283">
            <v>20148.689999999999</v>
          </cell>
        </row>
        <row r="284">
          <cell r="A284" t="str">
            <v>10-61301-02-01</v>
          </cell>
          <cell r="B284" t="str">
            <v>Comunicaciones Pascuales</v>
          </cell>
          <cell r="C284">
            <v>5940.08</v>
          </cell>
        </row>
        <row r="285">
          <cell r="A285" t="str">
            <v>10-61301-02-02</v>
          </cell>
          <cell r="B285" t="str">
            <v>Comunicaciones EBC Guayaquil</v>
          </cell>
          <cell r="C285">
            <v>258.43</v>
          </cell>
        </row>
        <row r="286">
          <cell r="A286" t="str">
            <v>10-61301-02-03</v>
          </cell>
          <cell r="B286" t="str">
            <v>Comunicaciones EBC Quito</v>
          </cell>
          <cell r="C286">
            <v>1878.72</v>
          </cell>
        </row>
        <row r="287">
          <cell r="A287" t="str">
            <v>10-61301-03-01</v>
          </cell>
          <cell r="B287" t="str">
            <v>Suscripciones y Contribuciones Pascuales</v>
          </cell>
          <cell r="C287">
            <v>642.86</v>
          </cell>
        </row>
        <row r="288">
          <cell r="A288" t="str">
            <v>10-61301-05-03</v>
          </cell>
          <cell r="B288" t="str">
            <v>Impuestos Municipales EBC Quito</v>
          </cell>
          <cell r="C288">
            <v>800</v>
          </cell>
        </row>
        <row r="289">
          <cell r="A289" t="str">
            <v>10-61301-07-01</v>
          </cell>
          <cell r="B289" t="str">
            <v>Fotocopias y Planos Pascuales</v>
          </cell>
          <cell r="C289">
            <v>20.350000000000001</v>
          </cell>
        </row>
        <row r="290">
          <cell r="A290" t="str">
            <v>10-61301-07-03</v>
          </cell>
          <cell r="B290" t="str">
            <v>Fotocopias y Planos EBC Quito</v>
          </cell>
          <cell r="C290">
            <v>10.039999999999999</v>
          </cell>
        </row>
        <row r="291">
          <cell r="A291" t="str">
            <v>10-61301-08-01</v>
          </cell>
          <cell r="B291" t="str">
            <v>Gastos De Viajes Pascuales</v>
          </cell>
          <cell r="C291">
            <v>5843.57</v>
          </cell>
        </row>
        <row r="292">
          <cell r="A292" t="str">
            <v>10-61301-08-02</v>
          </cell>
          <cell r="B292" t="str">
            <v>Gastos De Viajes EBC Guayaquil</v>
          </cell>
          <cell r="C292">
            <v>209.34</v>
          </cell>
        </row>
        <row r="293">
          <cell r="A293" t="str">
            <v>10-61301-08-03</v>
          </cell>
          <cell r="B293" t="str">
            <v>Gastos De Viajes EBC Quito</v>
          </cell>
          <cell r="C293">
            <v>143.71</v>
          </cell>
        </row>
        <row r="294">
          <cell r="A294" t="str">
            <v>10-61301-11-01</v>
          </cell>
          <cell r="B294" t="str">
            <v>Honorarios Profesionales Pascuales</v>
          </cell>
          <cell r="C294">
            <v>652</v>
          </cell>
        </row>
        <row r="295">
          <cell r="A295" t="str">
            <v>10-61301-11-03</v>
          </cell>
          <cell r="B295" t="str">
            <v>Honorarios Profesionales EBC Quito</v>
          </cell>
          <cell r="C295">
            <v>1087.5</v>
          </cell>
        </row>
        <row r="296">
          <cell r="A296" t="str">
            <v>10-61301-12-01</v>
          </cell>
          <cell r="B296" t="str">
            <v>Seguros Pascuales</v>
          </cell>
          <cell r="C296">
            <v>4144.9399999999996</v>
          </cell>
        </row>
        <row r="297">
          <cell r="A297" t="str">
            <v>10-61301-13-01</v>
          </cell>
          <cell r="B297" t="str">
            <v>Obsequios y Muestras Pascuales</v>
          </cell>
          <cell r="C297">
            <v>15.81</v>
          </cell>
        </row>
        <row r="298">
          <cell r="A298" t="str">
            <v>10-61301-18-01</v>
          </cell>
          <cell r="B298" t="str">
            <v>Arrendamiento de Bodegas Pascuales</v>
          </cell>
          <cell r="C298">
            <v>44566.64</v>
          </cell>
        </row>
        <row r="299">
          <cell r="A299" t="str">
            <v>10-61301-23-03</v>
          </cell>
          <cell r="B299" t="str">
            <v>Movilizaciones EBC Quito</v>
          </cell>
          <cell r="C299">
            <v>14.27</v>
          </cell>
        </row>
        <row r="300">
          <cell r="A300" t="str">
            <v>10-61301-27-01</v>
          </cell>
          <cell r="B300" t="str">
            <v>Otros Gastos Pascuales</v>
          </cell>
          <cell r="C300">
            <v>7.92</v>
          </cell>
        </row>
        <row r="301">
          <cell r="A301" t="str">
            <v>10-61301-27-03</v>
          </cell>
          <cell r="B301" t="str">
            <v>Otros Gastos EBC Quito</v>
          </cell>
          <cell r="C301">
            <v>48.79</v>
          </cell>
        </row>
        <row r="302">
          <cell r="A302" t="str">
            <v>10-61301-27-04</v>
          </cell>
          <cell r="B302" t="str">
            <v>Otros Gastos APPE Quito</v>
          </cell>
          <cell r="C302">
            <v>27760.3</v>
          </cell>
        </row>
        <row r="303">
          <cell r="A303" t="str">
            <v>10-69901-01-01</v>
          </cell>
          <cell r="B303" t="str">
            <v>Transferencia a Inv. de Prod. Terminado</v>
          </cell>
          <cell r="C303">
            <v>-42198.64</v>
          </cell>
        </row>
        <row r="304">
          <cell r="A304" t="str">
            <v>20-61101-01-01</v>
          </cell>
          <cell r="B304" t="str">
            <v>Sueldos y Salarios</v>
          </cell>
          <cell r="C304">
            <v>35106.51</v>
          </cell>
        </row>
        <row r="305">
          <cell r="A305" t="str">
            <v>20-61101-02-01</v>
          </cell>
          <cell r="B305" t="str">
            <v>Sobretiempos Sueldos</v>
          </cell>
          <cell r="C305">
            <v>63.29</v>
          </cell>
        </row>
        <row r="306">
          <cell r="A306" t="str">
            <v>20-61101-04-01</v>
          </cell>
          <cell r="B306" t="str">
            <v>Vacaciones</v>
          </cell>
          <cell r="C306">
            <v>1096.17</v>
          </cell>
        </row>
        <row r="307">
          <cell r="A307" t="str">
            <v>20-61101-05-01</v>
          </cell>
          <cell r="B307" t="str">
            <v>Décimo Tercer Sueldo</v>
          </cell>
          <cell r="C307">
            <v>2192.2399999999998</v>
          </cell>
        </row>
        <row r="308">
          <cell r="A308" t="str">
            <v>20-61101-06-01</v>
          </cell>
          <cell r="B308" t="str">
            <v>Décimo Cuarto Sueldo</v>
          </cell>
          <cell r="C308">
            <v>354.72</v>
          </cell>
        </row>
        <row r="309">
          <cell r="A309" t="str">
            <v>20-61101-11-01</v>
          </cell>
          <cell r="B309" t="str">
            <v>Fondo de Reserva</v>
          </cell>
          <cell r="C309">
            <v>42.27</v>
          </cell>
        </row>
        <row r="310">
          <cell r="A310" t="str">
            <v>20-61101-12-01</v>
          </cell>
          <cell r="B310" t="str">
            <v>Movilización</v>
          </cell>
          <cell r="C310">
            <v>1509.73</v>
          </cell>
        </row>
        <row r="311">
          <cell r="A311" t="str">
            <v>20-61101-13-01</v>
          </cell>
          <cell r="B311" t="str">
            <v>Alimentación</v>
          </cell>
          <cell r="C311">
            <v>1375.82</v>
          </cell>
        </row>
        <row r="312">
          <cell r="A312" t="str">
            <v>20-61101-14-01</v>
          </cell>
          <cell r="B312" t="str">
            <v>Aporte Patronal, SECAP E IECE</v>
          </cell>
          <cell r="C312">
            <v>3196.38</v>
          </cell>
        </row>
        <row r="313">
          <cell r="A313" t="str">
            <v>20-61101-20-01</v>
          </cell>
          <cell r="B313" t="str">
            <v>Bonificaciones</v>
          </cell>
          <cell r="C313">
            <v>8659.06</v>
          </cell>
        </row>
        <row r="314">
          <cell r="A314" t="str">
            <v>20-61101-20-09</v>
          </cell>
          <cell r="B314" t="str">
            <v>Bonificaciones Ejecutivos MIP</v>
          </cell>
          <cell r="C314">
            <v>1245</v>
          </cell>
        </row>
        <row r="315">
          <cell r="A315" t="str">
            <v>20-61101-26-01</v>
          </cell>
          <cell r="B315" t="str">
            <v>Otros Gastos Generales</v>
          </cell>
          <cell r="C315">
            <v>431.92</v>
          </cell>
        </row>
        <row r="316">
          <cell r="A316" t="str">
            <v>20-61101-99-99</v>
          </cell>
          <cell r="B316" t="str">
            <v>Reestructuraciòn Operativa</v>
          </cell>
          <cell r="C316">
            <v>15739.32</v>
          </cell>
        </row>
        <row r="317">
          <cell r="A317" t="str">
            <v>20-61201-07-01</v>
          </cell>
          <cell r="B317" t="str">
            <v>Depreciacion Muebles y Enseres de Oficina</v>
          </cell>
          <cell r="C317">
            <v>632.79</v>
          </cell>
        </row>
        <row r="318">
          <cell r="A318" t="str">
            <v>20-61201-07-02</v>
          </cell>
          <cell r="B318" t="str">
            <v>Depreciacion Equipos de Computación</v>
          </cell>
          <cell r="C318">
            <v>4356.63</v>
          </cell>
        </row>
        <row r="319">
          <cell r="A319" t="str">
            <v>20-61201-07-03</v>
          </cell>
          <cell r="B319" t="str">
            <v>Depreciacion Equipos de Oficina</v>
          </cell>
          <cell r="C319">
            <v>700.57</v>
          </cell>
        </row>
        <row r="320">
          <cell r="A320" t="str">
            <v>20-61301-01-01</v>
          </cell>
          <cell r="B320" t="str">
            <v>Suministros de Oficina</v>
          </cell>
          <cell r="C320">
            <v>1192.5999999999999</v>
          </cell>
        </row>
        <row r="321">
          <cell r="A321" t="str">
            <v>20-61301-01-02</v>
          </cell>
          <cell r="B321" t="str">
            <v>Suministros de Computación</v>
          </cell>
          <cell r="C321">
            <v>1653.57</v>
          </cell>
        </row>
        <row r="322">
          <cell r="A322" t="str">
            <v>20-61301-02-01</v>
          </cell>
          <cell r="B322" t="str">
            <v>Comunicaciones</v>
          </cell>
          <cell r="C322">
            <v>3259.7</v>
          </cell>
        </row>
        <row r="323">
          <cell r="A323" t="str">
            <v>20-61301-06-02</v>
          </cell>
          <cell r="B323" t="str">
            <v>Impuesto a la Renta</v>
          </cell>
          <cell r="C323">
            <v>80936</v>
          </cell>
        </row>
        <row r="324">
          <cell r="A324" t="str">
            <v>20-61301-08-01</v>
          </cell>
          <cell r="B324" t="str">
            <v>Gastos de Viajes</v>
          </cell>
          <cell r="C324">
            <v>4139.71</v>
          </cell>
        </row>
        <row r="325">
          <cell r="A325" t="str">
            <v>20-61301-13-01</v>
          </cell>
          <cell r="B325" t="str">
            <v>Obsequios y Muestras</v>
          </cell>
          <cell r="C325">
            <v>159.44</v>
          </cell>
        </row>
        <row r="326">
          <cell r="A326" t="str">
            <v>20-61301-15-01</v>
          </cell>
          <cell r="B326" t="str">
            <v>Servicio De Guardianía</v>
          </cell>
          <cell r="C326">
            <v>3280.88</v>
          </cell>
        </row>
        <row r="327">
          <cell r="A327" t="str">
            <v>20-61301-18-01</v>
          </cell>
          <cell r="B327" t="str">
            <v>Arrendamientos Inmuebles</v>
          </cell>
          <cell r="C327">
            <v>1195.6600000000001</v>
          </cell>
        </row>
        <row r="328">
          <cell r="A328" t="str">
            <v>20-61301-20-01</v>
          </cell>
          <cell r="B328" t="str">
            <v>Servicios Bancarios</v>
          </cell>
          <cell r="C328">
            <v>1284.18</v>
          </cell>
        </row>
        <row r="329">
          <cell r="A329" t="str">
            <v>20-61301-22-01</v>
          </cell>
          <cell r="B329" t="str">
            <v>Gastos Legales</v>
          </cell>
          <cell r="C329">
            <v>2393.48</v>
          </cell>
        </row>
        <row r="330">
          <cell r="A330" t="str">
            <v>20-61301-23-01</v>
          </cell>
          <cell r="B330" t="str">
            <v>Movilizaciones</v>
          </cell>
          <cell r="C330">
            <v>0</v>
          </cell>
        </row>
        <row r="331">
          <cell r="A331" t="str">
            <v>20-61301-25-01</v>
          </cell>
          <cell r="B331" t="str">
            <v>Multas E Intereses</v>
          </cell>
          <cell r="C331">
            <v>12.95</v>
          </cell>
        </row>
        <row r="332">
          <cell r="A332" t="str">
            <v>20-61301-27-01</v>
          </cell>
          <cell r="B332" t="str">
            <v>Otros Gastos</v>
          </cell>
          <cell r="C332">
            <v>793.61</v>
          </cell>
        </row>
        <row r="333">
          <cell r="A333" t="str">
            <v>20-61301-28-01</v>
          </cell>
          <cell r="B333" t="str">
            <v>Honorarios de Auditoria</v>
          </cell>
          <cell r="C333">
            <v>2500</v>
          </cell>
        </row>
        <row r="334">
          <cell r="A334" t="str">
            <v>20-61301-28-02</v>
          </cell>
          <cell r="B334" t="str">
            <v>Honorarios Contables</v>
          </cell>
          <cell r="C334">
            <v>4800</v>
          </cell>
        </row>
        <row r="335">
          <cell r="A335" t="str">
            <v>20-61301-28-03</v>
          </cell>
          <cell r="B335" t="str">
            <v>Honorarios Auditoria Fiscal Local</v>
          </cell>
          <cell r="C335">
            <v>8566.67</v>
          </cell>
        </row>
        <row r="336">
          <cell r="A336" t="str">
            <v>20-61301-29-02</v>
          </cell>
          <cell r="B336" t="str">
            <v>Retenciones Asumidas</v>
          </cell>
          <cell r="C336">
            <v>339.13</v>
          </cell>
        </row>
        <row r="337">
          <cell r="A337" t="str">
            <v>20-61301-30-01</v>
          </cell>
          <cell r="B337" t="str">
            <v>Gastos en Software Pascuales</v>
          </cell>
          <cell r="C337">
            <v>60000</v>
          </cell>
        </row>
        <row r="338">
          <cell r="A338" t="str">
            <v>20-61301-31-01</v>
          </cell>
          <cell r="B338" t="str">
            <v>Honorarios de Sistemas</v>
          </cell>
          <cell r="C338">
            <v>2936.75</v>
          </cell>
        </row>
        <row r="339">
          <cell r="A339" t="str">
            <v>30-61101-01-01</v>
          </cell>
          <cell r="B339" t="str">
            <v>Sueldos Y Salarios</v>
          </cell>
          <cell r="C339">
            <v>6383.27</v>
          </cell>
        </row>
        <row r="340">
          <cell r="A340" t="str">
            <v>30-61101-04-01</v>
          </cell>
          <cell r="B340" t="str">
            <v>Vacaciones</v>
          </cell>
          <cell r="C340">
            <v>54.34</v>
          </cell>
        </row>
        <row r="341">
          <cell r="A341" t="str">
            <v>30-61101-05-01</v>
          </cell>
          <cell r="B341" t="str">
            <v>Décimo Tercer Sueldo</v>
          </cell>
          <cell r="C341">
            <v>108.67</v>
          </cell>
        </row>
        <row r="342">
          <cell r="A342" t="str">
            <v>30-61101-06-01</v>
          </cell>
          <cell r="B342" t="str">
            <v>Décimo Cuarto Sueldo</v>
          </cell>
          <cell r="C342">
            <v>28.34</v>
          </cell>
        </row>
        <row r="343">
          <cell r="A343" t="str">
            <v>30-61101-12-01</v>
          </cell>
          <cell r="B343" t="str">
            <v>Movilización</v>
          </cell>
          <cell r="C343">
            <v>487.61</v>
          </cell>
        </row>
        <row r="344">
          <cell r="A344" t="str">
            <v>30-61101-13-01</v>
          </cell>
          <cell r="B344" t="str">
            <v>Alimentación</v>
          </cell>
          <cell r="C344">
            <v>66.5</v>
          </cell>
        </row>
        <row r="345">
          <cell r="A345" t="str">
            <v>30-61101-14-01</v>
          </cell>
          <cell r="B345" t="str">
            <v>Aporte Patronal, SECAP E IECE</v>
          </cell>
          <cell r="C345">
            <v>158.44</v>
          </cell>
        </row>
        <row r="346">
          <cell r="A346" t="str">
            <v>30-61101-20-01</v>
          </cell>
          <cell r="B346" t="str">
            <v>Bonificación</v>
          </cell>
          <cell r="C346">
            <v>161.56</v>
          </cell>
        </row>
        <row r="347">
          <cell r="A347" t="str">
            <v>30-61101-20-09</v>
          </cell>
          <cell r="B347" t="str">
            <v>Bonificaciones Ejecutivos MIP</v>
          </cell>
          <cell r="C347">
            <v>600</v>
          </cell>
        </row>
        <row r="348">
          <cell r="A348" t="str">
            <v>30-61301-01-02</v>
          </cell>
          <cell r="B348" t="str">
            <v>Suministros de Computacion</v>
          </cell>
          <cell r="C348">
            <v>53.39</v>
          </cell>
        </row>
        <row r="349">
          <cell r="A349" t="str">
            <v>30-61301-02-01</v>
          </cell>
          <cell r="B349" t="str">
            <v>Comunicaciones</v>
          </cell>
          <cell r="C349">
            <v>124</v>
          </cell>
        </row>
        <row r="350">
          <cell r="A350" t="str">
            <v>30-61301-11-01</v>
          </cell>
          <cell r="B350" t="str">
            <v>Honorarios Profesionales</v>
          </cell>
          <cell r="C350">
            <v>4400</v>
          </cell>
        </row>
        <row r="351">
          <cell r="A351" t="str">
            <v>30-61301-13-01</v>
          </cell>
          <cell r="B351" t="str">
            <v>Obsequios y Muestras</v>
          </cell>
          <cell r="C351">
            <v>14.24</v>
          </cell>
        </row>
        <row r="352">
          <cell r="A352" t="str">
            <v>30-61301-23-01</v>
          </cell>
          <cell r="B352" t="str">
            <v>Movilizaciones</v>
          </cell>
          <cell r="C352">
            <v>100</v>
          </cell>
        </row>
        <row r="353">
          <cell r="A353" t="str">
            <v>30-61301-27-01</v>
          </cell>
          <cell r="B353" t="str">
            <v>Otros Gastos</v>
          </cell>
          <cell r="C353">
            <v>285.45</v>
          </cell>
        </row>
        <row r="354">
          <cell r="A354" t="str">
            <v>98-99999-01-01</v>
          </cell>
          <cell r="B354" t="str">
            <v>Proceso de Inyección Pascuales</v>
          </cell>
          <cell r="C354">
            <v>0</v>
          </cell>
        </row>
        <row r="355">
          <cell r="A355" t="str">
            <v>98-99999-02-01</v>
          </cell>
          <cell r="B355" t="str">
            <v>Proceso de Soplado Pascuales</v>
          </cell>
          <cell r="C355">
            <v>0</v>
          </cell>
        </row>
        <row r="356">
          <cell r="A356" t="str">
            <v>99-99999-99-99</v>
          </cell>
          <cell r="B356" t="str">
            <v>Cuenta Puente</v>
          </cell>
          <cell r="C356">
            <v>0</v>
          </cell>
        </row>
      </sheetData>
      <sheetData sheetId="10"/>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APEX Instr"/>
      <sheetName val="XA"/>
      <sheetName val="CUENTAS POR COBRAR NO COMERCIAL"/>
      <sheetName val="BG_NA - Capex Report 0607"/>
      <sheetName val="SKU Todo FINAL"/>
      <sheetName val="CAPEX_Instr"/>
      <sheetName val="CUENTAS_POR_COBRAR_NO_COMERCIAL"/>
      <sheetName val="BG_NA_-_Capex_Report_0607"/>
      <sheetName val="SKU_Todo_FINAL"/>
      <sheetName val="General"/>
      <sheetName val="Net Sales"/>
      <sheetName val="COGS "/>
      <sheetName val="AR"/>
      <sheetName val="INV"/>
      <sheetName val="AP"/>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 Stmt"/>
      <sheetName val="Bal Sheet"/>
      <sheetName val="Bal Sheet Movement Accts"/>
      <sheetName val="Stat Accounts"/>
      <sheetName val="LC Income Statement"/>
      <sheetName val="LC Balance Sheet"/>
    </sheetNames>
    <sheetDataSet>
      <sheetData sheetId="0"/>
      <sheetData sheetId="1"/>
      <sheetData sheetId="2"/>
      <sheetData sheetId="3" refreshError="1"/>
      <sheetData sheetId="4" refreshError="1"/>
      <sheetData sheetId="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NTRO + RP IK CON AD, CON 2S4"/>
      <sheetName val="CENTRO + RP IK CON ADELANTO"/>
      <sheetName val="CENTRO + RP IK"/>
      <sheetName val="CENTRO"/>
      <sheetName val="Ventas"/>
      <sheetName val="Kola Inglesa"/>
      <sheetName val="Agua Bot."/>
      <sheetName val="Despesas"/>
      <sheetName val="CENTRO_+_RP_IK_CON_AD,_CON_2S4"/>
      <sheetName val="CENTRO_+_RP_IK_CON_ADELANTO"/>
      <sheetName val="CENTRO_+_RP_IK"/>
      <sheetName val="Kola_Inglesa"/>
      <sheetName val="Agua_Bot_"/>
      <sheetName val="CENTRO_+_RP_IK_CON_AD,_CON_2S41"/>
      <sheetName val="CENTRO_+_RP_IK_CON_ADELANTO1"/>
      <sheetName val="CENTRO_+_RP_IK1"/>
      <sheetName val="Kola_Inglesa1"/>
      <sheetName val="Agua_Bot_1"/>
      <sheetName val="CENTRO_+_RP_IK_CON_AD,_CON_2S42"/>
      <sheetName val="CENTRO_+_RP_IK_CON_ADELANTO2"/>
      <sheetName val="CENTRO_+_RP_IK2"/>
      <sheetName val="Kola_Inglesa2"/>
      <sheetName val="Agua_Bot_2"/>
      <sheetName val="CENTRO_+_RP_IK_CON_AD,_CON_2S43"/>
      <sheetName val="CENTRO_+_RP_IK_CON_ADELANTO3"/>
      <sheetName val="CENTRO_+_RP_IK3"/>
      <sheetName val="Kola_Inglesa3"/>
      <sheetName val="Agua_Bot_3"/>
      <sheetName val="Bal Sheet"/>
      <sheetName val="CENTRO_+_RP_IK_CON_AD,_CON_2S44"/>
      <sheetName val="CENTRO_+_RP_IK_CON_ADELANTO4"/>
      <sheetName val="CENTRO_+_RP_IK4"/>
      <sheetName val="Kola_Inglesa4"/>
      <sheetName val="Agua_Bot_4"/>
      <sheetName val="CENTRO_+_RP_IK_CON_AD,_CON_2S45"/>
      <sheetName val="CENTRO_+_RP_IK_CON_ADELANTO5"/>
      <sheetName val="CENTRO_+_RP_IK5"/>
      <sheetName val="Kola_Inglesa5"/>
      <sheetName val="Agua_Bot_5"/>
      <sheetName val="CENTRO_+_RP_IK_CON_AD,_CON_2S46"/>
      <sheetName val="CENTRO_+_RP_IK_CON_ADELANTO6"/>
      <sheetName val="CENTRO_+_RP_IK6"/>
      <sheetName val="Kola_Inglesa6"/>
      <sheetName val="Agua_Bot_6"/>
      <sheetName val="Bal_Shee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
      <sheetName val="KPI"/>
      <sheetName val="RESUMEN DIARIO"/>
      <sheetName val="Reporte diario"/>
      <sheetName val="cuadres"/>
      <sheetName val="KARDEX "/>
      <sheetName val="CONCILIACION"/>
      <sheetName val="Resina"/>
      <sheetName val="CONSUMO DE RESINA DIARIO"/>
      <sheetName val="Produccion codigos SAP"/>
      <sheetName val="KPI`S-BPC"/>
      <sheetName val="Krauss M"/>
      <sheetName val="Graf. Krauss M"/>
      <sheetName val="Krupp 1"/>
      <sheetName val="Graf. Krupp 1"/>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HUSKY 7"/>
      <sheetName val="Graf. HUSKY 7"/>
      <sheetName val="HUSKY-8"/>
      <sheetName val="Graf. HUSKY-8"/>
      <sheetName val="HFI-DIARIO"/>
      <sheetName val="Inyeccion general"/>
      <sheetName val="CAV_ BLOCK"/>
      <sheetName val="Resumen"/>
      <sheetName val="ME Operadores"/>
      <sheetName val="HUSKY 8"/>
      <sheetName val="Graf. HUSKY 8"/>
      <sheetName val="HUSKY 9"/>
      <sheetName val="Graf. HUSKY 9"/>
      <sheetName val="SCRAP"/>
      <sheetName val="Paros"/>
      <sheetName val="Scrap diario"/>
      <sheetName val="HFI"/>
      <sheetName val="Analisis de tiempo"/>
      <sheetName val="dim scrap"/>
      <sheetName val="GRAF SCRAP"/>
      <sheetName val="dim bd"/>
      <sheetName val="GRAF BD"/>
      <sheetName val="Base GGGR"/>
    </sheetNames>
    <sheetDataSet>
      <sheetData sheetId="0" refreshError="1"/>
      <sheetData sheetId="1" refreshError="1"/>
      <sheetData sheetId="2">
        <row r="5">
          <cell r="A5">
            <v>41671</v>
          </cell>
        </row>
      </sheetData>
      <sheetData sheetId="3" refreshError="1"/>
      <sheetData sheetId="4" refreshError="1"/>
      <sheetData sheetId="5" refreshError="1"/>
      <sheetData sheetId="6" refreshError="1"/>
      <sheetData sheetId="7">
        <row r="5">
          <cell r="A5" t="str">
            <v>KRAUSS MAFFEI</v>
          </cell>
        </row>
      </sheetData>
      <sheetData sheetId="8" refreshError="1"/>
      <sheetData sheetId="9">
        <row r="3">
          <cell r="EZ3" t="str">
            <v>P,CSD,CR,22G,EA,28PCO,C,IMP</v>
          </cell>
        </row>
      </sheetData>
      <sheetData sheetId="10" refreshError="1"/>
      <sheetData sheetId="11">
        <row r="3">
          <cell r="A3" t="str">
            <v>Fecha</v>
          </cell>
        </row>
      </sheetData>
      <sheetData sheetId="12" refreshError="1"/>
      <sheetData sheetId="13">
        <row r="3">
          <cell r="A3" t="str">
            <v>Fecha</v>
          </cell>
        </row>
      </sheetData>
      <sheetData sheetId="14" refreshError="1"/>
      <sheetData sheetId="15" refreshError="1"/>
      <sheetData sheetId="16" refreshError="1"/>
      <sheetData sheetId="17">
        <row r="3">
          <cell r="A3" t="str">
            <v>Fecha</v>
          </cell>
        </row>
      </sheetData>
      <sheetData sheetId="18" refreshError="1"/>
      <sheetData sheetId="19">
        <row r="3">
          <cell r="A3" t="str">
            <v>Fecha</v>
          </cell>
        </row>
      </sheetData>
      <sheetData sheetId="20" refreshError="1"/>
      <sheetData sheetId="21">
        <row r="3">
          <cell r="A3" t="str">
            <v>Fecha</v>
          </cell>
        </row>
      </sheetData>
      <sheetData sheetId="22" refreshError="1"/>
      <sheetData sheetId="23">
        <row r="3">
          <cell r="A3" t="str">
            <v>Fecha</v>
          </cell>
        </row>
      </sheetData>
      <sheetData sheetId="24" refreshError="1"/>
      <sheetData sheetId="25">
        <row r="3">
          <cell r="A3" t="str">
            <v>Fecha</v>
          </cell>
        </row>
      </sheetData>
      <sheetData sheetId="26" refreshError="1"/>
      <sheetData sheetId="27">
        <row r="3">
          <cell r="A3" t="str">
            <v>Fecha</v>
          </cell>
        </row>
      </sheetData>
      <sheetData sheetId="28" refreshError="1"/>
      <sheetData sheetId="29">
        <row r="3">
          <cell r="A3" t="str">
            <v>Fecha</v>
          </cell>
        </row>
      </sheetData>
      <sheetData sheetId="30" refreshError="1"/>
      <sheetData sheetId="31" refreshError="1"/>
      <sheetData sheetId="32" refreshError="1"/>
      <sheetData sheetId="33" refreshError="1"/>
      <sheetData sheetId="34">
        <row r="96">
          <cell r="M96">
            <v>1.3959560554372476E-2</v>
          </cell>
        </row>
      </sheetData>
      <sheetData sheetId="35" refreshError="1"/>
      <sheetData sheetId="36" refreshError="1"/>
      <sheetData sheetId="37" refreshError="1"/>
      <sheetData sheetId="38" refreshError="1"/>
      <sheetData sheetId="39" refreshError="1"/>
      <sheetData sheetId="40">
        <row r="1">
          <cell r="B1" t="str">
            <v>REPORTE DE SCRAP POR CAUSA</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1">
          <cell r="A1" t="str">
            <v>P,CSD,VE,20.5G,JA,1881,M,HT,H</v>
          </cell>
          <cell r="E1" t="str">
            <v>WM</v>
          </cell>
        </row>
        <row r="2">
          <cell r="E2" t="str">
            <v>MP</v>
          </cell>
        </row>
        <row r="3">
          <cell r="E3" t="str">
            <v>PG</v>
          </cell>
        </row>
        <row r="4">
          <cell r="E4" t="str">
            <v>DV</v>
          </cell>
        </row>
        <row r="5">
          <cell r="E5" t="str">
            <v>FR</v>
          </cell>
        </row>
        <row r="6">
          <cell r="E6" t="str">
            <v>LE</v>
          </cell>
        </row>
        <row r="7">
          <cell r="E7" t="str">
            <v>GG</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to Feb"/>
      <sheetName val="RESUMEN FEB"/>
      <sheetName val="RESUMEN MARZO"/>
      <sheetName val="Historico"/>
      <sheetName val="RESUMEN ABRIL"/>
      <sheetName val="RESUMEN MAYO"/>
      <sheetName val="RESUMEN JUN"/>
      <sheetName val="RESUMEN JUL"/>
      <sheetName val="RESUMEN AGO"/>
      <sheetName val="RESUMEN SEP"/>
      <sheetName val="ENE"/>
      <sheetName val="FEB"/>
      <sheetName val="MAR"/>
      <sheetName val="ABR"/>
      <sheetName val="MAY"/>
      <sheetName val="JUN"/>
      <sheetName val="JUL"/>
      <sheetName val="AGO"/>
      <sheetName val="RESUMEN OCT"/>
      <sheetName val="SEP"/>
      <sheetName val="OCT"/>
      <sheetName val="RESUMEN NOV"/>
      <sheetName val="RESUMEN DIC"/>
      <sheetName val="NOV"/>
      <sheetName val="DIC"/>
      <sheetName val="inventarios"/>
      <sheetName val="CEAV"/>
      <sheetName val="nomina"/>
      <sheetName val="Vent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
          <cell r="A1" t="str">
            <v>ACTNUMST</v>
          </cell>
          <cell r="B1" t="str">
            <v>ACTDESCR</v>
          </cell>
          <cell r="C1">
            <v>0</v>
          </cell>
        </row>
        <row r="2">
          <cell r="A2" t="str">
            <v>00-11101-01-01</v>
          </cell>
          <cell r="B2" t="str">
            <v>Caja General</v>
          </cell>
          <cell r="C2">
            <v>0</v>
          </cell>
        </row>
        <row r="3">
          <cell r="A3" t="str">
            <v>00-11102-01-01</v>
          </cell>
          <cell r="B3" t="str">
            <v>Caja Chica Administrativa Guayaquil (Tesoreria)</v>
          </cell>
          <cell r="C3">
            <v>0</v>
          </cell>
        </row>
        <row r="4">
          <cell r="A4" t="str">
            <v>00-11102-02-01</v>
          </cell>
          <cell r="B4" t="str">
            <v>Caja Chica Planta Pascuales (Compras)</v>
          </cell>
          <cell r="C4">
            <v>0</v>
          </cell>
        </row>
        <row r="5">
          <cell r="A5" t="str">
            <v>00-11102-03-01</v>
          </cell>
          <cell r="B5" t="str">
            <v>Caja Chica Administrativa Quito</v>
          </cell>
          <cell r="C5">
            <v>0</v>
          </cell>
        </row>
        <row r="6">
          <cell r="A6" t="str">
            <v>00-11102-06-01</v>
          </cell>
          <cell r="B6" t="str">
            <v>Caja Chica Planta EBC GQUIL.</v>
          </cell>
          <cell r="C6">
            <v>0</v>
          </cell>
        </row>
        <row r="7">
          <cell r="A7" t="str">
            <v>00-11102-99-01</v>
          </cell>
          <cell r="B7" t="str">
            <v>Caja en Tránsito</v>
          </cell>
          <cell r="C7">
            <v>0</v>
          </cell>
        </row>
        <row r="8">
          <cell r="A8" t="str">
            <v>00-11201-02-01</v>
          </cell>
          <cell r="B8" t="str">
            <v>Banco Bolivariano Cta.Cte.# 5155759</v>
          </cell>
          <cell r="C8">
            <v>-28084.21</v>
          </cell>
        </row>
        <row r="9">
          <cell r="A9" t="str">
            <v>00-11201-03-01</v>
          </cell>
          <cell r="B9" t="str">
            <v>Banco de Guayaquil Cta.Cte.# 148727-2</v>
          </cell>
          <cell r="C9">
            <v>4482.9399999999996</v>
          </cell>
        </row>
        <row r="10">
          <cell r="A10" t="str">
            <v>00-11201-04-01</v>
          </cell>
          <cell r="B10" t="str">
            <v>Banco International Cta.Cte.# 100010011-8</v>
          </cell>
          <cell r="C10">
            <v>-1800.71</v>
          </cell>
        </row>
        <row r="11">
          <cell r="A11" t="str">
            <v>00-11201-05-01</v>
          </cell>
          <cell r="B11" t="str">
            <v>Banco Produbanco Cta.Cte.# 0200604829-1</v>
          </cell>
          <cell r="C11">
            <v>749718.95</v>
          </cell>
        </row>
        <row r="12">
          <cell r="A12" t="str">
            <v>00-11401-01-01</v>
          </cell>
          <cell r="B12" t="str">
            <v>Cuentas por Cobrar Clientes Locales</v>
          </cell>
          <cell r="C12">
            <v>780024.29</v>
          </cell>
        </row>
        <row r="13">
          <cell r="A13" t="str">
            <v>00-11402-01-01</v>
          </cell>
          <cell r="B13" t="str">
            <v>Otras Cuentas por Cobrar</v>
          </cell>
          <cell r="C13">
            <v>21602.77</v>
          </cell>
        </row>
        <row r="14">
          <cell r="A14" t="str">
            <v>00-11501-01-01</v>
          </cell>
          <cell r="B14" t="str">
            <v>Ctas.por Cobrar Accion.G.Menéndez R.</v>
          </cell>
          <cell r="C14">
            <v>-69185</v>
          </cell>
        </row>
        <row r="15">
          <cell r="A15" t="str">
            <v>00-11502-01-01</v>
          </cell>
          <cell r="B15" t="str">
            <v>Ctas.por Cobrar Cías.Relac.Milantop</v>
          </cell>
          <cell r="C15">
            <v>23047.21</v>
          </cell>
        </row>
        <row r="16">
          <cell r="A16" t="str">
            <v>00-11502-09-01</v>
          </cell>
          <cell r="B16" t="str">
            <v>Ctas.por Cobrar Cias. Relac .Amcor Venezuela</v>
          </cell>
          <cell r="C16">
            <v>-191769.49</v>
          </cell>
        </row>
        <row r="17">
          <cell r="A17" t="str">
            <v>00-11503-01-01</v>
          </cell>
          <cell r="B17" t="str">
            <v>Ctas.por Cobrar Empleados Administ.</v>
          </cell>
          <cell r="C17">
            <v>2195.67</v>
          </cell>
        </row>
        <row r="18">
          <cell r="A18" t="str">
            <v>00-11504-01-01</v>
          </cell>
          <cell r="B18" t="str">
            <v>Ctas.por Cobrar Empleados Planta</v>
          </cell>
          <cell r="C18">
            <v>663.01</v>
          </cell>
        </row>
        <row r="19">
          <cell r="A19" t="str">
            <v>00-11505-05-01</v>
          </cell>
          <cell r="B19" t="str">
            <v>Iva Pagado</v>
          </cell>
          <cell r="C19">
            <v>151851.62</v>
          </cell>
        </row>
        <row r="20">
          <cell r="A20" t="str">
            <v>00-11506-01-01</v>
          </cell>
          <cell r="B20" t="str">
            <v>Retención en La Fuente</v>
          </cell>
          <cell r="C20">
            <v>34818.06</v>
          </cell>
        </row>
        <row r="21">
          <cell r="A21" t="str">
            <v>00-11506-02-01</v>
          </cell>
          <cell r="B21" t="str">
            <v>Retención en la Fuente años anteriores</v>
          </cell>
          <cell r="C21">
            <v>-41489.46</v>
          </cell>
        </row>
        <row r="22">
          <cell r="A22" t="str">
            <v>00-11506-03-01</v>
          </cell>
          <cell r="B22" t="str">
            <v>Credito Tributario</v>
          </cell>
          <cell r="C22">
            <v>-212279.18</v>
          </cell>
        </row>
        <row r="23">
          <cell r="A23" t="str">
            <v>00-11507-01-01</v>
          </cell>
          <cell r="B23" t="str">
            <v>Reclamos por Cobrar</v>
          </cell>
          <cell r="C23">
            <v>-5885.23</v>
          </cell>
        </row>
        <row r="24">
          <cell r="A24" t="str">
            <v>00-11508-01-01</v>
          </cell>
          <cell r="B24" t="str">
            <v>Depósitos en Garantía</v>
          </cell>
          <cell r="C24">
            <v>-2641.89</v>
          </cell>
        </row>
        <row r="25">
          <cell r="A25" t="str">
            <v>00-11509-01-01</v>
          </cell>
          <cell r="B25" t="str">
            <v>Anticipo Proveedores</v>
          </cell>
          <cell r="C25">
            <v>4013.69</v>
          </cell>
        </row>
        <row r="26">
          <cell r="A26" t="str">
            <v>00-11509-03-01</v>
          </cell>
          <cell r="B26" t="str">
            <v>Otros Anticipos</v>
          </cell>
          <cell r="C26">
            <v>-400</v>
          </cell>
        </row>
        <row r="27">
          <cell r="A27" t="str">
            <v>00-11509-04-01</v>
          </cell>
          <cell r="B27" t="str">
            <v>Anticipo Proveedores del Exterior</v>
          </cell>
          <cell r="C27">
            <v>-23758.55</v>
          </cell>
        </row>
        <row r="28">
          <cell r="A28" t="str">
            <v>00-11514-01-01</v>
          </cell>
          <cell r="B28" t="str">
            <v>Anticipos Prov. Locales - Compras</v>
          </cell>
          <cell r="C28">
            <v>-4396.33</v>
          </cell>
        </row>
        <row r="29">
          <cell r="A29" t="str">
            <v>00-11515-01-01</v>
          </cell>
          <cell r="B29" t="str">
            <v>Anticipo Prov. Exterior - Compras</v>
          </cell>
          <cell r="C29">
            <v>-140830.6</v>
          </cell>
        </row>
        <row r="30">
          <cell r="A30" t="str">
            <v>00-11601-01-01</v>
          </cell>
          <cell r="B30" t="str">
            <v>Invent.Prod.Termin. Preformas Nacional</v>
          </cell>
          <cell r="C30">
            <v>-81988.639999999999</v>
          </cell>
        </row>
        <row r="31">
          <cell r="A31" t="str">
            <v>00-11601-02-01</v>
          </cell>
          <cell r="B31" t="str">
            <v>Invent.Prod.Term. Preformas Importadas</v>
          </cell>
          <cell r="C31">
            <v>-131259.60999999999</v>
          </cell>
        </row>
        <row r="32">
          <cell r="A32" t="str">
            <v>00-11601-03-01</v>
          </cell>
          <cell r="B32" t="str">
            <v>Invent.Prod.Termin. Envases Nacional</v>
          </cell>
          <cell r="C32">
            <v>-38107.300000000003</v>
          </cell>
        </row>
        <row r="33">
          <cell r="A33" t="str">
            <v>00-11601-03-02</v>
          </cell>
          <cell r="B33" t="str">
            <v>Invent.Prod.Term.Envases Import.</v>
          </cell>
          <cell r="C33">
            <v>-21487.360000000001</v>
          </cell>
        </row>
        <row r="34">
          <cell r="A34" t="str">
            <v>00-11601-03-03</v>
          </cell>
          <cell r="B34" t="str">
            <v>Invent.Prod.Termin. Envases EBC GYE.</v>
          </cell>
          <cell r="C34">
            <v>31569.22</v>
          </cell>
        </row>
        <row r="35">
          <cell r="A35" t="str">
            <v>00-11601-03-04</v>
          </cell>
          <cell r="B35" t="str">
            <v>Invent.Prod.Termin. Envases EBC UIO</v>
          </cell>
          <cell r="C35">
            <v>-16584.169999999998</v>
          </cell>
        </row>
        <row r="36">
          <cell r="A36" t="str">
            <v>00-11601-03-05</v>
          </cell>
          <cell r="B36" t="str">
            <v>Invent. Prod. Termin. Envases Delta</v>
          </cell>
          <cell r="C36">
            <v>7031.76</v>
          </cell>
        </row>
        <row r="37">
          <cell r="A37" t="str">
            <v>00-11601-04-01</v>
          </cell>
          <cell r="B37" t="str">
            <v>Invent.Prod.Term. Preformas Ebc Guayaquil</v>
          </cell>
          <cell r="C37">
            <v>720999.98</v>
          </cell>
        </row>
        <row r="38">
          <cell r="A38" t="str">
            <v>00-11601-04-02</v>
          </cell>
          <cell r="B38" t="str">
            <v>Invent.Prod.Term. Preformas EBC Quito</v>
          </cell>
          <cell r="C38">
            <v>-472936.86</v>
          </cell>
        </row>
        <row r="39">
          <cell r="A39" t="str">
            <v>00-11602-01-01</v>
          </cell>
          <cell r="B39" t="str">
            <v>Invent.Prod.Inyecc.en Proceso Preformas</v>
          </cell>
          <cell r="C39">
            <v>4429.04</v>
          </cell>
        </row>
        <row r="40">
          <cell r="A40" t="str">
            <v>00-11602-01-02</v>
          </cell>
          <cell r="B40" t="str">
            <v>Invent.Prod.Inyecc.en Proceso - Resina</v>
          </cell>
          <cell r="C40">
            <v>-45433.67</v>
          </cell>
        </row>
        <row r="41">
          <cell r="A41" t="str">
            <v>00-11602-02-01</v>
          </cell>
          <cell r="B41" t="str">
            <v>Invent.Prod.Soplado en Proceso Envases</v>
          </cell>
          <cell r="C41">
            <v>-2982.24</v>
          </cell>
        </row>
        <row r="42">
          <cell r="A42" t="str">
            <v>00-11602-02-02</v>
          </cell>
          <cell r="B42" t="str">
            <v>Invent.Prod.Soplado en Proceso - Preformas</v>
          </cell>
          <cell r="C42">
            <v>17260.45</v>
          </cell>
        </row>
        <row r="43">
          <cell r="A43" t="str">
            <v>00-11603-01-01</v>
          </cell>
          <cell r="B43" t="str">
            <v>Invent.Mater.Prima Resina</v>
          </cell>
          <cell r="C43">
            <v>84182.8</v>
          </cell>
        </row>
        <row r="44">
          <cell r="A44" t="str">
            <v>00-11603-02-01</v>
          </cell>
          <cell r="B44" t="str">
            <v>Invent.Mater.Prima Pigmentos</v>
          </cell>
          <cell r="C44">
            <v>21230.93</v>
          </cell>
        </row>
        <row r="45">
          <cell r="A45" t="str">
            <v>00-11604-01-01</v>
          </cell>
          <cell r="B45" t="str">
            <v>Invent.Material de Embalaje</v>
          </cell>
          <cell r="C45">
            <v>-7466.5</v>
          </cell>
        </row>
        <row r="46">
          <cell r="A46" t="str">
            <v>00-11610-01-01</v>
          </cell>
          <cell r="B46" t="str">
            <v>Amortización Inventarios Obsoletos</v>
          </cell>
          <cell r="C46">
            <v>-9555.9</v>
          </cell>
        </row>
        <row r="47">
          <cell r="A47" t="str">
            <v>00-11701-11-01</v>
          </cell>
          <cell r="B47" t="str">
            <v>Seguro Amcor</v>
          </cell>
          <cell r="C47">
            <v>60000</v>
          </cell>
        </row>
        <row r="48">
          <cell r="A48" t="str">
            <v>00-11701-11-02</v>
          </cell>
          <cell r="B48" t="str">
            <v>Amortiz.Acum.Seguros Amcor</v>
          </cell>
          <cell r="C48">
            <v>-5000</v>
          </cell>
        </row>
        <row r="49">
          <cell r="A49" t="str">
            <v>00-11801-01-01</v>
          </cell>
          <cell r="B49" t="str">
            <v>Resina y Pigmentos</v>
          </cell>
          <cell r="C49">
            <v>-314585.12</v>
          </cell>
        </row>
        <row r="50">
          <cell r="A50" t="str">
            <v>00-11901-01-01</v>
          </cell>
          <cell r="B50" t="str">
            <v>Preforma</v>
          </cell>
          <cell r="C50">
            <v>10683.39</v>
          </cell>
        </row>
        <row r="51">
          <cell r="A51" t="str">
            <v>00-12001-01-01</v>
          </cell>
          <cell r="B51" t="str">
            <v>Repuestos</v>
          </cell>
          <cell r="C51">
            <v>68747.460000000006</v>
          </cell>
        </row>
        <row r="52">
          <cell r="A52" t="str">
            <v>00-12201-02-01</v>
          </cell>
          <cell r="B52" t="str">
            <v>Depreciac.Acumul.Edificio</v>
          </cell>
          <cell r="C52">
            <v>-74.33</v>
          </cell>
        </row>
        <row r="53">
          <cell r="A53" t="str">
            <v>00-12202-02-01</v>
          </cell>
          <cell r="B53" t="str">
            <v>Depreciac.Acumul.Instalaciones</v>
          </cell>
          <cell r="C53">
            <v>-17787.580000000002</v>
          </cell>
        </row>
        <row r="54">
          <cell r="A54" t="str">
            <v>00-12203-01-01</v>
          </cell>
          <cell r="B54" t="str">
            <v>Maquinarias y Equipos</v>
          </cell>
          <cell r="C54">
            <v>0</v>
          </cell>
        </row>
        <row r="55">
          <cell r="A55" t="str">
            <v>00-12203-02-01</v>
          </cell>
          <cell r="B55" t="str">
            <v>Depreciac.Acumul.Maquinarias y Equipos</v>
          </cell>
          <cell r="C55">
            <v>-189534.77</v>
          </cell>
        </row>
        <row r="56">
          <cell r="A56" t="str">
            <v>00-12204-02-01</v>
          </cell>
          <cell r="B56" t="str">
            <v>Depreciac.Acumul.Equipos de Oficina</v>
          </cell>
          <cell r="C56">
            <v>-2030.25</v>
          </cell>
        </row>
        <row r="57">
          <cell r="A57" t="str">
            <v>00-12205-02-01</v>
          </cell>
          <cell r="B57" t="str">
            <v>Depreciac.Acumul.Muebles y Enseres</v>
          </cell>
          <cell r="C57">
            <v>-524.89</v>
          </cell>
        </row>
        <row r="58">
          <cell r="A58" t="str">
            <v>00-12206-02-01</v>
          </cell>
          <cell r="B58" t="str">
            <v>Depreciac.Acumul.Equipos de Computación</v>
          </cell>
          <cell r="C58">
            <v>-5638.52</v>
          </cell>
        </row>
        <row r="59">
          <cell r="A59" t="str">
            <v>00-12207-01-01</v>
          </cell>
          <cell r="B59" t="str">
            <v>Vehiculos</v>
          </cell>
          <cell r="C59">
            <v>-91431.73</v>
          </cell>
        </row>
        <row r="60">
          <cell r="A60" t="str">
            <v>00-12207-02-01</v>
          </cell>
          <cell r="B60" t="str">
            <v>Depreciac.Acumul.Vehiculos</v>
          </cell>
          <cell r="C60">
            <v>42214.96</v>
          </cell>
        </row>
        <row r="61">
          <cell r="A61" t="str">
            <v>00-12208-02-01</v>
          </cell>
          <cell r="B61" t="str">
            <v>Depreciac.Acumul.Equipos de Laboratorio</v>
          </cell>
          <cell r="C61">
            <v>-2417.14</v>
          </cell>
        </row>
        <row r="62">
          <cell r="A62" t="str">
            <v>00-12209-02-01</v>
          </cell>
          <cell r="B62" t="str">
            <v>Depreciac.Acumul.Herramientas</v>
          </cell>
          <cell r="C62">
            <v>-3114.04</v>
          </cell>
        </row>
        <row r="63">
          <cell r="A63" t="str">
            <v>00-12210-18-01</v>
          </cell>
          <cell r="B63" t="str">
            <v>CEAV 05/06 ECU#04 Sidel-Peru-hr</v>
          </cell>
          <cell r="C63">
            <v>768.8</v>
          </cell>
        </row>
        <row r="64">
          <cell r="A64" t="str">
            <v>00-12210-22-01</v>
          </cell>
          <cell r="B64" t="str">
            <v>CEAV 05/06 ECU#08 Sidel EBC-Gyq.</v>
          </cell>
          <cell r="C64">
            <v>0</v>
          </cell>
        </row>
        <row r="65">
          <cell r="A65" t="str">
            <v>00-12210-23-01</v>
          </cell>
          <cell r="B65" t="str">
            <v>CEAV 05/06 ECU#09 Sidel Pascuales</v>
          </cell>
          <cell r="C65">
            <v>79716.160000000003</v>
          </cell>
        </row>
        <row r="66">
          <cell r="A66" t="str">
            <v>00-12210-29-01</v>
          </cell>
          <cell r="B66" t="str">
            <v>CEAV 05/06 ECU#15 Improve Injection machines condi</v>
          </cell>
          <cell r="C66">
            <v>29882.58</v>
          </cell>
        </row>
        <row r="67">
          <cell r="A67" t="str">
            <v>00-12210-42-01</v>
          </cell>
          <cell r="B67" t="str">
            <v>CEAV 06/07 ECU#01</v>
          </cell>
          <cell r="C67">
            <v>14477.96</v>
          </cell>
        </row>
        <row r="68">
          <cell r="A68" t="str">
            <v>00-12210-43-01</v>
          </cell>
          <cell r="B68" t="str">
            <v>CEAV 06/07 ECU#04 Transfer SBO-10 Quito</v>
          </cell>
          <cell r="C68">
            <v>252058.79</v>
          </cell>
        </row>
        <row r="69">
          <cell r="A69" t="str">
            <v>00-13102-01-01</v>
          </cell>
          <cell r="B69" t="str">
            <v>Otros Cargos Diferidos</v>
          </cell>
          <cell r="C69">
            <v>20000</v>
          </cell>
        </row>
        <row r="70">
          <cell r="A70" t="str">
            <v>00-13102-01-02</v>
          </cell>
          <cell r="B70" t="str">
            <v>Amortizac.Acum.OO.Cargos Diferidos</v>
          </cell>
          <cell r="C70">
            <v>-5201.57</v>
          </cell>
        </row>
        <row r="71">
          <cell r="A71" t="str">
            <v>00-13103-05-02</v>
          </cell>
          <cell r="B71" t="str">
            <v>Amort. Gastos en Software</v>
          </cell>
          <cell r="C71">
            <v>-663.82</v>
          </cell>
        </row>
        <row r="72">
          <cell r="A72" t="str">
            <v>00-21202-01-01</v>
          </cell>
          <cell r="B72" t="str">
            <v>Obligac. Bco.Guayaquil</v>
          </cell>
          <cell r="C72">
            <v>3438.71</v>
          </cell>
        </row>
        <row r="73">
          <cell r="A73" t="str">
            <v>00-21202-02-01</v>
          </cell>
          <cell r="B73" t="str">
            <v>Oblig. Bco Internac.Cont.# 100304385</v>
          </cell>
          <cell r="C73">
            <v>905.92</v>
          </cell>
        </row>
        <row r="74">
          <cell r="A74" t="str">
            <v>00-21202-06-01</v>
          </cell>
          <cell r="B74" t="str">
            <v>Oblig. Bco. Produbanco</v>
          </cell>
          <cell r="C74">
            <v>2679.83</v>
          </cell>
        </row>
        <row r="75">
          <cell r="A75" t="str">
            <v>00-21205-01-01</v>
          </cell>
          <cell r="B75" t="str">
            <v>Intereses por Pagar</v>
          </cell>
          <cell r="C75">
            <v>-3678.18</v>
          </cell>
        </row>
        <row r="76">
          <cell r="A76" t="str">
            <v>00-21205-02-01</v>
          </cell>
          <cell r="B76" t="str">
            <v>INTERESES POR PAGAR AMCOR</v>
          </cell>
          <cell r="C76">
            <v>-105259.6</v>
          </cell>
        </row>
        <row r="77">
          <cell r="A77" t="str">
            <v>00-21301-01-01</v>
          </cell>
          <cell r="B77" t="str">
            <v>Proveedores Locales</v>
          </cell>
          <cell r="C77">
            <v>-48733.05</v>
          </cell>
        </row>
        <row r="78">
          <cell r="A78" t="str">
            <v>00-21301-20-01</v>
          </cell>
          <cell r="B78" t="str">
            <v>Provisión Auditoría Regional KPMG</v>
          </cell>
          <cell r="C78">
            <v>-20000</v>
          </cell>
        </row>
        <row r="79">
          <cell r="A79" t="str">
            <v>00-21301-21-01</v>
          </cell>
          <cell r="B79" t="str">
            <v>Compolan S.A.</v>
          </cell>
          <cell r="C79">
            <v>-0.05</v>
          </cell>
        </row>
        <row r="80">
          <cell r="A80" t="str">
            <v>00-21302-01-01</v>
          </cell>
          <cell r="B80" t="str">
            <v>Proveedores del Exterior</v>
          </cell>
          <cell r="C80">
            <v>-388570.97</v>
          </cell>
        </row>
        <row r="81">
          <cell r="A81" t="str">
            <v>00-21402-14-01</v>
          </cell>
          <cell r="B81" t="str">
            <v>AMCOR USA</v>
          </cell>
          <cell r="C81">
            <v>-273275</v>
          </cell>
        </row>
        <row r="82">
          <cell r="A82" t="str">
            <v>00-21402-15-01</v>
          </cell>
          <cell r="B82" t="str">
            <v>AMCOR COLOMBIA</v>
          </cell>
          <cell r="C82">
            <v>-19375.04</v>
          </cell>
        </row>
        <row r="83">
          <cell r="A83" t="str">
            <v>00-21402-16-01</v>
          </cell>
          <cell r="B83" t="str">
            <v>AMCOR MANCHESTER</v>
          </cell>
          <cell r="C83">
            <v>-17848.990000000002</v>
          </cell>
        </row>
        <row r="84">
          <cell r="A84" t="str">
            <v>00-21402-19-01</v>
          </cell>
          <cell r="B84" t="str">
            <v>AMCOR EL SALVADOR</v>
          </cell>
          <cell r="C84">
            <v>-4886.7700000000004</v>
          </cell>
        </row>
        <row r="85">
          <cell r="A85" t="str">
            <v>00-21404-01-01</v>
          </cell>
          <cell r="B85" t="str">
            <v>Cuentas por Liquidar</v>
          </cell>
          <cell r="C85">
            <v>-10961.21</v>
          </cell>
        </row>
        <row r="86">
          <cell r="A86" t="str">
            <v>00-21405-01-01</v>
          </cell>
          <cell r="B86" t="str">
            <v>Acreedores Varios</v>
          </cell>
          <cell r="C86">
            <v>8619.0400000000009</v>
          </cell>
        </row>
        <row r="87">
          <cell r="A87" t="str">
            <v>00-21405-02-01</v>
          </cell>
          <cell r="B87" t="str">
            <v>Anticipo de Clientes</v>
          </cell>
          <cell r="C87">
            <v>54045</v>
          </cell>
        </row>
        <row r="88">
          <cell r="A88" t="str">
            <v>00-21405-05-01</v>
          </cell>
          <cell r="B88" t="str">
            <v>REBATE EBC</v>
          </cell>
          <cell r="C88">
            <v>-63871</v>
          </cell>
        </row>
        <row r="89">
          <cell r="A89" t="str">
            <v>00-21501-01-01</v>
          </cell>
          <cell r="B89" t="str">
            <v>I.V.A. Cobrado</v>
          </cell>
          <cell r="C89">
            <v>-52916.06</v>
          </cell>
        </row>
        <row r="90">
          <cell r="A90" t="str">
            <v>00-21501-03-01</v>
          </cell>
          <cell r="B90" t="str">
            <v>30% I.V.A. Retenido</v>
          </cell>
          <cell r="C90">
            <v>585.17999999999995</v>
          </cell>
        </row>
        <row r="91">
          <cell r="A91" t="str">
            <v>00-21501-04-01</v>
          </cell>
          <cell r="B91" t="str">
            <v>70% I.V.A. Retenido</v>
          </cell>
          <cell r="C91">
            <v>3138.23</v>
          </cell>
        </row>
        <row r="92">
          <cell r="A92" t="str">
            <v>00-21501-05-01</v>
          </cell>
          <cell r="B92" t="str">
            <v>100% I.V.A. Retenido</v>
          </cell>
          <cell r="C92">
            <v>1756.93</v>
          </cell>
        </row>
        <row r="93">
          <cell r="A93" t="str">
            <v>00-21502-01-01</v>
          </cell>
          <cell r="B93" t="str">
            <v>Retencion del 1% compra</v>
          </cell>
          <cell r="C93">
            <v>-2117.11</v>
          </cell>
        </row>
        <row r="94">
          <cell r="A94" t="str">
            <v>00-21502-02-01</v>
          </cell>
          <cell r="B94" t="str">
            <v>Retencion del 5% compra</v>
          </cell>
          <cell r="C94">
            <v>0</v>
          </cell>
        </row>
        <row r="95">
          <cell r="A95" t="str">
            <v>00-21502-03-01</v>
          </cell>
          <cell r="B95" t="str">
            <v>Retencion del 8% compra</v>
          </cell>
          <cell r="C95">
            <v>975.47</v>
          </cell>
        </row>
        <row r="96">
          <cell r="A96" t="str">
            <v>00-21502-05-01</v>
          </cell>
          <cell r="B96" t="str">
            <v>Retención del 0,1% compra</v>
          </cell>
          <cell r="C96">
            <v>20</v>
          </cell>
        </row>
        <row r="97">
          <cell r="A97" t="str">
            <v>00-21502-06-01</v>
          </cell>
          <cell r="B97" t="str">
            <v>Retención Impto.Renta Sueldos</v>
          </cell>
          <cell r="C97">
            <v>19.93</v>
          </cell>
        </row>
        <row r="98">
          <cell r="A98" t="str">
            <v>00-21601-01-01</v>
          </cell>
          <cell r="B98" t="str">
            <v>Aporte Individual</v>
          </cell>
          <cell r="C98">
            <v>-1488.23</v>
          </cell>
        </row>
        <row r="99">
          <cell r="A99" t="str">
            <v>00-21601-02-01</v>
          </cell>
          <cell r="B99" t="str">
            <v>Prestamos al Iess</v>
          </cell>
          <cell r="C99">
            <v>-577.73</v>
          </cell>
        </row>
        <row r="100">
          <cell r="A100" t="str">
            <v>00-21601-03-01</v>
          </cell>
          <cell r="B100" t="str">
            <v>Tribunal de Menores</v>
          </cell>
          <cell r="C100">
            <v>192</v>
          </cell>
        </row>
        <row r="101">
          <cell r="A101" t="str">
            <v>00-21601-05-01</v>
          </cell>
          <cell r="B101" t="str">
            <v>Fondo de Empleados</v>
          </cell>
          <cell r="C101">
            <v>10.93</v>
          </cell>
        </row>
        <row r="102">
          <cell r="A102" t="str">
            <v>00-21602-01-01</v>
          </cell>
          <cell r="B102" t="str">
            <v>Nominas por pagar</v>
          </cell>
          <cell r="C102">
            <v>-40.840000000000003</v>
          </cell>
        </row>
        <row r="103">
          <cell r="A103" t="str">
            <v>00-21602-02-01</v>
          </cell>
          <cell r="B103" t="str">
            <v>Aporte Patronal</v>
          </cell>
          <cell r="C103">
            <v>-1765.05</v>
          </cell>
        </row>
        <row r="104">
          <cell r="A104" t="str">
            <v>00-21602-03-01</v>
          </cell>
          <cell r="B104" t="str">
            <v>Décimo Tercer Sueldo</v>
          </cell>
          <cell r="C104">
            <v>-7361.41</v>
          </cell>
        </row>
        <row r="105">
          <cell r="A105" t="str">
            <v>00-21602-04-01</v>
          </cell>
          <cell r="B105" t="str">
            <v>Décimo Cuarto Sueldo</v>
          </cell>
          <cell r="C105">
            <v>-2203.4499999999998</v>
          </cell>
        </row>
        <row r="106">
          <cell r="A106" t="str">
            <v>00-21602-08-01</v>
          </cell>
          <cell r="B106" t="str">
            <v>Vacaciones</v>
          </cell>
          <cell r="C106">
            <v>-3680.75</v>
          </cell>
        </row>
        <row r="107">
          <cell r="A107" t="str">
            <v>00-21602-10-01</v>
          </cell>
          <cell r="B107" t="str">
            <v>Multas</v>
          </cell>
          <cell r="C107">
            <v>-10.93</v>
          </cell>
        </row>
        <row r="108">
          <cell r="A108" t="str">
            <v>00-22301-07-01</v>
          </cell>
          <cell r="B108" t="str">
            <v>Doctos.por Pagar L.Plazo - Amcor  USA</v>
          </cell>
          <cell r="C108">
            <v>-17000</v>
          </cell>
        </row>
        <row r="109">
          <cell r="A109" t="str">
            <v>00-41101-01-01</v>
          </cell>
          <cell r="B109" t="str">
            <v>Venta de Envases Retornables P.E.T</v>
          </cell>
          <cell r="C109">
            <v>-803186.55</v>
          </cell>
        </row>
        <row r="110">
          <cell r="A110" t="str">
            <v>00-41101-02-01</v>
          </cell>
          <cell r="B110" t="str">
            <v>Venta de Envases No Retornables P.R.B</v>
          </cell>
          <cell r="C110">
            <v>-2963510.32</v>
          </cell>
        </row>
        <row r="111">
          <cell r="A111" t="str">
            <v>00-41102-01-01</v>
          </cell>
          <cell r="B111" t="str">
            <v>Venta de Preformas Nacionales</v>
          </cell>
          <cell r="C111">
            <v>-609176.48</v>
          </cell>
        </row>
        <row r="112">
          <cell r="A112" t="str">
            <v>00-41102-02-01</v>
          </cell>
          <cell r="B112" t="str">
            <v>Venta de Preformas Importadas</v>
          </cell>
          <cell r="C112">
            <v>-61001.15</v>
          </cell>
        </row>
        <row r="113">
          <cell r="A113" t="str">
            <v>00-41102-03-01</v>
          </cell>
          <cell r="B113" t="str">
            <v>Ventas de Preformas Nacionales a Intercompañía</v>
          </cell>
          <cell r="C113">
            <v>-341206.77</v>
          </cell>
        </row>
        <row r="114">
          <cell r="A114" t="str">
            <v>00-41106-01-01</v>
          </cell>
          <cell r="B114" t="str">
            <v>Venta de Material Reciclaje</v>
          </cell>
          <cell r="C114">
            <v>-14595.01</v>
          </cell>
        </row>
        <row r="115">
          <cell r="A115" t="str">
            <v>00-42101-01-01</v>
          </cell>
          <cell r="B115" t="str">
            <v>Descuentos y devoluciones sobre Ventas</v>
          </cell>
          <cell r="C115">
            <v>986833.02</v>
          </cell>
        </row>
        <row r="116">
          <cell r="A116" t="str">
            <v>00-42101-05-01</v>
          </cell>
          <cell r="B116" t="str">
            <v>Descuentos y devoluciones sobre ventas Reciclado</v>
          </cell>
          <cell r="C116">
            <v>1016.21</v>
          </cell>
        </row>
        <row r="117">
          <cell r="A117" t="str">
            <v>00-42101-06-01</v>
          </cell>
          <cell r="B117" t="str">
            <v>Descuentos EBC</v>
          </cell>
          <cell r="C117">
            <v>63871</v>
          </cell>
        </row>
        <row r="118">
          <cell r="A118" t="str">
            <v>00-43401-01-06</v>
          </cell>
          <cell r="B118" t="str">
            <v>Venta de Maquinarias y Equipos (GW)</v>
          </cell>
          <cell r="C118">
            <v>-62500</v>
          </cell>
        </row>
        <row r="119">
          <cell r="A119" t="str">
            <v>00-51101-01-01</v>
          </cell>
          <cell r="B119" t="str">
            <v>Costo de Venta  Envases Nacionales</v>
          </cell>
          <cell r="C119">
            <v>1368812.34</v>
          </cell>
        </row>
        <row r="120">
          <cell r="A120" t="str">
            <v>00-51101-02-01</v>
          </cell>
          <cell r="B120" t="str">
            <v>Costo de Venta  Envases Importados</v>
          </cell>
          <cell r="C120">
            <v>233786.19</v>
          </cell>
        </row>
        <row r="121">
          <cell r="A121" t="str">
            <v>00-51102-01-01</v>
          </cell>
          <cell r="B121" t="str">
            <v>Costo de Venta Preformas Nacionales</v>
          </cell>
          <cell r="C121">
            <v>417570.07</v>
          </cell>
        </row>
        <row r="122">
          <cell r="A122" t="str">
            <v>00-51102-02-01</v>
          </cell>
          <cell r="B122" t="str">
            <v>Costo de Venta Preformas Importadas</v>
          </cell>
          <cell r="C122">
            <v>41526.629999999997</v>
          </cell>
        </row>
        <row r="123">
          <cell r="A123" t="str">
            <v>00-51102-03-01</v>
          </cell>
          <cell r="B123" t="str">
            <v>Costo de Ventas Preformas Intercompañía</v>
          </cell>
          <cell r="C123">
            <v>220053.36</v>
          </cell>
        </row>
        <row r="124">
          <cell r="A124" t="str">
            <v>00-51104-01-01</v>
          </cell>
          <cell r="B124" t="str">
            <v>Subcontract- Variance</v>
          </cell>
          <cell r="C124">
            <v>65950.7</v>
          </cell>
        </row>
        <row r="125">
          <cell r="A125" t="str">
            <v>00-51110-01-01</v>
          </cell>
          <cell r="B125" t="str">
            <v>Costo de  Pigmento</v>
          </cell>
          <cell r="C125">
            <v>7469.15</v>
          </cell>
        </row>
        <row r="126">
          <cell r="A126" t="str">
            <v>00-52102-03-01</v>
          </cell>
          <cell r="B126" t="str">
            <v>Inv. Producto Obsoleto</v>
          </cell>
          <cell r="C126">
            <v>9555.9</v>
          </cell>
        </row>
        <row r="127">
          <cell r="A127" t="str">
            <v>00-52103-01-01</v>
          </cell>
          <cell r="B127" t="str">
            <v>Plástico Pascuales</v>
          </cell>
          <cell r="C127">
            <v>7247.19</v>
          </cell>
        </row>
        <row r="128">
          <cell r="A128" t="str">
            <v>00-52103-02-01</v>
          </cell>
          <cell r="B128" t="str">
            <v>Expandible Pascuales</v>
          </cell>
          <cell r="C128">
            <v>5556.6</v>
          </cell>
        </row>
        <row r="129">
          <cell r="A129" t="str">
            <v>00-52103-02-02</v>
          </cell>
          <cell r="B129" t="str">
            <v>Expandible EBC Gquil</v>
          </cell>
          <cell r="C129">
            <v>6977.6</v>
          </cell>
        </row>
        <row r="130">
          <cell r="A130" t="str">
            <v>00-52103-02-03</v>
          </cell>
          <cell r="B130" t="str">
            <v>Expandible EBC Quito</v>
          </cell>
          <cell r="C130">
            <v>2959.6</v>
          </cell>
        </row>
        <row r="131">
          <cell r="A131" t="str">
            <v>00-52103-03-01</v>
          </cell>
          <cell r="B131" t="str">
            <v>Cinta de embalaje Pascuales</v>
          </cell>
          <cell r="C131">
            <v>1108.08</v>
          </cell>
        </row>
        <row r="132">
          <cell r="A132" t="str">
            <v>00-52103-03-03</v>
          </cell>
          <cell r="B132" t="str">
            <v>Cinta de embalaje EBC Quito</v>
          </cell>
          <cell r="C132">
            <v>233.28</v>
          </cell>
        </row>
        <row r="133">
          <cell r="A133" t="str">
            <v>00-52103-04-01</v>
          </cell>
          <cell r="B133" t="str">
            <v>Zunchos Pascuales</v>
          </cell>
          <cell r="C133">
            <v>1180.8</v>
          </cell>
        </row>
        <row r="134">
          <cell r="A134" t="str">
            <v>00-52103-04-02</v>
          </cell>
          <cell r="B134" t="str">
            <v>Zunchos EBC Gquil</v>
          </cell>
          <cell r="C134">
            <v>123</v>
          </cell>
        </row>
        <row r="135">
          <cell r="A135" t="str">
            <v>00-52103-04-03</v>
          </cell>
          <cell r="B135" t="str">
            <v>Zunchos EBC Quito</v>
          </cell>
          <cell r="C135">
            <v>246</v>
          </cell>
        </row>
        <row r="136">
          <cell r="A136" t="str">
            <v>00-52103-05-01</v>
          </cell>
          <cell r="B136" t="str">
            <v>Grapas para zuncho Pascuales</v>
          </cell>
          <cell r="C136">
            <v>212.5</v>
          </cell>
        </row>
        <row r="137">
          <cell r="A137" t="str">
            <v>00-52103-05-03</v>
          </cell>
          <cell r="B137" t="str">
            <v>Grapas para zuncho EBC Quito</v>
          </cell>
          <cell r="C137">
            <v>50</v>
          </cell>
        </row>
        <row r="138">
          <cell r="A138" t="str">
            <v>00-52103-06-01</v>
          </cell>
          <cell r="B138" t="str">
            <v>Pallets Pascuales</v>
          </cell>
          <cell r="C138">
            <v>5936</v>
          </cell>
        </row>
        <row r="139">
          <cell r="A139" t="str">
            <v>00-52103-07-01</v>
          </cell>
          <cell r="B139" t="str">
            <v>Cajas para preformas Pascuales</v>
          </cell>
          <cell r="C139">
            <v>21085.68</v>
          </cell>
        </row>
        <row r="140">
          <cell r="A140" t="str">
            <v>00-52103-10-01</v>
          </cell>
          <cell r="B140" t="str">
            <v>Tapas para Cartón Pascuales</v>
          </cell>
          <cell r="C140">
            <v>2465.62</v>
          </cell>
        </row>
        <row r="141">
          <cell r="A141" t="str">
            <v>00-52103-11-01</v>
          </cell>
          <cell r="B141" t="str">
            <v>Esquineros Pascuales</v>
          </cell>
          <cell r="C141">
            <v>409.5</v>
          </cell>
        </row>
        <row r="142">
          <cell r="A142" t="str">
            <v>00-52103-14-01</v>
          </cell>
          <cell r="B142" t="str">
            <v>Láminas de Cartón Pascuales</v>
          </cell>
          <cell r="C142">
            <v>2200.0700000000002</v>
          </cell>
        </row>
        <row r="143">
          <cell r="A143" t="str">
            <v>00-52103-14-03</v>
          </cell>
          <cell r="B143" t="str">
            <v>Láminas de Cartón EBC Quito</v>
          </cell>
          <cell r="C143">
            <v>418.5</v>
          </cell>
        </row>
        <row r="144">
          <cell r="A144" t="str">
            <v>00-52103-15-01</v>
          </cell>
          <cell r="B144" t="str">
            <v>Marco de madera Pascuales</v>
          </cell>
          <cell r="C144">
            <v>118.4</v>
          </cell>
        </row>
        <row r="145">
          <cell r="A145" t="str">
            <v>00-52103-18-01</v>
          </cell>
          <cell r="B145" t="str">
            <v>Bandejas Pascuales</v>
          </cell>
          <cell r="C145">
            <v>9828</v>
          </cell>
        </row>
        <row r="146">
          <cell r="A146" t="str">
            <v>00-52103-18-03</v>
          </cell>
          <cell r="B146" t="str">
            <v>Bandejas EBC Quito</v>
          </cell>
          <cell r="C146">
            <v>4504.5</v>
          </cell>
        </row>
        <row r="147">
          <cell r="A147" t="str">
            <v>00-52103-27-01</v>
          </cell>
          <cell r="B147" t="str">
            <v>Pegamento Fuller Pascuales</v>
          </cell>
          <cell r="C147">
            <v>295.2</v>
          </cell>
        </row>
        <row r="148">
          <cell r="A148" t="str">
            <v>00-52103-27-02</v>
          </cell>
          <cell r="B148" t="str">
            <v>Pegamento Fuller EBC Gquil</v>
          </cell>
          <cell r="C148">
            <v>639.6</v>
          </cell>
        </row>
        <row r="149">
          <cell r="A149" t="str">
            <v>00-52103-28-01</v>
          </cell>
          <cell r="B149" t="str">
            <v>Fundas Amcor #1 Pascuales</v>
          </cell>
          <cell r="C149">
            <v>3691.7</v>
          </cell>
        </row>
        <row r="150">
          <cell r="A150" t="str">
            <v>00-52103-29-01</v>
          </cell>
          <cell r="B150" t="str">
            <v>Fundas Amcor #2 Pascuales</v>
          </cell>
          <cell r="C150">
            <v>3463.8</v>
          </cell>
        </row>
        <row r="151">
          <cell r="A151" t="str">
            <v>00-52103-30-01</v>
          </cell>
          <cell r="B151" t="str">
            <v>Fundas Amcor #3 Pascuales</v>
          </cell>
          <cell r="C151">
            <v>1858.08</v>
          </cell>
        </row>
        <row r="152">
          <cell r="A152" t="str">
            <v>00-52103-30-02</v>
          </cell>
          <cell r="B152" t="str">
            <v>Fundas Amcor #3 EBC Gquil</v>
          </cell>
          <cell r="C152">
            <v>10.5</v>
          </cell>
        </row>
        <row r="153">
          <cell r="A153" t="str">
            <v>00-52103-31-01</v>
          </cell>
          <cell r="B153" t="str">
            <v>Fundas Amcor #4 Pascuales</v>
          </cell>
          <cell r="C153">
            <v>2226</v>
          </cell>
        </row>
        <row r="154">
          <cell r="A154" t="str">
            <v>00-52103-31-02</v>
          </cell>
          <cell r="B154" t="str">
            <v>Fundas Amcor #4 EBC Gquil</v>
          </cell>
          <cell r="C154">
            <v>212</v>
          </cell>
        </row>
        <row r="155">
          <cell r="A155" t="str">
            <v>00-52103-33-01</v>
          </cell>
          <cell r="B155" t="str">
            <v>Fundas Amcor #6 Pascuales</v>
          </cell>
          <cell r="C155">
            <v>1107</v>
          </cell>
        </row>
        <row r="156">
          <cell r="A156" t="str">
            <v>00-52107-01-01</v>
          </cell>
          <cell r="B156" t="str">
            <v>Merma Inyección</v>
          </cell>
          <cell r="C156">
            <v>20020.13</v>
          </cell>
        </row>
        <row r="157">
          <cell r="A157" t="str">
            <v>00-52107-02-01</v>
          </cell>
          <cell r="B157" t="str">
            <v>Merma Soplado APPE Gquil</v>
          </cell>
          <cell r="C157">
            <v>7001.72</v>
          </cell>
        </row>
        <row r="158">
          <cell r="A158" t="str">
            <v>00-52107-04-01</v>
          </cell>
          <cell r="B158" t="str">
            <v>Merma Soplado EBC Gquil</v>
          </cell>
          <cell r="C158">
            <v>4626.2700000000004</v>
          </cell>
        </row>
        <row r="159">
          <cell r="A159" t="str">
            <v>00-52107-05-01</v>
          </cell>
          <cell r="B159" t="str">
            <v>Merma Soplado EBC Quito</v>
          </cell>
          <cell r="C159">
            <v>13204.45</v>
          </cell>
        </row>
        <row r="160">
          <cell r="A160" t="str">
            <v>00-52107-07-01</v>
          </cell>
          <cell r="B160" t="str">
            <v>HFI</v>
          </cell>
          <cell r="C160">
            <v>7468.84</v>
          </cell>
        </row>
        <row r="161">
          <cell r="A161" t="str">
            <v>00-52107-09-01</v>
          </cell>
          <cell r="B161" t="str">
            <v>Merma por Humedad Resina</v>
          </cell>
          <cell r="C161">
            <v>3963.32</v>
          </cell>
        </row>
        <row r="162">
          <cell r="A162" t="str">
            <v>00-81101-02-01</v>
          </cell>
          <cell r="B162" t="str">
            <v>Intereses y Comisiones Pagadas Amcor</v>
          </cell>
          <cell r="C162">
            <v>105259.6</v>
          </cell>
        </row>
        <row r="163">
          <cell r="A163" t="str">
            <v>00-81101-03-01</v>
          </cell>
          <cell r="B163" t="str">
            <v>Intereses y Comisiones Pagadas a Terceros</v>
          </cell>
          <cell r="C163">
            <v>4483.99</v>
          </cell>
        </row>
        <row r="164">
          <cell r="A164" t="str">
            <v>00-81201-01-01</v>
          </cell>
          <cell r="B164" t="str">
            <v>Asistencia Tecnica Amcor</v>
          </cell>
          <cell r="C164">
            <v>17000</v>
          </cell>
        </row>
        <row r="165">
          <cell r="A165" t="str">
            <v>00-81501-09-01</v>
          </cell>
          <cell r="B165" t="str">
            <v>Perdida en Ventas de Vehiculos</v>
          </cell>
          <cell r="C165">
            <v>44117.08</v>
          </cell>
        </row>
        <row r="166">
          <cell r="A166" t="str">
            <v>00-81601-01-01</v>
          </cell>
          <cell r="B166" t="str">
            <v>Egresos Varios</v>
          </cell>
          <cell r="C166">
            <v>490.89</v>
          </cell>
        </row>
        <row r="167">
          <cell r="A167" t="str">
            <v>00-81601-01-02</v>
          </cell>
          <cell r="B167" t="str">
            <v>Egresos Ejercicios Anteriores</v>
          </cell>
          <cell r="C167">
            <v>31655.16</v>
          </cell>
        </row>
        <row r="168">
          <cell r="A168" t="str">
            <v>10-61101-01-01</v>
          </cell>
          <cell r="B168" t="str">
            <v>Sueldos y Salarios Pascuales</v>
          </cell>
          <cell r="C168">
            <v>12487.61</v>
          </cell>
        </row>
        <row r="169">
          <cell r="A169" t="str">
            <v>10-61101-01-02</v>
          </cell>
          <cell r="B169" t="str">
            <v>Sueldos y Salarios EBC Gquil</v>
          </cell>
          <cell r="C169">
            <v>7815.33</v>
          </cell>
        </row>
        <row r="170">
          <cell r="A170" t="str">
            <v>10-61101-01-03</v>
          </cell>
          <cell r="B170" t="str">
            <v>Sueldos y Salarios EBC Quito</v>
          </cell>
          <cell r="C170">
            <v>7306.15</v>
          </cell>
        </row>
        <row r="171">
          <cell r="A171" t="str">
            <v>10-61101-01-05</v>
          </cell>
          <cell r="B171" t="str">
            <v>Sueldos y Salarios Indirectos Pascuales</v>
          </cell>
          <cell r="C171">
            <v>28603.62</v>
          </cell>
        </row>
        <row r="172">
          <cell r="A172" t="str">
            <v>10-61101-01-06</v>
          </cell>
          <cell r="B172" t="str">
            <v>Sueldos y Salarios Indirectos EBC Guayaquil</v>
          </cell>
          <cell r="C172">
            <v>4633.28</v>
          </cell>
        </row>
        <row r="173">
          <cell r="A173" t="str">
            <v>10-61101-01-07</v>
          </cell>
          <cell r="B173" t="str">
            <v>Sueldos y Salarios Indirectos EBC Quito</v>
          </cell>
          <cell r="C173">
            <v>2514.33</v>
          </cell>
        </row>
        <row r="174">
          <cell r="A174" t="str">
            <v>10-61101-02-01</v>
          </cell>
          <cell r="B174" t="str">
            <v>Sobretiempos Sueldos Pascuales</v>
          </cell>
          <cell r="C174">
            <v>6513.01</v>
          </cell>
        </row>
        <row r="175">
          <cell r="A175" t="str">
            <v>10-61101-02-02</v>
          </cell>
          <cell r="B175" t="str">
            <v>Sobretiempos Sueldos EBC Gquil</v>
          </cell>
          <cell r="C175">
            <v>5163.51</v>
          </cell>
        </row>
        <row r="176">
          <cell r="A176" t="str">
            <v>10-61101-02-03</v>
          </cell>
          <cell r="B176" t="str">
            <v>Sobretiempos Sueldos EBC Quito</v>
          </cell>
          <cell r="C176">
            <v>4096.84</v>
          </cell>
        </row>
        <row r="177">
          <cell r="A177" t="str">
            <v>10-61101-02-05</v>
          </cell>
          <cell r="B177" t="str">
            <v>Sobretiempos Sueldos Indirectos Pascuales</v>
          </cell>
          <cell r="C177">
            <v>4540.8100000000004</v>
          </cell>
        </row>
        <row r="178">
          <cell r="A178" t="str">
            <v>10-61101-02-06</v>
          </cell>
          <cell r="B178" t="str">
            <v>Sobretiempo Sueldos Indirectos EBC Guayaquil</v>
          </cell>
          <cell r="C178">
            <v>1964.08</v>
          </cell>
        </row>
        <row r="179">
          <cell r="A179" t="str">
            <v>10-61101-02-07</v>
          </cell>
          <cell r="B179" t="str">
            <v>Sobretiempo Sueldos Indirectos EBC Quito</v>
          </cell>
          <cell r="C179">
            <v>1852.07</v>
          </cell>
        </row>
        <row r="180">
          <cell r="A180" t="str">
            <v>10-61101-04-01</v>
          </cell>
          <cell r="B180" t="str">
            <v>Vacaciones Pascuales</v>
          </cell>
          <cell r="C180">
            <v>799.54</v>
          </cell>
        </row>
        <row r="181">
          <cell r="A181" t="str">
            <v>10-61101-04-02</v>
          </cell>
          <cell r="B181" t="str">
            <v>Vacaciones EBC Gquil</v>
          </cell>
          <cell r="C181">
            <v>541.27</v>
          </cell>
        </row>
        <row r="182">
          <cell r="A182" t="str">
            <v>10-61101-04-03</v>
          </cell>
          <cell r="B182" t="str">
            <v>Vacaciones EBC Quito</v>
          </cell>
          <cell r="C182">
            <v>460.73</v>
          </cell>
        </row>
        <row r="183">
          <cell r="A183" t="str">
            <v>10-61101-04-05</v>
          </cell>
          <cell r="B183" t="str">
            <v>Vacaciones Indirectos Pascuales</v>
          </cell>
          <cell r="C183">
            <v>1172.68</v>
          </cell>
        </row>
        <row r="184">
          <cell r="A184" t="str">
            <v>10-61101-04-06</v>
          </cell>
          <cell r="B184" t="str">
            <v>Vacaciones Indirectos EBC Guayaquil</v>
          </cell>
          <cell r="C184">
            <v>274.60000000000002</v>
          </cell>
        </row>
        <row r="185">
          <cell r="A185" t="str">
            <v>10-61101-04-07</v>
          </cell>
          <cell r="B185" t="str">
            <v>Vacaciones Indirectos EBC Quito</v>
          </cell>
          <cell r="C185">
            <v>180.98</v>
          </cell>
        </row>
        <row r="186">
          <cell r="A186" t="str">
            <v>10-61101-05-01</v>
          </cell>
          <cell r="B186" t="str">
            <v>Decimo Tercer Sueldo Pascuales</v>
          </cell>
          <cell r="C186">
            <v>1599.1</v>
          </cell>
        </row>
        <row r="187">
          <cell r="A187" t="str">
            <v>10-61101-05-02</v>
          </cell>
          <cell r="B187" t="str">
            <v>Decimo Tercer Sueldo EBC Gquil</v>
          </cell>
          <cell r="C187">
            <v>1082.56</v>
          </cell>
        </row>
        <row r="188">
          <cell r="A188" t="str">
            <v>10-61101-05-03</v>
          </cell>
          <cell r="B188" t="str">
            <v>Decimo Tercer Sueldo EBC Quito</v>
          </cell>
          <cell r="C188">
            <v>921.45</v>
          </cell>
        </row>
        <row r="189">
          <cell r="A189" t="str">
            <v>10-61101-05-05</v>
          </cell>
          <cell r="B189" t="str">
            <v>Decimo Tercer Sueldo Indirectos Pascuales</v>
          </cell>
          <cell r="C189">
            <v>2345.42</v>
          </cell>
        </row>
        <row r="190">
          <cell r="A190" t="str">
            <v>10-61101-05-06</v>
          </cell>
          <cell r="B190" t="str">
            <v>Decimo Tercer Sueldo Indirectos EBC Guayaquil</v>
          </cell>
          <cell r="C190">
            <v>549.16999999999996</v>
          </cell>
        </row>
        <row r="191">
          <cell r="A191" t="str">
            <v>10-61101-05-07</v>
          </cell>
          <cell r="B191" t="str">
            <v>Decimo Tercer Sueldo Indirectos EBC Quito</v>
          </cell>
          <cell r="C191">
            <v>361.95</v>
          </cell>
        </row>
        <row r="192">
          <cell r="A192" t="str">
            <v>10-61101-06-01</v>
          </cell>
          <cell r="B192" t="str">
            <v>Decimo Cuarto Sueldo Pascuales</v>
          </cell>
          <cell r="C192">
            <v>671.83</v>
          </cell>
        </row>
        <row r="193">
          <cell r="A193" t="str">
            <v>10-61101-06-02</v>
          </cell>
          <cell r="B193" t="str">
            <v>Decimo Cuarto Sueldo EBC Gquil</v>
          </cell>
          <cell r="C193">
            <v>453.22</v>
          </cell>
        </row>
        <row r="194">
          <cell r="A194" t="str">
            <v>10-61101-06-03</v>
          </cell>
          <cell r="B194" t="str">
            <v>Decimo Cuarto Sueldo EBC Quito</v>
          </cell>
          <cell r="C194">
            <v>408.34</v>
          </cell>
        </row>
        <row r="195">
          <cell r="A195" t="str">
            <v>10-61101-06-05</v>
          </cell>
          <cell r="B195" t="str">
            <v>Decimo Cuarto Sueldo Indirectos Pascuales</v>
          </cell>
          <cell r="C195">
            <v>604.30999999999995</v>
          </cell>
        </row>
        <row r="196">
          <cell r="A196" t="str">
            <v>10-61101-06-06</v>
          </cell>
          <cell r="B196" t="str">
            <v>Decimo Cuarto Sueldo Indirectos EBC Guayaquil</v>
          </cell>
          <cell r="C196">
            <v>146.63</v>
          </cell>
        </row>
        <row r="197">
          <cell r="A197" t="str">
            <v>10-61101-06-07</v>
          </cell>
          <cell r="B197" t="str">
            <v>Decimo Cuarto Sueldo Indirectos EBC Quito</v>
          </cell>
          <cell r="C197">
            <v>116.86</v>
          </cell>
        </row>
        <row r="198">
          <cell r="A198" t="str">
            <v>10-61101-12-01</v>
          </cell>
          <cell r="B198" t="str">
            <v>Movilización Pascuales</v>
          </cell>
          <cell r="C198">
            <v>1418.41</v>
          </cell>
        </row>
        <row r="199">
          <cell r="A199" t="str">
            <v>10-61101-12-02</v>
          </cell>
          <cell r="B199" t="str">
            <v>Movilización EBC Gquil</v>
          </cell>
          <cell r="C199">
            <v>100</v>
          </cell>
        </row>
        <row r="200">
          <cell r="A200" t="str">
            <v>10-61101-12-03</v>
          </cell>
          <cell r="B200" t="str">
            <v>Movilización EBC Quito</v>
          </cell>
          <cell r="C200">
            <v>416.2</v>
          </cell>
        </row>
        <row r="201">
          <cell r="A201" t="str">
            <v>10-61101-12-05</v>
          </cell>
          <cell r="B201" t="str">
            <v>Movilización Indirectos Pascuales</v>
          </cell>
          <cell r="C201">
            <v>1845.59</v>
          </cell>
        </row>
        <row r="202">
          <cell r="A202" t="str">
            <v>10-61101-12-06</v>
          </cell>
          <cell r="B202" t="str">
            <v>Movilización Indirectos EBC Guayaquil</v>
          </cell>
          <cell r="C202">
            <v>110</v>
          </cell>
        </row>
        <row r="203">
          <cell r="A203" t="str">
            <v>10-61101-12-07</v>
          </cell>
          <cell r="B203" t="str">
            <v>Movilización Indirectos EBC Quito</v>
          </cell>
          <cell r="C203">
            <v>21</v>
          </cell>
        </row>
        <row r="204">
          <cell r="A204" t="str">
            <v>10-61101-13-01</v>
          </cell>
          <cell r="B204" t="str">
            <v>Alimentación Pascuales</v>
          </cell>
          <cell r="C204">
            <v>1914.88</v>
          </cell>
        </row>
        <row r="205">
          <cell r="A205" t="str">
            <v>10-61101-13-02</v>
          </cell>
          <cell r="B205" t="str">
            <v>Alimentación EBC Gquil</v>
          </cell>
          <cell r="C205">
            <v>1312.8</v>
          </cell>
        </row>
        <row r="206">
          <cell r="A206" t="str">
            <v>10-61101-13-03</v>
          </cell>
          <cell r="B206" t="str">
            <v>Alimentación EBC Quito</v>
          </cell>
          <cell r="C206">
            <v>1623.25</v>
          </cell>
        </row>
        <row r="207">
          <cell r="A207" t="str">
            <v>10-61101-13-05</v>
          </cell>
          <cell r="B207" t="str">
            <v>Alimentación Indirectos Pascuales</v>
          </cell>
          <cell r="C207">
            <v>1946.9</v>
          </cell>
        </row>
        <row r="208">
          <cell r="A208" t="str">
            <v>10-61101-13-06</v>
          </cell>
          <cell r="B208" t="str">
            <v>Alimentación Indirectos EBC Guayaquil</v>
          </cell>
          <cell r="C208">
            <v>447.52</v>
          </cell>
        </row>
        <row r="209">
          <cell r="A209" t="str">
            <v>10-61101-13-07</v>
          </cell>
          <cell r="B209" t="str">
            <v>Alimentación Indirectos EBC Quito</v>
          </cell>
          <cell r="C209">
            <v>560.6</v>
          </cell>
        </row>
        <row r="210">
          <cell r="A210" t="str">
            <v>10-61101-14-01</v>
          </cell>
          <cell r="B210" t="str">
            <v>Aporte Patronal, SECAP e IECE Pascuales</v>
          </cell>
          <cell r="C210">
            <v>2312.23</v>
          </cell>
        </row>
        <row r="211">
          <cell r="A211" t="str">
            <v>10-61101-14-02</v>
          </cell>
          <cell r="B211" t="str">
            <v>Aporte Patronal, SECAP e IECE EBC Gquil</v>
          </cell>
          <cell r="C211">
            <v>1578.32</v>
          </cell>
        </row>
        <row r="212">
          <cell r="A212" t="str">
            <v>10-61101-14-03</v>
          </cell>
          <cell r="B212" t="str">
            <v>Aporte Patronal, SECAP e IECE EBC Quito</v>
          </cell>
          <cell r="C212">
            <v>1336.18</v>
          </cell>
        </row>
        <row r="213">
          <cell r="A213" t="str">
            <v>10-61101-14-05</v>
          </cell>
          <cell r="B213" t="str">
            <v>Aporte Patronal, SECAP e IECE Indirectos Pascuales</v>
          </cell>
          <cell r="C213">
            <v>3419.63</v>
          </cell>
        </row>
        <row r="214">
          <cell r="A214" t="str">
            <v>10-61101-14-06</v>
          </cell>
          <cell r="B214" t="str">
            <v>Aporte Patronal SECAP e IECE Indirectos EBC Guayaq</v>
          </cell>
          <cell r="C214">
            <v>800.72</v>
          </cell>
        </row>
        <row r="215">
          <cell r="A215" t="str">
            <v>10-61101-14-07</v>
          </cell>
          <cell r="B215" t="str">
            <v>Aporte Patronal SECAP e IECE Indirectos EBC Quito</v>
          </cell>
          <cell r="C215">
            <v>527.72</v>
          </cell>
        </row>
        <row r="216">
          <cell r="A216" t="str">
            <v>10-61101-15-01</v>
          </cell>
          <cell r="B216" t="str">
            <v>Comisariato Pascuales</v>
          </cell>
          <cell r="C216">
            <v>33.520000000000003</v>
          </cell>
        </row>
        <row r="217">
          <cell r="A217" t="str">
            <v>10-61101-17-01</v>
          </cell>
          <cell r="B217" t="str">
            <v>Atención Médica Pascuales</v>
          </cell>
          <cell r="C217">
            <v>326.12</v>
          </cell>
        </row>
        <row r="218">
          <cell r="A218" t="str">
            <v>10-61101-17-03</v>
          </cell>
          <cell r="B218" t="str">
            <v>Atención Médica EBC Quito</v>
          </cell>
          <cell r="C218">
            <v>-210.01</v>
          </cell>
        </row>
        <row r="219">
          <cell r="A219" t="str">
            <v>10-61101-18-01</v>
          </cell>
          <cell r="B219" t="str">
            <v>Fiestas y Agasajos Pascuales</v>
          </cell>
          <cell r="C219">
            <v>3142.38</v>
          </cell>
        </row>
        <row r="220">
          <cell r="A220" t="str">
            <v>10-61101-18-03</v>
          </cell>
          <cell r="B220" t="str">
            <v>Fiestas y Agasajos EBC Quito</v>
          </cell>
          <cell r="C220">
            <v>904.83</v>
          </cell>
        </row>
        <row r="221">
          <cell r="A221" t="str">
            <v>10-61101-19-01</v>
          </cell>
          <cell r="B221" t="str">
            <v>Capacitación Directos Pascuales</v>
          </cell>
          <cell r="C221">
            <v>200</v>
          </cell>
        </row>
        <row r="222">
          <cell r="A222" t="str">
            <v>10-61101-20-01</v>
          </cell>
          <cell r="B222" t="str">
            <v>Bonificación Pascuales</v>
          </cell>
          <cell r="C222">
            <v>-3493.53</v>
          </cell>
        </row>
        <row r="223">
          <cell r="A223" t="str">
            <v>10-61101-26-03</v>
          </cell>
          <cell r="B223" t="str">
            <v>Otros Gastos Laborales EBC Quito</v>
          </cell>
          <cell r="C223">
            <v>75.599999999999994</v>
          </cell>
        </row>
        <row r="224">
          <cell r="A224" t="str">
            <v>10-61201-01-01</v>
          </cell>
          <cell r="B224" t="str">
            <v>Mantenimiento de Maquinaria Pascuales</v>
          </cell>
          <cell r="C224">
            <v>33213.1</v>
          </cell>
        </row>
        <row r="225">
          <cell r="A225" t="str">
            <v>10-61201-01-02</v>
          </cell>
          <cell r="B225" t="str">
            <v>Mantenimiento de Maquinarias EBC Gquil</v>
          </cell>
          <cell r="C225">
            <v>5301.14</v>
          </cell>
        </row>
        <row r="226">
          <cell r="A226" t="str">
            <v>10-61201-01-03</v>
          </cell>
          <cell r="B226" t="str">
            <v>Mantenimiento de Maquinarias EBC Quito</v>
          </cell>
          <cell r="C226">
            <v>11773.01</v>
          </cell>
        </row>
        <row r="227">
          <cell r="A227" t="str">
            <v>10-61201-02-01</v>
          </cell>
          <cell r="B227" t="str">
            <v>Mantenimiento Edificios Pascuales</v>
          </cell>
          <cell r="C227">
            <v>708</v>
          </cell>
        </row>
        <row r="228">
          <cell r="A228" t="str">
            <v>10-61201-02-03</v>
          </cell>
          <cell r="B228" t="str">
            <v>Mantenimiento Edificios EBC Quito</v>
          </cell>
          <cell r="C228">
            <v>4.4000000000000004</v>
          </cell>
        </row>
        <row r="229">
          <cell r="A229" t="str">
            <v>10-61201-03-01</v>
          </cell>
          <cell r="B229" t="str">
            <v>Combustible y Lubricantes Pascuales</v>
          </cell>
          <cell r="C229">
            <v>5827.6</v>
          </cell>
        </row>
        <row r="230">
          <cell r="A230" t="str">
            <v>10-61201-03-03</v>
          </cell>
          <cell r="B230" t="str">
            <v>Combustible y Lubricantes EBC Quito</v>
          </cell>
          <cell r="C230">
            <v>1173.3499999999999</v>
          </cell>
        </row>
        <row r="231">
          <cell r="A231" t="str">
            <v>10-61201-04-01</v>
          </cell>
          <cell r="B231" t="str">
            <v>Energía Eléctrica Pascuales</v>
          </cell>
          <cell r="C231">
            <v>125383.33</v>
          </cell>
        </row>
        <row r="232">
          <cell r="A232" t="str">
            <v>10-61201-04-04</v>
          </cell>
          <cell r="B232" t="str">
            <v>Energía Eléctrica APPE Quito</v>
          </cell>
          <cell r="C232">
            <v>549.05999999999995</v>
          </cell>
        </row>
        <row r="233">
          <cell r="A233" t="str">
            <v>10-61201-05-01</v>
          </cell>
          <cell r="B233" t="str">
            <v>Agua Potable Pascuales</v>
          </cell>
          <cell r="C233">
            <v>2698.3</v>
          </cell>
        </row>
        <row r="234">
          <cell r="A234" t="str">
            <v>10-61201-07-01</v>
          </cell>
          <cell r="B234" t="str">
            <v>Depreciaciones Maquinaria</v>
          </cell>
          <cell r="C234">
            <v>105625.48</v>
          </cell>
        </row>
        <row r="235">
          <cell r="A235" t="str">
            <v>10-61201-07-02</v>
          </cell>
          <cell r="B235" t="str">
            <v>Depreciacion Moldes</v>
          </cell>
          <cell r="C235">
            <v>34290.1</v>
          </cell>
        </row>
        <row r="236">
          <cell r="A236" t="str">
            <v>10-61201-07-03</v>
          </cell>
          <cell r="B236" t="str">
            <v>Depreciaciones Otros Equipos</v>
          </cell>
          <cell r="C236">
            <v>10630.87</v>
          </cell>
        </row>
        <row r="237">
          <cell r="A237" t="str">
            <v>10-61201-07-04</v>
          </cell>
          <cell r="B237" t="str">
            <v>Depreciaciones Mejora Pacuales</v>
          </cell>
          <cell r="C237">
            <v>17787.580000000002</v>
          </cell>
        </row>
        <row r="238">
          <cell r="A238" t="str">
            <v>10-61201-07-06</v>
          </cell>
          <cell r="B238" t="str">
            <v>Depreciación Edificio</v>
          </cell>
          <cell r="C238">
            <v>74.33</v>
          </cell>
        </row>
        <row r="239">
          <cell r="A239" t="str">
            <v>10-61201-07-08</v>
          </cell>
          <cell r="B239" t="str">
            <v>Depreciaciones Maquinas EBC</v>
          </cell>
          <cell r="C239">
            <v>49619.19</v>
          </cell>
        </row>
        <row r="240">
          <cell r="A240" t="str">
            <v>10-61201-09-01</v>
          </cell>
          <cell r="B240" t="str">
            <v>Transporte Botellas y Resina Pascuales</v>
          </cell>
          <cell r="C240">
            <v>9079.25</v>
          </cell>
        </row>
        <row r="241">
          <cell r="A241" t="str">
            <v>10-61201-10-01</v>
          </cell>
          <cell r="B241" t="str">
            <v>Repuestos  y Herramientas Pascuales</v>
          </cell>
          <cell r="C241">
            <v>1271.27</v>
          </cell>
        </row>
        <row r="242">
          <cell r="A242" t="str">
            <v>10-61201-10-02</v>
          </cell>
          <cell r="B242" t="str">
            <v>Repuestos  y Herramientas EBC Gquil</v>
          </cell>
          <cell r="C242">
            <v>826.21</v>
          </cell>
        </row>
        <row r="243">
          <cell r="A243" t="str">
            <v>10-61201-10-03</v>
          </cell>
          <cell r="B243" t="str">
            <v>Repuestos  y Herramientas EBC Quito</v>
          </cell>
          <cell r="C243">
            <v>72.2</v>
          </cell>
        </row>
        <row r="244">
          <cell r="A244" t="str">
            <v>10-61201-11-01</v>
          </cell>
          <cell r="B244" t="str">
            <v>Mantenimiento Equipo de Transporte Pascuales</v>
          </cell>
          <cell r="C244">
            <v>1354.5</v>
          </cell>
        </row>
        <row r="245">
          <cell r="A245" t="str">
            <v>10-61201-11-02</v>
          </cell>
          <cell r="B245" t="str">
            <v>Mantenimiento Equipo de Transporte EBC Gquil</v>
          </cell>
          <cell r="C245">
            <v>990</v>
          </cell>
        </row>
        <row r="246">
          <cell r="A246" t="str">
            <v>10-61201-11-03</v>
          </cell>
          <cell r="B246" t="str">
            <v>Mantenimiento Equipo de Transporte EBC Quito</v>
          </cell>
          <cell r="C246">
            <v>1206.2</v>
          </cell>
        </row>
        <row r="247">
          <cell r="A247" t="str">
            <v>10-61201-12-01</v>
          </cell>
          <cell r="B247" t="str">
            <v>Mantenimiento Equipo de Oficina Pascuales</v>
          </cell>
          <cell r="C247">
            <v>210.2</v>
          </cell>
        </row>
        <row r="248">
          <cell r="A248" t="str">
            <v>10-61201-12-02</v>
          </cell>
          <cell r="B248" t="str">
            <v>Mantenimiento Equipo de Oficina EBC Gquil</v>
          </cell>
          <cell r="C248">
            <v>633.5</v>
          </cell>
        </row>
        <row r="249">
          <cell r="A249" t="str">
            <v>10-61201-13-01</v>
          </cell>
          <cell r="B249" t="str">
            <v>Manten. Maquinaria Krupp</v>
          </cell>
          <cell r="C249">
            <v>763.25</v>
          </cell>
        </row>
        <row r="250">
          <cell r="A250" t="str">
            <v>10-61201-14-01</v>
          </cell>
          <cell r="B250" t="str">
            <v>Manten. Maquinaria Krauss</v>
          </cell>
          <cell r="C250">
            <v>31834.93</v>
          </cell>
        </row>
        <row r="251">
          <cell r="A251" t="str">
            <v>10-61201-15-01</v>
          </cell>
          <cell r="B251" t="str">
            <v>Mante. Maquinaria Husky</v>
          </cell>
          <cell r="C251">
            <v>13270.57</v>
          </cell>
        </row>
        <row r="252">
          <cell r="A252" t="str">
            <v>10-61201-16-01</v>
          </cell>
          <cell r="B252" t="str">
            <v>Manten. Maquinaria Mag Plastic</v>
          </cell>
          <cell r="C252">
            <v>2241.09</v>
          </cell>
        </row>
        <row r="253">
          <cell r="A253" t="str">
            <v>10-61201-17-01</v>
          </cell>
          <cell r="B253" t="str">
            <v>Otros Gastos Operacionales</v>
          </cell>
          <cell r="C253">
            <v>6167.91</v>
          </cell>
        </row>
        <row r="254">
          <cell r="A254" t="str">
            <v>10-61201-17-02</v>
          </cell>
          <cell r="B254" t="str">
            <v>Otros Gastos Operacionales EBC GYE</v>
          </cell>
          <cell r="C254">
            <v>473.52</v>
          </cell>
        </row>
        <row r="255">
          <cell r="A255" t="str">
            <v>10-61201-17-03</v>
          </cell>
          <cell r="B255" t="str">
            <v>Otros Gastos Operacionales EBC Quito</v>
          </cell>
          <cell r="C255">
            <v>600</v>
          </cell>
        </row>
        <row r="256">
          <cell r="A256" t="str">
            <v>10-61201-17-04</v>
          </cell>
          <cell r="B256" t="str">
            <v>Otros Gastos Operac. - Empaqplast</v>
          </cell>
          <cell r="C256">
            <v>42580.6</v>
          </cell>
        </row>
        <row r="257">
          <cell r="A257" t="str">
            <v>10-61201-17-05</v>
          </cell>
          <cell r="B257" t="str">
            <v>Otros Gastos Operac. - Graham</v>
          </cell>
          <cell r="C257">
            <v>28890.9</v>
          </cell>
        </row>
        <row r="258">
          <cell r="A258" t="str">
            <v>10-61201-17-06</v>
          </cell>
          <cell r="B258" t="str">
            <v>Otros Gastos Oper.-Fajillado</v>
          </cell>
          <cell r="C258">
            <v>2801.74</v>
          </cell>
        </row>
        <row r="259">
          <cell r="A259" t="str">
            <v>10-61201-17-07</v>
          </cell>
          <cell r="B259" t="str">
            <v>Gastos de  Exportacion Intercias.</v>
          </cell>
          <cell r="C259">
            <v>12898.93</v>
          </cell>
        </row>
        <row r="260">
          <cell r="A260" t="str">
            <v>10-61201-17-08</v>
          </cell>
          <cell r="B260" t="str">
            <v>Gastos de Exportaciones</v>
          </cell>
          <cell r="C260">
            <v>2450.4699999999998</v>
          </cell>
        </row>
        <row r="261">
          <cell r="A261" t="str">
            <v>10-61201-18-01</v>
          </cell>
          <cell r="B261" t="str">
            <v>Manten. Maquinaria Serv.Auxiliares</v>
          </cell>
          <cell r="C261">
            <v>4059.58</v>
          </cell>
        </row>
        <row r="262">
          <cell r="A262" t="str">
            <v>10-61201-18-02</v>
          </cell>
          <cell r="B262" t="str">
            <v>Mant. Servicios Auxiliares EBC Gquil</v>
          </cell>
          <cell r="C262">
            <v>2251.7800000000002</v>
          </cell>
        </row>
        <row r="263">
          <cell r="A263" t="str">
            <v>10-61201-18-03</v>
          </cell>
          <cell r="B263" t="str">
            <v>Mant. Servicios Auxiliares EBC Quito</v>
          </cell>
          <cell r="C263">
            <v>314.24</v>
          </cell>
        </row>
        <row r="264">
          <cell r="A264" t="str">
            <v>10-61201-19-03</v>
          </cell>
          <cell r="B264" t="str">
            <v>Seguridad Industrial EBC UIO</v>
          </cell>
          <cell r="C264">
            <v>115.56</v>
          </cell>
        </row>
        <row r="265">
          <cell r="A265" t="str">
            <v>10-61201-20-01</v>
          </cell>
          <cell r="B265" t="str">
            <v>Mantenimiento Maq. Sidel Pascuales</v>
          </cell>
          <cell r="C265">
            <v>4036.75</v>
          </cell>
        </row>
        <row r="266">
          <cell r="A266" t="str">
            <v>10-61201-20-02</v>
          </cell>
          <cell r="B266" t="str">
            <v>Mantenimiento Maq. Sidel EBC Gquil</v>
          </cell>
          <cell r="C266">
            <v>10043.36</v>
          </cell>
        </row>
        <row r="267">
          <cell r="A267" t="str">
            <v>10-61201-20-03</v>
          </cell>
          <cell r="B267" t="str">
            <v>Mantenimiento Maq. Sidel EBC Quito</v>
          </cell>
          <cell r="C267">
            <v>774.88</v>
          </cell>
        </row>
        <row r="268">
          <cell r="A268" t="str">
            <v>10-61201-21-01</v>
          </cell>
          <cell r="B268" t="str">
            <v>Transporte de Materia Prima entre Plantas</v>
          </cell>
          <cell r="C268">
            <v>23502.13</v>
          </cell>
        </row>
        <row r="269">
          <cell r="A269" t="str">
            <v>10-61201-22-01</v>
          </cell>
          <cell r="B269" t="str">
            <v>Serv. Auxiliares en Edificios Pascuales</v>
          </cell>
          <cell r="C269">
            <v>6760.84</v>
          </cell>
        </row>
        <row r="270">
          <cell r="A270" t="str">
            <v>10-61201-22-02</v>
          </cell>
          <cell r="B270" t="str">
            <v>Serv. Auxiliares en Edificios EBC Gquil</v>
          </cell>
          <cell r="C270">
            <v>844.04</v>
          </cell>
        </row>
        <row r="271">
          <cell r="A271" t="str">
            <v>10-61201-22-03</v>
          </cell>
          <cell r="B271" t="str">
            <v>Serv. Auxiliares en Edificios EBC Quito</v>
          </cell>
          <cell r="C271">
            <v>1531.36</v>
          </cell>
        </row>
        <row r="272">
          <cell r="A272" t="str">
            <v>10-61201-22-04</v>
          </cell>
          <cell r="B272" t="str">
            <v>Serv. Auxiliares en Edificios APPE Quito</v>
          </cell>
          <cell r="C272">
            <v>525</v>
          </cell>
        </row>
        <row r="273">
          <cell r="A273" t="str">
            <v>10-61201-23-01</v>
          </cell>
          <cell r="B273" t="str">
            <v>Suministros Area de Calidad Pascuales</v>
          </cell>
          <cell r="C273">
            <v>2812.77</v>
          </cell>
        </row>
        <row r="274">
          <cell r="A274" t="str">
            <v>10-61201-23-03</v>
          </cell>
          <cell r="B274" t="str">
            <v>Suministros Area de Calidad Ebc Quito</v>
          </cell>
          <cell r="C274">
            <v>430</v>
          </cell>
        </row>
        <row r="275">
          <cell r="A275" t="str">
            <v>10-61301-01-01</v>
          </cell>
          <cell r="B275" t="str">
            <v>Suministros de Oficina Pascuales</v>
          </cell>
          <cell r="C275">
            <v>2506.37</v>
          </cell>
        </row>
        <row r="276">
          <cell r="A276" t="str">
            <v>10-61301-01-02</v>
          </cell>
          <cell r="B276" t="str">
            <v>Suministros de Oficina EBC Guayaquil</v>
          </cell>
          <cell r="C276">
            <v>28</v>
          </cell>
        </row>
        <row r="277">
          <cell r="A277" t="str">
            <v>10-61301-01-03</v>
          </cell>
          <cell r="B277" t="str">
            <v>Suministros de Oficina EBC Quito</v>
          </cell>
          <cell r="C277">
            <v>5.04</v>
          </cell>
        </row>
        <row r="278">
          <cell r="A278" t="str">
            <v>10-61301-02-01</v>
          </cell>
          <cell r="B278" t="str">
            <v>Comunicaciones Pascuales</v>
          </cell>
          <cell r="C278">
            <v>6224.2</v>
          </cell>
        </row>
        <row r="279">
          <cell r="A279" t="str">
            <v>10-61301-02-02</v>
          </cell>
          <cell r="B279" t="str">
            <v>Comunicaciones EBC Guayaquil</v>
          </cell>
          <cell r="C279">
            <v>6</v>
          </cell>
        </row>
        <row r="280">
          <cell r="A280" t="str">
            <v>10-61301-02-03</v>
          </cell>
          <cell r="B280" t="str">
            <v>Comunicaciones EBC Quito</v>
          </cell>
          <cell r="C280">
            <v>1037.49</v>
          </cell>
        </row>
        <row r="281">
          <cell r="A281" t="str">
            <v>10-61301-07-01</v>
          </cell>
          <cell r="B281" t="str">
            <v>Fotocopias y Planos Pascuales</v>
          </cell>
          <cell r="C281">
            <v>12.5</v>
          </cell>
        </row>
        <row r="282">
          <cell r="A282" t="str">
            <v>10-61301-07-03</v>
          </cell>
          <cell r="B282" t="str">
            <v>Fotocopias y Planos EBC Quito</v>
          </cell>
          <cell r="C282">
            <v>34.46</v>
          </cell>
        </row>
        <row r="283">
          <cell r="A283" t="str">
            <v>10-61301-08-01</v>
          </cell>
          <cell r="B283" t="str">
            <v>Gastos De Viajes Pascuales</v>
          </cell>
          <cell r="C283">
            <v>8973.17</v>
          </cell>
        </row>
        <row r="284">
          <cell r="A284" t="str">
            <v>10-61301-08-02</v>
          </cell>
          <cell r="B284" t="str">
            <v>Gastos De Viajes EBC Guayaquil</v>
          </cell>
          <cell r="C284">
            <v>172.79</v>
          </cell>
        </row>
        <row r="285">
          <cell r="A285" t="str">
            <v>10-61301-11-01</v>
          </cell>
          <cell r="B285" t="str">
            <v>Honorarios Profesionales Pascuales</v>
          </cell>
          <cell r="C285">
            <v>652</v>
          </cell>
        </row>
        <row r="286">
          <cell r="A286" t="str">
            <v>10-61301-11-03</v>
          </cell>
          <cell r="B286" t="str">
            <v>Honorarios Profesionales EBC Quito</v>
          </cell>
          <cell r="C286">
            <v>1075.05</v>
          </cell>
        </row>
        <row r="287">
          <cell r="A287" t="str">
            <v>10-61301-12-01</v>
          </cell>
          <cell r="B287" t="str">
            <v>Seguros Pascuales</v>
          </cell>
          <cell r="C287">
            <v>5093.6000000000004</v>
          </cell>
        </row>
        <row r="288">
          <cell r="A288" t="str">
            <v>10-61301-16-03</v>
          </cell>
          <cell r="B288" t="str">
            <v>Atención A Terceros EBC Quito</v>
          </cell>
          <cell r="C288">
            <v>440</v>
          </cell>
        </row>
        <row r="289">
          <cell r="A289" t="str">
            <v>10-61301-18-01</v>
          </cell>
          <cell r="B289" t="str">
            <v>Arrendamiento de Bodegas Pascuales</v>
          </cell>
          <cell r="C289">
            <v>44566.64</v>
          </cell>
        </row>
        <row r="290">
          <cell r="A290" t="str">
            <v>10-61301-18-03</v>
          </cell>
          <cell r="B290" t="str">
            <v>Arrendamiento de Bodegas EBC Quito</v>
          </cell>
          <cell r="C290">
            <v>0</v>
          </cell>
        </row>
        <row r="291">
          <cell r="A291" t="str">
            <v>10-61301-18-04</v>
          </cell>
          <cell r="B291" t="str">
            <v>Arrendamiento de Bodegas APPE Quito</v>
          </cell>
          <cell r="C291">
            <v>6552</v>
          </cell>
        </row>
        <row r="292">
          <cell r="A292" t="str">
            <v>10-61301-22-01</v>
          </cell>
          <cell r="B292" t="str">
            <v>Gastos Legales Pascuales</v>
          </cell>
          <cell r="C292">
            <v>500</v>
          </cell>
        </row>
        <row r="293">
          <cell r="A293" t="str">
            <v>10-61301-27-01</v>
          </cell>
          <cell r="B293" t="str">
            <v>Otros Gastos Pascuales</v>
          </cell>
          <cell r="C293">
            <v>39.200000000000003</v>
          </cell>
        </row>
        <row r="294">
          <cell r="A294" t="str">
            <v>10-61301-27-03</v>
          </cell>
          <cell r="B294" t="str">
            <v>Otros Gastos EBC Quito</v>
          </cell>
          <cell r="C294">
            <v>23.07</v>
          </cell>
        </row>
        <row r="295">
          <cell r="A295" t="str">
            <v>10-61301-27-04</v>
          </cell>
          <cell r="B295" t="str">
            <v>Otros Gastos APPE Quito</v>
          </cell>
          <cell r="C295">
            <v>140</v>
          </cell>
        </row>
        <row r="296">
          <cell r="A296" t="str">
            <v>10-69901-01-01</v>
          </cell>
          <cell r="B296" t="str">
            <v>Transferencia a Inv. de Prod. Terminado</v>
          </cell>
          <cell r="C296">
            <v>54302.81</v>
          </cell>
        </row>
        <row r="297">
          <cell r="A297" t="str">
            <v>20-61101-01-01</v>
          </cell>
          <cell r="B297" t="str">
            <v>Sueldos y Salarios</v>
          </cell>
          <cell r="C297">
            <v>26377.4</v>
          </cell>
        </row>
        <row r="298">
          <cell r="A298" t="str">
            <v>20-61101-04-01</v>
          </cell>
          <cell r="B298" t="str">
            <v>Vacaciones</v>
          </cell>
          <cell r="C298">
            <v>735.65</v>
          </cell>
        </row>
        <row r="299">
          <cell r="A299" t="str">
            <v>20-61101-05-01</v>
          </cell>
          <cell r="B299" t="str">
            <v>Décimo Tercer Sueldo</v>
          </cell>
          <cell r="C299">
            <v>1471.22</v>
          </cell>
        </row>
        <row r="300">
          <cell r="A300" t="str">
            <v>20-61101-06-01</v>
          </cell>
          <cell r="B300" t="str">
            <v>Décimo Cuarto Sueldo</v>
          </cell>
          <cell r="C300">
            <v>213.28</v>
          </cell>
        </row>
        <row r="301">
          <cell r="A301" t="str">
            <v>20-61101-12-01</v>
          </cell>
          <cell r="B301" t="str">
            <v>Movilización</v>
          </cell>
          <cell r="C301">
            <v>1462.21</v>
          </cell>
        </row>
        <row r="302">
          <cell r="A302" t="str">
            <v>20-61101-13-01</v>
          </cell>
          <cell r="B302" t="str">
            <v>Alimentación</v>
          </cell>
          <cell r="C302">
            <v>909.9</v>
          </cell>
        </row>
        <row r="303">
          <cell r="A303" t="str">
            <v>20-61101-14-01</v>
          </cell>
          <cell r="B303" t="str">
            <v>Aporte Patronal, SECAP E IECE</v>
          </cell>
          <cell r="C303">
            <v>2145.11</v>
          </cell>
        </row>
        <row r="304">
          <cell r="A304" t="str">
            <v>20-61101-18-01</v>
          </cell>
          <cell r="B304" t="str">
            <v>Fiestas Y Agasajos</v>
          </cell>
          <cell r="C304">
            <v>0</v>
          </cell>
        </row>
        <row r="305">
          <cell r="A305" t="str">
            <v>20-61101-20-01</v>
          </cell>
          <cell r="B305" t="str">
            <v>Bonificaciones</v>
          </cell>
          <cell r="C305">
            <v>2796.69</v>
          </cell>
        </row>
        <row r="306">
          <cell r="A306" t="str">
            <v>20-61101-26-01</v>
          </cell>
          <cell r="B306" t="str">
            <v>Otros Gastos Generales</v>
          </cell>
          <cell r="C306">
            <v>58.17</v>
          </cell>
        </row>
        <row r="307">
          <cell r="A307" t="str">
            <v>20-61101-99-99</v>
          </cell>
          <cell r="B307" t="str">
            <v>Reestructuraciòn Operativa</v>
          </cell>
          <cell r="C307">
            <v>10000</v>
          </cell>
        </row>
        <row r="308">
          <cell r="A308" t="str">
            <v>20-61201-07-01</v>
          </cell>
          <cell r="B308" t="str">
            <v>Depreciaciones Administracion</v>
          </cell>
          <cell r="C308">
            <v>2555.14</v>
          </cell>
        </row>
        <row r="309">
          <cell r="A309" t="str">
            <v>20-61201-07-02</v>
          </cell>
          <cell r="B309" t="str">
            <v>Depreciacion Equipos de Computación</v>
          </cell>
          <cell r="C309">
            <v>5638.52</v>
          </cell>
        </row>
        <row r="310">
          <cell r="A310" t="str">
            <v>20-61301-01-01</v>
          </cell>
          <cell r="B310" t="str">
            <v>Suministros de Oficina</v>
          </cell>
          <cell r="C310">
            <v>322.06</v>
          </cell>
        </row>
        <row r="311">
          <cell r="A311" t="str">
            <v>20-61301-02-01</v>
          </cell>
          <cell r="B311" t="str">
            <v>Comunicaciones</v>
          </cell>
          <cell r="C311">
            <v>1591.56</v>
          </cell>
        </row>
        <row r="312">
          <cell r="A312" t="str">
            <v>20-61301-03-01</v>
          </cell>
          <cell r="B312" t="str">
            <v>Suscripciones y Contribuciones</v>
          </cell>
          <cell r="C312">
            <v>22976.87</v>
          </cell>
        </row>
        <row r="313">
          <cell r="A313" t="str">
            <v>20-61301-04-01</v>
          </cell>
          <cell r="B313" t="str">
            <v>Cuotas y Asociaciones</v>
          </cell>
          <cell r="C313">
            <v>50</v>
          </cell>
        </row>
        <row r="314">
          <cell r="A314" t="str">
            <v>20-61301-06-01</v>
          </cell>
          <cell r="B314" t="str">
            <v>Impuestos Varios</v>
          </cell>
          <cell r="C314">
            <v>1326.57</v>
          </cell>
        </row>
        <row r="315">
          <cell r="A315" t="str">
            <v>20-61301-08-01</v>
          </cell>
          <cell r="B315" t="str">
            <v>Gastos de Viajes</v>
          </cell>
          <cell r="C315">
            <v>9972.49</v>
          </cell>
        </row>
        <row r="316">
          <cell r="A316" t="str">
            <v>20-61301-15-01</v>
          </cell>
          <cell r="B316" t="str">
            <v>Servicio De Guardianía</v>
          </cell>
          <cell r="C316">
            <v>3280.88</v>
          </cell>
        </row>
        <row r="317">
          <cell r="A317" t="str">
            <v>20-61301-18-01</v>
          </cell>
          <cell r="B317" t="str">
            <v>Arrendamientos Inmuebles</v>
          </cell>
          <cell r="C317">
            <v>1195.6600000000001</v>
          </cell>
        </row>
        <row r="318">
          <cell r="A318" t="str">
            <v>20-61301-20-01</v>
          </cell>
          <cell r="B318" t="str">
            <v>Servicios Bancarios</v>
          </cell>
          <cell r="C318">
            <v>866.01</v>
          </cell>
        </row>
        <row r="319">
          <cell r="A319" t="str">
            <v>20-61301-22-01</v>
          </cell>
          <cell r="B319" t="str">
            <v>Gastos Legales</v>
          </cell>
          <cell r="C319">
            <v>11006.14</v>
          </cell>
        </row>
        <row r="320">
          <cell r="A320" t="str">
            <v>20-61301-25-01</v>
          </cell>
          <cell r="B320" t="str">
            <v>Multas E Intereses</v>
          </cell>
          <cell r="C320">
            <v>1036.83</v>
          </cell>
        </row>
        <row r="321">
          <cell r="A321" t="str">
            <v>20-61301-27-01</v>
          </cell>
          <cell r="B321" t="str">
            <v>Otros Gastos</v>
          </cell>
          <cell r="C321">
            <v>203.98</v>
          </cell>
        </row>
        <row r="322">
          <cell r="A322" t="str">
            <v>20-61301-28-01</v>
          </cell>
          <cell r="B322" t="str">
            <v>Honorarios de Auditoria</v>
          </cell>
          <cell r="C322">
            <v>2500</v>
          </cell>
        </row>
        <row r="323">
          <cell r="A323" t="str">
            <v>20-61301-28-02</v>
          </cell>
          <cell r="B323" t="str">
            <v>Honorarios Contables</v>
          </cell>
          <cell r="C323">
            <v>12753.05</v>
          </cell>
        </row>
        <row r="324">
          <cell r="A324" t="str">
            <v>20-61301-28-03</v>
          </cell>
          <cell r="B324" t="str">
            <v>Honorarios Auditoria Fiscal Local</v>
          </cell>
          <cell r="C324">
            <v>1375</v>
          </cell>
        </row>
        <row r="325">
          <cell r="A325" t="str">
            <v>20-61301-30-01</v>
          </cell>
          <cell r="B325" t="str">
            <v>Gastos en Software Pascuales</v>
          </cell>
          <cell r="C325">
            <v>663.82</v>
          </cell>
        </row>
        <row r="326">
          <cell r="A326" t="str">
            <v>20-61301-31-01</v>
          </cell>
          <cell r="B326" t="str">
            <v>Honorarios de Sistemas</v>
          </cell>
          <cell r="C326">
            <v>2561.67</v>
          </cell>
        </row>
        <row r="327">
          <cell r="A327" t="str">
            <v>30-61101-01-01</v>
          </cell>
          <cell r="B327" t="str">
            <v>Sueldos Y Salarios</v>
          </cell>
          <cell r="C327">
            <v>1304</v>
          </cell>
        </row>
        <row r="328">
          <cell r="A328" t="str">
            <v>30-61101-04-01</v>
          </cell>
          <cell r="B328" t="str">
            <v>Vacaciones</v>
          </cell>
          <cell r="C328">
            <v>54.34</v>
          </cell>
        </row>
        <row r="329">
          <cell r="A329" t="str">
            <v>30-61101-05-01</v>
          </cell>
          <cell r="B329" t="str">
            <v>Décimo Tercer Sueldo</v>
          </cell>
          <cell r="C329">
            <v>108.67</v>
          </cell>
        </row>
        <row r="330">
          <cell r="A330" t="str">
            <v>30-61101-06-01</v>
          </cell>
          <cell r="B330" t="str">
            <v>Décimo Cuarto Sueldo</v>
          </cell>
          <cell r="C330">
            <v>26.66</v>
          </cell>
        </row>
        <row r="331">
          <cell r="A331" t="str">
            <v>30-61101-12-01</v>
          </cell>
          <cell r="B331" t="str">
            <v>Movilización</v>
          </cell>
          <cell r="C331">
            <v>273.29000000000002</v>
          </cell>
        </row>
        <row r="332">
          <cell r="A332" t="str">
            <v>30-61101-13-01</v>
          </cell>
          <cell r="B332" t="str">
            <v>Alimentación</v>
          </cell>
          <cell r="C332">
            <v>77.7</v>
          </cell>
        </row>
        <row r="333">
          <cell r="A333" t="str">
            <v>30-61101-14-01</v>
          </cell>
          <cell r="B333" t="str">
            <v>Aporte Patronal, SECAP E IECE</v>
          </cell>
          <cell r="C333">
            <v>158.44</v>
          </cell>
        </row>
        <row r="334">
          <cell r="A334" t="str">
            <v>30-61301-11-01</v>
          </cell>
          <cell r="B334" t="str">
            <v>Honorarios Profesionales</v>
          </cell>
          <cell r="C334">
            <v>4400</v>
          </cell>
        </row>
        <row r="335">
          <cell r="A335" t="str">
            <v>98-99999-01-01</v>
          </cell>
          <cell r="B335" t="str">
            <v>Proceso de Inyección Pascuales</v>
          </cell>
          <cell r="C335">
            <v>0</v>
          </cell>
        </row>
        <row r="336">
          <cell r="A336" t="str">
            <v>99-99999-99-99</v>
          </cell>
          <cell r="B336" t="str">
            <v>Cuenta Puente</v>
          </cell>
          <cell r="C336">
            <v>0</v>
          </cell>
        </row>
      </sheetData>
      <sheetData sheetId="24"/>
      <sheetData sheetId="25"/>
      <sheetData sheetId="26"/>
      <sheetData sheetId="27"/>
      <sheetData sheetId="2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d Halves"/>
      <sheetName val="Hot Runners"/>
      <sheetName val="Hoja1"/>
    </sheetNames>
    <sheetDataSet>
      <sheetData sheetId="0"/>
      <sheetData sheetId="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KPI"/>
      <sheetName val="BE"/>
      <sheetName val="ME"/>
      <sheetName val="RESUMEN DIARIO"/>
      <sheetName val="cuadres"/>
      <sheetName val="PRODx MAQUINA"/>
      <sheetName val="CONSOLIDADO"/>
      <sheetName val="PROD Y CONSUMOS"/>
      <sheetName val="CONCILIACION"/>
      <sheetName val="Kardex Pigmentos"/>
      <sheetName val="Resina"/>
      <sheetName val="KARDEX "/>
      <sheetName val="CONSUMO DE RESINA DIARIO"/>
      <sheetName val="cicle"/>
      <sheetName val="Krauss M"/>
      <sheetName val="Graf. Krauss M"/>
      <sheetName val="Krupp 1"/>
      <sheetName val="Graf. Krupp 1"/>
      <sheetName val="Krupp 2"/>
      <sheetName val="Graf. Krupp 2"/>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Materiales"/>
      <sheetName val="Inyeccion general"/>
      <sheetName val="Cajas Incompl."/>
      <sheetName val="Resumen"/>
      <sheetName val="ME Operadores"/>
      <sheetName val="Plan accion"/>
      <sheetName val="HUSKY 8"/>
      <sheetName val="Graf. HUSKY 8"/>
      <sheetName val="HUSKY 9"/>
      <sheetName val="Graf. HUSKY 9"/>
      <sheetName val="Quejas de los clientes"/>
      <sheetName val="CAV_ BLOCK"/>
      <sheetName val="Hoja1"/>
      <sheetName val="Scrap diario"/>
      <sheetName val="REPORTE POR CAUSA"/>
      <sheetName val="SCRAP POR CAUSA"/>
      <sheetName val="Scrap por Maquina"/>
      <sheetName val="scrap"/>
      <sheetName val="HFI"/>
      <sheetName val="Paros"/>
      <sheetName val="Reporte Paros"/>
      <sheetName val="Paros x maq"/>
      <sheetName val="paros causa"/>
      <sheetName val="ind util maq"/>
      <sheetName val="IND. MANTO"/>
      <sheetName val="Base GGG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refreshError="1"/>
      <sheetData sheetId="55" refreshError="1"/>
      <sheetData sheetId="56"/>
      <sheetData sheetId="57"/>
      <sheetData sheetId="58">
        <row r="1">
          <cell r="I1" t="str">
            <v>Eastlon EBC</v>
          </cell>
        </row>
        <row r="2">
          <cell r="I2" t="str">
            <v>Eastlon Local</v>
          </cell>
        </row>
        <row r="3">
          <cell r="I3" t="str">
            <v>Jade EBC</v>
          </cell>
        </row>
        <row r="4">
          <cell r="I4" t="str">
            <v>Jade Local</v>
          </cell>
        </row>
        <row r="5">
          <cell r="I5" t="str">
            <v>Nanya Local</v>
          </cell>
        </row>
        <row r="6">
          <cell r="I6" t="str">
            <v>Papet EBC</v>
          </cell>
        </row>
        <row r="7">
          <cell r="I7" t="str">
            <v>Papet Local</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GA PRODUCC"/>
      <sheetName val="CARGA SCRAP"/>
      <sheetName val="CARGA PARADAS"/>
      <sheetName val="CARGA RECLAMOS"/>
      <sheetName val="MKI"/>
      <sheetName val="Reporte Produccion"/>
      <sheetName val="CRITERIOS PRODUCC"/>
      <sheetName val="CRITERIOS PARADA"/>
      <sheetName val="Grafico Scrap"/>
      <sheetName val="Grafico Paradas"/>
      <sheetName val="DATA"/>
      <sheetName val="CARGA_PRODUCC"/>
      <sheetName val="CARGA_SCRAP"/>
      <sheetName val="CARGA_PARADAS"/>
      <sheetName val="CARGA_RECLAMOS"/>
      <sheetName val="Reporte_Produccion"/>
      <sheetName val="CRITERIOS_PRODUCC"/>
      <sheetName val="CRITERIOS_PARADA"/>
      <sheetName val="Grafico_Scrap"/>
      <sheetName val="Grafico_Paradas"/>
    </sheetNames>
    <sheetDataSet>
      <sheetData sheetId="0" refreshError="1"/>
      <sheetData sheetId="1" refreshError="1"/>
      <sheetData sheetId="2" refreshError="1">
        <row r="8">
          <cell r="B8" t="str">
            <v>Fecha</v>
          </cell>
          <cell r="C8" t="str">
            <v>Tiempo (min)</v>
          </cell>
          <cell r="D8" t="str">
            <v>Máquina</v>
          </cell>
          <cell r="E8" t="str">
            <v>Causa de Parada</v>
          </cell>
        </row>
        <row r="9">
          <cell r="B9">
            <v>37408</v>
          </cell>
          <cell r="C9">
            <v>500</v>
          </cell>
          <cell r="D9">
            <v>1</v>
          </cell>
          <cell r="E9" t="str">
            <v>A01-Inyección Corta</v>
          </cell>
        </row>
        <row r="10">
          <cell r="B10">
            <v>37409</v>
          </cell>
          <cell r="C10">
            <v>300</v>
          </cell>
          <cell r="D10">
            <v>1</v>
          </cell>
          <cell r="E10" t="str">
            <v>A04-Pellets sin fundir</v>
          </cell>
        </row>
        <row r="11">
          <cell r="B11">
            <v>37410</v>
          </cell>
          <cell r="C11">
            <v>200</v>
          </cell>
          <cell r="D11">
            <v>2</v>
          </cell>
          <cell r="E11" t="str">
            <v>A03-Daño Crítico TSS/Rosca/Anillo</v>
          </cell>
        </row>
        <row r="12">
          <cell r="B12">
            <v>37411</v>
          </cell>
          <cell r="C12">
            <v>500</v>
          </cell>
          <cell r="D12">
            <v>1</v>
          </cell>
          <cell r="E12" t="str">
            <v>L5-Exceso de Inventario</v>
          </cell>
        </row>
        <row r="13">
          <cell r="B13">
            <v>37412</v>
          </cell>
          <cell r="C13">
            <v>300</v>
          </cell>
          <cell r="D13">
            <v>2</v>
          </cell>
          <cell r="E13" t="str">
            <v>A02-Rebaba en L.de Cierre</v>
          </cell>
        </row>
        <row r="14">
          <cell r="B14">
            <v>37413</v>
          </cell>
          <cell r="C14">
            <v>200</v>
          </cell>
          <cell r="D14">
            <v>1</v>
          </cell>
          <cell r="E14" t="str">
            <v>A06-Pto.Inyección Cristalizado</v>
          </cell>
        </row>
        <row r="15">
          <cell r="B15">
            <v>37414</v>
          </cell>
          <cell r="C15">
            <v>160</v>
          </cell>
          <cell r="D15">
            <v>1</v>
          </cell>
          <cell r="E15" t="str">
            <v>A08-Pto.Inyección Perforado</v>
          </cell>
        </row>
        <row r="16">
          <cell r="B16">
            <v>37415</v>
          </cell>
          <cell r="C16">
            <v>170</v>
          </cell>
          <cell r="D16">
            <v>1</v>
          </cell>
          <cell r="E16" t="str">
            <v>A03-Daño Crítico TSS/Rosca/Anillo</v>
          </cell>
        </row>
        <row r="17">
          <cell r="B17">
            <v>37416</v>
          </cell>
          <cell r="C17">
            <v>180</v>
          </cell>
          <cell r="D17">
            <v>1</v>
          </cell>
          <cell r="E17" t="str">
            <v>A03-Daño Crítico TSS/Rosca/Anillo</v>
          </cell>
        </row>
        <row r="18">
          <cell r="B18">
            <v>37417</v>
          </cell>
          <cell r="C18">
            <v>190</v>
          </cell>
          <cell r="D18">
            <v>1</v>
          </cell>
          <cell r="E18" t="str">
            <v>A04-Pellets sin fundir</v>
          </cell>
        </row>
        <row r="19">
          <cell r="B19">
            <v>37418</v>
          </cell>
          <cell r="C19">
            <v>200</v>
          </cell>
          <cell r="D19">
            <v>1</v>
          </cell>
          <cell r="E19" t="str">
            <v>B08-Burbujas &lt; 1 mm</v>
          </cell>
        </row>
        <row r="20">
          <cell r="B20">
            <v>37419</v>
          </cell>
          <cell r="C20">
            <v>210</v>
          </cell>
          <cell r="D20">
            <v>1</v>
          </cell>
          <cell r="E20" t="str">
            <v>C01-Molde Sucio</v>
          </cell>
        </row>
        <row r="21">
          <cell r="B21">
            <v>37420</v>
          </cell>
          <cell r="C21">
            <v>220</v>
          </cell>
          <cell r="D21">
            <v>1</v>
          </cell>
          <cell r="E21" t="str">
            <v>A21-Preformas Mezcladas</v>
          </cell>
        </row>
        <row r="22">
          <cell r="B22">
            <v>37421</v>
          </cell>
          <cell r="C22">
            <v>230</v>
          </cell>
          <cell r="D22">
            <v>1</v>
          </cell>
          <cell r="E22" t="str">
            <v>A05-Contaminación Externa</v>
          </cell>
        </row>
        <row r="23">
          <cell r="B23">
            <v>37422</v>
          </cell>
          <cell r="C23">
            <v>240</v>
          </cell>
          <cell r="D23">
            <v>1</v>
          </cell>
          <cell r="E23" t="str">
            <v>A04-Pellets sin fundir</v>
          </cell>
        </row>
        <row r="24">
          <cell r="B24">
            <v>37423</v>
          </cell>
          <cell r="C24">
            <v>250</v>
          </cell>
          <cell r="D24">
            <v>1</v>
          </cell>
          <cell r="E24" t="str">
            <v>A07-Material Degradado</v>
          </cell>
        </row>
        <row r="25">
          <cell r="B25">
            <v>37423</v>
          </cell>
          <cell r="C25">
            <v>260</v>
          </cell>
          <cell r="D25">
            <v>1</v>
          </cell>
          <cell r="E25" t="str">
            <v>A07-Material Degradado</v>
          </cell>
        </row>
        <row r="26">
          <cell r="B26">
            <v>37424</v>
          </cell>
          <cell r="C26">
            <v>100</v>
          </cell>
          <cell r="D26">
            <v>2</v>
          </cell>
          <cell r="E26" t="str">
            <v>A06-Pto.Inyección Cristalizado</v>
          </cell>
        </row>
        <row r="27">
          <cell r="B27">
            <v>37425</v>
          </cell>
          <cell r="C27">
            <v>50</v>
          </cell>
          <cell r="D27">
            <v>2</v>
          </cell>
          <cell r="E27" t="str">
            <v>A13 Cristalización gate crítico</v>
          </cell>
        </row>
        <row r="28">
          <cell r="B28">
            <v>37426</v>
          </cell>
          <cell r="C28">
            <v>60</v>
          </cell>
          <cell r="D28">
            <v>2</v>
          </cell>
          <cell r="E28" t="str">
            <v>A21-Preformas Mezcladas</v>
          </cell>
        </row>
        <row r="29">
          <cell r="B29">
            <v>37427</v>
          </cell>
          <cell r="C29">
            <v>70</v>
          </cell>
          <cell r="D29">
            <v>2</v>
          </cell>
          <cell r="E29" t="str">
            <v>B09-Cristalización Gate Mayor</v>
          </cell>
        </row>
        <row r="37">
          <cell r="D37">
            <v>2</v>
          </cell>
        </row>
        <row r="38">
          <cell r="D38">
            <v>2</v>
          </cell>
        </row>
        <row r="39">
          <cell r="D39">
            <v>2</v>
          </cell>
        </row>
        <row r="40">
          <cell r="D40">
            <v>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Principal"/>
      <sheetName val="KPI"/>
      <sheetName val="BE"/>
      <sheetName val="ME"/>
      <sheetName val="RESUMEN DIARIO"/>
      <sheetName val="cuadres"/>
      <sheetName val="PRODx MAQUINA"/>
      <sheetName val="CONCILIACION"/>
      <sheetName val="PROD Y CONSUMOS"/>
      <sheetName val="Kardex Pigmentos"/>
      <sheetName val="KARDEX "/>
      <sheetName val="CONSUMO DE RESINA DIARIO"/>
      <sheetName val="Resina"/>
      <sheetName val="Produccion codigos SAP"/>
      <sheetName val="cicle"/>
      <sheetName val="Krauss M"/>
      <sheetName val="Graf. Krauss M"/>
      <sheetName val="Krupp 1"/>
      <sheetName val="Graf. Krupp 1"/>
      <sheetName val="Krupp 2"/>
      <sheetName val="Graf. Krupp 2"/>
      <sheetName val="HUSKY 1"/>
      <sheetName val="Graf. Husky 1"/>
      <sheetName val="HUSKY 2"/>
      <sheetName val="Graf. HUSKY 2"/>
      <sheetName val="HUSKY 3"/>
      <sheetName val="Graf. HUSKY 3"/>
      <sheetName val="HUSKY 4"/>
      <sheetName val="Graf.HUSKY 4"/>
      <sheetName val="HUSKY 5"/>
      <sheetName val="Graf.HUSKY 5"/>
      <sheetName val="HUSKY 6"/>
      <sheetName val="Graf. HUSKY 6"/>
      <sheetName val="HUSKY 7"/>
      <sheetName val="Graf. HUSKY 7"/>
      <sheetName val="Materiales"/>
      <sheetName val="Inyeccion general"/>
      <sheetName val="Cajas Incompl."/>
      <sheetName val="CAV_ BLOCK"/>
      <sheetName val="Resumen"/>
      <sheetName val="ME Operadores"/>
      <sheetName val="Plan accion"/>
      <sheetName val="HUSKY 8"/>
      <sheetName val="Graf. HUSKY 8"/>
      <sheetName val="HUSKY 9"/>
      <sheetName val="Graf. HUSKY 9"/>
      <sheetName val="Quejas de los clientes"/>
      <sheetName val="Hoja1"/>
      <sheetName val="Scrap diario"/>
      <sheetName val="Gráfico1"/>
      <sheetName val="Gráfico2"/>
      <sheetName val="Gráfico3"/>
      <sheetName val="REPORTE POR CAUSA"/>
      <sheetName val="SCRAP"/>
      <sheetName val="HFI"/>
      <sheetName val="Paros"/>
      <sheetName val="Reporte Paros"/>
      <sheetName val="Gráfico4"/>
      <sheetName val="Gráfico5"/>
      <sheetName val="IND. MANTO"/>
      <sheetName val="ind util maq"/>
      <sheetName val="Base GGGR"/>
      <sheetName val="Hoja2"/>
      <sheetName val="Injection Ecuador MPD Graf Di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row r="1">
          <cell r="E1" t="str">
            <v>WM</v>
          </cell>
        </row>
        <row r="2">
          <cell r="E2" t="str">
            <v>MP</v>
          </cell>
        </row>
        <row r="3">
          <cell r="E3" t="str">
            <v>PG</v>
          </cell>
        </row>
        <row r="4">
          <cell r="E4" t="str">
            <v>GG</v>
          </cell>
        </row>
      </sheetData>
      <sheetData sheetId="62" refreshError="1"/>
      <sheetData sheetId="6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EX"/>
      <sheetName val="CAPEX Instr"/>
      <sheetName val="XA"/>
    </sheetNames>
    <sheetDataSet>
      <sheetData sheetId="0"/>
      <sheetData sheetId="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Q Control"/>
      <sheetName val="Booklet"/>
      <sheetName val="Summary"/>
      <sheetName val="Retrieve"/>
      <sheetName val="PET"/>
      <sheetName val="AUS"/>
      <sheetName val="AFF"/>
      <sheetName val="AFH"/>
      <sheetName val="REN"/>
      <sheetName val="SUN"/>
      <sheetName val="ASIA"/>
      <sheetName val="Budget - AUD"/>
      <sheetName val="Budget - LC"/>
      <sheetName val="Budget - AUD (Dec)"/>
      <sheetName val="Last Yr YTD"/>
      <sheetName val="Actual - 0506"/>
      <sheetName val="Proyeccion 2003-2004 I"/>
      <sheetName val="AMCOR - Capex Report - 0207 fin"/>
      <sheetName val="2b Pal Prod"/>
      <sheetName val="HQ_Control"/>
      <sheetName val="Budget_-_AUD"/>
      <sheetName val="Budget_-_LC"/>
      <sheetName val="Budget_-_AUD_(Dec)"/>
      <sheetName val="Last_Yr_YTD"/>
      <sheetName val="Actual_-_0506"/>
      <sheetName val="Proyeccion_2003-2004_I"/>
      <sheetName val="AMCOR_-_Capex_Report_-_0207_fin"/>
      <sheetName val="2b_Pal_Prod"/>
      <sheetName val="HQ_Control1"/>
      <sheetName val="Budget_-_AUD1"/>
      <sheetName val="Budget_-_LC1"/>
      <sheetName val="Budget_-_AUD_(Dec)1"/>
      <sheetName val="Last_Yr_YTD1"/>
      <sheetName val="Actual_-_05061"/>
      <sheetName val="Proyeccion_2003-2004_I1"/>
      <sheetName val="AMCOR_-_Capex_Report_-_0207_fi1"/>
      <sheetName val="2b_Pal_Prod1"/>
      <sheetName val="Base"/>
      <sheetName val="Tablas"/>
      <sheetName val="HQ_Control2"/>
      <sheetName val="Budget_-_AUD2"/>
      <sheetName val="Budget_-_LC2"/>
      <sheetName val="Budget_-_AUD_(Dec)2"/>
      <sheetName val="Last_Yr_YTD2"/>
      <sheetName val="Actual_-_05062"/>
      <sheetName val="Proyeccion_2003-2004_I2"/>
      <sheetName val="AMCOR_-_Capex_Report_-_0207_fi2"/>
      <sheetName val="2b_Pal_Prod2"/>
      <sheetName val="HQ_Control3"/>
      <sheetName val="Budget_-_AUD3"/>
      <sheetName val="Budget_-_LC3"/>
      <sheetName val="Budget_-_AUD_(Dec)3"/>
      <sheetName val="Last_Yr_YTD3"/>
      <sheetName val="Actual_-_05063"/>
      <sheetName val="Proyeccion_2003-2004_I3"/>
      <sheetName val="AMCOR_-_Capex_Report_-_0207_fi3"/>
      <sheetName val="2b_Pal_Prod3"/>
      <sheetName val="HQ_Control4"/>
      <sheetName val="Budget_-_AUD4"/>
      <sheetName val="Budget_-_LC4"/>
      <sheetName val="Budget_-_AUD_(Dec)4"/>
      <sheetName val="Last_Yr_YTD4"/>
      <sheetName val="Actual_-_05064"/>
      <sheetName val="Proyeccion_2003-2004_I4"/>
      <sheetName val="AMCOR_-_Capex_Report_-_0207_fi4"/>
      <sheetName val="2b_Pal_Prod4"/>
    </sheetNames>
    <sheetDataSet>
      <sheetData sheetId="0" refreshError="1"/>
      <sheetData sheetId="1" refreshError="1"/>
      <sheetData sheetId="2" refreshError="1"/>
      <sheetData sheetId="3" refreshError="1">
        <row r="2">
          <cell r="A2">
            <v>1000000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io"/>
      <sheetName val="Agosto"/>
      <sheetName val="Setiembre"/>
      <sheetName val="Octubre"/>
      <sheetName val="Noviembre"/>
      <sheetName val="Diciembre "/>
      <sheetName val="Dec soles P&amp;L"/>
      <sheetName val="Dec 11 YTD"/>
      <sheetName val="ENE - DIC 2011"/>
      <sheetName val="Any by Any"/>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INAMICA"/>
      <sheetName val="BDSol"/>
      <sheetName val="BD$"/>
      <sheetName val="PROD-Act"/>
      <sheetName val="APY-Act"/>
      <sheetName val="Pro-Tej"/>
      <sheetName val="Pro-Qui"/>
      <sheetName val="Pro-PET"/>
      <sheetName val="Energías"/>
      <sheetName val="Hst-energ."/>
      <sheetName val="MO.Mant."/>
      <sheetName val="Mant."/>
      <sheetName val="Per"/>
      <sheetName val="Act. Ap."/>
      <sheetName val="Res.Act.Ap."/>
      <sheetName val="Inductor"/>
      <sheetName val="Venta"/>
      <sheetName val="VTA-Act"/>
      <sheetName val="VtaXrub"/>
      <sheetName val="Vta.Tej."/>
      <sheetName val="Vta.Tej.Res"/>
      <sheetName val="Vta.Tej.Hist."/>
      <sheetName val="Vta.Qui."/>
      <sheetName val="Vta.Qui.Res"/>
      <sheetName val="Vta.Qui.Hist."/>
      <sheetName val="Vta.Pet."/>
      <sheetName val="Vta.Pet.Res"/>
      <sheetName val="Vta.Pet.Hist"/>
      <sheetName val="MarkXrub"/>
      <sheetName val="Mark.Tej"/>
      <sheetName val="Mark.Tej.Res"/>
      <sheetName val="Mark.Tej.Hist."/>
      <sheetName val="Mark.Qui."/>
      <sheetName val="Mark.Qui.Res"/>
      <sheetName val="Mark.Qui.Hist."/>
      <sheetName val="Mark.Pet."/>
      <sheetName val="Mark.Pet.Res"/>
      <sheetName val="Mark.Pet.Hist"/>
      <sheetName val="Adm."/>
      <sheetName val="ADM-Act"/>
      <sheetName val="AdmXrub"/>
      <sheetName val="AdmGen-Hist"/>
      <sheetName val="Post"/>
      <sheetName val="PRP"/>
      <sheetName val="PRP. Res"/>
      <sheetName val="PRP.Hist."/>
      <sheetName val="TIN"/>
      <sheetName val="TIN. Res"/>
      <sheetName val="TIN.Hist."/>
      <sheetName val="HPE"/>
      <sheetName val="HPE. Res"/>
      <sheetName val="HPE.Hist. "/>
      <sheetName val="HCA"/>
      <sheetName val="HCA. Res"/>
      <sheetName val="HCA.Hist."/>
      <sheetName val="TJD"/>
      <sheetName val="TJD. Res"/>
      <sheetName val="TJD.Hist."/>
      <sheetName val="ACA"/>
      <sheetName val="ACA. Res"/>
      <sheetName val="ACA.Hist."/>
      <sheetName val="TEJ"/>
      <sheetName val="TEJ.Hist."/>
      <sheetName val="FIB"/>
      <sheetName val="FIB. Res"/>
      <sheetName val="FIB.Hist."/>
      <sheetName val="AZU"/>
      <sheetName val="AZU. Res"/>
      <sheetName val="AZU.Hist."/>
      <sheetName val="SAL"/>
      <sheetName val="SAL. Res"/>
      <sheetName val="SAL.Hist."/>
      <sheetName val="SUL"/>
      <sheetName val="SUL.Res"/>
      <sheetName val="SUL.Hist."/>
      <sheetName val="PAC"/>
      <sheetName val="PAC.Res"/>
      <sheetName val="PAC.Hist."/>
      <sheetName val="QUI"/>
      <sheetName val="QUI.Hist."/>
      <sheetName val="ResPres"/>
      <sheetName val="PRE"/>
      <sheetName val="PRE. Res"/>
      <sheetName val="PRE.Hist."/>
      <sheetName val="BOT"/>
      <sheetName val="BOT. Res"/>
      <sheetName val="BOT.Hist."/>
      <sheetName val="Serv.Terc"/>
      <sheetName val="BAL,BCH,BAR,BEL,BPE"/>
      <sheetName val="BAL,CH,BPE. Res"/>
      <sheetName val="BAR-BEL. Res"/>
      <sheetName val="BAL-CH-AR-ELSA Hist."/>
      <sheetName val="PET"/>
      <sheetName val="PET.Hist."/>
      <sheetName val="SMI."/>
      <sheetName val="SMI.Hist."/>
      <sheetName val="Re-asig"/>
    </sheetNames>
    <sheetDataSet>
      <sheetData sheetId="0" refreshError="1"/>
      <sheetData sheetId="1" refreshError="1"/>
      <sheetData sheetId="2" refreshError="1">
        <row r="1">
          <cell r="C1">
            <v>3.472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10peru"/>
      <sheetName val="Centro"/>
      <sheetName val="Consolidado"/>
      <sheetName val="Cons. ELSA"/>
      <sheetName val="Norte"/>
      <sheetName val="Sur"/>
      <sheetName val="Iquitos"/>
      <sheetName val="MODULE1"/>
      <sheetName val="DATAS"/>
      <sheetName val="Cons__ELSA"/>
      <sheetName val="Cons__ELSA1"/>
      <sheetName val="Cons__ELSA2"/>
      <sheetName val="Cons__ELSA3"/>
      <sheetName val="HPC "/>
      <sheetName val="foods"/>
      <sheetName val="Exec IS - ARG USD"/>
      <sheetName val="Exec IS - ARG ARS"/>
      <sheetName val="Exec IS - PIL USD"/>
      <sheetName val="Exec IS - PIL ARS"/>
      <sheetName val="Exec IS - USH USD"/>
      <sheetName val="Exec IS - USH ARS"/>
      <sheetName val="FX"/>
      <sheetName val="FX Pilar"/>
      <sheetName val="FX Ush"/>
      <sheetName val="Tablas"/>
      <sheetName val="HPC_"/>
      <sheetName val="Cons__ELSA4"/>
      <sheetName val="Exec_IS_-_ARG_USD"/>
      <sheetName val="Exec_IS_-_ARG_ARS"/>
      <sheetName val="Exec_IS_-_PIL_USD"/>
      <sheetName val="Exec_IS_-_PIL_ARS"/>
      <sheetName val="Exec_IS_-_USH_USD"/>
      <sheetName val="Exec_IS_-_USH_ARS"/>
      <sheetName val="FX_Pilar"/>
      <sheetName val="FX_Ush"/>
      <sheetName val="Cons__ELSA5"/>
      <sheetName val="HPC_1"/>
      <sheetName val="Exec_IS_-_ARG_USD1"/>
      <sheetName val="Exec_IS_-_ARG_ARS1"/>
      <sheetName val="Exec_IS_-_PIL_USD1"/>
      <sheetName val="Exec_IS_-_PIL_ARS1"/>
      <sheetName val="Exec_IS_-_USH_USD1"/>
      <sheetName val="Exec_IS_-_USH_ARS1"/>
      <sheetName val="FX_Pilar1"/>
      <sheetName val="FX_Ush1"/>
      <sheetName val="Cons__ELSA6"/>
      <sheetName val="HPC_2"/>
      <sheetName val="Exec_IS_-_ARG_USD2"/>
      <sheetName val="Exec_IS_-_ARG_ARS2"/>
      <sheetName val="Exec_IS_-_PIL_USD2"/>
      <sheetName val="Exec_IS_-_PIL_ARS2"/>
      <sheetName val="Exec_IS_-_USH_USD2"/>
      <sheetName val="Exec_IS_-_USH_ARS2"/>
      <sheetName val="FX_Pilar2"/>
      <sheetName val="FX_Ush2"/>
    </sheetNames>
    <sheetDataSet>
      <sheetData sheetId="0" refreshError="1"/>
      <sheetData sheetId="1" refreshError="1">
        <row r="12">
          <cell r="B12">
            <v>1</v>
          </cell>
          <cell r="C12">
            <v>1</v>
          </cell>
          <cell r="D12">
            <v>66488.000000000029</v>
          </cell>
          <cell r="E12">
            <v>2622.27</v>
          </cell>
          <cell r="F12">
            <v>4674.0700000000006</v>
          </cell>
          <cell r="G12">
            <v>14186.01</v>
          </cell>
        </row>
        <row r="13">
          <cell r="B13">
            <v>2</v>
          </cell>
          <cell r="C13">
            <v>2</v>
          </cell>
          <cell r="D13">
            <v>82487.389999999985</v>
          </cell>
          <cell r="E13">
            <v>3305.31</v>
          </cell>
          <cell r="F13">
            <v>6803.38</v>
          </cell>
          <cell r="G13">
            <v>15826.26</v>
          </cell>
        </row>
        <row r="14">
          <cell r="B14">
            <v>3</v>
          </cell>
          <cell r="C14">
            <v>4</v>
          </cell>
          <cell r="D14">
            <v>80612.84</v>
          </cell>
          <cell r="E14">
            <v>3722.4100000000008</v>
          </cell>
          <cell r="F14">
            <v>6467.31</v>
          </cell>
          <cell r="G14">
            <v>13092.64</v>
          </cell>
        </row>
        <row r="15">
          <cell r="B15">
            <v>4</v>
          </cell>
          <cell r="C15">
            <v>5</v>
          </cell>
          <cell r="D15">
            <v>101739.82999999999</v>
          </cell>
          <cell r="E15">
            <v>4400.82</v>
          </cell>
          <cell r="F15">
            <v>8089.7800000000007</v>
          </cell>
          <cell r="G15">
            <v>17432.66</v>
          </cell>
        </row>
        <row r="16">
          <cell r="B16">
            <v>5</v>
          </cell>
          <cell r="C16">
            <v>6</v>
          </cell>
          <cell r="D16">
            <v>102537.34</v>
          </cell>
          <cell r="E16">
            <v>4466.2000000000007</v>
          </cell>
          <cell r="F16">
            <v>7232.32</v>
          </cell>
          <cell r="G16">
            <v>25511.170000000002</v>
          </cell>
        </row>
        <row r="17">
          <cell r="B17">
            <v>6</v>
          </cell>
          <cell r="C17">
            <v>7</v>
          </cell>
          <cell r="D17">
            <v>97039.360000000277</v>
          </cell>
          <cell r="E17">
            <v>4298.3300000000017</v>
          </cell>
          <cell r="F17">
            <v>7470.6999999999971</v>
          </cell>
          <cell r="G17">
            <v>18637.050000000017</v>
          </cell>
        </row>
        <row r="18">
          <cell r="B18">
            <v>7</v>
          </cell>
          <cell r="C18">
            <v>9</v>
          </cell>
          <cell r="D18">
            <v>209639.74</v>
          </cell>
          <cell r="E18">
            <v>8627.2000000000007</v>
          </cell>
          <cell r="F18">
            <v>16060.18</v>
          </cell>
          <cell r="G18">
            <v>41090.92</v>
          </cell>
        </row>
        <row r="19">
          <cell r="B19">
            <v>8</v>
          </cell>
          <cell r="C19">
            <v>11</v>
          </cell>
          <cell r="D19">
            <v>96727.07</v>
          </cell>
          <cell r="E19">
            <v>4352.17</v>
          </cell>
          <cell r="F19">
            <v>8001.93</v>
          </cell>
          <cell r="G19">
            <v>12315.84</v>
          </cell>
        </row>
        <row r="20">
          <cell r="B20">
            <v>9</v>
          </cell>
          <cell r="C20">
            <v>12</v>
          </cell>
          <cell r="D20">
            <v>110897.18000000001</v>
          </cell>
          <cell r="E20">
            <v>4616.12</v>
          </cell>
          <cell r="F20">
            <v>9338.08</v>
          </cell>
          <cell r="G20">
            <v>15713.8</v>
          </cell>
        </row>
        <row r="21">
          <cell r="B21">
            <v>10</v>
          </cell>
          <cell r="C21">
            <v>13</v>
          </cell>
          <cell r="D21">
            <v>113659.06999999998</v>
          </cell>
          <cell r="E21">
            <v>4885.3200000000006</v>
          </cell>
          <cell r="F21">
            <v>8406.4600000000009</v>
          </cell>
          <cell r="G21">
            <v>14304.78</v>
          </cell>
        </row>
        <row r="22">
          <cell r="B22">
            <v>11</v>
          </cell>
          <cell r="C22">
            <v>14</v>
          </cell>
          <cell r="D22">
            <v>113041.71999999999</v>
          </cell>
          <cell r="E22">
            <v>3944.7999999999993</v>
          </cell>
          <cell r="F22">
            <v>7225.1399999999994</v>
          </cell>
          <cell r="G22">
            <v>18612.03</v>
          </cell>
        </row>
        <row r="23">
          <cell r="B23">
            <v>12</v>
          </cell>
          <cell r="C23">
            <v>15</v>
          </cell>
          <cell r="D23">
            <v>131148.65</v>
          </cell>
          <cell r="E23">
            <v>3725.7800000000007</v>
          </cell>
          <cell r="F23">
            <v>8322.89</v>
          </cell>
          <cell r="G23">
            <v>15652.600000000002</v>
          </cell>
        </row>
        <row r="24">
          <cell r="B24">
            <v>13</v>
          </cell>
          <cell r="C24">
            <v>16</v>
          </cell>
          <cell r="D24">
            <v>182694</v>
          </cell>
          <cell r="E24">
            <v>4162.91</v>
          </cell>
          <cell r="F24">
            <v>9868.2900000000009</v>
          </cell>
          <cell r="G24">
            <v>24699.03</v>
          </cell>
        </row>
        <row r="25">
          <cell r="B25">
            <v>14</v>
          </cell>
          <cell r="C25">
            <v>18</v>
          </cell>
          <cell r="D25">
            <v>156632.76</v>
          </cell>
          <cell r="E25">
            <v>4301.88</v>
          </cell>
          <cell r="F25">
            <v>6383.4499999999989</v>
          </cell>
          <cell r="G25">
            <v>14523.24</v>
          </cell>
        </row>
        <row r="26">
          <cell r="B26">
            <v>15</v>
          </cell>
          <cell r="C26">
            <v>19</v>
          </cell>
          <cell r="D26">
            <v>96316.950000000012</v>
          </cell>
          <cell r="E26">
            <v>4799.3400000000011</v>
          </cell>
          <cell r="F26">
            <v>8776.08</v>
          </cell>
          <cell r="G26">
            <v>18049.53</v>
          </cell>
        </row>
        <row r="27">
          <cell r="B27">
            <v>16</v>
          </cell>
          <cell r="C27">
            <v>20</v>
          </cell>
          <cell r="D27">
            <v>113899.30999999998</v>
          </cell>
          <cell r="E27">
            <v>4728.93</v>
          </cell>
          <cell r="F27">
            <v>9455.25</v>
          </cell>
          <cell r="G27">
            <v>15251.91</v>
          </cell>
        </row>
        <row r="28">
          <cell r="B28">
            <v>17</v>
          </cell>
          <cell r="C28">
            <v>21</v>
          </cell>
          <cell r="D28">
            <v>103071.04999999999</v>
          </cell>
          <cell r="E28">
            <v>5228.3999999999996</v>
          </cell>
          <cell r="F28">
            <v>8649.1</v>
          </cell>
          <cell r="G28">
            <v>19455.580000000002</v>
          </cell>
        </row>
        <row r="29">
          <cell r="B29">
            <v>18</v>
          </cell>
          <cell r="C29">
            <v>22</v>
          </cell>
          <cell r="D29">
            <v>103593.32</v>
          </cell>
          <cell r="E29">
            <v>5340.5299999999988</v>
          </cell>
          <cell r="F29">
            <v>10690.77</v>
          </cell>
          <cell r="G29">
            <v>16284.69</v>
          </cell>
        </row>
        <row r="30">
          <cell r="B30">
            <v>19</v>
          </cell>
          <cell r="C30">
            <v>23</v>
          </cell>
          <cell r="D30">
            <v>108224.67</v>
          </cell>
          <cell r="E30">
            <v>5213</v>
          </cell>
          <cell r="F30">
            <v>14030.810000000001</v>
          </cell>
          <cell r="G30">
            <v>23483.989999999998</v>
          </cell>
        </row>
        <row r="31">
          <cell r="B31">
            <v>20</v>
          </cell>
          <cell r="C31">
            <v>25</v>
          </cell>
          <cell r="D31">
            <v>103456.82000000002</v>
          </cell>
          <cell r="E31">
            <v>5562.5</v>
          </cell>
          <cell r="F31">
            <v>9949.41</v>
          </cell>
          <cell r="G31">
            <v>11891.349999999999</v>
          </cell>
        </row>
        <row r="32">
          <cell r="B32">
            <v>21</v>
          </cell>
          <cell r="C32">
            <v>26</v>
          </cell>
          <cell r="D32">
            <v>120345.41000000002</v>
          </cell>
          <cell r="E32">
            <v>5149.78</v>
          </cell>
          <cell r="F32">
            <v>11691.130000000001</v>
          </cell>
          <cell r="G32">
            <v>19175.519999999997</v>
          </cell>
        </row>
        <row r="33">
          <cell r="B33">
            <v>22</v>
          </cell>
          <cell r="C33">
            <v>27</v>
          </cell>
          <cell r="D33">
            <v>110910.64</v>
          </cell>
          <cell r="E33">
            <v>5021</v>
          </cell>
          <cell r="F33">
            <v>10787.41</v>
          </cell>
          <cell r="G33">
            <v>17489.86</v>
          </cell>
        </row>
        <row r="34">
          <cell r="B34">
            <v>23</v>
          </cell>
          <cell r="C34">
            <v>28</v>
          </cell>
          <cell r="D34">
            <v>130113.06000000001</v>
          </cell>
          <cell r="E34">
            <v>5553.3100000000013</v>
          </cell>
          <cell r="F34">
            <v>11348.2</v>
          </cell>
          <cell r="G34">
            <v>23663.72</v>
          </cell>
        </row>
        <row r="35">
          <cell r="B35">
            <v>24</v>
          </cell>
          <cell r="C35">
            <v>29</v>
          </cell>
          <cell r="D35">
            <v>120438.04999999999</v>
          </cell>
          <cell r="E35">
            <v>5102.1000000000004</v>
          </cell>
          <cell r="F35">
            <v>11118.29</v>
          </cell>
          <cell r="G35">
            <v>17847.14</v>
          </cell>
        </row>
        <row r="36">
          <cell r="B36">
            <v>25</v>
          </cell>
          <cell r="C36">
            <v>30</v>
          </cell>
          <cell r="D36">
            <v>242562.05000000002</v>
          </cell>
          <cell r="E36">
            <v>11236.04</v>
          </cell>
          <cell r="F36">
            <v>29137.1</v>
          </cell>
          <cell r="G36">
            <v>42775.06</v>
          </cell>
        </row>
        <row r="37">
          <cell r="B37">
            <v>26</v>
          </cell>
        </row>
      </sheetData>
      <sheetData sheetId="2"/>
      <sheetData sheetId="3"/>
      <sheetData sheetId="4"/>
      <sheetData sheetId="5"/>
      <sheetData sheetId="6"/>
      <sheetData sheetId="7" refreshError="1"/>
      <sheetData sheetId="8" refreshError="1"/>
      <sheetData sheetId="9" refreshError="1"/>
      <sheetData sheetId="10"/>
      <sheetData sheetId="11"/>
      <sheetData sheetId="12"/>
      <sheetData sheetId="13">
        <row r="12">
          <cell r="B12" t="str">
            <v>Sh Sedal 340 Ceramidas</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
      <sheetName val="INDEX"/>
      <sheetName val="VAL"/>
      <sheetName val="SECT5_PL"/>
      <sheetName val="SECT5_BS"/>
      <sheetName val="SECT5_CF"/>
      <sheetName val="PL"/>
      <sheetName val="TAX"/>
      <sheetName val="BS"/>
      <sheetName val="OTHER"/>
      <sheetName val="INTERCO"/>
      <sheetName val="SEGMENT CURRENT PERIOD"/>
      <sheetName val="MGT_ALLOCN"/>
      <sheetName val="EMP_NUM"/>
      <sheetName val="INT_STOCKS"/>
      <sheetName val="BORROW"/>
      <sheetName val="FI"/>
      <sheetName val="B_ADD"/>
      <sheetName val="B_DISP"/>
      <sheetName val="GW_COST"/>
      <sheetName val="GW_AMORT"/>
      <sheetName val="INVESTMENTS"/>
      <sheetName val="XA"/>
      <sheetName val="PROVN"/>
      <sheetName val="LEGALCHT"/>
      <sheetName val="Dialog1"/>
      <sheetName val="Dialog2"/>
      <sheetName val="Setup"/>
      <sheetName val="M_ListLinks"/>
      <sheetName val="M_Setup"/>
      <sheetName val="M_Menu"/>
      <sheetName val="M_Print"/>
      <sheetName val="M_Goto"/>
      <sheetName val="M_EAudit"/>
      <sheetName val="31.08.07 (2)"/>
      <sheetName val="Conciliación de renta"/>
      <sheetName val="StatTemplateSLUSA_122002"/>
      <sheetName val="cartera comercial al 29-9-07"/>
      <sheetName val="31 Dic 96"/>
      <sheetName val="Centro"/>
      <sheetName val="SEGMENT_CURRENT_PERIOD1"/>
      <sheetName val="31_08_07_(2)1"/>
      <sheetName val="Conciliación_de_renta1"/>
      <sheetName val="cartera_comercial_al_29-9-071"/>
      <sheetName val="31_Dic_961"/>
      <sheetName val="SEGMENT_CURRENT_PERIOD"/>
      <sheetName val="31_08_07_(2)"/>
      <sheetName val="Conciliación_de_renta"/>
      <sheetName val="cartera_comercial_al_29-9-07"/>
      <sheetName val="31_Dic_96"/>
      <sheetName val="SEGMENT_CURRENT_PERIOD2"/>
      <sheetName val="31_08_07_(2)2"/>
      <sheetName val="Conciliación_de_renta2"/>
      <sheetName val="cartera_comercial_al_29-9-072"/>
      <sheetName val="31_Dic_962"/>
      <sheetName val="SEGMENT_CURRENT_PERIOD3"/>
      <sheetName val="31_08_07_(2)3"/>
      <sheetName val="Conciliación_de_renta3"/>
      <sheetName val="cartera_comercial_al_29-9-073"/>
      <sheetName val="31_Dic_963"/>
      <sheetName val="SEGMENT_CURRENT_PERIOD4"/>
      <sheetName val="31_08_07_(2)4"/>
      <sheetName val="Conciliación_de_renta4"/>
      <sheetName val="cartera_comercial_al_29-9-074"/>
      <sheetName val="31_Dic_964"/>
      <sheetName val="Hoja1"/>
      <sheetName val="Hoja2"/>
      <sheetName val="Summary"/>
      <sheetName val="Process data request"/>
      <sheetName val="Summary 2"/>
      <sheetName val="Sueldos"/>
      <sheetName val="Hoja3"/>
      <sheetName val="Process data request (2)"/>
      <sheetName val="Org-Chart"/>
      <sheetName val="Sheet3"/>
      <sheetName val="SEGMENT_CURRENT_PERIOD5"/>
      <sheetName val="31_08_07_(2)5"/>
      <sheetName val="Conciliación_de_renta5"/>
      <sheetName val="cartera_comercial_al_29-9-075"/>
      <sheetName val="31_Dic_965"/>
      <sheetName val="Process_data_request"/>
      <sheetName val="Summary_2"/>
      <sheetName val="Process_data_request_(2)"/>
      <sheetName val="SEGMENT_CURRENT_PERIOD6"/>
      <sheetName val="31_08_07_(2)6"/>
      <sheetName val="Conciliación_de_renta6"/>
      <sheetName val="cartera_comercial_al_29-9-076"/>
      <sheetName val="31_Dic_966"/>
      <sheetName val="Process_data_request1"/>
      <sheetName val="Summary_21"/>
      <sheetName val="Process_data_request_(2)1"/>
      <sheetName val="SEGMENT_CURRENT_PERIOD7"/>
      <sheetName val="31_08_07_(2)7"/>
      <sheetName val="Conciliación_de_renta7"/>
      <sheetName val="cartera_comercial_al_29-9-077"/>
      <sheetName val="31_Dic_967"/>
      <sheetName val="Process_data_request2"/>
      <sheetName val="Summary_22"/>
      <sheetName val="Process_data_request_(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19">
          <cell r="C19">
            <v>2000</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ow r="19">
          <cell r="C19">
            <v>1833.6</v>
          </cell>
        </row>
      </sheetData>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persons/person.xml><?xml version="1.0" encoding="utf-8"?>
<personList xmlns="http://schemas.microsoft.com/office/spreadsheetml/2018/threadedcomments" xmlns:x="http://schemas.openxmlformats.org/spreadsheetml/2006/main">
  <person displayName="Raul Vasquez" id="{EFFE5C38-A931-4871-8EC0-3803FCCEF250}" userId="S::raul.vasquez@amcor.com::9244fae0-5ce7-4c9c-82e6-c52e3b5a346f" providerId="AD"/>
  <person displayName="Esteban Gonzalez" id="{AD1A1DF4-610C-4116-9356-B0574CBAF46A}" userId="S::esteban.gonzalez@amcor.com::6c19612c-7951-4b71-9ab5-cc518042eb4f" providerId="AD"/>
  <person displayName="Esteban Gonzalez" id="{9FCF3030-120A-48D1-9D5A-B299D55BA378}" userId="S::esteban.gonzalez@amcor.com::deb2369e-8e56-4ba8-b424-9e0ee477a95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V24" dT="2024-01-29T21:35:33.17" personId="{9FCF3030-120A-48D1-9D5A-B299D55BA378}" id="{9B09A8D8-0206-4596-9F6E-4CB936BD8C7C}">
    <text xml:space="preserve">Considerando el Art. 6 del Decreto 2147 de 2016: Por el cual se modifica el régimen de zonas francas y se dictan otras disposiciones, donde se especifica que todo el proceso de la actividad generadora se realice en áreas calificadas dentro del régimen de zonas francas, evitando incurrir en una penalidad grave debemos gestionar todo el proceso de internación se realice dentro de una zona franca en puerto, de lo contrario deberíamos nacionalizar la resina al momento que llega a puerto lo cual seria mas costoso.
"Artículo 6°. Exclusividad en zonas francas. Las personas jurídicas que soliciten la calificación como usuario industrial de bienes y/o usuario industrial de servicios, deberán estar instalados exclusivamente en las áreas declaradas como zona franca y garantizar que el desarrollo de su objeto social y la actividad generadora de renta se produzca exclusivamente en las áreas declaradas como zona franca, salvo el procesamiento parcial por fuera de zona franca previsto en el artículo 97 del presente decreto."
</text>
  </threadedComment>
</ThreadedComments>
</file>

<file path=xl/threadedComments/threadedComment2.xml><?xml version="1.0" encoding="utf-8"?>
<ThreadedComments xmlns="http://schemas.microsoft.com/office/spreadsheetml/2018/threadedcomments" xmlns:x="http://schemas.openxmlformats.org/spreadsheetml/2006/main">
  <threadedComment ref="BW24" dT="2024-01-29T21:35:33.17" personId="{9FCF3030-120A-48D1-9D5A-B299D55BA378}" id="{3BF1ED3C-3A4F-42B1-9194-8A8973E1F9A6}">
    <text xml:space="preserve">Considerando el Art. 6 del Decreto 2147 de 2016: Por el cual se modifica el régimen de zonas francas y se dictan otras disposiciones, donde se especifica que todo el proceso de la actividad generadora se realice en áreas calificadas dentro del régimen de zonas francas, evitando incurrir en una penalidad grave debemos gestionar todo el proceso de internación se realice dentro de una zona franca en puerto, de lo contrario deberíamos nacionalizar la resina al momento que llega a puerto lo cual seria mas costoso.
"Artículo 6°. Exclusividad en zonas francas. Las personas jurídicas que soliciten la calificación como usuario industrial de bienes y/o usuario industrial de servicios, deberán estar instalados exclusivamente en las áreas declaradas como zona franca y garantizar que el desarrollo de su objeto social y la actividad generadora de renta se produzca exclusivamente en las áreas declaradas como zona franca, salvo el procesamiento parcial por fuera de zona franca previsto en el artículo 97 del presente decreto."
</text>
  </threadedComment>
</ThreadedComments>
</file>

<file path=xl/threadedComments/threadedComment3.xml><?xml version="1.0" encoding="utf-8"?>
<ThreadedComments xmlns="http://schemas.microsoft.com/office/spreadsheetml/2018/threadedcomments" xmlns:x="http://schemas.openxmlformats.org/spreadsheetml/2006/main">
  <threadedComment ref="V18" dT="2021-09-28T13:15:31.77" personId="{EFFE5C38-A931-4871-8EC0-3803FCCEF250}" id="{489CBDBB-4DD5-415F-A2C6-CCA0EAAF1008}">
    <text>!</text>
  </threadedComment>
</ThreadedComments>
</file>

<file path=xl/threadedComments/threadedComment4.xml><?xml version="1.0" encoding="utf-8"?>
<ThreadedComments xmlns="http://schemas.microsoft.com/office/spreadsheetml/2018/threadedcomments" xmlns:x="http://schemas.openxmlformats.org/spreadsheetml/2006/main">
  <threadedComment ref="O7" dT="2023-09-20T16:28:54.26" personId="{AD1A1DF4-610C-4116-9356-B0574CBAF46A}" id="{0C09DFFC-B4B0-488B-9C8C-9ECDC53149C9}">
    <text>1000</text>
  </threadedComment>
  <threadedComment ref="Q7" dT="2023-09-20T16:29:52.21" personId="{AD1A1DF4-610C-4116-9356-B0574CBAF46A}" id="{FB737A4D-D55D-4672-A871-5C4EBA6B1FA5}">
    <text>890</text>
  </threadedComment>
  <threadedComment ref="O33" dT="2023-09-20T16:28:54.26" personId="{AD1A1DF4-610C-4116-9356-B0574CBAF46A}" id="{967616E3-A646-44D3-93A3-B5F26CF22F26}">
    <text>1000</text>
  </threadedComment>
  <threadedComment ref="Q33" dT="2023-09-20T16:29:52.21" personId="{AD1A1DF4-610C-4116-9356-B0574CBAF46A}" id="{E90D3B8A-1809-40F6-A8E1-35AFAC233E99}">
    <text>890</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2.bin"/><Relationship Id="rId1" Type="http://schemas.openxmlformats.org/officeDocument/2006/relationships/printerSettings" Target="../printerSettings/printerSettings3.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3.bin"/><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customProperty" Target="../customProperty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customProperty" Target="../customProperty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6.bin"/><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customProperty" Target="../customProperty7.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printerSettings" Target="../printerSettings/printerSettings7.bin"/><Relationship Id="rId1" Type="http://schemas.openxmlformats.org/officeDocument/2006/relationships/hyperlink" Target="https://connect.ihsmarkit.com/newdatabrowser/buildQuery/Chemical%20Price%20AND%20Economics" TargetMode="External"/><Relationship Id="rId4"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customProperty" Target="../customProperty10.bin"/><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11.bin"/><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12.bin"/><Relationship Id="rId1" Type="http://schemas.openxmlformats.org/officeDocument/2006/relationships/printerSettings" Target="../printerSettings/printerSettings11.bin"/><Relationship Id="rId5" Type="http://schemas.microsoft.com/office/2017/10/relationships/threadedComment" Target="../threadedComments/threadedComment4.xml"/><Relationship Id="rId4" Type="http://schemas.openxmlformats.org/officeDocument/2006/relationships/comments" Target="../comments5.xml"/></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14.bin"/><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789C-7955-472E-895B-59195AFC6480}">
  <sheetPr>
    <outlinePr summaryBelow="0" summaryRight="0"/>
    <pageSetUpPr autoPageBreaks="0" fitToPage="1"/>
  </sheetPr>
  <dimension ref="B2:E90"/>
  <sheetViews>
    <sheetView showGridLines="0" topLeftCell="A56" workbookViewId="0">
      <selection activeCell="D62" sqref="D62:D65"/>
    </sheetView>
  </sheetViews>
  <sheetFormatPr defaultRowHeight="12.5" x14ac:dyDescent="0.25"/>
  <cols>
    <col min="1" max="1" width="8.7265625" style="798"/>
    <col min="2" max="2" width="30" style="798" customWidth="1"/>
    <col min="3" max="5" width="20" style="798" customWidth="1"/>
    <col min="6" max="257" width="8.7265625" style="798"/>
    <col min="258" max="258" width="30" style="798" customWidth="1"/>
    <col min="259" max="261" width="20" style="798" customWidth="1"/>
    <col min="262" max="513" width="8.7265625" style="798"/>
    <col min="514" max="514" width="30" style="798" customWidth="1"/>
    <col min="515" max="517" width="20" style="798" customWidth="1"/>
    <col min="518" max="769" width="8.7265625" style="798"/>
    <col min="770" max="770" width="30" style="798" customWidth="1"/>
    <col min="771" max="773" width="20" style="798" customWidth="1"/>
    <col min="774" max="1025" width="8.7265625" style="798"/>
    <col min="1026" max="1026" width="30" style="798" customWidth="1"/>
    <col min="1027" max="1029" width="20" style="798" customWidth="1"/>
    <col min="1030" max="1281" width="8.7265625" style="798"/>
    <col min="1282" max="1282" width="30" style="798" customWidth="1"/>
    <col min="1283" max="1285" width="20" style="798" customWidth="1"/>
    <col min="1286" max="1537" width="8.7265625" style="798"/>
    <col min="1538" max="1538" width="30" style="798" customWidth="1"/>
    <col min="1539" max="1541" width="20" style="798" customWidth="1"/>
    <col min="1542" max="1793" width="8.7265625" style="798"/>
    <col min="1794" max="1794" width="30" style="798" customWidth="1"/>
    <col min="1795" max="1797" width="20" style="798" customWidth="1"/>
    <col min="1798" max="2049" width="8.7265625" style="798"/>
    <col min="2050" max="2050" width="30" style="798" customWidth="1"/>
    <col min="2051" max="2053" width="20" style="798" customWidth="1"/>
    <col min="2054" max="2305" width="8.7265625" style="798"/>
    <col min="2306" max="2306" width="30" style="798" customWidth="1"/>
    <col min="2307" max="2309" width="20" style="798" customWidth="1"/>
    <col min="2310" max="2561" width="8.7265625" style="798"/>
    <col min="2562" max="2562" width="30" style="798" customWidth="1"/>
    <col min="2563" max="2565" width="20" style="798" customWidth="1"/>
    <col min="2566" max="2817" width="8.7265625" style="798"/>
    <col min="2818" max="2818" width="30" style="798" customWidth="1"/>
    <col min="2819" max="2821" width="20" style="798" customWidth="1"/>
    <col min="2822" max="3073" width="8.7265625" style="798"/>
    <col min="3074" max="3074" width="30" style="798" customWidth="1"/>
    <col min="3075" max="3077" width="20" style="798" customWidth="1"/>
    <col min="3078" max="3329" width="8.7265625" style="798"/>
    <col min="3330" max="3330" width="30" style="798" customWidth="1"/>
    <col min="3331" max="3333" width="20" style="798" customWidth="1"/>
    <col min="3334" max="3585" width="8.7265625" style="798"/>
    <col min="3586" max="3586" width="30" style="798" customWidth="1"/>
    <col min="3587" max="3589" width="20" style="798" customWidth="1"/>
    <col min="3590" max="3841" width="8.7265625" style="798"/>
    <col min="3842" max="3842" width="30" style="798" customWidth="1"/>
    <col min="3843" max="3845" width="20" style="798" customWidth="1"/>
    <col min="3846" max="4097" width="8.7265625" style="798"/>
    <col min="4098" max="4098" width="30" style="798" customWidth="1"/>
    <col min="4099" max="4101" width="20" style="798" customWidth="1"/>
    <col min="4102" max="4353" width="8.7265625" style="798"/>
    <col min="4354" max="4354" width="30" style="798" customWidth="1"/>
    <col min="4355" max="4357" width="20" style="798" customWidth="1"/>
    <col min="4358" max="4609" width="8.7265625" style="798"/>
    <col min="4610" max="4610" width="30" style="798" customWidth="1"/>
    <col min="4611" max="4613" width="20" style="798" customWidth="1"/>
    <col min="4614" max="4865" width="8.7265625" style="798"/>
    <col min="4866" max="4866" width="30" style="798" customWidth="1"/>
    <col min="4867" max="4869" width="20" style="798" customWidth="1"/>
    <col min="4870" max="5121" width="8.7265625" style="798"/>
    <col min="5122" max="5122" width="30" style="798" customWidth="1"/>
    <col min="5123" max="5125" width="20" style="798" customWidth="1"/>
    <col min="5126" max="5377" width="8.7265625" style="798"/>
    <col min="5378" max="5378" width="30" style="798" customWidth="1"/>
    <col min="5379" max="5381" width="20" style="798" customWidth="1"/>
    <col min="5382" max="5633" width="8.7265625" style="798"/>
    <col min="5634" max="5634" width="30" style="798" customWidth="1"/>
    <col min="5635" max="5637" width="20" style="798" customWidth="1"/>
    <col min="5638" max="5889" width="8.7265625" style="798"/>
    <col min="5890" max="5890" width="30" style="798" customWidth="1"/>
    <col min="5891" max="5893" width="20" style="798" customWidth="1"/>
    <col min="5894" max="6145" width="8.7265625" style="798"/>
    <col min="6146" max="6146" width="30" style="798" customWidth="1"/>
    <col min="6147" max="6149" width="20" style="798" customWidth="1"/>
    <col min="6150" max="6401" width="8.7265625" style="798"/>
    <col min="6402" max="6402" width="30" style="798" customWidth="1"/>
    <col min="6403" max="6405" width="20" style="798" customWidth="1"/>
    <col min="6406" max="6657" width="8.7265625" style="798"/>
    <col min="6658" max="6658" width="30" style="798" customWidth="1"/>
    <col min="6659" max="6661" width="20" style="798" customWidth="1"/>
    <col min="6662" max="6913" width="8.7265625" style="798"/>
    <col min="6914" max="6914" width="30" style="798" customWidth="1"/>
    <col min="6915" max="6917" width="20" style="798" customWidth="1"/>
    <col min="6918" max="7169" width="8.7265625" style="798"/>
    <col min="7170" max="7170" width="30" style="798" customWidth="1"/>
    <col min="7171" max="7173" width="20" style="798" customWidth="1"/>
    <col min="7174" max="7425" width="8.7265625" style="798"/>
    <col min="7426" max="7426" width="30" style="798" customWidth="1"/>
    <col min="7427" max="7429" width="20" style="798" customWidth="1"/>
    <col min="7430" max="7681" width="8.7265625" style="798"/>
    <col min="7682" max="7682" width="30" style="798" customWidth="1"/>
    <col min="7683" max="7685" width="20" style="798" customWidth="1"/>
    <col min="7686" max="7937" width="8.7265625" style="798"/>
    <col min="7938" max="7938" width="30" style="798" customWidth="1"/>
    <col min="7939" max="7941" width="20" style="798" customWidth="1"/>
    <col min="7942" max="8193" width="8.7265625" style="798"/>
    <col min="8194" max="8194" width="30" style="798" customWidth="1"/>
    <col min="8195" max="8197" width="20" style="798" customWidth="1"/>
    <col min="8198" max="8449" width="8.7265625" style="798"/>
    <col min="8450" max="8450" width="30" style="798" customWidth="1"/>
    <col min="8451" max="8453" width="20" style="798" customWidth="1"/>
    <col min="8454" max="8705" width="8.7265625" style="798"/>
    <col min="8706" max="8706" width="30" style="798" customWidth="1"/>
    <col min="8707" max="8709" width="20" style="798" customWidth="1"/>
    <col min="8710" max="8961" width="8.7265625" style="798"/>
    <col min="8962" max="8962" width="30" style="798" customWidth="1"/>
    <col min="8963" max="8965" width="20" style="798" customWidth="1"/>
    <col min="8966" max="9217" width="8.7265625" style="798"/>
    <col min="9218" max="9218" width="30" style="798" customWidth="1"/>
    <col min="9219" max="9221" width="20" style="798" customWidth="1"/>
    <col min="9222" max="9473" width="8.7265625" style="798"/>
    <col min="9474" max="9474" width="30" style="798" customWidth="1"/>
    <col min="9475" max="9477" width="20" style="798" customWidth="1"/>
    <col min="9478" max="9729" width="8.7265625" style="798"/>
    <col min="9730" max="9730" width="30" style="798" customWidth="1"/>
    <col min="9731" max="9733" width="20" style="798" customWidth="1"/>
    <col min="9734" max="9985" width="8.7265625" style="798"/>
    <col min="9986" max="9986" width="30" style="798" customWidth="1"/>
    <col min="9987" max="9989" width="20" style="798" customWidth="1"/>
    <col min="9990" max="10241" width="8.7265625" style="798"/>
    <col min="10242" max="10242" width="30" style="798" customWidth="1"/>
    <col min="10243" max="10245" width="20" style="798" customWidth="1"/>
    <col min="10246" max="10497" width="8.7265625" style="798"/>
    <col min="10498" max="10498" width="30" style="798" customWidth="1"/>
    <col min="10499" max="10501" width="20" style="798" customWidth="1"/>
    <col min="10502" max="10753" width="8.7265625" style="798"/>
    <col min="10754" max="10754" width="30" style="798" customWidth="1"/>
    <col min="10755" max="10757" width="20" style="798" customWidth="1"/>
    <col min="10758" max="11009" width="8.7265625" style="798"/>
    <col min="11010" max="11010" width="30" style="798" customWidth="1"/>
    <col min="11011" max="11013" width="20" style="798" customWidth="1"/>
    <col min="11014" max="11265" width="8.7265625" style="798"/>
    <col min="11266" max="11266" width="30" style="798" customWidth="1"/>
    <col min="11267" max="11269" width="20" style="798" customWidth="1"/>
    <col min="11270" max="11521" width="8.7265625" style="798"/>
    <col min="11522" max="11522" width="30" style="798" customWidth="1"/>
    <col min="11523" max="11525" width="20" style="798" customWidth="1"/>
    <col min="11526" max="11777" width="8.7265625" style="798"/>
    <col min="11778" max="11778" width="30" style="798" customWidth="1"/>
    <col min="11779" max="11781" width="20" style="798" customWidth="1"/>
    <col min="11782" max="12033" width="8.7265625" style="798"/>
    <col min="12034" max="12034" width="30" style="798" customWidth="1"/>
    <col min="12035" max="12037" width="20" style="798" customWidth="1"/>
    <col min="12038" max="12289" width="8.7265625" style="798"/>
    <col min="12290" max="12290" width="30" style="798" customWidth="1"/>
    <col min="12291" max="12293" width="20" style="798" customWidth="1"/>
    <col min="12294" max="12545" width="8.7265625" style="798"/>
    <col min="12546" max="12546" width="30" style="798" customWidth="1"/>
    <col min="12547" max="12549" width="20" style="798" customWidth="1"/>
    <col min="12550" max="12801" width="8.7265625" style="798"/>
    <col min="12802" max="12802" width="30" style="798" customWidth="1"/>
    <col min="12803" max="12805" width="20" style="798" customWidth="1"/>
    <col min="12806" max="13057" width="8.7265625" style="798"/>
    <col min="13058" max="13058" width="30" style="798" customWidth="1"/>
    <col min="13059" max="13061" width="20" style="798" customWidth="1"/>
    <col min="13062" max="13313" width="8.7265625" style="798"/>
    <col min="13314" max="13314" width="30" style="798" customWidth="1"/>
    <col min="13315" max="13317" width="20" style="798" customWidth="1"/>
    <col min="13318" max="13569" width="8.7265625" style="798"/>
    <col min="13570" max="13570" width="30" style="798" customWidth="1"/>
    <col min="13571" max="13573" width="20" style="798" customWidth="1"/>
    <col min="13574" max="13825" width="8.7265625" style="798"/>
    <col min="13826" max="13826" width="30" style="798" customWidth="1"/>
    <col min="13827" max="13829" width="20" style="798" customWidth="1"/>
    <col min="13830" max="14081" width="8.7265625" style="798"/>
    <col min="14082" max="14082" width="30" style="798" customWidth="1"/>
    <col min="14083" max="14085" width="20" style="798" customWidth="1"/>
    <col min="14086" max="14337" width="8.7265625" style="798"/>
    <col min="14338" max="14338" width="30" style="798" customWidth="1"/>
    <col min="14339" max="14341" width="20" style="798" customWidth="1"/>
    <col min="14342" max="14593" width="8.7265625" style="798"/>
    <col min="14594" max="14594" width="30" style="798" customWidth="1"/>
    <col min="14595" max="14597" width="20" style="798" customWidth="1"/>
    <col min="14598" max="14849" width="8.7265625" style="798"/>
    <col min="14850" max="14850" width="30" style="798" customWidth="1"/>
    <col min="14851" max="14853" width="20" style="798" customWidth="1"/>
    <col min="14854" max="15105" width="8.7265625" style="798"/>
    <col min="15106" max="15106" width="30" style="798" customWidth="1"/>
    <col min="15107" max="15109" width="20" style="798" customWidth="1"/>
    <col min="15110" max="15361" width="8.7265625" style="798"/>
    <col min="15362" max="15362" width="30" style="798" customWidth="1"/>
    <col min="15363" max="15365" width="20" style="798" customWidth="1"/>
    <col min="15366" max="15617" width="8.7265625" style="798"/>
    <col min="15618" max="15618" width="30" style="798" customWidth="1"/>
    <col min="15619" max="15621" width="20" style="798" customWidth="1"/>
    <col min="15622" max="15873" width="8.7265625" style="798"/>
    <col min="15874" max="15874" width="30" style="798" customWidth="1"/>
    <col min="15875" max="15877" width="20" style="798" customWidth="1"/>
    <col min="15878" max="16129" width="8.7265625" style="798"/>
    <col min="16130" max="16130" width="30" style="798" customWidth="1"/>
    <col min="16131" max="16133" width="20" style="798" customWidth="1"/>
    <col min="16134" max="16384" width="8.7265625" style="798"/>
  </cols>
  <sheetData>
    <row r="2" spans="2:5" ht="26" x14ac:dyDescent="0.6">
      <c r="B2" s="797" t="s">
        <v>604</v>
      </c>
    </row>
    <row r="4" spans="2:5" ht="14.5" x14ac:dyDescent="0.35">
      <c r="B4" s="799" t="s">
        <v>263</v>
      </c>
      <c r="C4" s="798" t="s">
        <v>605</v>
      </c>
    </row>
    <row r="5" spans="2:5" ht="14.5" x14ac:dyDescent="0.35">
      <c r="B5" s="799" t="s">
        <v>606</v>
      </c>
      <c r="C5" s="798" t="s">
        <v>607</v>
      </c>
    </row>
    <row r="6" spans="2:5" ht="14.5" x14ac:dyDescent="0.35">
      <c r="B6" s="799" t="s">
        <v>269</v>
      </c>
      <c r="C6" s="798" t="s">
        <v>197</v>
      </c>
      <c r="D6" s="798" t="s">
        <v>197</v>
      </c>
      <c r="E6" s="798" t="s">
        <v>320</v>
      </c>
    </row>
    <row r="7" spans="2:5" ht="14.5" x14ac:dyDescent="0.35">
      <c r="B7" s="799" t="s">
        <v>271</v>
      </c>
      <c r="C7" s="798" t="s">
        <v>277</v>
      </c>
      <c r="D7" s="798" t="s">
        <v>277</v>
      </c>
      <c r="E7" s="798" t="s">
        <v>320</v>
      </c>
    </row>
    <row r="8" spans="2:5" ht="14.5" x14ac:dyDescent="0.35">
      <c r="B8" s="799" t="s">
        <v>275</v>
      </c>
      <c r="C8" s="798" t="s">
        <v>197</v>
      </c>
    </row>
    <row r="9" spans="2:5" ht="14.5" x14ac:dyDescent="0.35">
      <c r="B9" s="799" t="s">
        <v>276</v>
      </c>
      <c r="C9" s="798" t="s">
        <v>277</v>
      </c>
    </row>
    <row r="10" spans="2:5" ht="14.5" x14ac:dyDescent="0.35">
      <c r="B10" s="799" t="s">
        <v>608</v>
      </c>
      <c r="C10" s="798" t="s">
        <v>609</v>
      </c>
    </row>
    <row r="11" spans="2:5" ht="14.5" x14ac:dyDescent="0.35">
      <c r="B11" s="799" t="s">
        <v>610</v>
      </c>
      <c r="C11" s="798" t="s">
        <v>611</v>
      </c>
    </row>
    <row r="13" spans="2:5" ht="58.5" thickBot="1" x14ac:dyDescent="0.3">
      <c r="B13" s="800" t="s">
        <v>606</v>
      </c>
      <c r="C13" s="800" t="s">
        <v>612</v>
      </c>
      <c r="D13" s="800" t="s">
        <v>613</v>
      </c>
    </row>
    <row r="14" spans="2:5" ht="14.5" x14ac:dyDescent="0.35">
      <c r="B14" s="801" t="s">
        <v>614</v>
      </c>
      <c r="C14" s="802" t="s">
        <v>320</v>
      </c>
      <c r="D14" s="803" t="s">
        <v>615</v>
      </c>
    </row>
    <row r="15" spans="2:5" ht="14.5" x14ac:dyDescent="0.35">
      <c r="B15" s="804" t="s">
        <v>616</v>
      </c>
      <c r="C15" s="805" t="s">
        <v>320</v>
      </c>
      <c r="D15" s="806" t="s">
        <v>617</v>
      </c>
    </row>
    <row r="16" spans="2:5" ht="14.5" x14ac:dyDescent="0.35">
      <c r="B16" s="804" t="s">
        <v>618</v>
      </c>
      <c r="C16" s="805" t="s">
        <v>320</v>
      </c>
      <c r="D16" s="806" t="s">
        <v>619</v>
      </c>
    </row>
    <row r="17" spans="2:4" ht="14.5" x14ac:dyDescent="0.35">
      <c r="B17" s="804" t="s">
        <v>620</v>
      </c>
      <c r="C17" s="805" t="s">
        <v>320</v>
      </c>
      <c r="D17" s="806" t="s">
        <v>621</v>
      </c>
    </row>
    <row r="18" spans="2:4" ht="14.5" x14ac:dyDescent="0.35">
      <c r="B18" s="804" t="s">
        <v>622</v>
      </c>
      <c r="C18" s="805" t="s">
        <v>320</v>
      </c>
      <c r="D18" s="806" t="s">
        <v>623</v>
      </c>
    </row>
    <row r="19" spans="2:4" ht="14.5" x14ac:dyDescent="0.35">
      <c r="B19" s="804" t="s">
        <v>624</v>
      </c>
      <c r="C19" s="805" t="s">
        <v>320</v>
      </c>
      <c r="D19" s="806" t="s">
        <v>625</v>
      </c>
    </row>
    <row r="20" spans="2:4" ht="14.5" x14ac:dyDescent="0.35">
      <c r="B20" s="804" t="s">
        <v>626</v>
      </c>
      <c r="C20" s="805" t="s">
        <v>320</v>
      </c>
      <c r="D20" s="806" t="s">
        <v>627</v>
      </c>
    </row>
    <row r="21" spans="2:4" ht="14.5" x14ac:dyDescent="0.35">
      <c r="B21" s="804" t="s">
        <v>628</v>
      </c>
      <c r="C21" s="805" t="s">
        <v>320</v>
      </c>
      <c r="D21" s="806" t="s">
        <v>629</v>
      </c>
    </row>
    <row r="22" spans="2:4" ht="14.5" x14ac:dyDescent="0.35">
      <c r="B22" s="804" t="s">
        <v>630</v>
      </c>
      <c r="C22" s="805" t="s">
        <v>320</v>
      </c>
      <c r="D22" s="806" t="s">
        <v>631</v>
      </c>
    </row>
    <row r="23" spans="2:4" ht="14.5" x14ac:dyDescent="0.35">
      <c r="B23" s="804" t="s">
        <v>632</v>
      </c>
      <c r="C23" s="805" t="s">
        <v>320</v>
      </c>
      <c r="D23" s="806" t="s">
        <v>633</v>
      </c>
    </row>
    <row r="24" spans="2:4" ht="14.5" x14ac:dyDescent="0.35">
      <c r="B24" s="804" t="s">
        <v>634</v>
      </c>
      <c r="C24" s="805" t="s">
        <v>320</v>
      </c>
      <c r="D24" s="806" t="s">
        <v>635</v>
      </c>
    </row>
    <row r="25" spans="2:4" ht="14.5" x14ac:dyDescent="0.35">
      <c r="B25" s="804" t="s">
        <v>636</v>
      </c>
      <c r="C25" s="805" t="s">
        <v>320</v>
      </c>
      <c r="D25" s="806" t="s">
        <v>627</v>
      </c>
    </row>
    <row r="26" spans="2:4" ht="14.5" x14ac:dyDescent="0.35">
      <c r="B26" s="804" t="s">
        <v>637</v>
      </c>
      <c r="C26" s="805" t="s">
        <v>320</v>
      </c>
      <c r="D26" s="806" t="s">
        <v>629</v>
      </c>
    </row>
    <row r="27" spans="2:4" ht="14.5" x14ac:dyDescent="0.35">
      <c r="B27" s="804" t="s">
        <v>638</v>
      </c>
      <c r="C27" s="805" t="s">
        <v>320</v>
      </c>
      <c r="D27" s="806" t="s">
        <v>639</v>
      </c>
    </row>
    <row r="28" spans="2:4" ht="14.5" x14ac:dyDescent="0.35">
      <c r="B28" s="804" t="s">
        <v>640</v>
      </c>
      <c r="C28" s="805" t="s">
        <v>320</v>
      </c>
      <c r="D28" s="806" t="s">
        <v>627</v>
      </c>
    </row>
    <row r="29" spans="2:4" ht="14.5" x14ac:dyDescent="0.35">
      <c r="B29" s="804" t="s">
        <v>641</v>
      </c>
      <c r="C29" s="805" t="s">
        <v>320</v>
      </c>
      <c r="D29" s="806" t="s">
        <v>629</v>
      </c>
    </row>
    <row r="30" spans="2:4" ht="14.5" x14ac:dyDescent="0.35">
      <c r="B30" s="804" t="s">
        <v>642</v>
      </c>
      <c r="C30" s="805" t="s">
        <v>320</v>
      </c>
      <c r="D30" s="806" t="s">
        <v>643</v>
      </c>
    </row>
    <row r="31" spans="2:4" ht="14.5" x14ac:dyDescent="0.35">
      <c r="B31" s="804" t="s">
        <v>644</v>
      </c>
      <c r="C31" s="805" t="s">
        <v>320</v>
      </c>
      <c r="D31" s="806" t="s">
        <v>645</v>
      </c>
    </row>
    <row r="32" spans="2:4" ht="14.5" x14ac:dyDescent="0.35">
      <c r="B32" s="804" t="s">
        <v>646</v>
      </c>
      <c r="C32" s="805" t="s">
        <v>320</v>
      </c>
      <c r="D32" s="806" t="s">
        <v>647</v>
      </c>
    </row>
    <row r="33" spans="2:4" ht="14.5" x14ac:dyDescent="0.35">
      <c r="B33" s="804" t="s">
        <v>648</v>
      </c>
      <c r="C33" s="805" t="s">
        <v>320</v>
      </c>
      <c r="D33" s="806" t="s">
        <v>639</v>
      </c>
    </row>
    <row r="34" spans="2:4" ht="14.5" x14ac:dyDescent="0.35">
      <c r="B34" s="804" t="s">
        <v>649</v>
      </c>
      <c r="C34" s="805" t="s">
        <v>320</v>
      </c>
      <c r="D34" s="806" t="s">
        <v>643</v>
      </c>
    </row>
    <row r="35" spans="2:4" ht="14.5" x14ac:dyDescent="0.35">
      <c r="B35" s="804" t="s">
        <v>650</v>
      </c>
      <c r="C35" s="805" t="s">
        <v>320</v>
      </c>
      <c r="D35" s="806" t="s">
        <v>651</v>
      </c>
    </row>
    <row r="36" spans="2:4" ht="14.5" x14ac:dyDescent="0.35">
      <c r="B36" s="804" t="s">
        <v>652</v>
      </c>
      <c r="C36" s="805" t="s">
        <v>320</v>
      </c>
      <c r="D36" s="806" t="s">
        <v>651</v>
      </c>
    </row>
    <row r="37" spans="2:4" ht="14.5" x14ac:dyDescent="0.35">
      <c r="B37" s="804" t="s">
        <v>653</v>
      </c>
      <c r="C37" s="805" t="s">
        <v>320</v>
      </c>
      <c r="D37" s="806" t="s">
        <v>654</v>
      </c>
    </row>
    <row r="38" spans="2:4" ht="14.5" x14ac:dyDescent="0.35">
      <c r="B38" s="804" t="s">
        <v>655</v>
      </c>
      <c r="C38" s="805" t="s">
        <v>320</v>
      </c>
      <c r="D38" s="806" t="s">
        <v>654</v>
      </c>
    </row>
    <row r="39" spans="2:4" ht="14.5" x14ac:dyDescent="0.35">
      <c r="B39" s="804" t="s">
        <v>656</v>
      </c>
      <c r="C39" s="805" t="s">
        <v>320</v>
      </c>
      <c r="D39" s="806" t="s">
        <v>621</v>
      </c>
    </row>
    <row r="40" spans="2:4" ht="14.5" x14ac:dyDescent="0.35">
      <c r="B40" s="804" t="s">
        <v>657</v>
      </c>
      <c r="C40" s="805" t="s">
        <v>320</v>
      </c>
      <c r="D40" s="806" t="s">
        <v>658</v>
      </c>
    </row>
    <row r="41" spans="2:4" ht="14.5" x14ac:dyDescent="0.35">
      <c r="B41" s="804" t="s">
        <v>659</v>
      </c>
      <c r="C41" s="805" t="s">
        <v>320</v>
      </c>
      <c r="D41" s="806" t="s">
        <v>658</v>
      </c>
    </row>
    <row r="42" spans="2:4" ht="14.5" x14ac:dyDescent="0.35">
      <c r="B42" s="804" t="s">
        <v>660</v>
      </c>
      <c r="C42" s="805" t="s">
        <v>320</v>
      </c>
      <c r="D42" s="806" t="s">
        <v>621</v>
      </c>
    </row>
    <row r="43" spans="2:4" ht="14.5" x14ac:dyDescent="0.35">
      <c r="B43" s="804" t="s">
        <v>661</v>
      </c>
      <c r="C43" s="805" t="s">
        <v>320</v>
      </c>
      <c r="D43" s="806" t="s">
        <v>662</v>
      </c>
    </row>
    <row r="44" spans="2:4" ht="14.5" x14ac:dyDescent="0.35">
      <c r="B44" s="804" t="s">
        <v>663</v>
      </c>
      <c r="C44" s="805" t="s">
        <v>320</v>
      </c>
      <c r="D44" s="806" t="s">
        <v>662</v>
      </c>
    </row>
    <row r="45" spans="2:4" ht="14.5" x14ac:dyDescent="0.35">
      <c r="B45" s="804" t="s">
        <v>664</v>
      </c>
      <c r="C45" s="805" t="s">
        <v>320</v>
      </c>
      <c r="D45" s="806" t="s">
        <v>662</v>
      </c>
    </row>
    <row r="46" spans="2:4" ht="14.5" x14ac:dyDescent="0.35">
      <c r="B46" s="804" t="s">
        <v>665</v>
      </c>
      <c r="C46" s="805" t="s">
        <v>320</v>
      </c>
      <c r="D46" s="806" t="s">
        <v>658</v>
      </c>
    </row>
    <row r="47" spans="2:4" ht="14.5" x14ac:dyDescent="0.35">
      <c r="B47" s="804" t="s">
        <v>666</v>
      </c>
      <c r="C47" s="805" t="s">
        <v>320</v>
      </c>
      <c r="D47" s="806" t="s">
        <v>667</v>
      </c>
    </row>
    <row r="48" spans="2:4" ht="14.5" x14ac:dyDescent="0.35">
      <c r="B48" s="804" t="s">
        <v>668</v>
      </c>
      <c r="C48" s="805" t="s">
        <v>320</v>
      </c>
      <c r="D48" s="806" t="s">
        <v>669</v>
      </c>
    </row>
    <row r="49" spans="2:4" ht="14.5" x14ac:dyDescent="0.35">
      <c r="B49" s="804" t="s">
        <v>670</v>
      </c>
      <c r="C49" s="805" t="s">
        <v>320</v>
      </c>
      <c r="D49" s="806" t="s">
        <v>662</v>
      </c>
    </row>
    <row r="50" spans="2:4" ht="14.5" x14ac:dyDescent="0.35">
      <c r="B50" s="804" t="s">
        <v>671</v>
      </c>
      <c r="C50" s="805" t="s">
        <v>320</v>
      </c>
      <c r="D50" s="806" t="s">
        <v>643</v>
      </c>
    </row>
    <row r="51" spans="2:4" ht="14.5" x14ac:dyDescent="0.35">
      <c r="B51" s="804" t="s">
        <v>672</v>
      </c>
      <c r="C51" s="805" t="s">
        <v>320</v>
      </c>
      <c r="D51" s="806">
        <v>800</v>
      </c>
    </row>
    <row r="52" spans="2:4" ht="14.5" x14ac:dyDescent="0.35">
      <c r="B52" s="804" t="s">
        <v>673</v>
      </c>
      <c r="C52" s="805" t="s">
        <v>320</v>
      </c>
      <c r="D52" s="806">
        <v>802.5</v>
      </c>
    </row>
    <row r="53" spans="2:4" ht="14.5" x14ac:dyDescent="0.35">
      <c r="B53" s="804" t="s">
        <v>674</v>
      </c>
      <c r="C53" s="805" t="s">
        <v>320</v>
      </c>
      <c r="D53" s="806">
        <v>825</v>
      </c>
    </row>
    <row r="54" spans="2:4" ht="14.5" x14ac:dyDescent="0.35">
      <c r="B54" s="804" t="s">
        <v>675</v>
      </c>
      <c r="C54" s="805" t="s">
        <v>320</v>
      </c>
      <c r="D54" s="806">
        <v>845</v>
      </c>
    </row>
    <row r="55" spans="2:4" ht="14.5" x14ac:dyDescent="0.35">
      <c r="B55" s="804" t="s">
        <v>676</v>
      </c>
      <c r="C55" s="805" t="s">
        <v>320</v>
      </c>
      <c r="D55" s="806">
        <v>830</v>
      </c>
    </row>
    <row r="56" spans="2:4" ht="14.5" x14ac:dyDescent="0.35">
      <c r="B56" s="804" t="s">
        <v>677</v>
      </c>
      <c r="C56" s="805" t="s">
        <v>320</v>
      </c>
      <c r="D56" s="806">
        <v>837.5</v>
      </c>
    </row>
    <row r="57" spans="2:4" ht="14.5" x14ac:dyDescent="0.35">
      <c r="B57" s="804" t="s">
        <v>678</v>
      </c>
      <c r="C57" s="805" t="s">
        <v>320</v>
      </c>
      <c r="D57" s="806">
        <v>847.5</v>
      </c>
    </row>
    <row r="58" spans="2:4" ht="14.5" x14ac:dyDescent="0.35">
      <c r="B58" s="804" t="s">
        <v>679</v>
      </c>
      <c r="C58" s="805" t="s">
        <v>320</v>
      </c>
      <c r="D58" s="806">
        <v>920</v>
      </c>
    </row>
    <row r="59" spans="2:4" ht="14.5" x14ac:dyDescent="0.35">
      <c r="B59" s="804" t="s">
        <v>680</v>
      </c>
      <c r="C59" s="805" t="s">
        <v>320</v>
      </c>
      <c r="D59" s="806">
        <v>1135</v>
      </c>
    </row>
    <row r="60" spans="2:4" ht="14.5" x14ac:dyDescent="0.35">
      <c r="B60" s="804" t="s">
        <v>681</v>
      </c>
      <c r="C60" s="805" t="s">
        <v>320</v>
      </c>
      <c r="D60" s="806">
        <v>1215</v>
      </c>
    </row>
    <row r="61" spans="2:4" ht="14.5" x14ac:dyDescent="0.35">
      <c r="B61" s="804" t="s">
        <v>682</v>
      </c>
      <c r="C61" s="805" t="s">
        <v>320</v>
      </c>
      <c r="D61" s="806">
        <v>1175</v>
      </c>
    </row>
    <row r="62" spans="2:4" ht="14.5" x14ac:dyDescent="0.35">
      <c r="B62" s="804" t="s">
        <v>683</v>
      </c>
      <c r="C62" s="805" t="s">
        <v>684</v>
      </c>
      <c r="D62" s="806" t="str">
        <f>C62</f>
        <v>1147.00</v>
      </c>
    </row>
    <row r="63" spans="2:4" ht="14.5" x14ac:dyDescent="0.35">
      <c r="B63" s="804" t="s">
        <v>685</v>
      </c>
      <c r="C63" s="805" t="s">
        <v>320</v>
      </c>
      <c r="D63" s="806">
        <v>1190</v>
      </c>
    </row>
    <row r="64" spans="2:4" ht="14.5" x14ac:dyDescent="0.35">
      <c r="B64" s="804" t="s">
        <v>686</v>
      </c>
      <c r="C64" s="805" t="s">
        <v>320</v>
      </c>
      <c r="D64" s="806">
        <v>1182.5</v>
      </c>
    </row>
    <row r="65" spans="2:4" ht="14.5" x14ac:dyDescent="0.35">
      <c r="B65" s="804" t="s">
        <v>687</v>
      </c>
      <c r="C65" s="805" t="s">
        <v>320</v>
      </c>
      <c r="D65" s="806">
        <v>1190</v>
      </c>
    </row>
    <row r="66" spans="2:4" ht="14.5" x14ac:dyDescent="0.35">
      <c r="B66" s="804" t="s">
        <v>688</v>
      </c>
      <c r="C66" s="805" t="s">
        <v>689</v>
      </c>
      <c r="D66" s="806" t="s">
        <v>320</v>
      </c>
    </row>
    <row r="67" spans="2:4" ht="14.5" x14ac:dyDescent="0.35">
      <c r="B67" s="804" t="s">
        <v>690</v>
      </c>
      <c r="C67" s="805" t="s">
        <v>691</v>
      </c>
      <c r="D67" s="806" t="s">
        <v>320</v>
      </c>
    </row>
    <row r="68" spans="2:4" ht="14.5" x14ac:dyDescent="0.35">
      <c r="B68" s="804" t="s">
        <v>692</v>
      </c>
      <c r="C68" s="805" t="s">
        <v>693</v>
      </c>
      <c r="D68" s="806" t="s">
        <v>320</v>
      </c>
    </row>
    <row r="69" spans="2:4" ht="14.5" x14ac:dyDescent="0.35">
      <c r="B69" s="804" t="s">
        <v>694</v>
      </c>
      <c r="C69" s="805" t="s">
        <v>695</v>
      </c>
      <c r="D69" s="806" t="s">
        <v>320</v>
      </c>
    </row>
    <row r="70" spans="2:4" ht="14.5" x14ac:dyDescent="0.35">
      <c r="B70" s="804" t="s">
        <v>696</v>
      </c>
      <c r="C70" s="805" t="s">
        <v>697</v>
      </c>
      <c r="D70" s="806" t="s">
        <v>320</v>
      </c>
    </row>
    <row r="71" spans="2:4" ht="14.5" x14ac:dyDescent="0.35">
      <c r="B71" s="804" t="s">
        <v>698</v>
      </c>
      <c r="C71" s="805" t="s">
        <v>699</v>
      </c>
      <c r="D71" s="806" t="s">
        <v>320</v>
      </c>
    </row>
    <row r="72" spans="2:4" ht="14.5" x14ac:dyDescent="0.35">
      <c r="B72" s="804" t="s">
        <v>700</v>
      </c>
      <c r="C72" s="805" t="s">
        <v>701</v>
      </c>
      <c r="D72" s="806" t="s">
        <v>320</v>
      </c>
    </row>
    <row r="73" spans="2:4" ht="14.5" x14ac:dyDescent="0.35">
      <c r="B73" s="804" t="s">
        <v>702</v>
      </c>
      <c r="C73" s="805" t="s">
        <v>625</v>
      </c>
      <c r="D73" s="806" t="s">
        <v>320</v>
      </c>
    </row>
    <row r="74" spans="2:4" ht="14.5" x14ac:dyDescent="0.35">
      <c r="B74" s="804" t="s">
        <v>703</v>
      </c>
      <c r="C74" s="805" t="s">
        <v>704</v>
      </c>
      <c r="D74" s="806" t="s">
        <v>320</v>
      </c>
    </row>
    <row r="75" spans="2:4" ht="14.5" x14ac:dyDescent="0.35">
      <c r="B75" s="804" t="s">
        <v>705</v>
      </c>
      <c r="C75" s="805" t="s">
        <v>706</v>
      </c>
      <c r="D75" s="806" t="s">
        <v>320</v>
      </c>
    </row>
    <row r="76" spans="2:4" ht="14.5" x14ac:dyDescent="0.35">
      <c r="B76" s="804" t="s">
        <v>707</v>
      </c>
      <c r="C76" s="805" t="s">
        <v>708</v>
      </c>
      <c r="D76" s="806" t="s">
        <v>320</v>
      </c>
    </row>
    <row r="77" spans="2:4" ht="14.5" x14ac:dyDescent="0.35">
      <c r="B77" s="804" t="s">
        <v>709</v>
      </c>
      <c r="C77" s="805" t="s">
        <v>710</v>
      </c>
      <c r="D77" s="806" t="s">
        <v>320</v>
      </c>
    </row>
    <row r="78" spans="2:4" ht="14.5" x14ac:dyDescent="0.35">
      <c r="B78" s="804" t="s">
        <v>711</v>
      </c>
      <c r="C78" s="805" t="s">
        <v>712</v>
      </c>
      <c r="D78" s="806" t="s">
        <v>320</v>
      </c>
    </row>
    <row r="79" spans="2:4" ht="14.5" x14ac:dyDescent="0.35">
      <c r="B79" s="804" t="s">
        <v>713</v>
      </c>
      <c r="C79" s="805" t="s">
        <v>625</v>
      </c>
      <c r="D79" s="806" t="s">
        <v>320</v>
      </c>
    </row>
    <row r="80" spans="2:4" ht="14.5" x14ac:dyDescent="0.35">
      <c r="B80" s="804" t="s">
        <v>714</v>
      </c>
      <c r="C80" s="805" t="s">
        <v>715</v>
      </c>
      <c r="D80" s="806" t="s">
        <v>320</v>
      </c>
    </row>
    <row r="81" spans="2:4" ht="14.5" x14ac:dyDescent="0.35">
      <c r="B81" s="804" t="s">
        <v>716</v>
      </c>
      <c r="C81" s="805" t="s">
        <v>717</v>
      </c>
      <c r="D81" s="806" t="s">
        <v>320</v>
      </c>
    </row>
    <row r="82" spans="2:4" ht="15" thickBot="1" x14ac:dyDescent="0.4">
      <c r="B82" s="807" t="s">
        <v>718</v>
      </c>
      <c r="C82" s="808" t="s">
        <v>719</v>
      </c>
      <c r="D82" s="809" t="s">
        <v>320</v>
      </c>
    </row>
    <row r="84" spans="2:4" ht="14.5" x14ac:dyDescent="0.35">
      <c r="B84" s="799" t="s">
        <v>720</v>
      </c>
    </row>
    <row r="85" spans="2:4" ht="14.5" x14ac:dyDescent="0.35">
      <c r="B85" s="799" t="s">
        <v>721</v>
      </c>
    </row>
    <row r="86" spans="2:4" ht="14.5" x14ac:dyDescent="0.35">
      <c r="B86" s="799" t="s">
        <v>311</v>
      </c>
    </row>
    <row r="87" spans="2:4" ht="14.5" x14ac:dyDescent="0.35">
      <c r="B87" s="799" t="s">
        <v>312</v>
      </c>
    </row>
    <row r="88" spans="2:4" ht="14.5" x14ac:dyDescent="0.35">
      <c r="B88" s="799" t="s">
        <v>722</v>
      </c>
    </row>
    <row r="89" spans="2:4" ht="14.5" x14ac:dyDescent="0.35">
      <c r="B89" s="799" t="s">
        <v>314</v>
      </c>
    </row>
    <row r="90" spans="2:4" ht="14.5" x14ac:dyDescent="0.35">
      <c r="B90" s="799" t="s">
        <v>315</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3C75-1AA0-4E9B-8D8F-FB12DC5A416C}">
  <dimension ref="A1:BG11"/>
  <sheetViews>
    <sheetView showGridLines="0" topLeftCell="AM4" zoomScaleNormal="100" workbookViewId="0">
      <selection activeCell="BG3" sqref="BG3"/>
    </sheetView>
  </sheetViews>
  <sheetFormatPr defaultColWidth="10.54296875" defaultRowHeight="14.5" x14ac:dyDescent="0.35"/>
  <cols>
    <col min="1" max="1" width="20.453125" bestFit="1" customWidth="1"/>
    <col min="2" max="31" width="10.54296875" customWidth="1"/>
    <col min="32" max="32" width="7.54296875" customWidth="1"/>
    <col min="33" max="33" width="7.453125" customWidth="1"/>
    <col min="34" max="35" width="7" customWidth="1"/>
    <col min="36" max="36" width="7.81640625" customWidth="1"/>
    <col min="37" max="37" width="7.1796875" customWidth="1"/>
    <col min="38" max="41" width="8" customWidth="1"/>
    <col min="42" max="42" width="7" customWidth="1"/>
    <col min="43" max="44" width="7.1796875" customWidth="1"/>
    <col min="45" max="48" width="8.1796875" customWidth="1"/>
    <col min="49" max="53" width="7.26953125" customWidth="1"/>
    <col min="54" max="54" width="7" bestFit="1" customWidth="1"/>
    <col min="55" max="58" width="7.26953125" bestFit="1" customWidth="1"/>
  </cols>
  <sheetData>
    <row r="1" spans="1:59" x14ac:dyDescent="0.35">
      <c r="AP1" s="497"/>
      <c r="BB1" s="122">
        <f>BB3-97</f>
        <v>137.45454545454547</v>
      </c>
      <c r="BC1" s="122">
        <f t="shared" ref="BC1:BF1" si="0">BC3-97</f>
        <v>76.363636363636374</v>
      </c>
      <c r="BD1" s="122">
        <f t="shared" si="0"/>
        <v>65.136363636363626</v>
      </c>
      <c r="BE1" s="122">
        <f t="shared" si="0"/>
        <v>39.954545454545467</v>
      </c>
      <c r="BF1" s="122">
        <f t="shared" si="0"/>
        <v>6.5909090909090935</v>
      </c>
    </row>
    <row r="2" spans="1:59" x14ac:dyDescent="0.35">
      <c r="B2" s="244">
        <v>44378</v>
      </c>
      <c r="C2" s="244">
        <v>44409</v>
      </c>
      <c r="D2" s="244">
        <v>44440</v>
      </c>
      <c r="E2" s="244">
        <v>44470</v>
      </c>
      <c r="F2" s="244">
        <v>44501</v>
      </c>
      <c r="G2" s="244">
        <v>44531</v>
      </c>
      <c r="H2" s="244">
        <v>44562</v>
      </c>
      <c r="I2" s="244">
        <v>44593</v>
      </c>
      <c r="J2" s="244">
        <v>44621</v>
      </c>
      <c r="K2" s="244">
        <v>44652</v>
      </c>
      <c r="L2" s="244">
        <v>44682</v>
      </c>
      <c r="M2" s="244">
        <v>44713</v>
      </c>
      <c r="N2" s="244">
        <v>44743</v>
      </c>
      <c r="O2" s="244">
        <v>44774</v>
      </c>
      <c r="P2" s="244">
        <v>44805</v>
      </c>
      <c r="Q2" s="244">
        <v>44835</v>
      </c>
      <c r="R2" s="244">
        <v>44866</v>
      </c>
      <c r="S2" s="244">
        <v>44896</v>
      </c>
      <c r="T2" s="244">
        <v>44927</v>
      </c>
      <c r="U2" s="244">
        <v>44958</v>
      </c>
      <c r="V2" s="244">
        <v>44986</v>
      </c>
      <c r="W2" s="244">
        <v>45017</v>
      </c>
      <c r="X2" s="244">
        <v>45047</v>
      </c>
      <c r="Y2" s="244">
        <v>45078</v>
      </c>
      <c r="Z2" s="244">
        <v>45108</v>
      </c>
      <c r="AA2" s="244">
        <v>45139</v>
      </c>
      <c r="AB2" s="244">
        <v>45170</v>
      </c>
      <c r="AC2" s="244">
        <v>45200</v>
      </c>
      <c r="AD2" s="244">
        <v>45231</v>
      </c>
      <c r="AE2" s="244">
        <v>45261</v>
      </c>
      <c r="AF2" s="244">
        <v>45292</v>
      </c>
      <c r="AG2" s="244">
        <v>45323</v>
      </c>
      <c r="AH2" s="244">
        <v>45352</v>
      </c>
      <c r="AI2" s="244">
        <v>45383</v>
      </c>
      <c r="AJ2" s="244">
        <v>45413</v>
      </c>
      <c r="AK2" s="244">
        <v>45444</v>
      </c>
      <c r="AL2" s="244">
        <v>45474</v>
      </c>
      <c r="AM2" s="244">
        <v>45505</v>
      </c>
      <c r="AN2" s="244">
        <v>45536</v>
      </c>
      <c r="AO2" s="244">
        <v>45566</v>
      </c>
      <c r="AP2" s="244">
        <v>45597</v>
      </c>
      <c r="AQ2" s="244">
        <v>45627</v>
      </c>
      <c r="AR2" s="244">
        <v>45658</v>
      </c>
      <c r="AS2" s="244">
        <v>45689</v>
      </c>
      <c r="AT2" s="244">
        <v>45717</v>
      </c>
      <c r="AU2" s="244">
        <v>45748</v>
      </c>
      <c r="AV2" s="244">
        <v>45778</v>
      </c>
      <c r="AW2" s="244">
        <v>45809</v>
      </c>
      <c r="AX2" s="244">
        <v>45839</v>
      </c>
      <c r="AY2" s="244">
        <v>45870</v>
      </c>
      <c r="AZ2" s="244">
        <v>45901</v>
      </c>
      <c r="BA2" s="244">
        <v>45931</v>
      </c>
      <c r="BB2" s="244">
        <v>45962</v>
      </c>
      <c r="BC2" s="244">
        <v>45992</v>
      </c>
      <c r="BD2" s="244">
        <v>46023</v>
      </c>
      <c r="BE2" s="244">
        <v>46054</v>
      </c>
      <c r="BF2" s="244">
        <v>46082</v>
      </c>
      <c r="BG2" t="s">
        <v>724</v>
      </c>
    </row>
    <row r="3" spans="1:59" x14ac:dyDescent="0.35">
      <c r="A3" t="s">
        <v>378</v>
      </c>
      <c r="B3" s="245">
        <v>350</v>
      </c>
      <c r="C3" s="122">
        <f t="shared" ref="C3:BE3" si="1">+C4/22</f>
        <v>386.36363636363637</v>
      </c>
      <c r="D3" s="122">
        <f t="shared" si="1"/>
        <v>495</v>
      </c>
      <c r="E3" s="122">
        <f t="shared" si="1"/>
        <v>538.63636363636363</v>
      </c>
      <c r="F3" s="122">
        <f t="shared" si="1"/>
        <v>577.27272727272725</v>
      </c>
      <c r="G3" s="122">
        <f t="shared" si="1"/>
        <v>577.27272727272725</v>
      </c>
      <c r="H3" s="122">
        <f t="shared" si="1"/>
        <v>577.27272727272725</v>
      </c>
      <c r="I3" s="122">
        <f t="shared" si="1"/>
        <v>577.27272727272725</v>
      </c>
      <c r="J3" s="122">
        <f t="shared" si="1"/>
        <v>577.27272727272725</v>
      </c>
      <c r="K3" s="122">
        <f t="shared" si="1"/>
        <v>577.27272727272725</v>
      </c>
      <c r="L3" s="122">
        <f t="shared" si="1"/>
        <v>549.5454545454545</v>
      </c>
      <c r="M3" s="122">
        <f t="shared" si="1"/>
        <v>480.45454545454544</v>
      </c>
      <c r="N3" s="122">
        <f t="shared" si="1"/>
        <v>480.90909090909093</v>
      </c>
      <c r="O3" s="122">
        <f t="shared" si="1"/>
        <v>496.36363636363637</v>
      </c>
      <c r="P3" s="122">
        <f t="shared" si="1"/>
        <v>496.36363636363637</v>
      </c>
      <c r="Q3" s="122">
        <f t="shared" si="1"/>
        <v>483.63636363636363</v>
      </c>
      <c r="R3" s="122">
        <f t="shared" si="1"/>
        <v>406.81818181818181</v>
      </c>
      <c r="S3" s="122">
        <f t="shared" si="1"/>
        <v>275.90909090909093</v>
      </c>
      <c r="T3" s="122">
        <f t="shared" si="1"/>
        <v>220.45454545454547</v>
      </c>
      <c r="U3" s="122">
        <f t="shared" si="1"/>
        <v>220.45454545454547</v>
      </c>
      <c r="V3" s="122">
        <f t="shared" si="1"/>
        <v>122.27272727272727</v>
      </c>
      <c r="W3" s="122">
        <f t="shared" si="1"/>
        <v>114.09090909090909</v>
      </c>
      <c r="X3" s="122">
        <f t="shared" si="1"/>
        <v>90</v>
      </c>
      <c r="Y3" s="122">
        <f t="shared" si="1"/>
        <v>122.72727272727273</v>
      </c>
      <c r="Z3" s="122">
        <f t="shared" si="1"/>
        <v>143.31818181818181</v>
      </c>
      <c r="AA3" s="122">
        <f t="shared" si="1"/>
        <v>130.59090909090909</v>
      </c>
      <c r="AB3" s="122">
        <f t="shared" si="1"/>
        <v>123.72727272727273</v>
      </c>
      <c r="AC3" s="122">
        <f t="shared" si="1"/>
        <v>153.13636363636363</v>
      </c>
      <c r="AD3" s="122">
        <f t="shared" si="1"/>
        <v>148.59090909090909</v>
      </c>
      <c r="AE3" s="122">
        <f t="shared" si="1"/>
        <v>129.45454545454547</v>
      </c>
      <c r="AF3" s="122">
        <f t="shared" si="1"/>
        <v>146.63636363636363</v>
      </c>
      <c r="AG3" s="122">
        <f t="shared" si="1"/>
        <v>162.90909090909091</v>
      </c>
      <c r="AH3" s="122">
        <f t="shared" si="1"/>
        <v>166.81818181818181</v>
      </c>
      <c r="AI3" s="122">
        <f t="shared" si="1"/>
        <v>165.86363636363637</v>
      </c>
      <c r="AJ3" s="122">
        <f t="shared" si="1"/>
        <v>195.18181818181819</v>
      </c>
      <c r="AK3" s="122">
        <f t="shared" si="1"/>
        <v>274.95454545454544</v>
      </c>
      <c r="AL3" s="498">
        <f t="shared" si="1"/>
        <v>390.22727272727275</v>
      </c>
      <c r="AM3" s="498">
        <f t="shared" si="1"/>
        <v>420.77272727272725</v>
      </c>
      <c r="AN3" s="498">
        <f t="shared" si="1"/>
        <v>322.09090909090907</v>
      </c>
      <c r="AO3" s="498">
        <f t="shared" si="1"/>
        <v>342.54545454545456</v>
      </c>
      <c r="AP3" s="498">
        <f t="shared" si="1"/>
        <v>265.86363636363637</v>
      </c>
      <c r="AQ3" s="498">
        <f t="shared" si="1"/>
        <v>261</v>
      </c>
      <c r="AR3" s="498">
        <f t="shared" si="1"/>
        <v>213.63636363636363</v>
      </c>
      <c r="AS3" s="498">
        <f t="shared" si="1"/>
        <v>213.63636363636363</v>
      </c>
      <c r="AT3" s="498">
        <f t="shared" si="1"/>
        <v>206.27272727272728</v>
      </c>
      <c r="AU3" s="498">
        <f t="shared" si="1"/>
        <v>162.22727272727272</v>
      </c>
      <c r="AV3" s="498">
        <f t="shared" si="1"/>
        <v>167.5</v>
      </c>
      <c r="AW3" s="498">
        <f t="shared" si="1"/>
        <v>146.13636363636363</v>
      </c>
      <c r="AX3" s="498">
        <f t="shared" si="1"/>
        <v>148.54545454545453</v>
      </c>
      <c r="AY3" s="498">
        <f t="shared" si="1"/>
        <v>360.18181818181819</v>
      </c>
      <c r="AZ3" s="498">
        <f t="shared" si="1"/>
        <v>260.04545454545456</v>
      </c>
      <c r="BA3" s="498">
        <f t="shared" si="1"/>
        <v>250.36363636363637</v>
      </c>
      <c r="BB3" s="498">
        <f t="shared" si="1"/>
        <v>234.45454545454547</v>
      </c>
      <c r="BC3" s="498">
        <f t="shared" si="1"/>
        <v>173.36363636363637</v>
      </c>
      <c r="BD3" s="498">
        <f t="shared" si="1"/>
        <v>162.13636363636363</v>
      </c>
      <c r="BE3" s="498">
        <f t="shared" si="1"/>
        <v>136.95454545454547</v>
      </c>
      <c r="BF3" s="498">
        <f>+BF4/22</f>
        <v>103.59090909090909</v>
      </c>
      <c r="BG3" s="498">
        <f>+BG4/22</f>
        <v>134.22727272727272</v>
      </c>
    </row>
    <row r="4" spans="1:59" x14ac:dyDescent="0.35">
      <c r="A4" t="s">
        <v>379</v>
      </c>
      <c r="B4" s="275">
        <f>+B3*22</f>
        <v>7700</v>
      </c>
      <c r="C4" s="275">
        <v>8500</v>
      </c>
      <c r="D4" s="275">
        <v>10890</v>
      </c>
      <c r="E4" s="275">
        <v>11850</v>
      </c>
      <c r="F4" s="275">
        <v>12700</v>
      </c>
      <c r="G4" s="275">
        <v>12700</v>
      </c>
      <c r="H4" s="275">
        <v>12700</v>
      </c>
      <c r="I4" s="275">
        <v>12700</v>
      </c>
      <c r="J4" s="275">
        <v>12700</v>
      </c>
      <c r="K4" s="275">
        <v>12700</v>
      </c>
      <c r="L4" s="275">
        <v>12090</v>
      </c>
      <c r="M4" s="275">
        <v>10570</v>
      </c>
      <c r="N4" s="275">
        <v>10580</v>
      </c>
      <c r="O4" s="275">
        <v>10920</v>
      </c>
      <c r="P4" s="275">
        <v>10920</v>
      </c>
      <c r="Q4" s="275">
        <v>10640</v>
      </c>
      <c r="R4" s="275">
        <v>8950</v>
      </c>
      <c r="S4" s="275">
        <v>6070</v>
      </c>
      <c r="T4" s="275">
        <v>4850</v>
      </c>
      <c r="U4" s="275">
        <v>4850</v>
      </c>
      <c r="V4" s="275">
        <v>2690</v>
      </c>
      <c r="W4" s="275">
        <v>2510</v>
      </c>
      <c r="X4" s="275">
        <v>1980</v>
      </c>
      <c r="Y4" s="275">
        <v>2700</v>
      </c>
      <c r="Z4" s="275">
        <v>3153</v>
      </c>
      <c r="AA4" s="275">
        <v>2873</v>
      </c>
      <c r="AB4" s="275">
        <v>2722</v>
      </c>
      <c r="AC4" s="417">
        <v>3369</v>
      </c>
      <c r="AD4" s="275">
        <v>3269</v>
      </c>
      <c r="AE4" s="275">
        <v>2848</v>
      </c>
      <c r="AF4" s="275">
        <v>3226</v>
      </c>
      <c r="AG4" s="275">
        <v>3584</v>
      </c>
      <c r="AH4" s="275">
        <v>3670</v>
      </c>
      <c r="AI4" s="275">
        <v>3649</v>
      </c>
      <c r="AJ4" s="275">
        <v>4294</v>
      </c>
      <c r="AK4" s="275">
        <v>6049</v>
      </c>
      <c r="AL4" s="499">
        <v>8585</v>
      </c>
      <c r="AM4" s="499">
        <v>9257</v>
      </c>
      <c r="AN4" s="499">
        <v>7086</v>
      </c>
      <c r="AO4" s="499">
        <v>7536</v>
      </c>
      <c r="AP4" s="499">
        <v>5849</v>
      </c>
      <c r="AQ4" s="499">
        <v>5742</v>
      </c>
      <c r="AR4" s="499">
        <v>4700</v>
      </c>
      <c r="AS4" s="499">
        <v>4700</v>
      </c>
      <c r="AT4" s="499">
        <v>4538</v>
      </c>
      <c r="AU4" s="499">
        <v>3569</v>
      </c>
      <c r="AV4" s="499">
        <v>3685</v>
      </c>
      <c r="AW4" s="499">
        <v>3215</v>
      </c>
      <c r="AX4" s="499">
        <v>3268</v>
      </c>
      <c r="AY4" s="499">
        <v>7924</v>
      </c>
      <c r="AZ4" s="499">
        <v>5721</v>
      </c>
      <c r="BA4" s="499">
        <v>5508</v>
      </c>
      <c r="BB4" s="499">
        <v>5158</v>
      </c>
      <c r="BC4" s="499">
        <v>3814</v>
      </c>
      <c r="BD4" s="499">
        <v>3567</v>
      </c>
      <c r="BE4" s="499">
        <v>3013</v>
      </c>
      <c r="BF4" s="499">
        <v>2279</v>
      </c>
      <c r="BG4" s="499">
        <f>AVERAGE(BD4:BF4)</f>
        <v>2953</v>
      </c>
    </row>
    <row r="5" spans="1:59" x14ac:dyDescent="0.35">
      <c r="W5" s="21"/>
      <c r="AI5" s="21">
        <f t="shared" ref="AI5:BF5" si="2">+AH4/AI4-1</f>
        <v>5.7550013702383218E-3</v>
      </c>
      <c r="AJ5" s="502">
        <f t="shared" si="2"/>
        <v>-0.15020959478341878</v>
      </c>
      <c r="AK5" s="502">
        <f t="shared" si="2"/>
        <v>-0.29013060009918989</v>
      </c>
      <c r="AL5" s="502">
        <f t="shared" si="2"/>
        <v>-0.29539895165987184</v>
      </c>
      <c r="AM5" s="502">
        <f t="shared" si="2"/>
        <v>-7.2593712865939297E-2</v>
      </c>
      <c r="AN5" s="502">
        <f t="shared" si="2"/>
        <v>0.30637877504939315</v>
      </c>
      <c r="AO5" s="502">
        <f t="shared" si="2"/>
        <v>-5.9713375796178303E-2</v>
      </c>
      <c r="AP5" s="502">
        <f t="shared" si="2"/>
        <v>0.28842537185843731</v>
      </c>
      <c r="AQ5" s="502">
        <f t="shared" si="2"/>
        <v>1.86346220828979E-2</v>
      </c>
      <c r="AR5" s="502">
        <f t="shared" si="2"/>
        <v>0.22170212765957453</v>
      </c>
      <c r="AS5" s="502">
        <f t="shared" si="2"/>
        <v>0</v>
      </c>
      <c r="AT5" s="502">
        <f t="shared" si="2"/>
        <v>3.569854561480823E-2</v>
      </c>
      <c r="AU5" s="502">
        <f t="shared" si="2"/>
        <v>0.27150462314373769</v>
      </c>
      <c r="AV5" s="502">
        <f t="shared" si="2"/>
        <v>-3.147896879240164E-2</v>
      </c>
      <c r="AW5" s="502">
        <f t="shared" si="2"/>
        <v>0.14618973561430804</v>
      </c>
      <c r="AX5" s="502">
        <f t="shared" si="2"/>
        <v>-1.6217870257037914E-2</v>
      </c>
      <c r="AY5" s="502">
        <f t="shared" si="2"/>
        <v>-0.5875820292781424</v>
      </c>
      <c r="AZ5" s="502">
        <f t="shared" si="2"/>
        <v>0.38507253976577527</v>
      </c>
      <c r="BA5" s="502">
        <f t="shared" si="2"/>
        <v>3.8671023965141549E-2</v>
      </c>
      <c r="BB5" s="502">
        <f t="shared" si="2"/>
        <v>6.7855758045754166E-2</v>
      </c>
      <c r="BC5" s="502">
        <f t="shared" si="2"/>
        <v>0.35238594651284738</v>
      </c>
      <c r="BD5" s="502">
        <f t="shared" si="2"/>
        <v>6.9245864872441887E-2</v>
      </c>
      <c r="BE5" s="502">
        <f t="shared" si="2"/>
        <v>0.18386989711251234</v>
      </c>
      <c r="BF5" s="502">
        <f t="shared" si="2"/>
        <v>0.32207108380868799</v>
      </c>
      <c r="BG5" s="499">
        <v>3890</v>
      </c>
    </row>
    <row r="11" spans="1:59" x14ac:dyDescent="0.35">
      <c r="Q11" s="122"/>
    </row>
  </sheetData>
  <pageMargins left="0.7" right="0.7" top="0.75" bottom="0.75" header="0.3" footer="0.3"/>
  <pageSetup orientation="portrait" horizontalDpi="300" verticalDpi="300" r:id="rId1"/>
  <customProperties>
    <customPr name="EpmWorksheetKeyString_GU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D52A-379F-4C81-8619-59E7132F82E8}">
  <sheetPr>
    <tabColor theme="7"/>
  </sheetPr>
  <dimension ref="D2:O45"/>
  <sheetViews>
    <sheetView showGridLines="0" topLeftCell="H18" workbookViewId="0">
      <selection activeCell="M25" sqref="M25"/>
    </sheetView>
  </sheetViews>
  <sheetFormatPr defaultRowHeight="14.5" x14ac:dyDescent="0.35"/>
  <cols>
    <col min="5" max="5" width="13.26953125" bestFit="1" customWidth="1"/>
    <col min="6" max="6" width="20.1796875" bestFit="1" customWidth="1"/>
    <col min="7" max="7" width="15.1796875" bestFit="1" customWidth="1"/>
    <col min="8" max="8" width="17.08984375" customWidth="1"/>
    <col min="9" max="9" width="29.26953125" customWidth="1"/>
    <col min="10" max="10" width="23.81640625" bestFit="1" customWidth="1"/>
    <col min="11" max="11" width="10.6328125" customWidth="1"/>
    <col min="12" max="12" width="12.36328125" customWidth="1"/>
    <col min="13" max="13" width="47.453125" bestFit="1" customWidth="1"/>
    <col min="14" max="14" width="18" customWidth="1"/>
    <col min="15" max="15" width="22.36328125" customWidth="1"/>
  </cols>
  <sheetData>
    <row r="2" spans="4:15" x14ac:dyDescent="0.35">
      <c r="D2" s="298" t="s">
        <v>531</v>
      </c>
      <c r="E2" s="298" t="s">
        <v>532</v>
      </c>
      <c r="F2" s="298" t="s">
        <v>533</v>
      </c>
      <c r="G2" s="298" t="s">
        <v>534</v>
      </c>
      <c r="H2" s="298" t="s">
        <v>535</v>
      </c>
      <c r="I2" s="298" t="s">
        <v>536</v>
      </c>
      <c r="J2" s="298" t="s">
        <v>537</v>
      </c>
      <c r="K2" s="298" t="s">
        <v>538</v>
      </c>
    </row>
    <row r="3" spans="4:15" x14ac:dyDescent="0.35">
      <c r="D3" s="758">
        <v>1</v>
      </c>
      <c r="E3" s="758" t="s">
        <v>539</v>
      </c>
      <c r="F3" s="758" t="s">
        <v>540</v>
      </c>
      <c r="G3" s="758" t="s">
        <v>541</v>
      </c>
      <c r="H3" s="758" t="s">
        <v>542</v>
      </c>
      <c r="I3" s="758" t="s">
        <v>116</v>
      </c>
      <c r="J3" s="758" t="s">
        <v>543</v>
      </c>
      <c r="K3" s="759">
        <v>1099.862660511166</v>
      </c>
    </row>
    <row r="6" spans="4:15" x14ac:dyDescent="0.35">
      <c r="I6" s="33"/>
    </row>
    <row r="10" spans="4:15" x14ac:dyDescent="0.35">
      <c r="N10" t="s">
        <v>544</v>
      </c>
    </row>
    <row r="11" spans="4:15" ht="15" thickBot="1" x14ac:dyDescent="0.4">
      <c r="J11" s="33" t="s">
        <v>540</v>
      </c>
      <c r="N11" t="s">
        <v>545</v>
      </c>
      <c r="O11" t="s">
        <v>546</v>
      </c>
    </row>
    <row r="12" spans="4:15" x14ac:dyDescent="0.35">
      <c r="I12" s="760" t="s">
        <v>547</v>
      </c>
      <c r="J12" s="761" t="s">
        <v>548</v>
      </c>
      <c r="K12" s="762" t="s">
        <v>549</v>
      </c>
      <c r="L12" s="762" t="s">
        <v>550</v>
      </c>
    </row>
    <row r="13" spans="4:15" x14ac:dyDescent="0.35">
      <c r="I13" s="763" t="s">
        <v>551</v>
      </c>
      <c r="J13" s="764" t="s">
        <v>552</v>
      </c>
      <c r="K13" s="765">
        <v>821</v>
      </c>
      <c r="L13" t="s">
        <v>553</v>
      </c>
    </row>
    <row r="14" spans="4:15" x14ac:dyDescent="0.35">
      <c r="I14" s="763" t="s">
        <v>554</v>
      </c>
      <c r="J14" s="764" t="s">
        <v>555</v>
      </c>
      <c r="K14" s="765">
        <f>97</f>
        <v>97</v>
      </c>
      <c r="L14" t="s">
        <v>556</v>
      </c>
    </row>
    <row r="15" spans="4:15" x14ac:dyDescent="0.35">
      <c r="I15" s="763" t="s">
        <v>557</v>
      </c>
      <c r="J15" s="764" t="s">
        <v>100</v>
      </c>
      <c r="K15" s="765">
        <v>32.33</v>
      </c>
    </row>
    <row r="16" spans="4:15" ht="15" thickBot="1" x14ac:dyDescent="0.4">
      <c r="I16" s="766" t="s">
        <v>558</v>
      </c>
      <c r="J16" s="767" t="s">
        <v>559</v>
      </c>
      <c r="K16" s="768">
        <f>SUM(K13:K15)</f>
        <v>950.33</v>
      </c>
    </row>
    <row r="18" spans="5:10" x14ac:dyDescent="0.35">
      <c r="I18" t="s">
        <v>560</v>
      </c>
    </row>
    <row r="21" spans="5:10" x14ac:dyDescent="0.35">
      <c r="I21" s="33" t="s">
        <v>561</v>
      </c>
    </row>
    <row r="23" spans="5:10" x14ac:dyDescent="0.35">
      <c r="I23" t="s">
        <v>562</v>
      </c>
      <c r="J23" t="s">
        <v>563</v>
      </c>
    </row>
    <row r="24" spans="5:10" x14ac:dyDescent="0.35">
      <c r="I24" t="s">
        <v>564</v>
      </c>
    </row>
    <row r="25" spans="5:10" x14ac:dyDescent="0.35">
      <c r="I25" t="s">
        <v>565</v>
      </c>
    </row>
    <row r="28" spans="5:10" x14ac:dyDescent="0.35">
      <c r="E28" s="769"/>
    </row>
    <row r="29" spans="5:10" x14ac:dyDescent="0.35">
      <c r="I29" t="s">
        <v>566</v>
      </c>
    </row>
    <row r="30" spans="5:10" x14ac:dyDescent="0.35">
      <c r="I30" s="769" t="s">
        <v>567</v>
      </c>
      <c r="J30" s="769" t="s">
        <v>568</v>
      </c>
    </row>
    <row r="31" spans="5:10" x14ac:dyDescent="0.35">
      <c r="I31" s="769" t="s">
        <v>569</v>
      </c>
      <c r="J31" s="769" t="s">
        <v>570</v>
      </c>
    </row>
    <row r="32" spans="5:10" x14ac:dyDescent="0.35">
      <c r="I32" s="771" t="s">
        <v>571</v>
      </c>
      <c r="J32" s="771" t="s">
        <v>572</v>
      </c>
    </row>
    <row r="33" spans="9:10" x14ac:dyDescent="0.35">
      <c r="I33" s="771" t="s">
        <v>573</v>
      </c>
      <c r="J33" s="771" t="s">
        <v>572</v>
      </c>
    </row>
    <row r="34" spans="9:10" x14ac:dyDescent="0.35">
      <c r="I34" s="771" t="s">
        <v>574</v>
      </c>
      <c r="J34" s="771" t="s">
        <v>575</v>
      </c>
    </row>
    <row r="35" spans="9:10" x14ac:dyDescent="0.35">
      <c r="I35" s="771" t="s">
        <v>576</v>
      </c>
      <c r="J35" s="771" t="s">
        <v>572</v>
      </c>
    </row>
    <row r="36" spans="9:10" x14ac:dyDescent="0.35">
      <c r="I36" s="770" t="s">
        <v>577</v>
      </c>
      <c r="J36" s="770" t="s">
        <v>578</v>
      </c>
    </row>
    <row r="37" spans="9:10" x14ac:dyDescent="0.35">
      <c r="I37" s="770" t="s">
        <v>579</v>
      </c>
      <c r="J37" s="770" t="s">
        <v>578</v>
      </c>
    </row>
    <row r="38" spans="9:10" x14ac:dyDescent="0.35">
      <c r="I38" s="770" t="s">
        <v>580</v>
      </c>
      <c r="J38" s="770" t="s">
        <v>581</v>
      </c>
    </row>
    <row r="39" spans="9:10" x14ac:dyDescent="0.35">
      <c r="I39" s="769" t="s">
        <v>582</v>
      </c>
      <c r="J39" s="769" t="s">
        <v>583</v>
      </c>
    </row>
    <row r="40" spans="9:10" x14ac:dyDescent="0.35">
      <c r="I40" s="769" t="s">
        <v>584</v>
      </c>
      <c r="J40" s="769" t="s">
        <v>585</v>
      </c>
    </row>
    <row r="41" spans="9:10" x14ac:dyDescent="0.35">
      <c r="I41" s="769" t="s">
        <v>586</v>
      </c>
      <c r="J41" s="769" t="s">
        <v>585</v>
      </c>
    </row>
    <row r="42" spans="9:10" x14ac:dyDescent="0.35">
      <c r="I42" s="771" t="s">
        <v>587</v>
      </c>
      <c r="J42" s="771" t="s">
        <v>572</v>
      </c>
    </row>
    <row r="43" spans="9:10" x14ac:dyDescent="0.35">
      <c r="I43" s="769" t="s">
        <v>588</v>
      </c>
      <c r="J43" s="769" t="s">
        <v>585</v>
      </c>
    </row>
    <row r="44" spans="9:10" x14ac:dyDescent="0.35">
      <c r="I44" s="771" t="s">
        <v>589</v>
      </c>
      <c r="J44" s="771" t="s">
        <v>572</v>
      </c>
    </row>
    <row r="45" spans="9:10" x14ac:dyDescent="0.35">
      <c r="I45" s="771" t="s">
        <v>590</v>
      </c>
      <c r="J45" s="771" t="s">
        <v>572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DBD6-0935-4856-BB27-275F8C47C3EA}">
  <dimension ref="B1:EP81"/>
  <sheetViews>
    <sheetView showGridLines="0" topLeftCell="A10" zoomScaleNormal="100" workbookViewId="0">
      <pane xSplit="3" ySplit="5" topLeftCell="CU15" activePane="bottomRight" state="frozen"/>
      <selection pane="topRight" activeCell="C10" sqref="C10"/>
      <selection pane="bottomLeft" activeCell="A16" sqref="A16"/>
      <selection pane="bottomRight" activeCell="EM28" sqref="EM28"/>
    </sheetView>
  </sheetViews>
  <sheetFormatPr defaultColWidth="10.54296875" defaultRowHeight="14.5" x14ac:dyDescent="0.35"/>
  <cols>
    <col min="2" max="2" width="36.36328125" bestFit="1" customWidth="1"/>
    <col min="3" max="3" width="57.7265625" customWidth="1"/>
    <col min="4" max="5" width="14" hidden="1" customWidth="1"/>
    <col min="6" max="7" width="11.453125" hidden="1" customWidth="1"/>
    <col min="8" max="12" width="10.81640625" hidden="1" customWidth="1"/>
    <col min="13" max="13" width="12" hidden="1" customWidth="1"/>
    <col min="14" max="25" width="10.81640625" hidden="1" customWidth="1"/>
    <col min="26" max="26" width="11" hidden="1" customWidth="1"/>
    <col min="27" max="28" width="10.81640625" hidden="1" customWidth="1"/>
    <col min="29" max="29" width="8.453125" hidden="1" customWidth="1"/>
    <col min="30" max="32" width="12.1796875" hidden="1" customWidth="1"/>
    <col min="33" max="37" width="10.81640625" hidden="1" customWidth="1"/>
    <col min="38" max="42" width="11.54296875" hidden="1" customWidth="1"/>
    <col min="43" max="52" width="11.453125" hidden="1" customWidth="1"/>
    <col min="53" max="53" width="14.453125" hidden="1" customWidth="1"/>
    <col min="54" max="54" width="10.453125" hidden="1" customWidth="1"/>
    <col min="55" max="56" width="11.54296875" hidden="1" customWidth="1"/>
    <col min="57" max="58" width="14.1796875" hidden="1" customWidth="1"/>
    <col min="59" max="68" width="13" hidden="1" customWidth="1"/>
    <col min="69" max="69" width="14.26953125" hidden="1" customWidth="1"/>
    <col min="70" max="70" width="10.81640625" hidden="1" customWidth="1"/>
    <col min="71" max="71" width="24.81640625" hidden="1" customWidth="1"/>
    <col min="72" max="72" width="25.1796875" hidden="1" customWidth="1"/>
    <col min="73" max="73" width="13" hidden="1" customWidth="1"/>
    <col min="74" max="96" width="9.7265625" hidden="1" customWidth="1"/>
    <col min="97" max="101" width="9.7265625" customWidth="1"/>
    <col min="102" max="102" width="9.7265625" hidden="1" customWidth="1"/>
    <col min="103" max="103" width="2.1796875" hidden="1" customWidth="1"/>
    <col min="104" max="104" width="15.453125" hidden="1" customWidth="1"/>
    <col min="105" max="105" width="12.54296875" hidden="1" customWidth="1"/>
    <col min="106" max="107" width="10.54296875" hidden="1" customWidth="1"/>
    <col min="108" max="110" width="11.1796875" hidden="1" customWidth="1"/>
    <col min="111" max="119" width="10.54296875" hidden="1" customWidth="1"/>
    <col min="120" max="121" width="11.453125" hidden="1" customWidth="1"/>
    <col min="122" max="122" width="13.54296875" hidden="1" customWidth="1"/>
    <col min="123" max="123" width="13.1796875" hidden="1" customWidth="1"/>
    <col min="124" max="124" width="11.1796875" hidden="1" customWidth="1"/>
    <col min="125" max="125" width="6.81640625" hidden="1" customWidth="1"/>
    <col min="126" max="126" width="7.453125" hidden="1" customWidth="1"/>
    <col min="127" max="127" width="9.54296875" hidden="1" customWidth="1"/>
    <col min="128" max="128" width="12.1796875" hidden="1" customWidth="1"/>
    <col min="129" max="129" width="9.26953125" hidden="1" customWidth="1"/>
    <col min="130" max="131" width="8.81640625" hidden="1" customWidth="1"/>
    <col min="132" max="132" width="10.26953125" style="88" hidden="1" customWidth="1"/>
    <col min="133" max="133" width="11.453125" style="88" hidden="1" customWidth="1"/>
    <col min="134" max="134" width="10" style="88" hidden="1" customWidth="1"/>
    <col min="135" max="136" width="12.1796875" style="88" hidden="1" customWidth="1"/>
    <col min="137" max="139" width="9" style="88" hidden="1" customWidth="1"/>
    <col min="140" max="140" width="12.26953125" hidden="1" customWidth="1"/>
    <col min="141" max="141" width="15.54296875" hidden="1" customWidth="1"/>
    <col min="142" max="142" width="16.54296875" hidden="1" customWidth="1"/>
    <col min="144" max="144" width="15.54296875" bestFit="1" customWidth="1"/>
  </cols>
  <sheetData>
    <row r="1" spans="2:143" x14ac:dyDescent="0.35">
      <c r="C1" s="17" t="s">
        <v>0</v>
      </c>
    </row>
    <row r="10" spans="2:143" hidden="1" x14ac:dyDescent="0.35"/>
    <row r="11" spans="2:143" x14ac:dyDescent="0.35">
      <c r="C11" s="811" t="s">
        <v>518</v>
      </c>
    </row>
    <row r="12" spans="2:143" ht="21" customHeight="1" x14ac:dyDescent="0.35">
      <c r="C12" s="811"/>
      <c r="CP12" s="122">
        <v>137.45454545454547</v>
      </c>
      <c r="CQ12" s="122">
        <v>76.363636363636374</v>
      </c>
      <c r="CR12" s="122">
        <v>65.136363636363626</v>
      </c>
      <c r="CS12" s="122">
        <v>39.954545454545467</v>
      </c>
      <c r="CT12" s="122">
        <v>6.5909090909090935</v>
      </c>
      <c r="CZ12" s="143" t="s">
        <v>594</v>
      </c>
    </row>
    <row r="13" spans="2:143" ht="15" thickBot="1" x14ac:dyDescent="0.4">
      <c r="AC13" s="13"/>
      <c r="AD13" s="13"/>
      <c r="AE13" s="13" t="s">
        <v>1</v>
      </c>
      <c r="AF13" s="13"/>
      <c r="CV13" s="817" t="s">
        <v>602</v>
      </c>
      <c r="CW13" s="817"/>
      <c r="CX13" s="796"/>
      <c r="CZ13" s="143" t="s">
        <v>595</v>
      </c>
    </row>
    <row r="14" spans="2:143" x14ac:dyDescent="0.35">
      <c r="B14" s="753" t="s">
        <v>530</v>
      </c>
      <c r="C14" s="605" t="s">
        <v>2</v>
      </c>
      <c r="D14" s="606" t="s">
        <v>3</v>
      </c>
      <c r="E14" s="606" t="s">
        <v>4</v>
      </c>
      <c r="F14" s="606" t="s">
        <v>5</v>
      </c>
      <c r="G14" s="606" t="s">
        <v>6</v>
      </c>
      <c r="H14" s="606" t="s">
        <v>7</v>
      </c>
      <c r="I14" s="606" t="s">
        <v>8</v>
      </c>
      <c r="J14" s="606" t="s">
        <v>9</v>
      </c>
      <c r="K14" s="606" t="s">
        <v>10</v>
      </c>
      <c r="L14" s="606" t="s">
        <v>11</v>
      </c>
      <c r="M14" s="606" t="s">
        <v>12</v>
      </c>
      <c r="N14" s="606" t="s">
        <v>13</v>
      </c>
      <c r="O14" s="606" t="s">
        <v>14</v>
      </c>
      <c r="P14" s="606" t="s">
        <v>15</v>
      </c>
      <c r="Q14" s="606" t="s">
        <v>16</v>
      </c>
      <c r="R14" s="606" t="s">
        <v>17</v>
      </c>
      <c r="S14" s="606" t="s">
        <v>18</v>
      </c>
      <c r="T14" s="606" t="s">
        <v>19</v>
      </c>
      <c r="U14" s="606" t="s">
        <v>20</v>
      </c>
      <c r="V14" s="606" t="s">
        <v>21</v>
      </c>
      <c r="W14" s="606" t="s">
        <v>22</v>
      </c>
      <c r="X14" s="606" t="s">
        <v>23</v>
      </c>
      <c r="Y14" s="606" t="s">
        <v>24</v>
      </c>
      <c r="Z14" s="606" t="s">
        <v>25</v>
      </c>
      <c r="AA14" s="606" t="s">
        <v>26</v>
      </c>
      <c r="AB14" s="606" t="s">
        <v>26</v>
      </c>
      <c r="AC14" s="606" t="s">
        <v>27</v>
      </c>
      <c r="AD14" s="606" t="s">
        <v>27</v>
      </c>
      <c r="AE14" s="606" t="s">
        <v>28</v>
      </c>
      <c r="AF14" s="606" t="s">
        <v>28</v>
      </c>
      <c r="AG14" s="606" t="s">
        <v>29</v>
      </c>
      <c r="AH14" s="606" t="s">
        <v>30</v>
      </c>
      <c r="AI14" s="606" t="s">
        <v>19</v>
      </c>
      <c r="AJ14" s="606" t="s">
        <v>20</v>
      </c>
      <c r="AK14" s="606" t="s">
        <v>31</v>
      </c>
      <c r="AL14" s="606" t="s">
        <v>32</v>
      </c>
      <c r="AM14" s="606" t="s">
        <v>33</v>
      </c>
      <c r="AN14" s="607" t="s">
        <v>34</v>
      </c>
      <c r="AO14" s="607" t="s">
        <v>35</v>
      </c>
      <c r="AP14" s="607" t="s">
        <v>36</v>
      </c>
      <c r="AQ14" s="607" t="s">
        <v>37</v>
      </c>
      <c r="AR14" s="607" t="s">
        <v>38</v>
      </c>
      <c r="AS14" s="607" t="s">
        <v>39</v>
      </c>
      <c r="AT14" s="607" t="s">
        <v>40</v>
      </c>
      <c r="AU14" s="607" t="s">
        <v>41</v>
      </c>
      <c r="AV14" s="607" t="s">
        <v>42</v>
      </c>
      <c r="AW14" s="607" t="s">
        <v>43</v>
      </c>
      <c r="AX14" s="607" t="s">
        <v>44</v>
      </c>
      <c r="AY14" s="607" t="s">
        <v>45</v>
      </c>
      <c r="AZ14" s="607" t="s">
        <v>46</v>
      </c>
      <c r="BA14" s="607" t="s">
        <v>47</v>
      </c>
      <c r="BB14" s="608" t="s">
        <v>48</v>
      </c>
      <c r="BC14" s="608" t="s">
        <v>49</v>
      </c>
      <c r="BD14" s="608" t="s">
        <v>50</v>
      </c>
      <c r="BE14" s="608" t="s">
        <v>51</v>
      </c>
      <c r="BF14" s="608" t="s">
        <v>52</v>
      </c>
      <c r="BG14" s="608" t="s">
        <v>53</v>
      </c>
      <c r="BH14" s="607" t="s">
        <v>54</v>
      </c>
      <c r="BI14" s="607" t="s">
        <v>55</v>
      </c>
      <c r="BJ14" s="607" t="s">
        <v>56</v>
      </c>
      <c r="BK14" s="607" t="s">
        <v>57</v>
      </c>
      <c r="BL14" s="607" t="s">
        <v>58</v>
      </c>
      <c r="BM14" s="607" t="s">
        <v>59</v>
      </c>
      <c r="BN14" s="607" t="s">
        <v>60</v>
      </c>
      <c r="BO14" s="607" t="s">
        <v>61</v>
      </c>
      <c r="BP14" s="607" t="s">
        <v>62</v>
      </c>
      <c r="BQ14" s="606" t="s">
        <v>63</v>
      </c>
      <c r="BR14" s="606" t="s">
        <v>64</v>
      </c>
      <c r="BS14" s="606" t="s">
        <v>65</v>
      </c>
      <c r="BT14" s="606" t="s">
        <v>66</v>
      </c>
      <c r="BU14" s="606" t="s">
        <v>67</v>
      </c>
      <c r="BV14" s="606" t="s">
        <v>68</v>
      </c>
      <c r="BW14" s="606" t="s">
        <v>69</v>
      </c>
      <c r="BX14" s="606" t="s">
        <v>70</v>
      </c>
      <c r="BY14" s="606" t="s">
        <v>71</v>
      </c>
      <c r="BZ14" s="606" t="s">
        <v>72</v>
      </c>
      <c r="CA14" s="606" t="s">
        <v>73</v>
      </c>
      <c r="CB14" s="606" t="s">
        <v>74</v>
      </c>
      <c r="CC14" s="609" t="s">
        <v>75</v>
      </c>
      <c r="CD14" s="609" t="s">
        <v>440</v>
      </c>
      <c r="CE14" s="609" t="s">
        <v>441</v>
      </c>
      <c r="CF14" s="609" t="s">
        <v>442</v>
      </c>
      <c r="CG14" s="609" t="s">
        <v>443</v>
      </c>
      <c r="CH14" s="609" t="s">
        <v>445</v>
      </c>
      <c r="CI14" s="609" t="s">
        <v>447</v>
      </c>
      <c r="CJ14" s="609" t="s">
        <v>449</v>
      </c>
      <c r="CK14" s="610" t="s">
        <v>450</v>
      </c>
      <c r="CL14" s="610" t="s">
        <v>479</v>
      </c>
      <c r="CM14" s="610" t="s">
        <v>482</v>
      </c>
      <c r="CN14" s="610" t="s">
        <v>486</v>
      </c>
      <c r="CO14" s="610" t="s">
        <v>487</v>
      </c>
      <c r="CP14" s="610" t="s">
        <v>502</v>
      </c>
      <c r="CQ14" s="610" t="s">
        <v>504</v>
      </c>
      <c r="CR14" s="610" t="s">
        <v>506</v>
      </c>
      <c r="CS14" s="610" t="s">
        <v>508</v>
      </c>
      <c r="CT14" s="610" t="s">
        <v>512</v>
      </c>
      <c r="CU14" s="610" t="s">
        <v>516</v>
      </c>
      <c r="CV14" s="610" t="s">
        <v>603</v>
      </c>
      <c r="CW14" s="610" t="s">
        <v>723</v>
      </c>
      <c r="CX14" s="776"/>
      <c r="CY14" s="236"/>
      <c r="CZ14" s="812" t="s">
        <v>76</v>
      </c>
      <c r="DA14" s="813"/>
      <c r="DB14" s="813"/>
      <c r="DC14" s="813"/>
      <c r="DD14" s="813"/>
      <c r="DE14" s="813"/>
      <c r="DF14" s="813"/>
      <c r="DG14" s="813"/>
      <c r="DH14" s="813"/>
      <c r="DI14" s="813"/>
      <c r="DJ14" s="813"/>
      <c r="DK14" s="813"/>
      <c r="DL14" s="813"/>
      <c r="DM14" s="813"/>
      <c r="DN14" s="813"/>
      <c r="DO14" s="813"/>
      <c r="DP14" s="813"/>
      <c r="DQ14" s="813"/>
      <c r="DR14" s="813"/>
      <c r="DS14" s="813"/>
      <c r="DT14" s="813"/>
      <c r="DU14" s="813"/>
      <c r="DV14" s="813"/>
      <c r="DW14" s="813"/>
      <c r="DX14" s="813"/>
      <c r="DY14" s="813"/>
      <c r="DZ14" s="813"/>
      <c r="EA14" s="813"/>
      <c r="EB14" s="813"/>
      <c r="EC14" s="813"/>
      <c r="ED14" s="813"/>
      <c r="EE14" s="813"/>
      <c r="EF14" s="813"/>
      <c r="EG14" s="813"/>
      <c r="EH14" s="813"/>
      <c r="EI14" s="813"/>
      <c r="EM14" s="33" t="s">
        <v>729</v>
      </c>
    </row>
    <row r="15" spans="2:143" x14ac:dyDescent="0.35">
      <c r="B15" s="814" t="s">
        <v>519</v>
      </c>
      <c r="C15" s="815" t="s">
        <v>448</v>
      </c>
      <c r="D15" s="9" t="s">
        <v>78</v>
      </c>
      <c r="E15" s="9" t="s">
        <v>79</v>
      </c>
      <c r="F15" s="9" t="s">
        <v>3</v>
      </c>
      <c r="G15" s="9" t="s">
        <v>80</v>
      </c>
      <c r="H15" s="9" t="s">
        <v>5</v>
      </c>
      <c r="I15" s="9" t="s">
        <v>6</v>
      </c>
      <c r="J15" s="9" t="s">
        <v>7</v>
      </c>
      <c r="K15" s="9" t="s">
        <v>8</v>
      </c>
      <c r="L15" s="9" t="s">
        <v>81</v>
      </c>
      <c r="M15" s="9" t="s">
        <v>10</v>
      </c>
      <c r="N15" s="9" t="s">
        <v>11</v>
      </c>
      <c r="O15" s="9" t="s">
        <v>12</v>
      </c>
      <c r="P15" s="9" t="s">
        <v>13</v>
      </c>
      <c r="Q15" s="9" t="s">
        <v>14</v>
      </c>
      <c r="R15" s="9" t="s">
        <v>15</v>
      </c>
      <c r="S15" s="9" t="s">
        <v>16</v>
      </c>
      <c r="T15" s="9" t="s">
        <v>17</v>
      </c>
      <c r="U15" s="9" t="s">
        <v>18</v>
      </c>
      <c r="V15" s="9" t="s">
        <v>82</v>
      </c>
      <c r="W15" s="9" t="s">
        <v>83</v>
      </c>
      <c r="X15" s="9" t="s">
        <v>84</v>
      </c>
      <c r="Y15" s="9" t="s">
        <v>22</v>
      </c>
      <c r="Z15" s="9" t="s">
        <v>23</v>
      </c>
      <c r="AA15" s="9" t="s">
        <v>24</v>
      </c>
      <c r="AB15" s="9" t="s">
        <v>24</v>
      </c>
      <c r="AC15" s="9" t="s">
        <v>25</v>
      </c>
      <c r="AD15" s="9" t="s">
        <v>25</v>
      </c>
      <c r="AE15" s="9" t="s">
        <v>26</v>
      </c>
      <c r="AF15" s="9" t="s">
        <v>26</v>
      </c>
      <c r="AG15" s="9" t="s">
        <v>27</v>
      </c>
      <c r="AH15" s="9" t="s">
        <v>28</v>
      </c>
      <c r="AI15" s="9" t="s">
        <v>29</v>
      </c>
      <c r="AJ15" s="9" t="s">
        <v>30</v>
      </c>
      <c r="AK15" s="9" t="s">
        <v>19</v>
      </c>
      <c r="AL15" s="9" t="s">
        <v>20</v>
      </c>
      <c r="AM15" s="9" t="s">
        <v>85</v>
      </c>
      <c r="AN15" s="218">
        <v>44228</v>
      </c>
      <c r="AO15" s="218">
        <v>44256</v>
      </c>
      <c r="AP15" s="218">
        <v>44287</v>
      </c>
      <c r="AQ15" s="218">
        <v>44317</v>
      </c>
      <c r="AR15" s="218">
        <v>44348</v>
      </c>
      <c r="AS15" s="218">
        <v>44378</v>
      </c>
      <c r="AT15" s="218">
        <v>44409</v>
      </c>
      <c r="AU15" s="218">
        <v>44440</v>
      </c>
      <c r="AV15" s="218">
        <v>44440</v>
      </c>
      <c r="AW15" s="218">
        <v>44501</v>
      </c>
      <c r="AX15" s="218">
        <v>44531</v>
      </c>
      <c r="AY15" s="218">
        <v>44562</v>
      </c>
      <c r="AZ15" s="218">
        <v>44593</v>
      </c>
      <c r="BA15" s="218">
        <v>44621</v>
      </c>
      <c r="BB15" s="332">
        <v>44652</v>
      </c>
      <c r="BC15" s="332">
        <v>44682</v>
      </c>
      <c r="BD15" s="332">
        <v>44713</v>
      </c>
      <c r="BE15" s="332">
        <v>44743</v>
      </c>
      <c r="BF15" s="332">
        <v>44774</v>
      </c>
      <c r="BG15" s="332">
        <v>44805</v>
      </c>
      <c r="BH15" s="332">
        <v>44835</v>
      </c>
      <c r="BI15" s="332">
        <v>44866</v>
      </c>
      <c r="BJ15" s="332">
        <v>44896</v>
      </c>
      <c r="BK15" s="332">
        <v>44927</v>
      </c>
      <c r="BL15" s="332">
        <v>44958</v>
      </c>
      <c r="BM15" s="373">
        <v>44986</v>
      </c>
      <c r="BN15" s="392">
        <v>45017</v>
      </c>
      <c r="BO15" s="392">
        <v>45047</v>
      </c>
      <c r="BP15" s="424">
        <v>45078</v>
      </c>
      <c r="BQ15" s="392">
        <v>45108</v>
      </c>
      <c r="BR15" s="392">
        <v>45139</v>
      </c>
      <c r="BS15" s="392">
        <v>45170</v>
      </c>
      <c r="BT15" s="392">
        <v>45200</v>
      </c>
      <c r="BU15" s="392">
        <v>45231</v>
      </c>
      <c r="BV15" s="392">
        <v>45261</v>
      </c>
      <c r="BW15" s="392">
        <v>44927</v>
      </c>
      <c r="BX15" s="392">
        <v>44958</v>
      </c>
      <c r="BY15" s="392">
        <v>44986</v>
      </c>
      <c r="BZ15" s="392">
        <v>45017</v>
      </c>
      <c r="CA15" s="392">
        <v>45047</v>
      </c>
      <c r="CB15" s="392">
        <v>45078</v>
      </c>
      <c r="CC15" s="392">
        <v>45108</v>
      </c>
      <c r="CD15" s="392">
        <v>45139</v>
      </c>
      <c r="CE15" s="392">
        <v>45536</v>
      </c>
      <c r="CF15" s="392">
        <v>45566</v>
      </c>
      <c r="CG15" s="392">
        <v>45597</v>
      </c>
      <c r="CH15" s="392">
        <v>45627</v>
      </c>
      <c r="CI15" s="392">
        <v>45658</v>
      </c>
      <c r="CJ15" s="392">
        <v>45689</v>
      </c>
      <c r="CK15" s="611">
        <v>45717</v>
      </c>
      <c r="CL15" s="611">
        <v>45748</v>
      </c>
      <c r="CM15" s="611">
        <v>45778</v>
      </c>
      <c r="CN15" s="611">
        <v>45809</v>
      </c>
      <c r="CO15" s="611">
        <v>45839</v>
      </c>
      <c r="CP15" s="611">
        <v>45870</v>
      </c>
      <c r="CQ15" s="611">
        <v>45901</v>
      </c>
      <c r="CR15" s="611">
        <v>45931</v>
      </c>
      <c r="CS15" s="611">
        <v>45962</v>
      </c>
      <c r="CT15" s="611">
        <v>45992</v>
      </c>
      <c r="CU15" s="611">
        <v>46023</v>
      </c>
      <c r="CV15" s="611">
        <v>46054</v>
      </c>
      <c r="CW15" s="611">
        <v>46082</v>
      </c>
      <c r="CX15" s="777"/>
      <c r="CY15" s="237"/>
      <c r="CZ15" s="15" t="s">
        <v>86</v>
      </c>
      <c r="DA15" s="15" t="s">
        <v>87</v>
      </c>
      <c r="DB15" s="15" t="s">
        <v>88</v>
      </c>
      <c r="DC15" s="15" t="s">
        <v>89</v>
      </c>
      <c r="DD15" s="15" t="s">
        <v>90</v>
      </c>
      <c r="DE15" s="15" t="s">
        <v>91</v>
      </c>
      <c r="DF15" s="15" t="s">
        <v>92</v>
      </c>
      <c r="DG15" s="15" t="s">
        <v>93</v>
      </c>
      <c r="DH15" s="15" t="s">
        <v>94</v>
      </c>
      <c r="DI15" s="15" t="s">
        <v>95</v>
      </c>
      <c r="DJ15" s="15" t="s">
        <v>96</v>
      </c>
      <c r="DK15" s="15" t="s">
        <v>97</v>
      </c>
      <c r="DL15" s="15" t="s">
        <v>98</v>
      </c>
      <c r="DM15" s="15" t="s">
        <v>87</v>
      </c>
      <c r="DN15" s="15" t="s">
        <v>88</v>
      </c>
      <c r="DO15" s="15" t="s">
        <v>89</v>
      </c>
      <c r="DP15" s="15" t="s">
        <v>90</v>
      </c>
      <c r="DQ15" s="15" t="s">
        <v>91</v>
      </c>
      <c r="DR15" s="15" t="s">
        <v>92</v>
      </c>
      <c r="DS15" s="15" t="s">
        <v>93</v>
      </c>
      <c r="DT15" s="15" t="s">
        <v>94</v>
      </c>
      <c r="DU15" s="15" t="s">
        <v>380</v>
      </c>
      <c r="DV15" s="15" t="s">
        <v>96</v>
      </c>
      <c r="DW15" s="15" t="s">
        <v>97</v>
      </c>
      <c r="DX15" s="15" t="s">
        <v>98</v>
      </c>
      <c r="DY15" s="15" t="s">
        <v>87</v>
      </c>
      <c r="DZ15" s="15" t="s">
        <v>88</v>
      </c>
      <c r="EA15" s="15" t="s">
        <v>89</v>
      </c>
      <c r="EB15" s="15" t="s">
        <v>90</v>
      </c>
      <c r="EC15" s="15" t="s">
        <v>488</v>
      </c>
      <c r="ED15" s="15" t="s">
        <v>92</v>
      </c>
      <c r="EE15" s="15" t="s">
        <v>93</v>
      </c>
      <c r="EF15" s="15" t="s">
        <v>94</v>
      </c>
      <c r="EG15" s="15" t="s">
        <v>380</v>
      </c>
      <c r="EH15" s="15" t="s">
        <v>96</v>
      </c>
      <c r="EI15" s="15" t="s">
        <v>97</v>
      </c>
    </row>
    <row r="16" spans="2:143" x14ac:dyDescent="0.35">
      <c r="B16" s="814"/>
      <c r="C16" s="815"/>
      <c r="D16" s="5">
        <v>1330</v>
      </c>
      <c r="E16" s="5">
        <v>1280</v>
      </c>
      <c r="F16" s="5">
        <v>1279.380005</v>
      </c>
      <c r="G16" s="5">
        <v>1275.5</v>
      </c>
      <c r="H16" s="5">
        <v>1330</v>
      </c>
      <c r="I16" s="5">
        <v>1266.25</v>
      </c>
      <c r="J16" s="5">
        <v>1125</v>
      </c>
      <c r="K16" s="5">
        <v>1058.130005</v>
      </c>
      <c r="L16" s="5">
        <v>1035</v>
      </c>
      <c r="M16" s="5">
        <v>1077.5</v>
      </c>
      <c r="N16" s="5">
        <v>1096.25</v>
      </c>
      <c r="O16" s="5">
        <v>1101.25</v>
      </c>
      <c r="P16" s="5">
        <v>1004.5</v>
      </c>
      <c r="Q16" s="5">
        <v>926.25</v>
      </c>
      <c r="R16" s="5">
        <v>966.88000499999998</v>
      </c>
      <c r="S16" s="5">
        <v>889</v>
      </c>
      <c r="T16" s="5">
        <v>868.75</v>
      </c>
      <c r="U16" s="5">
        <v>840</v>
      </c>
      <c r="V16" s="5">
        <v>818.75</v>
      </c>
      <c r="W16" s="5">
        <v>824.38000499999998</v>
      </c>
      <c r="X16" s="5">
        <v>840</v>
      </c>
      <c r="Y16" s="5">
        <v>840</v>
      </c>
      <c r="Z16" s="5">
        <v>736.88000499999998</v>
      </c>
      <c r="AA16" s="5">
        <v>655</v>
      </c>
      <c r="AB16" s="5">
        <v>707.17945636689831</v>
      </c>
      <c r="AC16" s="5">
        <v>669.38000499999998</v>
      </c>
      <c r="AD16" s="5">
        <v>687.43458311273355</v>
      </c>
      <c r="AE16" s="5">
        <v>678.13000499999998</v>
      </c>
      <c r="AF16" s="5">
        <v>682.5409009438722</v>
      </c>
      <c r="AG16" s="5">
        <v>659</v>
      </c>
      <c r="AH16" s="5">
        <v>647.5</v>
      </c>
      <c r="AI16" s="5">
        <v>649.38000499999998</v>
      </c>
      <c r="AJ16" s="5">
        <v>641.5</v>
      </c>
      <c r="AK16" s="5">
        <v>648.13</v>
      </c>
      <c r="AL16" s="5">
        <v>713</v>
      </c>
      <c r="AM16" s="5">
        <v>789.38</v>
      </c>
      <c r="AN16" s="5">
        <v>880.63</v>
      </c>
      <c r="AO16" s="5">
        <v>1018.75</v>
      </c>
      <c r="AP16" s="5">
        <v>960</v>
      </c>
      <c r="AQ16" s="5">
        <v>932.5</v>
      </c>
      <c r="AR16" s="5">
        <v>920</v>
      </c>
      <c r="AS16" s="5">
        <v>960</v>
      </c>
      <c r="AT16" s="5">
        <v>966.25</v>
      </c>
      <c r="AU16" s="5">
        <v>953</v>
      </c>
      <c r="AV16" s="5">
        <v>1111.8800000000001</v>
      </c>
      <c r="AW16" s="5">
        <v>1124.3800000000001</v>
      </c>
      <c r="AX16" s="5">
        <v>1026.5</v>
      </c>
      <c r="AY16" s="5">
        <v>1144</v>
      </c>
      <c r="AZ16" s="5">
        <v>1138</v>
      </c>
      <c r="BA16" s="5">
        <v>1139</v>
      </c>
      <c r="BB16" s="333">
        <v>1199</v>
      </c>
      <c r="BC16" s="333">
        <v>1216.25</v>
      </c>
      <c r="BD16" s="333">
        <v>1235</v>
      </c>
      <c r="BE16" s="333">
        <v>1125</v>
      </c>
      <c r="BF16" s="333">
        <v>1096.25</v>
      </c>
      <c r="BG16" s="333">
        <v>1048</v>
      </c>
      <c r="BH16" s="333">
        <v>975.63</v>
      </c>
      <c r="BI16" s="333">
        <v>897.5</v>
      </c>
      <c r="BJ16" s="333">
        <v>890</v>
      </c>
      <c r="BK16" s="333">
        <v>941.88</v>
      </c>
      <c r="BL16" s="333">
        <v>965</v>
      </c>
      <c r="BM16" s="374">
        <v>980</v>
      </c>
      <c r="BN16" s="333">
        <v>1018.75</v>
      </c>
      <c r="BO16" s="333">
        <v>938.13</v>
      </c>
      <c r="BP16" s="374">
        <v>882</v>
      </c>
      <c r="BQ16" s="333">
        <v>878.75</v>
      </c>
      <c r="BR16" s="333">
        <v>889</v>
      </c>
      <c r="BS16" s="333">
        <v>898.75</v>
      </c>
      <c r="BT16" s="333">
        <v>880</v>
      </c>
      <c r="BU16" s="333">
        <v>865</v>
      </c>
      <c r="BV16" s="333">
        <v>863.13</v>
      </c>
      <c r="BW16" s="333">
        <v>889.38</v>
      </c>
      <c r="BX16" s="333">
        <v>906.5</v>
      </c>
      <c r="BY16" s="333">
        <v>906.5</v>
      </c>
      <c r="BZ16" s="333">
        <v>898.13</v>
      </c>
      <c r="CA16" s="333">
        <v>885</v>
      </c>
      <c r="CB16" s="333">
        <v>885.63</v>
      </c>
      <c r="CC16" s="333">
        <v>896.25</v>
      </c>
      <c r="CD16" s="333">
        <v>874</v>
      </c>
      <c r="CE16" s="333">
        <v>815</v>
      </c>
      <c r="CF16" s="333">
        <v>842</v>
      </c>
      <c r="CG16" s="333">
        <v>802.5</v>
      </c>
      <c r="CH16" s="333">
        <v>791.25</v>
      </c>
      <c r="CI16" s="333">
        <v>799.5</v>
      </c>
      <c r="CJ16" s="333">
        <v>803.125</v>
      </c>
      <c r="CK16" s="612">
        <v>786.25</v>
      </c>
      <c r="CL16" s="612">
        <v>745.625</v>
      </c>
      <c r="CM16" s="612">
        <v>775</v>
      </c>
      <c r="CN16" s="612">
        <v>793.125</v>
      </c>
      <c r="CO16" s="612">
        <v>781.875</v>
      </c>
      <c r="CP16" s="612">
        <f>+'ICIS -1'!C16</f>
        <v>774</v>
      </c>
      <c r="CQ16" s="612">
        <f>+'ICIS -1'!C17</f>
        <v>765</v>
      </c>
      <c r="CR16" s="612">
        <f>+'ICIS -1'!C18</f>
        <v>752</v>
      </c>
      <c r="CS16" s="612">
        <f>+'ICIS -1'!C19</f>
        <v>748.75</v>
      </c>
      <c r="CT16" s="612">
        <f>+'ICIS -1'!C20</f>
        <v>756.25</v>
      </c>
      <c r="CU16" s="374">
        <f>+'ICIS -1'!C21</f>
        <v>821.07500000000005</v>
      </c>
      <c r="CV16" s="333">
        <f>AVERAGE('ICIS Price Forecast'!D62:D65)</f>
        <v>1187.5</v>
      </c>
      <c r="CW16" s="778"/>
      <c r="CX16" s="778"/>
      <c r="CY16" s="238"/>
      <c r="CZ16" s="284" t="s">
        <v>99</v>
      </c>
      <c r="DA16" s="321">
        <v>327.54748224999997</v>
      </c>
      <c r="DB16" s="321">
        <v>455.56748225000001</v>
      </c>
      <c r="DC16" s="390">
        <v>551.38748224999995</v>
      </c>
      <c r="DD16" s="390">
        <v>361.38748224999995</v>
      </c>
      <c r="DE16" s="390">
        <v>321.64400110000008</v>
      </c>
      <c r="DF16" s="390">
        <v>392.25651885000013</v>
      </c>
      <c r="DG16" s="390">
        <v>392.25651885000013</v>
      </c>
      <c r="DH16" s="390">
        <f t="shared" ref="DH16:DJ16" si="0">+DG19</f>
        <v>350.06179212500001</v>
      </c>
      <c r="DI16" s="390">
        <f t="shared" si="0"/>
        <v>316.06179212500001</v>
      </c>
      <c r="DJ16" s="390">
        <f t="shared" si="0"/>
        <v>350.84056365000004</v>
      </c>
      <c r="DK16" s="390">
        <f>+DI19</f>
        <v>350.84056365000004</v>
      </c>
      <c r="DL16" s="390">
        <f t="shared" ref="DL16:EI16" si="1">+DK19</f>
        <v>379.54056365000002</v>
      </c>
      <c r="DM16" s="390">
        <f t="shared" si="1"/>
        <v>307.54056364999997</v>
      </c>
      <c r="DN16" s="390">
        <f t="shared" si="1"/>
        <v>307.52056364999999</v>
      </c>
      <c r="DO16" s="390">
        <f t="shared" si="1"/>
        <v>236.82840522499998</v>
      </c>
      <c r="DP16" s="390">
        <f t="shared" si="1"/>
        <v>139.47840522499996</v>
      </c>
      <c r="DQ16" s="390">
        <f t="shared" si="1"/>
        <v>217.93712222500017</v>
      </c>
      <c r="DR16" s="390">
        <f t="shared" si="1"/>
        <v>120.58712222500014</v>
      </c>
      <c r="DS16" s="390">
        <f t="shared" si="1"/>
        <v>317.58712222500014</v>
      </c>
      <c r="DT16" s="390">
        <f t="shared" si="1"/>
        <v>297.58712222500014</v>
      </c>
      <c r="DU16" s="390">
        <f t="shared" si="1"/>
        <v>388.18893395000015</v>
      </c>
      <c r="DV16" s="390">
        <f t="shared" si="1"/>
        <v>178.18893395000015</v>
      </c>
      <c r="DW16" s="390">
        <f t="shared" si="1"/>
        <v>527.24840017500014</v>
      </c>
      <c r="DX16" s="390">
        <f t="shared" si="1"/>
        <v>551.95840017500018</v>
      </c>
      <c r="DY16" s="390">
        <f t="shared" si="1"/>
        <v>566.95840017500018</v>
      </c>
      <c r="DZ16" s="390">
        <f t="shared" si="1"/>
        <v>548.95840017500018</v>
      </c>
      <c r="EA16" s="390">
        <f t="shared" si="1"/>
        <v>448.95840017500018</v>
      </c>
      <c r="EB16" s="708">
        <f t="shared" si="1"/>
        <v>299.95840017500018</v>
      </c>
      <c r="EC16" s="708">
        <f t="shared" si="1"/>
        <v>400.95840017500018</v>
      </c>
      <c r="ED16" s="708">
        <f t="shared" si="1"/>
        <v>600.95840017500018</v>
      </c>
      <c r="EE16" s="708">
        <f t="shared" si="1"/>
        <v>800.95840017500018</v>
      </c>
      <c r="EF16" s="708">
        <f t="shared" si="1"/>
        <v>751.95840017500018</v>
      </c>
      <c r="EG16" s="708">
        <f t="shared" si="1"/>
        <v>602.95840017500018</v>
      </c>
      <c r="EH16" s="708">
        <f t="shared" si="1"/>
        <v>453.95840017500018</v>
      </c>
      <c r="EI16" s="708">
        <f t="shared" si="1"/>
        <v>304.95840017500018</v>
      </c>
      <c r="EM16" s="143" t="s">
        <v>734</v>
      </c>
    </row>
    <row r="17" spans="2:146" x14ac:dyDescent="0.35">
      <c r="B17" s="774" t="s">
        <v>100</v>
      </c>
      <c r="C17" s="613" t="s">
        <v>100</v>
      </c>
      <c r="D17" s="363">
        <f t="shared" ref="D17:I17" si="2">+D16*4.5%/365*210</f>
        <v>34.434246575342463</v>
      </c>
      <c r="E17" s="363">
        <f t="shared" si="2"/>
        <v>33.139726027397259</v>
      </c>
      <c r="F17" s="363">
        <f t="shared" si="2"/>
        <v>33.1236741020548</v>
      </c>
      <c r="G17" s="363">
        <f t="shared" si="2"/>
        <v>33.023219178082194</v>
      </c>
      <c r="H17" s="363">
        <f t="shared" si="2"/>
        <v>34.434246575342463</v>
      </c>
      <c r="I17" s="363">
        <f t="shared" si="2"/>
        <v>32.783732876712328</v>
      </c>
      <c r="J17" s="364">
        <f>+J16*4.5%/365*210</f>
        <v>29.126712328767123</v>
      </c>
      <c r="K17" s="365">
        <f t="shared" ref="K17:Q17" si="3">+K16*(4.5%+1.59%)/365*210</f>
        <v>37.075135983410952</v>
      </c>
      <c r="L17" s="365">
        <f t="shared" si="3"/>
        <v>36.264698630136984</v>
      </c>
      <c r="M17" s="365">
        <f t="shared" si="3"/>
        <v>37.753828767123281</v>
      </c>
      <c r="N17" s="365">
        <f t="shared" si="3"/>
        <v>38.410797945205474</v>
      </c>
      <c r="O17" s="365">
        <f t="shared" si="3"/>
        <v>38.585989726027393</v>
      </c>
      <c r="P17" s="365">
        <f t="shared" si="3"/>
        <v>35.196028767123288</v>
      </c>
      <c r="Q17" s="365">
        <f t="shared" si="3"/>
        <v>32.45427739726027</v>
      </c>
      <c r="R17" s="365">
        <f>+R16*(4.5%+1.59%)/365*210</f>
        <v>33.877885983410955</v>
      </c>
      <c r="S17" s="365">
        <f>+S16*(4.5%+1.59%)/365*210</f>
        <v>31.149098630136983</v>
      </c>
      <c r="T17" s="365">
        <f>+T16*(4.5%+1.59%)/365*210</f>
        <v>30.439571917808216</v>
      </c>
      <c r="U17" s="365">
        <f>+U16*(4.5%+1.59%)/365*210</f>
        <v>29.432219178082192</v>
      </c>
      <c r="V17" s="365">
        <f t="shared" ref="V17:AH17" si="4">+V16*(4.5%+1.59%+1.9%)/365*210</f>
        <v>37.637825342465753</v>
      </c>
      <c r="W17" s="365">
        <f t="shared" si="4"/>
        <v>37.896635901082192</v>
      </c>
      <c r="X17" s="365">
        <f t="shared" si="4"/>
        <v>38.614684931506851</v>
      </c>
      <c r="Y17" s="365">
        <f t="shared" si="4"/>
        <v>38.614684931506851</v>
      </c>
      <c r="Z17" s="365">
        <f t="shared" si="4"/>
        <v>33.874272887383562</v>
      </c>
      <c r="AA17" s="365">
        <f t="shared" si="4"/>
        <v>30.110260273972603</v>
      </c>
      <c r="AB17" s="365">
        <f t="shared" si="4"/>
        <v>32.50894273528818</v>
      </c>
      <c r="AC17" s="365">
        <f t="shared" si="4"/>
        <v>30.771307133958903</v>
      </c>
      <c r="AD17" s="365">
        <f t="shared" si="4"/>
        <v>31.601273616571387</v>
      </c>
      <c r="AE17" s="365">
        <f t="shared" si="4"/>
        <v>31.173543435328764</v>
      </c>
      <c r="AF17" s="365">
        <f t="shared" si="4"/>
        <v>31.376311717636248</v>
      </c>
      <c r="AG17" s="365">
        <f t="shared" si="4"/>
        <v>30.294139726027396</v>
      </c>
      <c r="AH17" s="365">
        <f t="shared" si="4"/>
        <v>29.765486301369862</v>
      </c>
      <c r="AI17" s="365">
        <v>29.851909873684932</v>
      </c>
      <c r="AJ17" s="365">
        <v>29.489667123287674</v>
      </c>
      <c r="AK17" s="365">
        <v>29.794447315068489</v>
      </c>
      <c r="AL17" s="365">
        <v>32.776512328767126</v>
      </c>
      <c r="AM17" s="365">
        <v>36.287690465753421</v>
      </c>
      <c r="AN17" s="365">
        <v>40.48244046575342</v>
      </c>
      <c r="AO17" s="365">
        <v>46.831797945205473</v>
      </c>
      <c r="AP17" s="365">
        <v>44.131068493150686</v>
      </c>
      <c r="AQ17" s="366">
        <v>24.529983899042968</v>
      </c>
      <c r="AR17" s="366">
        <v>24.529983899042968</v>
      </c>
      <c r="AS17" s="366">
        <v>25.253388249953083</v>
      </c>
      <c r="AT17" s="366">
        <v>25.253388249953083</v>
      </c>
      <c r="AU17" s="366">
        <v>25.069248960630514</v>
      </c>
      <c r="AV17" s="366">
        <v>18.010317534904111</v>
      </c>
      <c r="AW17" s="366">
        <v>20.07341751780822</v>
      </c>
      <c r="AX17" s="366">
        <v>27.002711498517542</v>
      </c>
      <c r="AY17" s="366">
        <v>20</v>
      </c>
      <c r="AZ17" s="366">
        <v>20</v>
      </c>
      <c r="BA17" s="366">
        <v>20</v>
      </c>
      <c r="BB17" s="367">
        <v>21</v>
      </c>
      <c r="BC17" s="367">
        <v>31.994201519797333</v>
      </c>
      <c r="BD17" s="367">
        <v>32.487431759054232</v>
      </c>
      <c r="BE17" s="367">
        <v>29.593814355413777</v>
      </c>
      <c r="BF17" s="367">
        <v>28.837527988553198</v>
      </c>
      <c r="BG17" s="367">
        <v>27.568282172865452</v>
      </c>
      <c r="BH17" s="367">
        <v>25.664544977397632</v>
      </c>
      <c r="BI17" s="367">
        <v>41.035190095890407</v>
      </c>
      <c r="BJ17" s="367">
        <v>40.69227764383561</v>
      </c>
      <c r="BK17" s="367">
        <v>48.654829475985053</v>
      </c>
      <c r="BL17" s="367">
        <v>49.337827950186799</v>
      </c>
      <c r="BM17" s="375">
        <v>49.255312610367675</v>
      </c>
      <c r="BN17" s="367">
        <v>52.190236074097129</v>
      </c>
      <c r="BO17" s="367">
        <v>49.095803810689915</v>
      </c>
      <c r="BP17" s="375">
        <v>45.969807383312578</v>
      </c>
      <c r="BQ17" s="367">
        <v>45.510666469240348</v>
      </c>
      <c r="BR17" s="367">
        <v>47.311117918804491</v>
      </c>
      <c r="BS17" s="367">
        <v>47.547394928518067</v>
      </c>
      <c r="BT17" s="367">
        <v>45.827422111083443</v>
      </c>
      <c r="BU17" s="367">
        <f>+(BU16+BU19+BU18)*SOFR!$F$3</f>
        <v>35.374018992777088</v>
      </c>
      <c r="BV17" s="367">
        <f>+(BV16+BV19+BV18)*SOFR!$F$3</f>
        <v>35.877641011920296</v>
      </c>
      <c r="BW17" s="367">
        <f>+(BW16+BW19+BW18)*SOFR!$F$3</f>
        <v>36.795528142057286</v>
      </c>
      <c r="BX17" s="367">
        <f>+(BX16+BX19+BX18)*SOFR!$F$3</f>
        <v>37.497477357907854</v>
      </c>
      <c r="BY17" s="367">
        <f>+(BY16+BY19+BY18)*SOFR!$F$3</f>
        <v>37.497477357907854</v>
      </c>
      <c r="BZ17" s="367">
        <v>52.325207960951424</v>
      </c>
      <c r="CA17" s="367">
        <v>56.881264442092153</v>
      </c>
      <c r="CB17" s="367">
        <v>58.271839527825641</v>
      </c>
      <c r="CC17" s="367">
        <v>54.343859257658771</v>
      </c>
      <c r="CD17" s="367">
        <v>54.263773356911578</v>
      </c>
      <c r="CE17" s="367">
        <v>48.211712249813203</v>
      </c>
      <c r="CF17" s="367">
        <v>49.199100443835611</v>
      </c>
      <c r="CG17" s="367">
        <f>+(CG16+CG19+CG18)*SOFR!$F$3</f>
        <v>35.531371072229142</v>
      </c>
      <c r="CH17" s="367">
        <f>+(CH16+CH19+CH18)*SOFR!$F$3</f>
        <v>35.137990873599001</v>
      </c>
      <c r="CI17" s="367">
        <f>+(CI16+CI19+CI18)*SOFR!$F$3</f>
        <v>35.168984465006226</v>
      </c>
      <c r="CJ17" s="367">
        <f>+(CJ16+CJ19+CJ18)*SOFR!$F$3</f>
        <v>33.755597226089662</v>
      </c>
      <c r="CK17" s="614">
        <f>+(CK16+CK19+CK18)*SOFR!$F$3</f>
        <v>33.349899061643839</v>
      </c>
      <c r="CL17" s="614">
        <f>+(CL16+CL19+CL18)*SOFR!$F$3</f>
        <v>31.182334431818184</v>
      </c>
      <c r="CM17" s="614">
        <f>+(CM16+CM19+CM18)*SOFR!$F$3</f>
        <v>32.293732831382314</v>
      </c>
      <c r="CN17" s="614">
        <f>+(CN16+CN19+CN18)*SOFR!$F$3</f>
        <v>40.327828019364887</v>
      </c>
      <c r="CO17" s="614">
        <f>+(CO16+CO19+CO18)*SOFR!$F$3</f>
        <v>36.432966699190537</v>
      </c>
      <c r="CP17" s="614">
        <f>+(CP16+CP19+CP18)*SOFR!$F$3</f>
        <v>35.819055177085936</v>
      </c>
      <c r="CQ17" s="614">
        <f>+(CQ16+CQ19+CQ18)*SOFR!$F$3</f>
        <v>34.948055787795766</v>
      </c>
      <c r="CR17" s="614">
        <f>+(CR16+CR19+CR18)*SOFR!$F$3</f>
        <v>32.35730942914072</v>
      </c>
      <c r="CS17" s="614">
        <f>+(CS16+CS19+CS18)*SOFR!$F$3</f>
        <v>31.851080769489414</v>
      </c>
      <c r="CT17" s="614">
        <f>+(CT16+CT19+CT18)*SOFR!$F$3</f>
        <v>31.232798356288917</v>
      </c>
      <c r="CU17" s="375">
        <f>+(CU16+CU19+CU18)*SOFR!$F$3</f>
        <v>32.332911909750941</v>
      </c>
      <c r="CV17" s="367">
        <f>+(CV16+CV19+CV18)*SOFR!$F$3</f>
        <v>46.217007740473228</v>
      </c>
      <c r="CW17" s="383"/>
      <c r="CX17" s="383"/>
      <c r="CY17" s="383"/>
      <c r="CZ17" s="284" t="s">
        <v>101</v>
      </c>
      <c r="DA17" s="36">
        <v>467</v>
      </c>
      <c r="DB17" s="321">
        <v>396</v>
      </c>
      <c r="DC17" s="390">
        <v>113</v>
      </c>
      <c r="DD17" s="390">
        <v>260</v>
      </c>
      <c r="DE17" s="390">
        <v>370.61251775000005</v>
      </c>
      <c r="DF17" s="390">
        <v>313</v>
      </c>
      <c r="DG17" s="390">
        <v>313</v>
      </c>
      <c r="DH17" s="390">
        <v>313</v>
      </c>
      <c r="DI17" s="390">
        <v>313</v>
      </c>
      <c r="DJ17" s="390">
        <v>313</v>
      </c>
      <c r="DK17" s="390">
        <v>313</v>
      </c>
      <c r="DL17" s="390">
        <v>200</v>
      </c>
      <c r="DM17" s="390">
        <v>300</v>
      </c>
      <c r="DN17" s="390">
        <v>300</v>
      </c>
      <c r="DO17" s="390">
        <v>300</v>
      </c>
      <c r="DP17" s="390">
        <v>500</v>
      </c>
      <c r="DQ17" s="390">
        <v>300</v>
      </c>
      <c r="DR17" s="390">
        <v>550</v>
      </c>
      <c r="DS17" s="390">
        <v>300</v>
      </c>
      <c r="DT17" s="390">
        <v>400</v>
      </c>
      <c r="DU17" s="390">
        <v>100</v>
      </c>
      <c r="DV17" s="390">
        <f>455+160</f>
        <v>615</v>
      </c>
      <c r="DW17" s="390">
        <f>330+23</f>
        <v>353</v>
      </c>
      <c r="DX17" s="390">
        <f>330+23</f>
        <v>353</v>
      </c>
      <c r="DY17" s="390">
        <f>330+23</f>
        <v>353</v>
      </c>
      <c r="DZ17" s="390">
        <v>250</v>
      </c>
      <c r="EA17" s="390">
        <v>200</v>
      </c>
      <c r="EB17" s="708">
        <v>450</v>
      </c>
      <c r="EC17" s="708">
        <v>500</v>
      </c>
      <c r="ED17" s="708">
        <v>500</v>
      </c>
      <c r="EE17" s="708">
        <v>300</v>
      </c>
      <c r="EF17" s="708">
        <v>200</v>
      </c>
      <c r="EG17" s="708">
        <v>200</v>
      </c>
      <c r="EH17" s="708">
        <v>200</v>
      </c>
      <c r="EI17" s="708">
        <v>200</v>
      </c>
      <c r="EJ17" s="393"/>
      <c r="EL17" s="497"/>
      <c r="EM17" s="143" t="s">
        <v>725</v>
      </c>
      <c r="EP17" t="s">
        <v>728</v>
      </c>
    </row>
    <row r="18" spans="2:146" x14ac:dyDescent="0.35">
      <c r="B18" s="775" t="s">
        <v>520</v>
      </c>
      <c r="C18" s="615" t="s">
        <v>102</v>
      </c>
      <c r="D18" s="4">
        <v>90</v>
      </c>
      <c r="E18" s="4">
        <v>90</v>
      </c>
      <c r="F18" s="4">
        <v>90</v>
      </c>
      <c r="G18" s="4">
        <v>90</v>
      </c>
      <c r="H18" s="4">
        <v>90</v>
      </c>
      <c r="I18" s="4">
        <v>90</v>
      </c>
      <c r="J18" s="4">
        <v>90</v>
      </c>
      <c r="K18" s="8">
        <v>90</v>
      </c>
      <c r="L18" s="8">
        <v>90</v>
      </c>
      <c r="M18" s="8">
        <v>90</v>
      </c>
      <c r="N18" s="8">
        <v>90</v>
      </c>
      <c r="O18" s="8">
        <v>90</v>
      </c>
      <c r="P18" s="8">
        <v>90</v>
      </c>
      <c r="Q18" s="8">
        <v>90</v>
      </c>
      <c r="R18" s="8">
        <v>90</v>
      </c>
      <c r="S18" s="8">
        <v>90</v>
      </c>
      <c r="T18" s="8">
        <v>90</v>
      </c>
      <c r="U18" s="8">
        <v>91</v>
      </c>
      <c r="V18" s="8">
        <f>+U18*(1+1.9%)</f>
        <v>92.728999999999985</v>
      </c>
      <c r="W18" s="8">
        <f>+V18*(1+1.9%)</f>
        <v>94.490850999999978</v>
      </c>
      <c r="X18" s="8">
        <f>+W18*(1+1.9%)</f>
        <v>96.28617716899997</v>
      </c>
      <c r="Y18" s="8">
        <f t="shared" ref="Y18:AP18" si="5">+X18</f>
        <v>96.28617716899997</v>
      </c>
      <c r="Z18" s="8">
        <f t="shared" si="5"/>
        <v>96.28617716899997</v>
      </c>
      <c r="AA18" s="8">
        <f t="shared" si="5"/>
        <v>96.28617716899997</v>
      </c>
      <c r="AB18" s="8">
        <f t="shared" si="5"/>
        <v>96.28617716899997</v>
      </c>
      <c r="AC18" s="8">
        <f t="shared" si="5"/>
        <v>96.28617716899997</v>
      </c>
      <c r="AD18" s="8">
        <f t="shared" si="5"/>
        <v>96.28617716899997</v>
      </c>
      <c r="AE18" s="8">
        <f t="shared" si="5"/>
        <v>96.28617716899997</v>
      </c>
      <c r="AF18" s="8">
        <f t="shared" si="5"/>
        <v>96.28617716899997</v>
      </c>
      <c r="AG18" s="8">
        <f t="shared" si="5"/>
        <v>96.28617716899997</v>
      </c>
      <c r="AH18" s="8">
        <f t="shared" si="5"/>
        <v>96.28617716899997</v>
      </c>
      <c r="AI18" s="8">
        <f t="shared" si="5"/>
        <v>96.28617716899997</v>
      </c>
      <c r="AJ18" s="8">
        <f t="shared" si="5"/>
        <v>96.28617716899997</v>
      </c>
      <c r="AK18" s="8">
        <f t="shared" si="5"/>
        <v>96.28617716899997</v>
      </c>
      <c r="AL18" s="8">
        <f t="shared" si="5"/>
        <v>96.28617716899997</v>
      </c>
      <c r="AM18" s="8">
        <f t="shared" si="5"/>
        <v>96.28617716899997</v>
      </c>
      <c r="AN18" s="8">
        <f t="shared" si="5"/>
        <v>96.28617716899997</v>
      </c>
      <c r="AO18" s="8">
        <f t="shared" si="5"/>
        <v>96.28617716899997</v>
      </c>
      <c r="AP18" s="8">
        <f t="shared" si="5"/>
        <v>96.28617716899997</v>
      </c>
      <c r="AQ18" s="8">
        <v>96.28617716899997</v>
      </c>
      <c r="AR18" s="8">
        <v>96.28617716899997</v>
      </c>
      <c r="AS18" s="8">
        <v>96.28617716899997</v>
      </c>
      <c r="AT18" s="8">
        <v>96.28617716899997</v>
      </c>
      <c r="AU18" s="8">
        <v>96.28617716899997</v>
      </c>
      <c r="AV18" s="8">
        <v>96.28617716899997</v>
      </c>
      <c r="AW18" s="8">
        <v>96.28617716899997</v>
      </c>
      <c r="AX18" s="8">
        <v>97.286177168999998</v>
      </c>
      <c r="AY18" s="8">
        <v>97.286177168999998</v>
      </c>
      <c r="AZ18" s="8">
        <v>97.286177168999998</v>
      </c>
      <c r="BA18" s="8">
        <v>97.286177168999998</v>
      </c>
      <c r="BB18" s="334">
        <v>97.286177168999998</v>
      </c>
      <c r="BC18" s="334">
        <v>97.286177168999998</v>
      </c>
      <c r="BD18" s="334">
        <v>97.286177168999998</v>
      </c>
      <c r="BE18" s="334">
        <v>97.286177168999998</v>
      </c>
      <c r="BF18" s="334">
        <v>97.286177168999998</v>
      </c>
      <c r="BG18" s="334">
        <v>97.286177168999998</v>
      </c>
      <c r="BH18" s="334">
        <v>97.286177168999998</v>
      </c>
      <c r="BI18" s="334">
        <v>97.286177168999998</v>
      </c>
      <c r="BJ18" s="334">
        <v>97.286177168999998</v>
      </c>
      <c r="BK18" s="334">
        <v>97.286177168999998</v>
      </c>
      <c r="BL18" s="334">
        <v>97.286177168999998</v>
      </c>
      <c r="BM18" s="376">
        <v>97.286177168999998</v>
      </c>
      <c r="BN18" s="334">
        <v>97.286177168999998</v>
      </c>
      <c r="BO18" s="334">
        <v>97.286177168999998</v>
      </c>
      <c r="BP18" s="376">
        <v>97.286177168999998</v>
      </c>
      <c r="BQ18" s="334">
        <v>97.286177168999998</v>
      </c>
      <c r="BR18" s="334">
        <v>97.286177168999998</v>
      </c>
      <c r="BS18" s="334">
        <v>97.286177168999998</v>
      </c>
      <c r="BT18" s="334">
        <v>97.286177168999998</v>
      </c>
      <c r="BU18" s="334">
        <v>97.286177168999998</v>
      </c>
      <c r="BV18" s="334">
        <v>97.286177168999998</v>
      </c>
      <c r="BW18" s="334">
        <v>97.286177168999998</v>
      </c>
      <c r="BX18" s="334">
        <v>97.286177168999998</v>
      </c>
      <c r="BY18" s="334">
        <v>97.286177168999998</v>
      </c>
      <c r="BZ18" s="334">
        <v>97.286177168999998</v>
      </c>
      <c r="CA18" s="334">
        <v>97.286177168999998</v>
      </c>
      <c r="CB18" s="334">
        <v>97.286177168999998</v>
      </c>
      <c r="CC18" s="334">
        <v>97.286177168999998</v>
      </c>
      <c r="CD18" s="334">
        <v>97.286177168999998</v>
      </c>
      <c r="CE18" s="334">
        <v>97.286177168999998</v>
      </c>
      <c r="CF18" s="334">
        <v>97.286177168999998</v>
      </c>
      <c r="CG18" s="334">
        <v>97.286177168999998</v>
      </c>
      <c r="CH18" s="334">
        <v>97.286177168999998</v>
      </c>
      <c r="CI18" s="334">
        <v>97.286177168999998</v>
      </c>
      <c r="CJ18" s="334">
        <v>97.286177168999998</v>
      </c>
      <c r="CK18" s="616">
        <v>97.286177168999998</v>
      </c>
      <c r="CL18" s="616">
        <v>97.286177168999998</v>
      </c>
      <c r="CM18" s="616">
        <v>97.286177168999998</v>
      </c>
      <c r="CN18" s="616">
        <v>97.286177168999998</v>
      </c>
      <c r="CO18" s="616">
        <v>97.286177168999998</v>
      </c>
      <c r="CP18" s="616">
        <v>97.286177168999998</v>
      </c>
      <c r="CQ18" s="616">
        <v>97.286177168999998</v>
      </c>
      <c r="CR18" s="616">
        <v>97.286177168999998</v>
      </c>
      <c r="CS18" s="616">
        <v>97.286177168999998</v>
      </c>
      <c r="CT18" s="616">
        <v>97.286177168999998</v>
      </c>
      <c r="CU18" s="376">
        <v>97.286177168999998</v>
      </c>
      <c r="CV18" s="334">
        <v>97</v>
      </c>
      <c r="CW18" s="779"/>
      <c r="CX18" s="779"/>
      <c r="CY18" s="240"/>
      <c r="CZ18" s="284" t="s">
        <v>103</v>
      </c>
      <c r="DA18" s="300">
        <v>338.98</v>
      </c>
      <c r="DB18" s="321">
        <v>300.18</v>
      </c>
      <c r="DC18" s="390">
        <v>303</v>
      </c>
      <c r="DD18" s="390">
        <v>299.74348114999987</v>
      </c>
      <c r="DE18" s="390">
        <v>300</v>
      </c>
      <c r="DF18" s="390">
        <v>313</v>
      </c>
      <c r="DG18" s="390">
        <v>355.19472672500012</v>
      </c>
      <c r="DH18" s="390">
        <v>347</v>
      </c>
      <c r="DI18" s="390">
        <v>278.22122847499998</v>
      </c>
      <c r="DJ18" s="390">
        <v>244</v>
      </c>
      <c r="DK18" s="390">
        <v>284.3</v>
      </c>
      <c r="DL18" s="390">
        <v>272</v>
      </c>
      <c r="DM18" s="390">
        <v>300.02</v>
      </c>
      <c r="DN18" s="390">
        <v>370.692158425</v>
      </c>
      <c r="DO18" s="390">
        <v>397.35</v>
      </c>
      <c r="DP18" s="390">
        <v>421.54128299999979</v>
      </c>
      <c r="DQ18" s="390">
        <v>397.35</v>
      </c>
      <c r="DR18" s="390">
        <v>353</v>
      </c>
      <c r="DS18" s="390">
        <v>320</v>
      </c>
      <c r="DT18" s="390">
        <v>309.398188275</v>
      </c>
      <c r="DU18" s="390">
        <v>310</v>
      </c>
      <c r="DV18" s="390">
        <v>265.94053377500001</v>
      </c>
      <c r="DW18" s="390">
        <v>328.29</v>
      </c>
      <c r="DX18" s="390">
        <v>338</v>
      </c>
      <c r="DY18" s="390">
        <v>371</v>
      </c>
      <c r="DZ18" s="390">
        <v>350</v>
      </c>
      <c r="EA18" s="390">
        <v>349</v>
      </c>
      <c r="EB18" s="708">
        <v>349</v>
      </c>
      <c r="EC18" s="708">
        <v>300</v>
      </c>
      <c r="ED18" s="708">
        <v>300</v>
      </c>
      <c r="EE18" s="708">
        <v>349</v>
      </c>
      <c r="EF18" s="708">
        <v>349</v>
      </c>
      <c r="EG18" s="708">
        <v>349</v>
      </c>
      <c r="EH18" s="708">
        <v>349</v>
      </c>
      <c r="EI18" s="708">
        <v>349</v>
      </c>
      <c r="EJ18" s="21"/>
      <c r="EM18" t="s">
        <v>726</v>
      </c>
    </row>
    <row r="19" spans="2:146" x14ac:dyDescent="0.35">
      <c r="B19" s="775" t="s">
        <v>521</v>
      </c>
      <c r="C19" s="615" t="s">
        <v>104</v>
      </c>
      <c r="D19" s="4"/>
      <c r="E19" s="4"/>
      <c r="F19" s="4"/>
      <c r="G19" s="4"/>
      <c r="H19" s="4"/>
      <c r="I19" s="4"/>
      <c r="J19" s="4"/>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f>+Drewry!B3-'Fórmula Apr (2)'!AQ18</f>
        <v>253.71382283100002</v>
      </c>
      <c r="AR19" s="8">
        <f>+Drewry!C3-'Fórmula Apr (2)'!AR18</f>
        <v>290.07745919463639</v>
      </c>
      <c r="AS19" s="8">
        <f>+Drewry!D3-'Fórmula Apr (2)'!AS18</f>
        <v>398.71382283100002</v>
      </c>
      <c r="AT19" s="8">
        <f>+Drewry!E3-'Fórmula Apr (2)'!AT18</f>
        <v>442.35018646736364</v>
      </c>
      <c r="AU19" s="8">
        <f>+Drewry!F3-'Fórmula Apr (2)'!AU18</f>
        <v>480.98655010372727</v>
      </c>
      <c r="AV19" s="8">
        <v>480.98655010372727</v>
      </c>
      <c r="AW19" s="8">
        <v>480.98655010372727</v>
      </c>
      <c r="AX19" s="8">
        <f>+Drewry!I3-'Fórmula Apr (2)'!AX18</f>
        <v>479.98655010372727</v>
      </c>
      <c r="AY19" s="8">
        <v>480</v>
      </c>
      <c r="AZ19" s="8">
        <v>480</v>
      </c>
      <c r="BA19" s="8">
        <v>452</v>
      </c>
      <c r="BB19" s="334">
        <v>383</v>
      </c>
      <c r="BC19" s="334">
        <f>+Drewry!N3-'Fórmula Apr (2)'!BC18</f>
        <v>383.62291374009095</v>
      </c>
      <c r="BD19" s="334">
        <f>+Drewry!O3-'Fórmula Apr (2)'!BD18</f>
        <v>399.07745919463639</v>
      </c>
      <c r="BE19" s="334">
        <f>+Drewry!P3-'Fórmula Apr (2)'!BE18</f>
        <v>399.07745919463639</v>
      </c>
      <c r="BF19" s="334">
        <f>+Drewry!Q3-'Fórmula Apr (2)'!BF18</f>
        <v>386.35018646736364</v>
      </c>
      <c r="BG19" s="334">
        <f>+Drewry!R3-'Fórmula Apr (2)'!BG18</f>
        <v>309.53200464918183</v>
      </c>
      <c r="BH19" s="334">
        <f>+Drewry!S3-'Fórmula Apr (2)'!BH18</f>
        <v>178.62291374009095</v>
      </c>
      <c r="BI19" s="334">
        <f>+Drewry!T3-'Fórmula Apr (2)'!BI18</f>
        <v>123.16836828554547</v>
      </c>
      <c r="BJ19" s="334">
        <f>+Drewry!U3-'Fórmula Apr (2)'!BJ18</f>
        <v>123.16836828554547</v>
      </c>
      <c r="BK19" s="334">
        <f>+IF(Drewry!V3-'Fórmula Apr (2)'!BK18&lt;0,0,Drewry!V3-'Fórmula Apr (2)'!BK18)</f>
        <v>24.986550103727268</v>
      </c>
      <c r="BL19" s="334">
        <f>+IF(Drewry!W3-'Fórmula Apr (2)'!BL18&lt;0,0,Drewry!W3-'Fórmula Apr (2)'!BL18)</f>
        <v>16.804731921909095</v>
      </c>
      <c r="BM19" s="376">
        <f>+IF(Drewry!X3-'Fórmula Apr (2)'!BM18&lt;0,0,Drewry!X3-'Fórmula Apr (2)'!BM18)</f>
        <v>0</v>
      </c>
      <c r="BN19" s="334">
        <f>+IF(Drewry!Y3-'Fórmula Apr (2)'!BN18&lt;0,0,Drewry!Y3-'Fórmula Apr (2)'!BN18)</f>
        <v>25.441095558272735</v>
      </c>
      <c r="BO19" s="334">
        <f>+IF(Drewry!Z3-'Fórmula Apr (2)'!BO18&lt;0,0,Drewry!Z3-'Fórmula Apr (2)'!BO18)</f>
        <v>46.032004649181815</v>
      </c>
      <c r="BP19" s="376">
        <f>+IF(Drewry!AA3-'Fórmula Apr (2)'!BP18&lt;0,0,Drewry!AA3-'Fórmula Apr (2)'!BP18)</f>
        <v>33.304731921909095</v>
      </c>
      <c r="BQ19" s="334">
        <f>+IF(Drewry!AB3-'Fórmula Apr (2)'!BQ18&lt;0,0,Drewry!AB3-'Fórmula Apr (2)'!BQ18)</f>
        <v>26.441095558272735</v>
      </c>
      <c r="BR19" s="334">
        <f>+IF(Drewry!AC3-'Fórmula Apr (2)'!BR18&lt;0,0,Drewry!AC3-'Fórmula Apr (2)'!BR18)</f>
        <v>55.850186467363628</v>
      </c>
      <c r="BS19" s="334">
        <f>+IF(Drewry!AD3-'Fórmula Apr (2)'!BS18&lt;0,0,Drewry!AD3-'Fórmula Apr (2)'!BS18)</f>
        <v>51.304731921909095</v>
      </c>
      <c r="BT19" s="334">
        <f>+IF(Drewry!AE3-'Fórmula Apr (2)'!BT18&lt;0,0,Drewry!AE3-'Fórmula Apr (2)'!BT18)</f>
        <v>32.168368285545469</v>
      </c>
      <c r="BU19" s="334">
        <f>+IF(Drewry!AF3-'Fórmula Apr (2)'!BU18&lt;0,0,Drewry!AF3-'Fórmula Apr (2)'!BU18)</f>
        <v>49.350186467363628</v>
      </c>
      <c r="BV19" s="334">
        <f>+IF(Drewry!AG3-'Fórmula Apr (2)'!BV18&lt;0,0,Drewry!AG3-'Fórmula Apr (2)'!BV18)</f>
        <v>65.622913740090908</v>
      </c>
      <c r="BW19" s="334">
        <f>+IF(Drewry!AG3-'Fórmula Apr (2)'!BW18&lt;0,0,Drewry!AG3-'Fórmula Apr (2)'!BW18)</f>
        <v>65.622913740090908</v>
      </c>
      <c r="BX19" s="334">
        <f>+IF(Drewry!AI3-'Fórmula Apr (2)'!BX18&lt;0,0,Drewry!AI3-'Fórmula Apr (2)'!BX18)</f>
        <v>68.577459194636376</v>
      </c>
      <c r="BY19" s="334">
        <f>+IF(Drewry!AI3-'Fórmula Apr (2)'!BY18&lt;0,0,Drewry!AI3-'Fórmula Apr (2)'!BY18)</f>
        <v>68.577459194636376</v>
      </c>
      <c r="BZ19" s="334">
        <f>+IF(Drewry!AK3-'Fórmula Apr (2)'!BZ18&lt;0,0,Drewry!AK3-'Fórmula Apr (2)'!BZ18)</f>
        <v>177.66836828554545</v>
      </c>
      <c r="CA19" s="334">
        <f>+IF(Drewry!AL3-'Fórmula Apr (2)'!CA18&lt;0,0,Drewry!AL3-'Fórmula Apr (2)'!CA18)</f>
        <v>292.94109555827276</v>
      </c>
      <c r="CB19" s="334">
        <f>+IF(Drewry!AM3-'Fórmula Apr (2)'!CB18&lt;0,0,Drewry!AM3-'Fórmula Apr (2)'!CB18)</f>
        <v>323.48655010372727</v>
      </c>
      <c r="CC19" s="334">
        <f>+IF(Drewry!AN3-'Fórmula Apr (2)'!CC18&lt;0,0,Drewry!AN3-'Fórmula Apr (2)'!CC18)</f>
        <v>224.80473192190908</v>
      </c>
      <c r="CD19" s="334">
        <f>+IF(Drewry!AO3-'Fórmula Apr (2)'!CD18&lt;0,0,Drewry!AO3-'Fórmula Apr (2)'!CD18)</f>
        <v>245.25927737645458</v>
      </c>
      <c r="CE19" s="334">
        <f>+IF(Drewry!AP3-'Fórmula Apr (2)'!CE18&lt;0,0,Drewry!AP3-'Fórmula Apr (2)'!CE18)</f>
        <v>168.57745919463639</v>
      </c>
      <c r="CF19" s="334">
        <f>+IF(Drewry!AQ3-'Fórmula Apr (2)'!CF18&lt;0,0,Drewry!AQ3-'Fórmula Apr (2)'!CF18)</f>
        <v>163.71382283100002</v>
      </c>
      <c r="CG19" s="334">
        <f>+IF(Drewry!AR3-'Fórmula Apr (2)'!CG18&lt;0,0,Drewry!AR3-'Fórmula Apr (2)'!CG18)</f>
        <v>116.35018646736363</v>
      </c>
      <c r="CH19" s="334">
        <f>+IF(Drewry!AS3-'Fórmula Apr (2)'!CH18&lt;0,0,Drewry!AS3-'Fórmula Apr (2)'!CH18)</f>
        <v>116.35018646736363</v>
      </c>
      <c r="CI19" s="334">
        <f>+IF(Drewry!AT3-'Fórmula Apr (2)'!CI18&lt;0,0,Drewry!AT3-'Fórmula Apr (2)'!CI18)</f>
        <v>108.98655010372728</v>
      </c>
      <c r="CJ19" s="334">
        <f>+IF(Drewry!AU3-'Fórmula Apr (2)'!CJ18&lt;0,0,Drewry!AU3-'Fórmula Apr (2)'!CJ18)</f>
        <v>64.941095558272721</v>
      </c>
      <c r="CK19" s="616">
        <f>+IF(Drewry!AV3-'Fórmula Apr (2)'!CK18&lt;0,0,Drewry!AV3-'Fórmula Apr (2)'!CK18)</f>
        <v>70.213822831000002</v>
      </c>
      <c r="CL19" s="616">
        <f>+IF(Drewry!AW3-'Fórmula Apr (2)'!CL18&lt;0,0,Drewry!AW3-'Fórmula Apr (2)'!CL18)</f>
        <v>48.850186467363628</v>
      </c>
      <c r="CM19" s="616">
        <f>+IF(Drewry!AX3-'Fórmula Apr (2)'!CM18&lt;0,0,Drewry!AX3-'Fórmula Apr (2)'!CM18)</f>
        <v>51.259277376454534</v>
      </c>
      <c r="CN19" s="616">
        <f>+IF(Drewry!AY3-'Fórmula Apr (2)'!CN18&lt;0,0,Drewry!AY3-'Fórmula Apr (2)'!CN18)</f>
        <v>262.8956410128182</v>
      </c>
      <c r="CO19" s="616">
        <f>+IF(Drewry!AZ3-'Fórmula Apr (2)'!CO18&lt;0,0,Drewry!AZ3-'Fórmula Apr (2)'!CO18)</f>
        <v>162.75927737645458</v>
      </c>
      <c r="CP19" s="616">
        <f>+IF(Drewry!BA3-'Fórmula Apr (2)'!CP18&lt;0,0,Drewry!BA3-'Fórmula Apr (2)'!CP18)</f>
        <v>153.07745919463639</v>
      </c>
      <c r="CQ19" s="616">
        <f>+IF(Drewry!BB3-'Fórmula Apr (2)'!CQ18&lt;0,0,Drewry!BB3-'Fórmula Apr (2)'!CQ18)</f>
        <v>137.16836828554545</v>
      </c>
      <c r="CR19" s="616">
        <f>+IF(Drewry!BC3-'Fórmula Apr (2)'!CR18&lt;0,0,Drewry!BC3-'Fórmula Apr (2)'!CR18)</f>
        <v>76.077459194636376</v>
      </c>
      <c r="CS19" s="616">
        <f>+IF(Drewry!BD3-'Fórmula Apr (2)'!CS18&lt;0,0,Drewry!BD3-'Fórmula Apr (2)'!CS18)</f>
        <v>64.850186467363628</v>
      </c>
      <c r="CT19" s="616">
        <f>+IF(Drewry!BE3-'Fórmula Apr (2)'!CT18&lt;0,0,Drewry!BE3-'Fórmula Apr (2)'!CT18)</f>
        <v>39.668368285545469</v>
      </c>
      <c r="CU19" s="376">
        <f>+IF(Drewry!BF3-'Fórmula Apr (2)'!CU18&lt;0,0,Drewry!BF3-'Fórmula Apr (2)'!CU18)</f>
        <v>6.3047319219090951</v>
      </c>
      <c r="CV19" s="334">
        <f>Drewry!BG3-'Fórmula Apr (2)'!CV18</f>
        <v>37.22727272727272</v>
      </c>
      <c r="CW19" s="779"/>
      <c r="CX19" s="779"/>
      <c r="CY19" s="240"/>
      <c r="CZ19" s="284" t="s">
        <v>105</v>
      </c>
      <c r="DA19" s="321">
        <v>455.56748225000001</v>
      </c>
      <c r="DB19" s="321">
        <v>551.38748224999995</v>
      </c>
      <c r="DC19" s="390">
        <v>361.38748224999995</v>
      </c>
      <c r="DD19" s="390">
        <v>321.64400110000008</v>
      </c>
      <c r="DE19" s="390">
        <v>392.25651885000013</v>
      </c>
      <c r="DF19" s="390">
        <v>392.25651885000013</v>
      </c>
      <c r="DG19" s="390">
        <v>350.06179212500001</v>
      </c>
      <c r="DH19" s="390">
        <f t="shared" ref="DH19:EI19" si="6">+(DH16+DH17-DH18)</f>
        <v>316.06179212500001</v>
      </c>
      <c r="DI19" s="390">
        <f t="shared" si="6"/>
        <v>350.84056365000004</v>
      </c>
      <c r="DJ19" s="390">
        <f t="shared" si="6"/>
        <v>419.84056365000004</v>
      </c>
      <c r="DK19" s="390">
        <f t="shared" si="6"/>
        <v>379.54056365000002</v>
      </c>
      <c r="DL19" s="390">
        <f t="shared" si="6"/>
        <v>307.54056364999997</v>
      </c>
      <c r="DM19" s="390">
        <f t="shared" si="6"/>
        <v>307.52056364999999</v>
      </c>
      <c r="DN19" s="390">
        <f t="shared" si="6"/>
        <v>236.82840522499998</v>
      </c>
      <c r="DO19" s="390">
        <f t="shared" si="6"/>
        <v>139.47840522499996</v>
      </c>
      <c r="DP19" s="390">
        <f t="shared" si="6"/>
        <v>217.93712222500017</v>
      </c>
      <c r="DQ19" s="390">
        <f t="shared" si="6"/>
        <v>120.58712222500014</v>
      </c>
      <c r="DR19" s="390">
        <f t="shared" si="6"/>
        <v>317.58712222500014</v>
      </c>
      <c r="DS19" s="390">
        <f t="shared" si="6"/>
        <v>297.58712222500014</v>
      </c>
      <c r="DT19" s="390">
        <f t="shared" si="6"/>
        <v>388.18893395000015</v>
      </c>
      <c r="DU19" s="390">
        <f t="shared" si="6"/>
        <v>178.18893395000015</v>
      </c>
      <c r="DV19" s="390">
        <f t="shared" si="6"/>
        <v>527.24840017500014</v>
      </c>
      <c r="DW19" s="390">
        <f t="shared" si="6"/>
        <v>551.95840017500018</v>
      </c>
      <c r="DX19" s="390">
        <f t="shared" si="6"/>
        <v>566.95840017500018</v>
      </c>
      <c r="DY19" s="390">
        <f t="shared" si="6"/>
        <v>548.95840017500018</v>
      </c>
      <c r="DZ19" s="390">
        <f t="shared" si="6"/>
        <v>448.95840017500018</v>
      </c>
      <c r="EA19" s="390">
        <f t="shared" si="6"/>
        <v>299.95840017500018</v>
      </c>
      <c r="EB19" s="708">
        <f t="shared" si="6"/>
        <v>400.95840017500018</v>
      </c>
      <c r="EC19" s="708">
        <f t="shared" si="6"/>
        <v>600.95840017500018</v>
      </c>
      <c r="ED19" s="708">
        <f t="shared" si="6"/>
        <v>800.95840017500018</v>
      </c>
      <c r="EE19" s="708">
        <f t="shared" si="6"/>
        <v>751.95840017500018</v>
      </c>
      <c r="EF19" s="708">
        <f t="shared" si="6"/>
        <v>602.95840017500018</v>
      </c>
      <c r="EG19" s="708">
        <f t="shared" si="6"/>
        <v>453.95840017500018</v>
      </c>
      <c r="EH19" s="708">
        <f t="shared" si="6"/>
        <v>304.95840017500018</v>
      </c>
      <c r="EI19" s="708">
        <f t="shared" si="6"/>
        <v>155.95840017500018</v>
      </c>
      <c r="EJ19" s="393"/>
      <c r="EK19" s="393"/>
      <c r="EL19" s="393"/>
      <c r="EM19" s="810" t="s">
        <v>727</v>
      </c>
    </row>
    <row r="20" spans="2:146" x14ac:dyDescent="0.35">
      <c r="B20" s="775" t="s">
        <v>522</v>
      </c>
      <c r="C20" s="617" t="s">
        <v>106</v>
      </c>
      <c r="D20" s="4">
        <f t="shared" ref="D20:AP20" si="7">SUM(D16:D18)</f>
        <v>1454.4342465753425</v>
      </c>
      <c r="E20" s="4">
        <f t="shared" si="7"/>
        <v>1403.1397260273973</v>
      </c>
      <c r="F20" s="4">
        <f t="shared" si="7"/>
        <v>1402.5036791020548</v>
      </c>
      <c r="G20" s="4">
        <f t="shared" si="7"/>
        <v>1398.5232191780822</v>
      </c>
      <c r="H20" s="4">
        <f t="shared" si="7"/>
        <v>1454.4342465753425</v>
      </c>
      <c r="I20" s="4">
        <f t="shared" si="7"/>
        <v>1389.0337328767123</v>
      </c>
      <c r="J20" s="4">
        <f t="shared" si="7"/>
        <v>1244.1267123287671</v>
      </c>
      <c r="K20" s="4">
        <f t="shared" si="7"/>
        <v>1185.205140983411</v>
      </c>
      <c r="L20" s="4">
        <f t="shared" si="7"/>
        <v>1161.264698630137</v>
      </c>
      <c r="M20" s="4">
        <f t="shared" si="7"/>
        <v>1205.2538287671232</v>
      </c>
      <c r="N20" s="4">
        <f t="shared" si="7"/>
        <v>1224.6607979452056</v>
      </c>
      <c r="O20" s="4">
        <f t="shared" si="7"/>
        <v>1229.8359897260275</v>
      </c>
      <c r="P20" s="4">
        <f t="shared" si="7"/>
        <v>1129.6960287671234</v>
      </c>
      <c r="Q20" s="4">
        <f t="shared" si="7"/>
        <v>1048.7042773972603</v>
      </c>
      <c r="R20" s="4">
        <f t="shared" si="7"/>
        <v>1090.757890983411</v>
      </c>
      <c r="S20" s="4">
        <f t="shared" si="7"/>
        <v>1010.149098630137</v>
      </c>
      <c r="T20" s="4">
        <f t="shared" si="7"/>
        <v>989.18957191780817</v>
      </c>
      <c r="U20" s="4">
        <f t="shared" si="7"/>
        <v>960.43221917808216</v>
      </c>
      <c r="V20" s="4">
        <f t="shared" si="7"/>
        <v>949.11682534246575</v>
      </c>
      <c r="W20" s="4">
        <f t="shared" si="7"/>
        <v>956.76749190108217</v>
      </c>
      <c r="X20" s="4">
        <f t="shared" si="7"/>
        <v>974.90086210050686</v>
      </c>
      <c r="Y20" s="4">
        <f t="shared" si="7"/>
        <v>974.90086210050686</v>
      </c>
      <c r="Z20" s="4">
        <f t="shared" si="7"/>
        <v>867.04045505638351</v>
      </c>
      <c r="AA20" s="4">
        <f t="shared" si="7"/>
        <v>781.39643744297257</v>
      </c>
      <c r="AB20" s="4">
        <f t="shared" si="7"/>
        <v>835.97457627118649</v>
      </c>
      <c r="AC20" s="4">
        <f t="shared" si="7"/>
        <v>796.43748930295885</v>
      </c>
      <c r="AD20" s="4">
        <f t="shared" si="7"/>
        <v>815.32203389830488</v>
      </c>
      <c r="AE20" s="4">
        <f t="shared" si="7"/>
        <v>805.58972560432869</v>
      </c>
      <c r="AF20" s="4">
        <f t="shared" si="7"/>
        <v>810.2033898305084</v>
      </c>
      <c r="AG20" s="4">
        <f t="shared" si="7"/>
        <v>785.58031689502741</v>
      </c>
      <c r="AH20" s="4">
        <f t="shared" si="7"/>
        <v>773.55166347036982</v>
      </c>
      <c r="AI20" s="4">
        <f t="shared" si="7"/>
        <v>775.51809204268488</v>
      </c>
      <c r="AJ20" s="4">
        <f t="shared" si="7"/>
        <v>767.27584429228762</v>
      </c>
      <c r="AK20" s="4">
        <f t="shared" si="7"/>
        <v>774.21062448406849</v>
      </c>
      <c r="AL20" s="4">
        <f t="shared" si="7"/>
        <v>842.06268949776711</v>
      </c>
      <c r="AM20" s="4">
        <f t="shared" si="7"/>
        <v>921.95386763475335</v>
      </c>
      <c r="AN20" s="4">
        <f t="shared" si="7"/>
        <v>1017.3986176347534</v>
      </c>
      <c r="AO20" s="4">
        <f t="shared" si="7"/>
        <v>1161.8679751142054</v>
      </c>
      <c r="AP20" s="4">
        <f t="shared" si="7"/>
        <v>1100.4172456621507</v>
      </c>
      <c r="AQ20" s="4">
        <f>SUM(AQ16:AQ19)</f>
        <v>1307.0299838990429</v>
      </c>
      <c r="AR20" s="4">
        <f>SUM(AR16:AR19)</f>
        <v>1330.8936202626792</v>
      </c>
      <c r="AS20" s="4">
        <f>SUM(AS16:AS19)</f>
        <v>1480.2533882499531</v>
      </c>
      <c r="AT20" s="4">
        <f>SUM(AT16:AT19)</f>
        <v>1530.1397518863168</v>
      </c>
      <c r="AU20" s="4">
        <f>SUM(AU16:AU19)</f>
        <v>1555.3419762333576</v>
      </c>
      <c r="AV20" s="4">
        <v>1707.1630448076314</v>
      </c>
      <c r="AW20" s="4">
        <v>1721.7261447905355</v>
      </c>
      <c r="AX20" s="4">
        <f>SUM(AX16:AX19)</f>
        <v>1630.7754387712448</v>
      </c>
      <c r="AY20" s="4">
        <v>1741</v>
      </c>
      <c r="AZ20" s="4">
        <v>1736</v>
      </c>
      <c r="BA20" s="4">
        <v>1709</v>
      </c>
      <c r="BB20" s="335">
        <v>1701</v>
      </c>
      <c r="BC20" s="335">
        <f t="shared" ref="BC20:CV20" si="8">SUM(BC16:BC19)</f>
        <v>1729.1532924288883</v>
      </c>
      <c r="BD20" s="335">
        <f t="shared" si="8"/>
        <v>1763.8510681226908</v>
      </c>
      <c r="BE20" s="335">
        <f t="shared" si="8"/>
        <v>1650.95745071905</v>
      </c>
      <c r="BF20" s="335">
        <f t="shared" si="8"/>
        <v>1608.7238916249166</v>
      </c>
      <c r="BG20" s="335">
        <f t="shared" si="8"/>
        <v>1482.3864639910473</v>
      </c>
      <c r="BH20" s="335">
        <f t="shared" si="8"/>
        <v>1277.2036358864887</v>
      </c>
      <c r="BI20" s="335">
        <f t="shared" si="8"/>
        <v>1158.9897355504359</v>
      </c>
      <c r="BJ20" s="335">
        <f t="shared" si="8"/>
        <v>1151.1468230983812</v>
      </c>
      <c r="BK20" s="335">
        <f t="shared" si="8"/>
        <v>1112.8075567487124</v>
      </c>
      <c r="BL20" s="335">
        <f t="shared" si="8"/>
        <v>1128.4287370410959</v>
      </c>
      <c r="BM20" s="377">
        <f t="shared" si="8"/>
        <v>1126.5414897793676</v>
      </c>
      <c r="BN20" s="335">
        <f t="shared" si="8"/>
        <v>1193.6675088013699</v>
      </c>
      <c r="BO20" s="335">
        <f t="shared" si="8"/>
        <v>1130.5439856288717</v>
      </c>
      <c r="BP20" s="377">
        <f t="shared" si="8"/>
        <v>1058.5607164742216</v>
      </c>
      <c r="BQ20" s="335">
        <f t="shared" si="8"/>
        <v>1047.987939196513</v>
      </c>
      <c r="BR20" s="335">
        <f t="shared" si="8"/>
        <v>1089.447481555168</v>
      </c>
      <c r="BS20" s="335">
        <f t="shared" si="8"/>
        <v>1094.8883040194271</v>
      </c>
      <c r="BT20" s="335">
        <f t="shared" si="8"/>
        <v>1055.281967565629</v>
      </c>
      <c r="BU20" s="335">
        <f t="shared" si="8"/>
        <v>1047.0103826291406</v>
      </c>
      <c r="BV20" s="335">
        <f t="shared" si="8"/>
        <v>1061.9167319210112</v>
      </c>
      <c r="BW20" s="335">
        <f t="shared" si="8"/>
        <v>1089.0846190511481</v>
      </c>
      <c r="BX20" s="335">
        <f t="shared" si="8"/>
        <v>1109.8611137215441</v>
      </c>
      <c r="BY20" s="335">
        <f t="shared" si="8"/>
        <v>1109.8611137215441</v>
      </c>
      <c r="BZ20" s="335">
        <f t="shared" si="8"/>
        <v>1225.4097534154969</v>
      </c>
      <c r="CA20" s="335">
        <f t="shared" si="8"/>
        <v>1332.108537169365</v>
      </c>
      <c r="CB20" s="335">
        <f t="shared" si="8"/>
        <v>1364.6745668005528</v>
      </c>
      <c r="CC20" s="335">
        <f t="shared" si="8"/>
        <v>1272.6847683485678</v>
      </c>
      <c r="CD20" s="335">
        <f t="shared" si="8"/>
        <v>1270.809227902366</v>
      </c>
      <c r="CE20" s="335">
        <f t="shared" si="8"/>
        <v>1129.0753486134495</v>
      </c>
      <c r="CF20" s="335">
        <f t="shared" si="8"/>
        <v>1152.1991004438355</v>
      </c>
      <c r="CG20" s="335">
        <f t="shared" si="8"/>
        <v>1051.6677347085927</v>
      </c>
      <c r="CH20" s="335">
        <f t="shared" si="8"/>
        <v>1040.0243545099627</v>
      </c>
      <c r="CI20" s="335">
        <f t="shared" si="8"/>
        <v>1040.9417117377336</v>
      </c>
      <c r="CJ20" s="335">
        <f t="shared" si="8"/>
        <v>999.10786995336241</v>
      </c>
      <c r="CK20" s="618">
        <f t="shared" si="8"/>
        <v>987.09989906164378</v>
      </c>
      <c r="CL20" s="618">
        <f t="shared" si="8"/>
        <v>922.94369806818179</v>
      </c>
      <c r="CM20" s="618">
        <f t="shared" si="8"/>
        <v>955.83918737683678</v>
      </c>
      <c r="CN20" s="618">
        <f t="shared" si="8"/>
        <v>1193.6346462011832</v>
      </c>
      <c r="CO20" s="618">
        <f t="shared" si="8"/>
        <v>1078.353421244645</v>
      </c>
      <c r="CP20" s="618">
        <f t="shared" si="8"/>
        <v>1060.1826915407223</v>
      </c>
      <c r="CQ20" s="618">
        <f t="shared" si="8"/>
        <v>1034.4026012423412</v>
      </c>
      <c r="CR20" s="618">
        <f t="shared" si="8"/>
        <v>957.72094579277712</v>
      </c>
      <c r="CS20" s="618">
        <f t="shared" si="8"/>
        <v>942.73744440585301</v>
      </c>
      <c r="CT20" s="618">
        <f t="shared" si="8"/>
        <v>924.43734381083436</v>
      </c>
      <c r="CU20" s="377">
        <f t="shared" si="8"/>
        <v>956.99882100066009</v>
      </c>
      <c r="CV20" s="335">
        <f t="shared" si="8"/>
        <v>1367.944280467746</v>
      </c>
      <c r="CW20" s="780"/>
      <c r="CX20" s="780"/>
      <c r="CY20" s="241"/>
      <c r="CZ20" s="284"/>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709"/>
      <c r="EC20" s="709"/>
      <c r="ED20" s="709"/>
      <c r="EE20" s="709"/>
      <c r="EF20" s="709"/>
      <c r="EG20" s="709"/>
      <c r="EH20" s="709"/>
      <c r="EI20" s="709"/>
      <c r="EM20" s="769" t="s">
        <v>730</v>
      </c>
    </row>
    <row r="21" spans="2:146" x14ac:dyDescent="0.35">
      <c r="B21" s="775" t="s">
        <v>523</v>
      </c>
      <c r="C21" s="748" t="s">
        <v>107</v>
      </c>
      <c r="D21" s="749"/>
      <c r="E21" s="749"/>
      <c r="F21" s="749"/>
      <c r="G21" s="749"/>
      <c r="H21" s="749"/>
      <c r="I21" s="749"/>
      <c r="J21" s="749"/>
      <c r="K21" s="749"/>
      <c r="L21" s="749"/>
      <c r="M21" s="749"/>
      <c r="N21" s="749"/>
      <c r="O21" s="749"/>
      <c r="P21" s="749"/>
      <c r="Q21" s="749"/>
      <c r="R21" s="749"/>
      <c r="S21" s="749"/>
      <c r="T21" s="749"/>
      <c r="U21" s="749"/>
      <c r="V21" s="749"/>
      <c r="W21" s="749"/>
      <c r="X21" s="749"/>
      <c r="Y21" s="749"/>
      <c r="Z21" s="749"/>
      <c r="AA21" s="749"/>
      <c r="AB21" s="749"/>
      <c r="AC21" s="749"/>
      <c r="AD21" s="749"/>
      <c r="AE21" s="749"/>
      <c r="AF21" s="749"/>
      <c r="AG21" s="749"/>
      <c r="AH21" s="749"/>
      <c r="AI21" s="749"/>
      <c r="AJ21" s="749"/>
      <c r="AK21" s="749"/>
      <c r="AL21" s="749"/>
      <c r="AM21" s="749"/>
      <c r="AN21" s="749"/>
      <c r="AO21" s="749"/>
      <c r="AP21" s="749"/>
      <c r="AQ21" s="749">
        <f>+SUM(AQ16:AQ18)</f>
        <v>1053.3161610680429</v>
      </c>
      <c r="AR21" s="749">
        <f>+SUM(AR16:AR18)</f>
        <v>1040.8161610680429</v>
      </c>
      <c r="AS21" s="749">
        <f>+SUM(AS16:AS18)</f>
        <v>1081.5395654189531</v>
      </c>
      <c r="AT21" s="749">
        <f>+SUM(AT16:AT18)</f>
        <v>1087.7895654189531</v>
      </c>
      <c r="AU21" s="749">
        <f>+SUM(AU16:AU18)</f>
        <v>1074.3554261296304</v>
      </c>
      <c r="AV21" s="749">
        <v>1226.1764947039042</v>
      </c>
      <c r="AW21" s="749">
        <v>1240.7395946868082</v>
      </c>
      <c r="AX21" s="749">
        <f>+SUM(AX16:AX18)</f>
        <v>1150.7888886675175</v>
      </c>
      <c r="AY21" s="749">
        <v>1261</v>
      </c>
      <c r="AZ21" s="749">
        <v>1256</v>
      </c>
      <c r="BA21" s="749">
        <v>1257</v>
      </c>
      <c r="BB21" s="750">
        <v>1317</v>
      </c>
      <c r="BC21" s="750">
        <f t="shared" ref="BC21:CV21" si="9">+SUM(BC16:BC18)</f>
        <v>1345.5303786887973</v>
      </c>
      <c r="BD21" s="750">
        <f t="shared" si="9"/>
        <v>1364.7736089280543</v>
      </c>
      <c r="BE21" s="750">
        <f t="shared" si="9"/>
        <v>1251.8799915244138</v>
      </c>
      <c r="BF21" s="750">
        <f t="shared" si="9"/>
        <v>1222.3737051575531</v>
      </c>
      <c r="BG21" s="750">
        <f t="shared" si="9"/>
        <v>1172.8544593418655</v>
      </c>
      <c r="BH21" s="750">
        <f t="shared" si="9"/>
        <v>1098.5807221463976</v>
      </c>
      <c r="BI21" s="750">
        <f t="shared" si="9"/>
        <v>1035.8213672648903</v>
      </c>
      <c r="BJ21" s="750">
        <f t="shared" si="9"/>
        <v>1027.9784548128357</v>
      </c>
      <c r="BK21" s="750">
        <f t="shared" si="9"/>
        <v>1087.8210066449851</v>
      </c>
      <c r="BL21" s="750">
        <f t="shared" si="9"/>
        <v>1111.6240051191869</v>
      </c>
      <c r="BM21" s="751">
        <f t="shared" si="9"/>
        <v>1126.5414897793676</v>
      </c>
      <c r="BN21" s="750">
        <f t="shared" si="9"/>
        <v>1168.2264132430971</v>
      </c>
      <c r="BO21" s="750">
        <f t="shared" si="9"/>
        <v>1084.51198097969</v>
      </c>
      <c r="BP21" s="751">
        <f t="shared" si="9"/>
        <v>1025.2559845523126</v>
      </c>
      <c r="BQ21" s="750">
        <f t="shared" si="9"/>
        <v>1021.5468436382404</v>
      </c>
      <c r="BR21" s="750">
        <f t="shared" si="9"/>
        <v>1033.5972950878045</v>
      </c>
      <c r="BS21" s="750">
        <f t="shared" si="9"/>
        <v>1043.5835720975181</v>
      </c>
      <c r="BT21" s="750">
        <f t="shared" si="9"/>
        <v>1023.1135992800835</v>
      </c>
      <c r="BU21" s="750">
        <f t="shared" si="9"/>
        <v>997.66019616177709</v>
      </c>
      <c r="BV21" s="750">
        <f t="shared" si="9"/>
        <v>996.29381818092031</v>
      </c>
      <c r="BW21" s="750">
        <f t="shared" si="9"/>
        <v>1023.4617053110572</v>
      </c>
      <c r="BX21" s="750">
        <f t="shared" si="9"/>
        <v>1041.2836545269079</v>
      </c>
      <c r="BY21" s="750">
        <f t="shared" si="9"/>
        <v>1041.2836545269079</v>
      </c>
      <c r="BZ21" s="750">
        <f t="shared" si="9"/>
        <v>1047.7413851299514</v>
      </c>
      <c r="CA21" s="750">
        <f t="shared" si="9"/>
        <v>1039.1674416110923</v>
      </c>
      <c r="CB21" s="750">
        <f t="shared" si="9"/>
        <v>1041.1880166968256</v>
      </c>
      <c r="CC21" s="750">
        <f t="shared" si="9"/>
        <v>1047.8800364266588</v>
      </c>
      <c r="CD21" s="750">
        <f t="shared" si="9"/>
        <v>1025.5499505259115</v>
      </c>
      <c r="CE21" s="750">
        <f t="shared" si="9"/>
        <v>960.4978894188132</v>
      </c>
      <c r="CF21" s="750">
        <f t="shared" si="9"/>
        <v>988.4852776128356</v>
      </c>
      <c r="CG21" s="750">
        <f t="shared" si="9"/>
        <v>935.31754824122913</v>
      </c>
      <c r="CH21" s="750">
        <f t="shared" si="9"/>
        <v>923.67416804259904</v>
      </c>
      <c r="CI21" s="750">
        <f t="shared" si="9"/>
        <v>931.95516163400623</v>
      </c>
      <c r="CJ21" s="750">
        <f t="shared" si="9"/>
        <v>934.16677439508965</v>
      </c>
      <c r="CK21" s="752">
        <f t="shared" si="9"/>
        <v>916.88607623064377</v>
      </c>
      <c r="CL21" s="752">
        <f t="shared" si="9"/>
        <v>874.09351160081815</v>
      </c>
      <c r="CM21" s="752">
        <f t="shared" si="9"/>
        <v>904.57991000038226</v>
      </c>
      <c r="CN21" s="752">
        <f t="shared" si="9"/>
        <v>930.7390051883649</v>
      </c>
      <c r="CO21" s="752">
        <f t="shared" si="9"/>
        <v>915.59414386819049</v>
      </c>
      <c r="CP21" s="752">
        <f t="shared" si="9"/>
        <v>907.10523234608593</v>
      </c>
      <c r="CQ21" s="752">
        <f t="shared" si="9"/>
        <v>897.23423295679572</v>
      </c>
      <c r="CR21" s="752">
        <f t="shared" si="9"/>
        <v>881.64348659814073</v>
      </c>
      <c r="CS21" s="752">
        <f t="shared" si="9"/>
        <v>877.88725793848937</v>
      </c>
      <c r="CT21" s="752">
        <f t="shared" si="9"/>
        <v>884.76897552528885</v>
      </c>
      <c r="CU21" s="752">
        <f t="shared" si="9"/>
        <v>950.69408907875095</v>
      </c>
      <c r="CV21" s="752">
        <f t="shared" si="9"/>
        <v>1330.7170077404733</v>
      </c>
      <c r="CW21" s="781"/>
      <c r="CX21" s="781"/>
      <c r="CY21" s="241"/>
      <c r="CZ21" s="284" t="s">
        <v>108</v>
      </c>
      <c r="DA21" s="370">
        <v>1258.491866707127</v>
      </c>
      <c r="DB21" s="370">
        <v>1267.0143376361973</v>
      </c>
      <c r="DC21" s="370">
        <v>1304.1208334640173</v>
      </c>
      <c r="DD21" s="370">
        <v>1298.9692885147945</v>
      </c>
      <c r="DE21" s="370">
        <v>1254.8428525614802</v>
      </c>
      <c r="DF21" s="370">
        <v>1215.9045352417124</v>
      </c>
      <c r="DG21" s="370">
        <v>1220.6546814110968</v>
      </c>
      <c r="DH21" s="370">
        <f t="shared" ref="DH21:DJ21" si="10">+DG24</f>
        <v>1226.1866522264747</v>
      </c>
      <c r="DI21" s="370">
        <f t="shared" si="10"/>
        <v>1209.0551584269829</v>
      </c>
      <c r="DJ21" s="370">
        <f t="shared" si="10"/>
        <v>1194.1871579510785</v>
      </c>
      <c r="DK21" s="370">
        <f>+DI24</f>
        <v>1194.1871579510785</v>
      </c>
      <c r="DL21" s="370">
        <f>+DJ24</f>
        <v>1203.3753896982651</v>
      </c>
      <c r="DM21" s="370">
        <f t="shared" ref="DM21:EI21" si="11">+DL24</f>
        <v>1225.54462078749</v>
      </c>
      <c r="DN21" s="370">
        <f t="shared" si="11"/>
        <v>1246.3188446831111</v>
      </c>
      <c r="DO21" s="370">
        <f t="shared" si="11"/>
        <v>1317.0024167853026</v>
      </c>
      <c r="DP21" s="370">
        <f t="shared" si="11"/>
        <v>1419.7186546650141</v>
      </c>
      <c r="DQ21" s="370">
        <f t="shared" si="11"/>
        <v>1509.9821039091423</v>
      </c>
      <c r="DR21" s="370">
        <f t="shared" si="11"/>
        <v>1468.930215646893</v>
      </c>
      <c r="DS21" s="370">
        <f t="shared" si="11"/>
        <v>1441.3901886717804</v>
      </c>
      <c r="DT21" s="370">
        <f t="shared" si="11"/>
        <v>1363.6378209264894</v>
      </c>
      <c r="DU21" s="370">
        <f t="shared" si="11"/>
        <v>1331.6466501380658</v>
      </c>
      <c r="DV21" s="370">
        <f t="shared" si="11"/>
        <v>1304.2777885746743</v>
      </c>
      <c r="DW21" s="370">
        <f t="shared" si="11"/>
        <v>1211.7009226258197</v>
      </c>
      <c r="DX21" s="370">
        <f t="shared" si="11"/>
        <v>1201.5962051573779</v>
      </c>
      <c r="DY21" s="370">
        <f t="shared" si="11"/>
        <v>1178.6438201323385</v>
      </c>
      <c r="DZ21" s="370">
        <f t="shared" si="11"/>
        <v>1159.5043426924331</v>
      </c>
      <c r="EA21" s="370">
        <f t="shared" si="11"/>
        <v>1169.9781021941997</v>
      </c>
      <c r="EB21" s="710">
        <f t="shared" si="11"/>
        <v>1188.462432983202</v>
      </c>
      <c r="EC21" s="710">
        <f t="shared" si="11"/>
        <v>1364.4350559233303</v>
      </c>
      <c r="ED21" s="710">
        <f t="shared" si="11"/>
        <v>1286.7632895323181</v>
      </c>
      <c r="EE21" s="710">
        <f t="shared" si="11"/>
        <v>1249.5027202502913</v>
      </c>
      <c r="EF21" s="710">
        <f t="shared" si="11"/>
        <v>1229.7082723501064</v>
      </c>
      <c r="EG21" s="710">
        <f t="shared" si="11"/>
        <v>1201.4273245732036</v>
      </c>
      <c r="EH21" s="710">
        <f t="shared" si="11"/>
        <v>1170.9491189896669</v>
      </c>
      <c r="EI21" s="710">
        <f t="shared" si="11"/>
        <v>1137.1396232839734</v>
      </c>
      <c r="EM21" s="769" t="s">
        <v>730</v>
      </c>
    </row>
    <row r="22" spans="2:146" x14ac:dyDescent="0.35">
      <c r="B22" s="775" t="s">
        <v>524</v>
      </c>
      <c r="C22" s="617" t="s">
        <v>109</v>
      </c>
      <c r="D22" s="4">
        <f t="shared" ref="D22:AS22" si="12">+D20*0.1</f>
        <v>145.44342465753425</v>
      </c>
      <c r="E22" s="4">
        <f t="shared" si="12"/>
        <v>140.31397260273974</v>
      </c>
      <c r="F22" s="4">
        <f t="shared" si="12"/>
        <v>140.25036791020548</v>
      </c>
      <c r="G22" s="4">
        <f t="shared" si="12"/>
        <v>139.85232191780821</v>
      </c>
      <c r="H22" s="4">
        <f t="shared" si="12"/>
        <v>145.44342465753425</v>
      </c>
      <c r="I22" s="4">
        <f t="shared" si="12"/>
        <v>138.90337328767123</v>
      </c>
      <c r="J22" s="4">
        <f t="shared" si="12"/>
        <v>124.41267123287672</v>
      </c>
      <c r="K22" s="4">
        <f t="shared" si="12"/>
        <v>118.5205140983411</v>
      </c>
      <c r="L22" s="4">
        <f t="shared" si="12"/>
        <v>116.12646986301371</v>
      </c>
      <c r="M22" s="4">
        <f t="shared" si="12"/>
        <v>120.52538287671233</v>
      </c>
      <c r="N22" s="4">
        <f t="shared" si="12"/>
        <v>122.46607979452057</v>
      </c>
      <c r="O22" s="4">
        <f t="shared" si="12"/>
        <v>122.98359897260275</v>
      </c>
      <c r="P22" s="4">
        <f t="shared" si="12"/>
        <v>112.96960287671234</v>
      </c>
      <c r="Q22" s="4">
        <f t="shared" si="12"/>
        <v>104.87042773972604</v>
      </c>
      <c r="R22" s="4">
        <f t="shared" si="12"/>
        <v>109.0757890983411</v>
      </c>
      <c r="S22" s="4">
        <f t="shared" si="12"/>
        <v>101.01490986301371</v>
      </c>
      <c r="T22" s="4">
        <f t="shared" si="12"/>
        <v>98.918957191780819</v>
      </c>
      <c r="U22" s="4">
        <f t="shared" si="12"/>
        <v>96.043221917808225</v>
      </c>
      <c r="V22" s="4">
        <f t="shared" si="12"/>
        <v>94.91168253424658</v>
      </c>
      <c r="W22" s="4">
        <f t="shared" si="12"/>
        <v>95.676749190108225</v>
      </c>
      <c r="X22" s="4">
        <f t="shared" si="12"/>
        <v>97.490086210050691</v>
      </c>
      <c r="Y22" s="4">
        <f t="shared" si="12"/>
        <v>97.490086210050691</v>
      </c>
      <c r="Z22" s="4">
        <f t="shared" si="12"/>
        <v>86.704045505638362</v>
      </c>
      <c r="AA22" s="4">
        <f t="shared" si="12"/>
        <v>78.13964374429726</v>
      </c>
      <c r="AB22" s="4">
        <f t="shared" si="12"/>
        <v>83.597457627118658</v>
      </c>
      <c r="AC22" s="4">
        <f t="shared" si="12"/>
        <v>79.643748930295885</v>
      </c>
      <c r="AD22" s="4">
        <f t="shared" si="12"/>
        <v>81.532203389830499</v>
      </c>
      <c r="AE22" s="4">
        <f t="shared" si="12"/>
        <v>80.558972560432878</v>
      </c>
      <c r="AF22" s="4">
        <f t="shared" si="12"/>
        <v>81.020338983050848</v>
      </c>
      <c r="AG22" s="4">
        <f t="shared" si="12"/>
        <v>78.558031689502741</v>
      </c>
      <c r="AH22" s="4">
        <f t="shared" si="12"/>
        <v>77.355166347036985</v>
      </c>
      <c r="AI22" s="4">
        <f t="shared" si="12"/>
        <v>77.551809204268494</v>
      </c>
      <c r="AJ22" s="4">
        <f t="shared" si="12"/>
        <v>76.72758442922877</v>
      </c>
      <c r="AK22" s="4">
        <f t="shared" si="12"/>
        <v>77.421062448406857</v>
      </c>
      <c r="AL22" s="4">
        <f t="shared" si="12"/>
        <v>84.206268949776714</v>
      </c>
      <c r="AM22" s="4">
        <f t="shared" si="12"/>
        <v>92.195386763475341</v>
      </c>
      <c r="AN22" s="4">
        <f t="shared" si="12"/>
        <v>101.73986176347535</v>
      </c>
      <c r="AO22" s="4">
        <f t="shared" si="12"/>
        <v>116.18679751142054</v>
      </c>
      <c r="AP22" s="4">
        <f t="shared" si="12"/>
        <v>110.04172456621507</v>
      </c>
      <c r="AQ22" s="4">
        <f t="shared" si="12"/>
        <v>130.70299838990431</v>
      </c>
      <c r="AR22" s="4">
        <f t="shared" si="12"/>
        <v>133.08936202626793</v>
      </c>
      <c r="AS22" s="4">
        <f t="shared" si="12"/>
        <v>148.02533882499532</v>
      </c>
      <c r="AT22" s="4">
        <f>+AT20*0.05</f>
        <v>76.506987594315845</v>
      </c>
      <c r="AU22" s="4">
        <f>+AU20*0.05</f>
        <v>77.767098811667893</v>
      </c>
      <c r="AV22" s="4">
        <v>85.358152240381571</v>
      </c>
      <c r="AW22" s="4">
        <v>86.086307239526775</v>
      </c>
      <c r="AX22" s="4">
        <f>+AX20*0.05</f>
        <v>81.538771938562249</v>
      </c>
      <c r="AY22" s="4">
        <v>87.033091130292661</v>
      </c>
      <c r="AZ22" s="4">
        <f t="shared" ref="AZ22:CV22" si="13">+AZ20*0.05</f>
        <v>86.800000000000011</v>
      </c>
      <c r="BA22" s="4">
        <f t="shared" si="13"/>
        <v>85.45</v>
      </c>
      <c r="BB22" s="335">
        <f t="shared" si="13"/>
        <v>85.050000000000011</v>
      </c>
      <c r="BC22" s="335">
        <f t="shared" si="13"/>
        <v>86.457664621444422</v>
      </c>
      <c r="BD22" s="335">
        <f t="shared" si="13"/>
        <v>88.19255340613455</v>
      </c>
      <c r="BE22" s="335">
        <f t="shared" si="13"/>
        <v>82.547872535952507</v>
      </c>
      <c r="BF22" s="335">
        <f t="shared" si="13"/>
        <v>80.436194581245843</v>
      </c>
      <c r="BG22" s="335">
        <f t="shared" si="13"/>
        <v>74.119323199552369</v>
      </c>
      <c r="BH22" s="335">
        <f t="shared" si="13"/>
        <v>63.860181794324433</v>
      </c>
      <c r="BI22" s="335">
        <f t="shared" si="13"/>
        <v>57.949486777521798</v>
      </c>
      <c r="BJ22" s="335">
        <f t="shared" si="13"/>
        <v>57.557341154919065</v>
      </c>
      <c r="BK22" s="335">
        <f t="shared" si="13"/>
        <v>55.640377837435622</v>
      </c>
      <c r="BL22" s="335">
        <f t="shared" si="13"/>
        <v>56.421436852054796</v>
      </c>
      <c r="BM22" s="377">
        <f t="shared" si="13"/>
        <v>56.327074488968378</v>
      </c>
      <c r="BN22" s="335">
        <f t="shared" si="13"/>
        <v>59.683375440068495</v>
      </c>
      <c r="BO22" s="335">
        <f t="shared" si="13"/>
        <v>56.527199281443586</v>
      </c>
      <c r="BP22" s="377">
        <f t="shared" si="13"/>
        <v>52.928035823711085</v>
      </c>
      <c r="BQ22" s="335">
        <f t="shared" si="13"/>
        <v>52.399396959825651</v>
      </c>
      <c r="BR22" s="335">
        <f t="shared" si="13"/>
        <v>54.472374077758403</v>
      </c>
      <c r="BS22" s="335">
        <f t="shared" si="13"/>
        <v>54.74441520097136</v>
      </c>
      <c r="BT22" s="335">
        <f t="shared" si="13"/>
        <v>52.764098378281453</v>
      </c>
      <c r="BU22" s="335">
        <f t="shared" si="13"/>
        <v>52.350519131457034</v>
      </c>
      <c r="BV22" s="335">
        <f t="shared" si="13"/>
        <v>53.09583659605056</v>
      </c>
      <c r="BW22" s="335">
        <f t="shared" si="13"/>
        <v>54.45423095255741</v>
      </c>
      <c r="BX22" s="335">
        <f t="shared" si="13"/>
        <v>55.493055686077213</v>
      </c>
      <c r="BY22" s="335">
        <f t="shared" si="13"/>
        <v>55.493055686077213</v>
      </c>
      <c r="BZ22" s="335">
        <f t="shared" si="13"/>
        <v>61.270487670774848</v>
      </c>
      <c r="CA22" s="335">
        <f t="shared" si="13"/>
        <v>66.605426858468249</v>
      </c>
      <c r="CB22" s="335">
        <f t="shared" si="13"/>
        <v>68.233728340027639</v>
      </c>
      <c r="CC22" s="335">
        <f t="shared" si="13"/>
        <v>63.634238417428392</v>
      </c>
      <c r="CD22" s="335">
        <f t="shared" si="13"/>
        <v>63.540461395118307</v>
      </c>
      <c r="CE22" s="335">
        <f t="shared" si="13"/>
        <v>56.453767430672478</v>
      </c>
      <c r="CF22" s="335">
        <f t="shared" si="13"/>
        <v>57.609955022191777</v>
      </c>
      <c r="CG22" s="335">
        <f t="shared" si="13"/>
        <v>52.583386735429634</v>
      </c>
      <c r="CH22" s="335">
        <f t="shared" si="13"/>
        <v>52.001217725498137</v>
      </c>
      <c r="CI22" s="335">
        <f t="shared" si="13"/>
        <v>52.047085586886681</v>
      </c>
      <c r="CJ22" s="335">
        <f t="shared" si="13"/>
        <v>49.955393497668126</v>
      </c>
      <c r="CK22" s="618">
        <f t="shared" si="13"/>
        <v>49.354994953082191</v>
      </c>
      <c r="CL22" s="618">
        <f t="shared" si="13"/>
        <v>46.147184903409091</v>
      </c>
      <c r="CM22" s="618">
        <f t="shared" si="13"/>
        <v>47.791959368841844</v>
      </c>
      <c r="CN22" s="618">
        <f t="shared" si="13"/>
        <v>59.681732310059161</v>
      </c>
      <c r="CO22" s="618">
        <f t="shared" si="13"/>
        <v>53.917671062232252</v>
      </c>
      <c r="CP22" s="618">
        <f t="shared" si="13"/>
        <v>53.009134577036122</v>
      </c>
      <c r="CQ22" s="618">
        <f t="shared" si="13"/>
        <v>51.720130062117065</v>
      </c>
      <c r="CR22" s="618">
        <f t="shared" si="13"/>
        <v>47.88604728963886</v>
      </c>
      <c r="CS22" s="618">
        <f t="shared" si="13"/>
        <v>47.136872220292652</v>
      </c>
      <c r="CT22" s="618">
        <f t="shared" si="13"/>
        <v>46.221867190541722</v>
      </c>
      <c r="CU22" s="618">
        <f t="shared" si="13"/>
        <v>47.84994105003301</v>
      </c>
      <c r="CV22" s="618">
        <f t="shared" si="13"/>
        <v>68.397214023387306</v>
      </c>
      <c r="CW22" s="780"/>
      <c r="CX22" s="780"/>
      <c r="CY22" s="241"/>
      <c r="CZ22" s="284" t="s">
        <v>110</v>
      </c>
      <c r="DA22" s="370">
        <v>1272.9918834506852</v>
      </c>
      <c r="DB22" s="370">
        <v>1346.8089973008859</v>
      </c>
      <c r="DC22" s="370">
        <v>1273.8321433886906</v>
      </c>
      <c r="DD22" s="370">
        <v>1193.5092310621178</v>
      </c>
      <c r="DE22" s="395">
        <v>1182.1110836473979</v>
      </c>
      <c r="DF22" s="395">
        <v>1226.6076392399507</v>
      </c>
      <c r="DG22" s="395">
        <v>1233.1194049881999</v>
      </c>
      <c r="DH22" s="395">
        <f t="shared" ref="DH22:EI22" si="14">+BT26</f>
        <v>1189.8951538863171</v>
      </c>
      <c r="DI22" s="395">
        <f t="shared" si="14"/>
        <v>1179.1737174535399</v>
      </c>
      <c r="DJ22" s="395">
        <f t="shared" si="14"/>
        <v>1213.6744453057081</v>
      </c>
      <c r="DK22" s="395">
        <f t="shared" si="14"/>
        <v>1244.3741577627632</v>
      </c>
      <c r="DL22" s="395">
        <f t="shared" si="14"/>
        <v>1267.6152331039468</v>
      </c>
      <c r="DM22" s="395">
        <f t="shared" si="14"/>
        <v>1267.6152331039468</v>
      </c>
      <c r="DN22" s="395">
        <f t="shared" si="14"/>
        <v>1389.4579232308406</v>
      </c>
      <c r="DO22" s="395">
        <f t="shared" si="14"/>
        <v>1500.8057306908936</v>
      </c>
      <c r="DP22" s="395">
        <f t="shared" si="14"/>
        <v>1535.1617078104994</v>
      </c>
      <c r="DQ22" s="395">
        <f t="shared" si="14"/>
        <v>1439.1077810143017</v>
      </c>
      <c r="DR22" s="395">
        <f t="shared" si="14"/>
        <v>1435.35205667373</v>
      </c>
      <c r="DS22" s="395">
        <f t="shared" si="14"/>
        <v>1281.3273185317998</v>
      </c>
      <c r="DT22" s="395">
        <f t="shared" si="14"/>
        <v>1307.846249009227</v>
      </c>
      <c r="DU22" s="395">
        <f t="shared" si="14"/>
        <v>1198.0348966374936</v>
      </c>
      <c r="DV22" s="395">
        <f t="shared" si="14"/>
        <v>1184.8778770130416</v>
      </c>
      <c r="DW22" s="395">
        <f t="shared" si="14"/>
        <v>1186.5035815895135</v>
      </c>
      <c r="DX22" s="370">
        <f t="shared" si="14"/>
        <v>1142.7549767368105</v>
      </c>
      <c r="DY22" s="370">
        <f t="shared" si="14"/>
        <v>1128.7641514473505</v>
      </c>
      <c r="DZ22" s="370">
        <f t="shared" si="14"/>
        <v>1192.9767352338292</v>
      </c>
      <c r="EA22" s="370">
        <f t="shared" si="14"/>
        <v>1229.9559108798821</v>
      </c>
      <c r="EB22" s="710">
        <f t="shared" si="14"/>
        <v>1481.7338702604845</v>
      </c>
      <c r="EC22" s="710">
        <f t="shared" si="14"/>
        <v>1224.4769951505054</v>
      </c>
      <c r="ED22" s="710">
        <f t="shared" si="14"/>
        <v>1204.7186160396182</v>
      </c>
      <c r="EE22" s="710">
        <f t="shared" si="14"/>
        <v>1176.8598412751749</v>
      </c>
      <c r="EF22" s="710">
        <f t="shared" si="14"/>
        <v>1095.0968433444402</v>
      </c>
      <c r="EG22" s="710">
        <f t="shared" si="14"/>
        <v>1079.0636685953975</v>
      </c>
      <c r="EH22" s="710">
        <f t="shared" si="14"/>
        <v>1060.399100377572</v>
      </c>
      <c r="EI22" s="710">
        <f t="shared" si="14"/>
        <v>1099.862660511166</v>
      </c>
      <c r="EJ22" s="257"/>
      <c r="EM22" s="143" t="s">
        <v>731</v>
      </c>
    </row>
    <row r="23" spans="2:146" x14ac:dyDescent="0.35">
      <c r="B23" s="775" t="s">
        <v>525</v>
      </c>
      <c r="C23" s="619" t="s">
        <v>111</v>
      </c>
      <c r="D23" s="5">
        <f t="shared" ref="D23:AP23" si="15">+D20*8%</f>
        <v>116.3547397260274</v>
      </c>
      <c r="E23" s="5">
        <f t="shared" si="15"/>
        <v>112.25117808219179</v>
      </c>
      <c r="F23" s="5">
        <f t="shared" si="15"/>
        <v>112.20029432816439</v>
      </c>
      <c r="G23" s="5">
        <f t="shared" si="15"/>
        <v>111.88185753424658</v>
      </c>
      <c r="H23" s="5">
        <f t="shared" si="15"/>
        <v>116.3547397260274</v>
      </c>
      <c r="I23" s="5">
        <f t="shared" si="15"/>
        <v>111.12269863013698</v>
      </c>
      <c r="J23" s="5">
        <f t="shared" si="15"/>
        <v>99.530136986301372</v>
      </c>
      <c r="K23" s="5">
        <f t="shared" si="15"/>
        <v>94.816411278672874</v>
      </c>
      <c r="L23" s="5">
        <f t="shared" si="15"/>
        <v>92.901175890410954</v>
      </c>
      <c r="M23" s="5">
        <f t="shared" si="15"/>
        <v>96.420306301369862</v>
      </c>
      <c r="N23" s="5">
        <f t="shared" si="15"/>
        <v>97.972863835616451</v>
      </c>
      <c r="O23" s="5">
        <f t="shared" si="15"/>
        <v>98.386879178082197</v>
      </c>
      <c r="P23" s="5">
        <f t="shared" si="15"/>
        <v>90.375682301369878</v>
      </c>
      <c r="Q23" s="5">
        <f t="shared" si="15"/>
        <v>83.896342191780818</v>
      </c>
      <c r="R23" s="5">
        <f t="shared" si="15"/>
        <v>87.260631278672889</v>
      </c>
      <c r="S23" s="5">
        <f t="shared" si="15"/>
        <v>80.811927890410956</v>
      </c>
      <c r="T23" s="5">
        <f t="shared" si="15"/>
        <v>79.135165753424658</v>
      </c>
      <c r="U23" s="5">
        <f t="shared" si="15"/>
        <v>76.834577534246577</v>
      </c>
      <c r="V23" s="5">
        <f t="shared" si="15"/>
        <v>75.929346027397258</v>
      </c>
      <c r="W23" s="5">
        <f t="shared" si="15"/>
        <v>76.541399352086572</v>
      </c>
      <c r="X23" s="5">
        <f t="shared" si="15"/>
        <v>77.992068968040556</v>
      </c>
      <c r="Y23" s="5">
        <f t="shared" si="15"/>
        <v>77.992068968040556</v>
      </c>
      <c r="Z23" s="5">
        <f t="shared" si="15"/>
        <v>69.363236404510687</v>
      </c>
      <c r="AA23" s="5">
        <f t="shared" si="15"/>
        <v>62.511714995437806</v>
      </c>
      <c r="AB23" s="5">
        <f t="shared" si="15"/>
        <v>66.877966101694923</v>
      </c>
      <c r="AC23" s="5">
        <f t="shared" si="15"/>
        <v>63.714999144236707</v>
      </c>
      <c r="AD23" s="5">
        <f t="shared" si="15"/>
        <v>65.225762711864391</v>
      </c>
      <c r="AE23" s="5">
        <f t="shared" si="15"/>
        <v>64.447178048346302</v>
      </c>
      <c r="AF23" s="5">
        <f t="shared" si="15"/>
        <v>64.816271186440673</v>
      </c>
      <c r="AG23" s="5">
        <f t="shared" si="15"/>
        <v>62.846425351602193</v>
      </c>
      <c r="AH23" s="5">
        <f t="shared" si="15"/>
        <v>61.884133077629585</v>
      </c>
      <c r="AI23" s="5">
        <f t="shared" si="15"/>
        <v>62.04144736341479</v>
      </c>
      <c r="AJ23" s="5">
        <f t="shared" si="15"/>
        <v>61.382067543383009</v>
      </c>
      <c r="AK23" s="5">
        <f t="shared" si="15"/>
        <v>61.936849958725482</v>
      </c>
      <c r="AL23" s="5">
        <f t="shared" si="15"/>
        <v>67.365015159821368</v>
      </c>
      <c r="AM23" s="5">
        <f t="shared" si="15"/>
        <v>73.756309410780275</v>
      </c>
      <c r="AN23" s="5">
        <f t="shared" si="15"/>
        <v>81.391889410780266</v>
      </c>
      <c r="AO23" s="5">
        <f t="shared" si="15"/>
        <v>92.949438009136429</v>
      </c>
      <c r="AP23" s="5">
        <f t="shared" si="15"/>
        <v>88.033379652972059</v>
      </c>
      <c r="AQ23" s="5">
        <f>+AQ21*8%</f>
        <v>84.265292885443429</v>
      </c>
      <c r="AR23" s="5">
        <f>+AR21*8%</f>
        <v>83.265292885443429</v>
      </c>
      <c r="AS23" s="5">
        <f>+AS21*8%</f>
        <v>86.523165233516252</v>
      </c>
      <c r="AT23" s="5">
        <f>+AT21*8%</f>
        <v>87.023165233516252</v>
      </c>
      <c r="AU23" s="5">
        <f>+AU21*8%</f>
        <v>85.948434090370426</v>
      </c>
      <c r="AV23" s="5">
        <v>98.094119576312337</v>
      </c>
      <c r="AW23" s="5">
        <v>99.259167574944655</v>
      </c>
      <c r="AX23" s="5">
        <f>+AX21*8%</f>
        <v>92.063111093401403</v>
      </c>
      <c r="AY23" s="5">
        <v>100.85038543653368</v>
      </c>
      <c r="AZ23" s="5">
        <f t="shared" ref="AZ23:CV23" si="16">+AZ21*8%</f>
        <v>100.48</v>
      </c>
      <c r="BA23" s="5">
        <f t="shared" si="16"/>
        <v>100.56</v>
      </c>
      <c r="BB23" s="336">
        <f t="shared" si="16"/>
        <v>105.36</v>
      </c>
      <c r="BC23" s="336">
        <f t="shared" si="16"/>
        <v>107.64243029510379</v>
      </c>
      <c r="BD23" s="336">
        <f t="shared" si="16"/>
        <v>109.18188871424434</v>
      </c>
      <c r="BE23" s="336">
        <f t="shared" si="16"/>
        <v>100.1503993219531</v>
      </c>
      <c r="BF23" s="336">
        <f t="shared" si="16"/>
        <v>97.78989641260425</v>
      </c>
      <c r="BG23" s="336">
        <f t="shared" si="16"/>
        <v>93.828356747349247</v>
      </c>
      <c r="BH23" s="336">
        <f t="shared" si="16"/>
        <v>87.886457771711818</v>
      </c>
      <c r="BI23" s="336">
        <f t="shared" si="16"/>
        <v>82.865709381191223</v>
      </c>
      <c r="BJ23" s="336">
        <f t="shared" si="16"/>
        <v>82.238276385026865</v>
      </c>
      <c r="BK23" s="336">
        <f t="shared" si="16"/>
        <v>87.025680531598809</v>
      </c>
      <c r="BL23" s="336">
        <f t="shared" si="16"/>
        <v>88.929920409534958</v>
      </c>
      <c r="BM23" s="378">
        <f t="shared" si="16"/>
        <v>90.123319182349405</v>
      </c>
      <c r="BN23" s="336">
        <f t="shared" si="16"/>
        <v>93.458113059447768</v>
      </c>
      <c r="BO23" s="336">
        <f t="shared" si="16"/>
        <v>86.760958478375201</v>
      </c>
      <c r="BP23" s="378">
        <f t="shared" si="16"/>
        <v>82.020478764185015</v>
      </c>
      <c r="BQ23" s="336">
        <f t="shared" si="16"/>
        <v>81.723747491059228</v>
      </c>
      <c r="BR23" s="336">
        <f t="shared" si="16"/>
        <v>82.687783607024357</v>
      </c>
      <c r="BS23" s="336">
        <f t="shared" si="16"/>
        <v>83.486685767801447</v>
      </c>
      <c r="BT23" s="336">
        <f t="shared" si="16"/>
        <v>81.849087942406683</v>
      </c>
      <c r="BU23" s="336">
        <f t="shared" si="16"/>
        <v>79.812815692942166</v>
      </c>
      <c r="BV23" s="336">
        <f t="shared" si="16"/>
        <v>79.703505454473628</v>
      </c>
      <c r="BW23" s="336">
        <f t="shared" si="16"/>
        <v>81.876936424884576</v>
      </c>
      <c r="BX23" s="336">
        <f t="shared" si="16"/>
        <v>83.302692362152627</v>
      </c>
      <c r="BY23" s="336">
        <f t="shared" si="16"/>
        <v>83.302692362152627</v>
      </c>
      <c r="BZ23" s="336">
        <f t="shared" si="16"/>
        <v>83.819310810396118</v>
      </c>
      <c r="CA23" s="336">
        <f t="shared" si="16"/>
        <v>83.133395328887389</v>
      </c>
      <c r="CB23" s="336">
        <f t="shared" si="16"/>
        <v>83.295041335746049</v>
      </c>
      <c r="CC23" s="336">
        <f t="shared" si="16"/>
        <v>83.830402914132705</v>
      </c>
      <c r="CD23" s="336">
        <f t="shared" si="16"/>
        <v>82.043996042072919</v>
      </c>
      <c r="CE23" s="336">
        <f t="shared" si="16"/>
        <v>76.83983115350506</v>
      </c>
      <c r="CF23" s="336">
        <f t="shared" si="16"/>
        <v>79.078822209026853</v>
      </c>
      <c r="CG23" s="336">
        <f t="shared" si="16"/>
        <v>74.825403859298333</v>
      </c>
      <c r="CH23" s="336">
        <f t="shared" si="16"/>
        <v>73.893933443407931</v>
      </c>
      <c r="CI23" s="336">
        <f t="shared" si="16"/>
        <v>74.556412930720498</v>
      </c>
      <c r="CJ23" s="336">
        <f t="shared" si="16"/>
        <v>74.733341951607173</v>
      </c>
      <c r="CK23" s="620">
        <f t="shared" si="16"/>
        <v>73.350886098451497</v>
      </c>
      <c r="CL23" s="620">
        <f t="shared" si="16"/>
        <v>69.927480928065449</v>
      </c>
      <c r="CM23" s="620">
        <f t="shared" si="16"/>
        <v>72.366392800030582</v>
      </c>
      <c r="CN23" s="620">
        <f t="shared" si="16"/>
        <v>74.459120415069194</v>
      </c>
      <c r="CO23" s="620">
        <f t="shared" si="16"/>
        <v>73.247531509455243</v>
      </c>
      <c r="CP23" s="620">
        <f t="shared" si="16"/>
        <v>72.568418587686878</v>
      </c>
      <c r="CQ23" s="620">
        <f t="shared" si="16"/>
        <v>71.778738636543665</v>
      </c>
      <c r="CR23" s="620">
        <f t="shared" si="16"/>
        <v>70.531478927851254</v>
      </c>
      <c r="CS23" s="620">
        <f t="shared" si="16"/>
        <v>70.230980635079149</v>
      </c>
      <c r="CT23" s="620">
        <f t="shared" si="16"/>
        <v>70.781518042023109</v>
      </c>
      <c r="CU23" s="620">
        <f t="shared" si="16"/>
        <v>76.055527126300078</v>
      </c>
      <c r="CV23" s="620">
        <f t="shared" si="16"/>
        <v>106.45736061923786</v>
      </c>
      <c r="CW23" s="782"/>
      <c r="CX23" s="782"/>
      <c r="CY23" s="238"/>
      <c r="CZ23" s="284" t="s">
        <v>112</v>
      </c>
      <c r="DA23" s="370">
        <v>1267.0143376361973</v>
      </c>
      <c r="DB23" s="370">
        <v>1304.1208334640171</v>
      </c>
      <c r="DC23" s="370">
        <v>1298.9692885147945</v>
      </c>
      <c r="DD23" s="370">
        <v>1254.84285256148</v>
      </c>
      <c r="DE23" s="370">
        <v>1215.9045352417124</v>
      </c>
      <c r="DF23" s="370">
        <v>1220.6546814110966</v>
      </c>
      <c r="DG23" s="370">
        <v>1226.1866522264747</v>
      </c>
      <c r="DH23" s="370">
        <f t="shared" ref="DH23:EI23" si="17">+SUMPRODUCT(DH16:DH17,DH21:DH22)/SUM(DH16:DH17)</f>
        <v>1209.0551584269831</v>
      </c>
      <c r="DI23" s="370">
        <f t="shared" si="17"/>
        <v>1194.1871579510787</v>
      </c>
      <c r="DJ23" s="370">
        <f t="shared" si="17"/>
        <v>1203.3753896982651</v>
      </c>
      <c r="DK23" s="370">
        <f t="shared" si="17"/>
        <v>1217.8502659339456</v>
      </c>
      <c r="DL23" s="370">
        <f t="shared" si="17"/>
        <v>1225.5446207874897</v>
      </c>
      <c r="DM23" s="370">
        <f t="shared" si="17"/>
        <v>1246.3188446831111</v>
      </c>
      <c r="DN23" s="370">
        <f t="shared" si="17"/>
        <v>1317.0024167853028</v>
      </c>
      <c r="DO23" s="370">
        <f t="shared" si="17"/>
        <v>1419.7186546650144</v>
      </c>
      <c r="DP23" s="370">
        <f t="shared" si="17"/>
        <v>1509.9821039091421</v>
      </c>
      <c r="DQ23" s="370">
        <f t="shared" si="17"/>
        <v>1468.9302156468921</v>
      </c>
      <c r="DR23" s="370">
        <f t="shared" si="17"/>
        <v>1441.3901886717804</v>
      </c>
      <c r="DS23" s="370">
        <f t="shared" si="17"/>
        <v>1363.6378209264894</v>
      </c>
      <c r="DT23" s="370">
        <f t="shared" si="17"/>
        <v>1331.6466501380658</v>
      </c>
      <c r="DU23" s="370">
        <f t="shared" si="17"/>
        <v>1304.2777885746743</v>
      </c>
      <c r="DV23" s="370">
        <f t="shared" si="17"/>
        <v>1211.7009226258197</v>
      </c>
      <c r="DW23" s="370">
        <f t="shared" si="17"/>
        <v>1201.5962051573781</v>
      </c>
      <c r="DX23" s="370">
        <f t="shared" si="17"/>
        <v>1178.6438201323385</v>
      </c>
      <c r="DY23" s="370">
        <f t="shared" si="17"/>
        <v>1159.5043426924333</v>
      </c>
      <c r="DZ23" s="370">
        <f t="shared" si="17"/>
        <v>1169.9781021941994</v>
      </c>
      <c r="EA23" s="370">
        <f t="shared" si="17"/>
        <v>1188.4624329832022</v>
      </c>
      <c r="EB23" s="710">
        <f t="shared" si="17"/>
        <v>1364.4350559233303</v>
      </c>
      <c r="EC23" s="710">
        <f t="shared" si="17"/>
        <v>1286.7632895323184</v>
      </c>
      <c r="ED23" s="710">
        <f t="shared" si="17"/>
        <v>1249.5027202502913</v>
      </c>
      <c r="EE23" s="710">
        <f t="shared" si="17"/>
        <v>1229.7082723501062</v>
      </c>
      <c r="EF23" s="710">
        <f t="shared" si="17"/>
        <v>1201.4273245732036</v>
      </c>
      <c r="EG23" s="710">
        <f t="shared" si="17"/>
        <v>1170.9491189896671</v>
      </c>
      <c r="EH23" s="710">
        <f t="shared" si="17"/>
        <v>1137.1396232839732</v>
      </c>
      <c r="EI23" s="710">
        <f t="shared" si="17"/>
        <v>1122.3752534824655</v>
      </c>
      <c r="EM23" s="143" t="s">
        <v>732</v>
      </c>
    </row>
    <row r="24" spans="2:146" x14ac:dyDescent="0.35">
      <c r="B24" s="775" t="s">
        <v>526</v>
      </c>
      <c r="C24" s="619" t="s">
        <v>113</v>
      </c>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336"/>
      <c r="BC24" s="336"/>
      <c r="BD24" s="336"/>
      <c r="BE24" s="336"/>
      <c r="BF24" s="336"/>
      <c r="BG24" s="336"/>
      <c r="BH24" s="336"/>
      <c r="BI24" s="336"/>
      <c r="BJ24" s="336"/>
      <c r="BK24" s="336"/>
      <c r="BL24" s="336"/>
      <c r="BM24" s="378"/>
      <c r="BN24" s="336"/>
      <c r="BO24" s="336"/>
      <c r="BP24" s="378"/>
      <c r="BQ24" s="336"/>
      <c r="BR24" s="336"/>
      <c r="BS24" s="336"/>
      <c r="BT24" s="336"/>
      <c r="BU24" s="336"/>
      <c r="BV24" s="336">
        <f>+('Cambio en Condiciones ZF'!$H$23/'PCR Enka'!$CD$22)/22</f>
        <v>18.958371334172792</v>
      </c>
      <c r="BW24" s="336">
        <f>+('Cambio en Condiciones ZF'!$H$23/'PCR Enka'!$CD$22)/22</f>
        <v>18.958371334172792</v>
      </c>
      <c r="BX24" s="336">
        <f>+('Cambio en Condiciones ZF'!$H$23/'PCR Enka'!$CD$22)/22</f>
        <v>18.958371334172792</v>
      </c>
      <c r="BY24" s="336">
        <f>+('Cambio en Condiciones ZF'!$H$23/'PCR Enka'!$CD$22)/22</f>
        <v>18.958371334172792</v>
      </c>
      <c r="BZ24" s="336">
        <f>+('Cambio en Condiciones ZF'!$H$23/'PCR Enka'!$CD$22)/22</f>
        <v>18.958371334172792</v>
      </c>
      <c r="CA24" s="336">
        <f>+('Cambio en Condiciones ZF'!$H$23/'PCR Enka'!$CD$22)/22</f>
        <v>18.958371334172792</v>
      </c>
      <c r="CB24" s="336">
        <f>+('Cambio en Condiciones ZF'!$H$23/'PCR Enka'!$CD$22)/22</f>
        <v>18.958371334172792</v>
      </c>
      <c r="CC24" s="336">
        <f>+('Cambio en Condiciones ZF'!$H$23/'PCR Enka'!$CD$22)/22</f>
        <v>18.958371334172792</v>
      </c>
      <c r="CD24" s="336">
        <f>+('Cambio en Condiciones ZF'!$H$23/'PCR Enka'!$CD$22)/22</f>
        <v>18.958371334172792</v>
      </c>
      <c r="CE24" s="336">
        <f>+('Cambio en Condiciones ZF'!$H$23/'PCR Enka'!$CD$22)/22</f>
        <v>18.958371334172792</v>
      </c>
      <c r="CF24" s="336">
        <f>+('Cambio en Condiciones ZF'!$H$23/'PCR Enka'!$CD$22)/22</f>
        <v>18.958371334172792</v>
      </c>
      <c r="CG24" s="336">
        <f>+('Cambio en Condiciones ZF'!$H$23/'PCR Enka'!$CD$22)/22</f>
        <v>18.958371334172792</v>
      </c>
      <c r="CH24" s="336">
        <f>+('Cambio en Condiciones ZF'!$H$23/'PCR Enka'!$CD$22)/22</f>
        <v>18.958371334172792</v>
      </c>
      <c r="CI24" s="336">
        <f>+('Cambio en Condiciones ZF'!$H$23/'PCR Enka'!$CD$22)/22</f>
        <v>18.958371334172792</v>
      </c>
      <c r="CJ24" s="336">
        <f>+('Cambio en Condiciones ZF'!$H$23/'PCR Enka'!$CD$22)/22</f>
        <v>18.958371334172792</v>
      </c>
      <c r="CK24" s="620">
        <f>+('Cambio en Condiciones ZF'!$H$23/'PCR Enka'!$CD$22)/22</f>
        <v>18.958371334172792</v>
      </c>
      <c r="CL24" s="620">
        <f>+('Cambio en Condiciones ZF'!$H$23/'PCR Enka'!$CD$22)/22</f>
        <v>18.958371334172792</v>
      </c>
      <c r="CM24" s="620">
        <f>+('Cambio en Condiciones ZF'!$H$23/'PCR Enka'!$CD$22)/22</f>
        <v>18.958371334172792</v>
      </c>
      <c r="CN24" s="620">
        <f>+('Cambio en Condiciones ZF'!$H$23/'PCR Enka'!$CD$22)/22</f>
        <v>18.958371334172792</v>
      </c>
      <c r="CO24" s="620">
        <f>+('Cambio en Condiciones ZF'!$H$23/'PCR Enka'!$CD$22)/22</f>
        <v>18.958371334172792</v>
      </c>
      <c r="CP24" s="620">
        <f>+('Cambio en Condiciones ZF'!$H$23/'PCR Enka'!$CD$22)/22</f>
        <v>18.958371334172792</v>
      </c>
      <c r="CQ24" s="620">
        <f>+('Cambio en Condiciones ZF'!$H$23/'PCR Enka'!$CD$22)/22</f>
        <v>18.958371334172792</v>
      </c>
      <c r="CR24" s="620">
        <f>+('Cambio en Condiciones ZF'!$H$23/'PCR Enka'!$CD$22)/22</f>
        <v>18.958371334172792</v>
      </c>
      <c r="CS24" s="620">
        <f>+('Cambio en Condiciones ZF'!$H$23/'PCR Enka'!$CD$22)/22</f>
        <v>18.958371334172792</v>
      </c>
      <c r="CT24" s="620">
        <f>+('Cambio en Condiciones ZF'!$H$23/'PCR Enka'!$CD$22)/22</f>
        <v>18.958371334172792</v>
      </c>
      <c r="CU24" s="620">
        <f>+('Cambio en Condiciones ZF'!$H$23/'PCR Enka'!$CD$22)/22</f>
        <v>18.958371334172792</v>
      </c>
      <c r="CV24" s="620">
        <f>+('Cambio en Condiciones ZF'!$H$23/'PCR Enka'!$CD$22)/22</f>
        <v>18.958371334172792</v>
      </c>
      <c r="CW24" s="782"/>
      <c r="CX24" s="782"/>
      <c r="CY24" s="242"/>
      <c r="CZ24" s="284" t="s">
        <v>114</v>
      </c>
      <c r="DA24" s="371">
        <v>1267.0143376361973</v>
      </c>
      <c r="DB24" s="371">
        <v>1304.1208334640173</v>
      </c>
      <c r="DC24" s="371">
        <v>1298.9692885147945</v>
      </c>
      <c r="DD24" s="371">
        <v>1254.8428525614802</v>
      </c>
      <c r="DE24" s="396">
        <v>1215.9045352417124</v>
      </c>
      <c r="DF24" s="396">
        <v>1220.6546814110968</v>
      </c>
      <c r="DG24" s="396">
        <v>1226.1866522264747</v>
      </c>
      <c r="DH24" s="396">
        <f t="shared" ref="DH24:EI24" si="18">+(SUMPRODUCT(DH16:DH17,DH21:DH22)-(DH18*DH23))/DH19</f>
        <v>1209.0551584269829</v>
      </c>
      <c r="DI24" s="396">
        <f t="shared" si="18"/>
        <v>1194.1871579510785</v>
      </c>
      <c r="DJ24" s="396">
        <f t="shared" si="18"/>
        <v>1203.3753896982651</v>
      </c>
      <c r="DK24" s="396">
        <f t="shared" si="18"/>
        <v>1217.8502659339456</v>
      </c>
      <c r="DL24" s="396">
        <f t="shared" si="18"/>
        <v>1225.54462078749</v>
      </c>
      <c r="DM24" s="396">
        <f t="shared" si="18"/>
        <v>1246.3188446831111</v>
      </c>
      <c r="DN24" s="396">
        <f t="shared" si="18"/>
        <v>1317.0024167853026</v>
      </c>
      <c r="DO24" s="396">
        <f t="shared" si="18"/>
        <v>1419.7186546650141</v>
      </c>
      <c r="DP24" s="396">
        <f t="shared" si="18"/>
        <v>1509.9821039091423</v>
      </c>
      <c r="DQ24" s="545">
        <f t="shared" si="18"/>
        <v>1468.930215646893</v>
      </c>
      <c r="DR24" s="545">
        <f t="shared" si="18"/>
        <v>1441.3901886717804</v>
      </c>
      <c r="DS24" s="545">
        <f t="shared" si="18"/>
        <v>1363.6378209264894</v>
      </c>
      <c r="DT24" s="545">
        <f t="shared" si="18"/>
        <v>1331.6466501380658</v>
      </c>
      <c r="DU24" s="545">
        <f t="shared" si="18"/>
        <v>1304.2777885746743</v>
      </c>
      <c r="DV24" s="545">
        <f t="shared" si="18"/>
        <v>1211.7009226258197</v>
      </c>
      <c r="DW24" s="545">
        <f t="shared" si="18"/>
        <v>1201.5962051573779</v>
      </c>
      <c r="DX24" s="371">
        <f t="shared" si="18"/>
        <v>1178.6438201323385</v>
      </c>
      <c r="DY24" s="371">
        <f t="shared" si="18"/>
        <v>1159.5043426924331</v>
      </c>
      <c r="DZ24" s="371">
        <f t="shared" si="18"/>
        <v>1169.9781021941997</v>
      </c>
      <c r="EA24" s="371">
        <f t="shared" si="18"/>
        <v>1188.462432983202</v>
      </c>
      <c r="EB24" s="711">
        <f t="shared" si="18"/>
        <v>1364.4350559233303</v>
      </c>
      <c r="EC24" s="711">
        <f t="shared" si="18"/>
        <v>1286.7632895323181</v>
      </c>
      <c r="ED24" s="711">
        <f t="shared" si="18"/>
        <v>1249.5027202502913</v>
      </c>
      <c r="EE24" s="711">
        <f t="shared" si="18"/>
        <v>1229.7082723501064</v>
      </c>
      <c r="EF24" s="711">
        <f t="shared" si="18"/>
        <v>1201.4273245732036</v>
      </c>
      <c r="EG24" s="711">
        <f t="shared" si="18"/>
        <v>1170.9491189896669</v>
      </c>
      <c r="EH24" s="711">
        <f t="shared" si="18"/>
        <v>1137.1396232839734</v>
      </c>
      <c r="EI24" s="711">
        <f t="shared" si="18"/>
        <v>1122.3752534824653</v>
      </c>
      <c r="EJ24" s="257"/>
      <c r="EK24" s="257"/>
      <c r="EM24" s="143" t="s">
        <v>733</v>
      </c>
      <c r="EN24" s="497"/>
    </row>
    <row r="25" spans="2:146" x14ac:dyDescent="0.35">
      <c r="B25" s="775" t="s">
        <v>480</v>
      </c>
      <c r="C25" s="619" t="s">
        <v>480</v>
      </c>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336"/>
      <c r="BC25" s="336"/>
      <c r="BD25" s="336"/>
      <c r="BE25" s="336"/>
      <c r="BF25" s="336"/>
      <c r="BG25" s="336"/>
      <c r="BH25" s="336"/>
      <c r="BI25" s="336"/>
      <c r="BJ25" s="336"/>
      <c r="BK25" s="336"/>
      <c r="BL25" s="336"/>
      <c r="BM25" s="378"/>
      <c r="BN25" s="336"/>
      <c r="BO25" s="336"/>
      <c r="BP25" s="378"/>
      <c r="BQ25" s="336"/>
      <c r="BR25" s="336"/>
      <c r="BS25" s="336"/>
      <c r="BT25" s="336"/>
      <c r="BU25" s="336"/>
      <c r="BV25" s="336"/>
      <c r="BW25" s="336"/>
      <c r="BX25" s="336"/>
      <c r="BY25" s="336"/>
      <c r="BZ25" s="336"/>
      <c r="CA25" s="336"/>
      <c r="CB25" s="336"/>
      <c r="CC25" s="336"/>
      <c r="CD25" s="336"/>
      <c r="CE25" s="336"/>
      <c r="CF25" s="336"/>
      <c r="CG25" s="336"/>
      <c r="CH25" s="336"/>
      <c r="CI25" s="336"/>
      <c r="CJ25" s="336"/>
      <c r="CK25" s="620"/>
      <c r="CL25" s="620">
        <v>135</v>
      </c>
      <c r="CM25" s="620">
        <v>135</v>
      </c>
      <c r="CN25" s="620">
        <v>135</v>
      </c>
      <c r="CO25" s="695">
        <v>0</v>
      </c>
      <c r="CP25" s="695">
        <v>0</v>
      </c>
      <c r="CQ25" s="695">
        <v>0</v>
      </c>
      <c r="CR25" s="695">
        <v>0</v>
      </c>
      <c r="CS25" s="695">
        <v>0</v>
      </c>
      <c r="CT25" s="695">
        <v>0</v>
      </c>
      <c r="CU25" s="695">
        <v>0</v>
      </c>
      <c r="CV25" s="783">
        <v>0</v>
      </c>
      <c r="CW25" s="783"/>
      <c r="CX25" s="783"/>
      <c r="CY25" s="242"/>
      <c r="CZ25" s="33"/>
      <c r="DA25" s="686"/>
      <c r="DB25" s="686"/>
      <c r="DC25" s="686"/>
      <c r="DD25" s="686"/>
      <c r="DE25" s="687"/>
      <c r="DF25" s="687"/>
      <c r="DG25" s="687"/>
      <c r="DH25" s="687"/>
      <c r="DI25" s="687"/>
      <c r="DJ25" s="687"/>
      <c r="DK25" s="687"/>
      <c r="DL25" s="687"/>
      <c r="DM25" s="687"/>
      <c r="DN25" s="687"/>
      <c r="DO25" s="687"/>
      <c r="DP25" s="687"/>
      <c r="DQ25" s="688"/>
      <c r="DR25" s="688"/>
      <c r="DS25" s="688"/>
      <c r="DT25" s="688"/>
      <c r="DU25" s="688"/>
      <c r="DV25" s="688"/>
      <c r="DW25" s="688"/>
      <c r="DX25" s="686"/>
      <c r="DY25" s="686"/>
      <c r="DZ25" s="686"/>
      <c r="EA25" s="686"/>
      <c r="EB25" s="705"/>
      <c r="EC25" s="705"/>
      <c r="ED25" s="705"/>
      <c r="EE25" s="705"/>
      <c r="EF25" s="705"/>
      <c r="EG25" s="705"/>
      <c r="EH25" s="705"/>
      <c r="EI25" s="705"/>
      <c r="EJ25" s="257"/>
      <c r="EK25" s="497"/>
    </row>
    <row r="26" spans="2:146" x14ac:dyDescent="0.35">
      <c r="B26" s="775" t="s">
        <v>527</v>
      </c>
      <c r="C26" s="621" t="s">
        <v>115</v>
      </c>
      <c r="D26" s="18">
        <f t="shared" ref="D26:AU26" si="19">+D20+D22+D23</f>
        <v>1716.2324109589042</v>
      </c>
      <c r="E26" s="18">
        <f t="shared" si="19"/>
        <v>1655.7048767123288</v>
      </c>
      <c r="F26" s="18">
        <f t="shared" si="19"/>
        <v>1654.9543413404247</v>
      </c>
      <c r="G26" s="18">
        <f t="shared" si="19"/>
        <v>1650.257398630137</v>
      </c>
      <c r="H26" s="18">
        <f t="shared" si="19"/>
        <v>1716.2324109589042</v>
      </c>
      <c r="I26" s="18">
        <f t="shared" si="19"/>
        <v>1639.0598047945205</v>
      </c>
      <c r="J26" s="18">
        <f t="shared" si="19"/>
        <v>1468.0695205479451</v>
      </c>
      <c r="K26" s="18">
        <f t="shared" si="19"/>
        <v>1398.5420663604248</v>
      </c>
      <c r="L26" s="18">
        <f t="shared" si="19"/>
        <v>1370.2923443835616</v>
      </c>
      <c r="M26" s="18">
        <f t="shared" si="19"/>
        <v>1422.1995179452053</v>
      </c>
      <c r="N26" s="18">
        <f t="shared" si="19"/>
        <v>1445.0997415753425</v>
      </c>
      <c r="O26" s="18">
        <f t="shared" si="19"/>
        <v>1451.2064678767124</v>
      </c>
      <c r="P26" s="18">
        <f t="shared" si="19"/>
        <v>1333.0413139452055</v>
      </c>
      <c r="Q26" s="18">
        <f t="shared" si="19"/>
        <v>1237.4710473287671</v>
      </c>
      <c r="R26" s="18">
        <f t="shared" si="19"/>
        <v>1287.0943113604251</v>
      </c>
      <c r="S26" s="18">
        <f t="shared" si="19"/>
        <v>1191.9759363835617</v>
      </c>
      <c r="T26" s="18">
        <f t="shared" si="19"/>
        <v>1167.2436948630136</v>
      </c>
      <c r="U26" s="18">
        <f t="shared" si="19"/>
        <v>1133.3100186301369</v>
      </c>
      <c r="V26" s="18">
        <f t="shared" si="19"/>
        <v>1119.9578539041097</v>
      </c>
      <c r="W26" s="18">
        <f t="shared" si="19"/>
        <v>1128.9856404432769</v>
      </c>
      <c r="X26" s="18">
        <f t="shared" si="19"/>
        <v>1150.3830172785981</v>
      </c>
      <c r="Y26" s="18">
        <f t="shared" si="19"/>
        <v>1150.3830172785981</v>
      </c>
      <c r="Z26" s="18">
        <f t="shared" si="19"/>
        <v>1023.1077369665325</v>
      </c>
      <c r="AA26" s="18">
        <f t="shared" si="19"/>
        <v>922.04779618270766</v>
      </c>
      <c r="AB26" s="18">
        <f t="shared" si="19"/>
        <v>986.45</v>
      </c>
      <c r="AC26" s="18">
        <f t="shared" si="19"/>
        <v>939.79623737749137</v>
      </c>
      <c r="AD26" s="18">
        <f t="shared" si="19"/>
        <v>962.07999999999981</v>
      </c>
      <c r="AE26" s="18">
        <f t="shared" si="19"/>
        <v>950.59587621310789</v>
      </c>
      <c r="AF26" s="120">
        <f t="shared" si="19"/>
        <v>956.03999999999985</v>
      </c>
      <c r="AG26" s="120">
        <f t="shared" si="19"/>
        <v>926.98477393613234</v>
      </c>
      <c r="AH26" s="120">
        <f t="shared" si="19"/>
        <v>912.79096289503639</v>
      </c>
      <c r="AI26" s="120">
        <f t="shared" si="19"/>
        <v>915.11134861036817</v>
      </c>
      <c r="AJ26" s="120">
        <f t="shared" si="19"/>
        <v>905.3854962648993</v>
      </c>
      <c r="AK26" s="120">
        <f t="shared" si="19"/>
        <v>913.56853689120078</v>
      </c>
      <c r="AL26" s="120">
        <f t="shared" si="19"/>
        <v>993.63397360736519</v>
      </c>
      <c r="AM26" s="120">
        <f t="shared" si="19"/>
        <v>1087.905563809009</v>
      </c>
      <c r="AN26" s="120">
        <f t="shared" si="19"/>
        <v>1200.5303688090091</v>
      </c>
      <c r="AO26" s="120">
        <f t="shared" si="19"/>
        <v>1371.0042106347623</v>
      </c>
      <c r="AP26" s="120">
        <f t="shared" si="19"/>
        <v>1298.4923498813378</v>
      </c>
      <c r="AQ26" s="120">
        <f t="shared" si="19"/>
        <v>1521.9982751743905</v>
      </c>
      <c r="AR26" s="120">
        <f t="shared" si="19"/>
        <v>1547.2482751743905</v>
      </c>
      <c r="AS26" s="120">
        <f t="shared" si="19"/>
        <v>1714.8018923084646</v>
      </c>
      <c r="AT26" s="120">
        <f t="shared" si="19"/>
        <v>1693.669904714149</v>
      </c>
      <c r="AU26" s="120">
        <f t="shared" si="19"/>
        <v>1719.057509135396</v>
      </c>
      <c r="AV26" s="120">
        <v>1890.6153166243253</v>
      </c>
      <c r="AW26" s="120">
        <v>1907.0716196050071</v>
      </c>
      <c r="AX26" s="120">
        <f>+AX20+AX22+AX23</f>
        <v>1804.3773218032084</v>
      </c>
      <c r="AY26" s="120">
        <v>1928.5452991726795</v>
      </c>
      <c r="AZ26" s="120">
        <f t="shared" ref="AZ26:BU26" si="20">+AZ20+AZ22+AZ23</f>
        <v>1923.28</v>
      </c>
      <c r="BA26" s="120">
        <f t="shared" si="20"/>
        <v>1895.01</v>
      </c>
      <c r="BB26" s="337">
        <f t="shared" si="20"/>
        <v>1891.4099999999999</v>
      </c>
      <c r="BC26" s="337">
        <f t="shared" si="20"/>
        <v>1923.2533873454365</v>
      </c>
      <c r="BD26" s="337">
        <f t="shared" si="20"/>
        <v>1961.2255102430695</v>
      </c>
      <c r="BE26" s="337">
        <f t="shared" si="20"/>
        <v>1833.6557225769557</v>
      </c>
      <c r="BF26" s="337">
        <f t="shared" si="20"/>
        <v>1786.9499826187669</v>
      </c>
      <c r="BG26" s="337">
        <f t="shared" si="20"/>
        <v>1650.334143937949</v>
      </c>
      <c r="BH26" s="337">
        <f t="shared" si="20"/>
        <v>1428.9502754525249</v>
      </c>
      <c r="BI26" s="337">
        <f t="shared" si="20"/>
        <v>1299.8049317091488</v>
      </c>
      <c r="BJ26" s="337">
        <f t="shared" si="20"/>
        <v>1290.9424406383271</v>
      </c>
      <c r="BK26" s="337">
        <f t="shared" si="20"/>
        <v>1255.4736151177467</v>
      </c>
      <c r="BL26" s="337">
        <f t="shared" si="20"/>
        <v>1273.7800943026857</v>
      </c>
      <c r="BM26" s="379">
        <f t="shared" si="20"/>
        <v>1272.9918834506852</v>
      </c>
      <c r="BN26" s="337">
        <f t="shared" si="20"/>
        <v>1346.8089973008859</v>
      </c>
      <c r="BO26" s="337">
        <f t="shared" si="20"/>
        <v>1273.8321433886906</v>
      </c>
      <c r="BP26" s="379">
        <f t="shared" si="20"/>
        <v>1193.5092310621178</v>
      </c>
      <c r="BQ26" s="337">
        <f t="shared" si="20"/>
        <v>1182.1110836473979</v>
      </c>
      <c r="BR26" s="337">
        <f t="shared" si="20"/>
        <v>1226.6076392399507</v>
      </c>
      <c r="BS26" s="337">
        <f t="shared" si="20"/>
        <v>1233.1194049881999</v>
      </c>
      <c r="BT26" s="337">
        <f t="shared" si="20"/>
        <v>1189.8951538863171</v>
      </c>
      <c r="BU26" s="337">
        <f t="shared" si="20"/>
        <v>1179.1737174535399</v>
      </c>
      <c r="BV26" s="337">
        <f t="shared" ref="BV26:CK26" si="21">+BV20+BV22+BV23+BV24</f>
        <v>1213.6744453057081</v>
      </c>
      <c r="BW26" s="337">
        <f t="shared" si="21"/>
        <v>1244.3741577627632</v>
      </c>
      <c r="BX26" s="337">
        <f t="shared" si="21"/>
        <v>1267.6152331039468</v>
      </c>
      <c r="BY26" s="337">
        <f t="shared" si="21"/>
        <v>1267.6152331039468</v>
      </c>
      <c r="BZ26" s="337">
        <f t="shared" si="21"/>
        <v>1389.4579232308406</v>
      </c>
      <c r="CA26" s="337">
        <f t="shared" si="21"/>
        <v>1500.8057306908936</v>
      </c>
      <c r="CB26" s="337">
        <f t="shared" si="21"/>
        <v>1535.1617078104994</v>
      </c>
      <c r="CC26" s="337">
        <f t="shared" si="21"/>
        <v>1439.1077810143017</v>
      </c>
      <c r="CD26" s="337">
        <f t="shared" si="21"/>
        <v>1435.35205667373</v>
      </c>
      <c r="CE26" s="337">
        <f t="shared" si="21"/>
        <v>1281.3273185317998</v>
      </c>
      <c r="CF26" s="337">
        <f t="shared" si="21"/>
        <v>1307.846249009227</v>
      </c>
      <c r="CG26" s="337">
        <f t="shared" si="21"/>
        <v>1198.0348966374936</v>
      </c>
      <c r="CH26" s="337">
        <f t="shared" si="21"/>
        <v>1184.8778770130416</v>
      </c>
      <c r="CI26" s="337">
        <f t="shared" si="21"/>
        <v>1186.5035815895135</v>
      </c>
      <c r="CJ26" s="337">
        <f t="shared" si="21"/>
        <v>1142.7549767368105</v>
      </c>
      <c r="CK26" s="622">
        <f t="shared" si="21"/>
        <v>1128.7641514473505</v>
      </c>
      <c r="CL26" s="622">
        <f t="shared" ref="CL26:CV26" si="22">+CL20+CL22+CL23+CL24+CL25</f>
        <v>1192.9767352338292</v>
      </c>
      <c r="CM26" s="622">
        <f t="shared" si="22"/>
        <v>1229.9559108798821</v>
      </c>
      <c r="CN26" s="622">
        <f t="shared" si="22"/>
        <v>1481.7338702604845</v>
      </c>
      <c r="CO26" s="622">
        <f t="shared" si="22"/>
        <v>1224.4769951505054</v>
      </c>
      <c r="CP26" s="622">
        <f t="shared" si="22"/>
        <v>1204.7186160396182</v>
      </c>
      <c r="CQ26" s="622">
        <f t="shared" si="22"/>
        <v>1176.8598412751749</v>
      </c>
      <c r="CR26" s="622">
        <f t="shared" si="22"/>
        <v>1095.0968433444402</v>
      </c>
      <c r="CS26" s="622">
        <f t="shared" si="22"/>
        <v>1079.0636685953975</v>
      </c>
      <c r="CT26" s="622">
        <f t="shared" si="22"/>
        <v>1060.399100377572</v>
      </c>
      <c r="CU26" s="622">
        <f t="shared" si="22"/>
        <v>1099.862660511166</v>
      </c>
      <c r="CV26" s="622">
        <f t="shared" si="22"/>
        <v>1561.7572264445439</v>
      </c>
      <c r="CW26" s="338"/>
      <c r="CX26" s="338"/>
      <c r="CY26" s="242"/>
      <c r="DA26" s="22"/>
      <c r="DV26" s="21"/>
      <c r="DW26" s="21"/>
      <c r="DX26" s="21"/>
      <c r="DY26" s="21"/>
      <c r="DZ26" s="21"/>
      <c r="EA26" s="21"/>
      <c r="EB26" s="706"/>
      <c r="EC26" s="706"/>
      <c r="ED26" s="706"/>
      <c r="EE26" s="706"/>
      <c r="EF26" s="706"/>
      <c r="EG26" s="706"/>
      <c r="EH26" s="706"/>
      <c r="EI26" s="706"/>
      <c r="EJ26" s="257"/>
      <c r="EM26" s="769" t="s">
        <v>730</v>
      </c>
    </row>
    <row r="27" spans="2:146" x14ac:dyDescent="0.35">
      <c r="B27" s="775" t="s">
        <v>528</v>
      </c>
      <c r="C27" s="621" t="s">
        <v>116</v>
      </c>
      <c r="D27" s="197"/>
      <c r="E27" s="197"/>
      <c r="F27" s="197"/>
      <c r="G27" s="197"/>
      <c r="H27" s="197"/>
      <c r="I27" s="197"/>
      <c r="J27" s="197"/>
      <c r="K27" s="197"/>
      <c r="L27" s="197"/>
      <c r="M27" s="197"/>
      <c r="N27" s="197"/>
      <c r="O27" s="197"/>
      <c r="P27" s="197"/>
      <c r="Q27" s="197"/>
      <c r="R27" s="197"/>
      <c r="S27" s="197"/>
      <c r="T27" s="197"/>
      <c r="U27" s="197"/>
      <c r="V27" s="197"/>
      <c r="W27" s="197"/>
      <c r="X27" s="197"/>
      <c r="Y27" s="197"/>
      <c r="Z27" s="197"/>
      <c r="AA27" s="197"/>
      <c r="AB27" s="197"/>
      <c r="AC27" s="197"/>
      <c r="AD27" s="197"/>
      <c r="AE27" s="197"/>
      <c r="AF27" s="198"/>
      <c r="AG27" s="198"/>
      <c r="AH27" s="198"/>
      <c r="AI27" s="198"/>
      <c r="AJ27" s="198"/>
      <c r="AK27" s="120" t="e">
        <f>+AK26+#REF!</f>
        <v>#REF!</v>
      </c>
      <c r="AL27" s="120" t="e">
        <f>+AL26+#REF!</f>
        <v>#REF!</v>
      </c>
      <c r="AM27" s="120" t="e">
        <f>+AM26+#REF!</f>
        <v>#REF!</v>
      </c>
      <c r="AN27" s="120" t="e">
        <f>+AN26+#REF!</f>
        <v>#REF!</v>
      </c>
      <c r="AO27" s="120" t="e">
        <f>+AO26+#REF!</f>
        <v>#REF!</v>
      </c>
      <c r="AP27" s="120" t="e">
        <f>+AP26+#REF!</f>
        <v>#REF!</v>
      </c>
      <c r="AQ27" s="120" t="e">
        <f>+AQ26+#REF!</f>
        <v>#REF!</v>
      </c>
      <c r="AR27" s="120" t="e">
        <f>+AR26+#REF!</f>
        <v>#REF!</v>
      </c>
      <c r="AS27" s="120" t="e">
        <f>+AS26+#REF!</f>
        <v>#REF!</v>
      </c>
      <c r="AT27" s="120">
        <f>+AT26</f>
        <v>1693.669904714149</v>
      </c>
      <c r="AU27" s="120">
        <f>+AU26</f>
        <v>1719.057509135396</v>
      </c>
      <c r="AV27" s="120">
        <v>1890.6153166243253</v>
      </c>
      <c r="AW27" s="120">
        <v>1907.0716196050071</v>
      </c>
      <c r="AX27" s="120">
        <f>+AX26</f>
        <v>1804.3773218032084</v>
      </c>
      <c r="AY27" s="120">
        <v>1928.5452991726795</v>
      </c>
      <c r="AZ27" s="120">
        <f t="shared" ref="AZ27:CV27" si="23">+AZ26</f>
        <v>1923.28</v>
      </c>
      <c r="BA27" s="120">
        <f t="shared" si="23"/>
        <v>1895.01</v>
      </c>
      <c r="BB27" s="337">
        <f t="shared" si="23"/>
        <v>1891.4099999999999</v>
      </c>
      <c r="BC27" s="337">
        <f t="shared" si="23"/>
        <v>1923.2533873454365</v>
      </c>
      <c r="BD27" s="337">
        <f t="shared" si="23"/>
        <v>1961.2255102430695</v>
      </c>
      <c r="BE27" s="337">
        <f t="shared" si="23"/>
        <v>1833.6557225769557</v>
      </c>
      <c r="BF27" s="337">
        <f t="shared" si="23"/>
        <v>1786.9499826187669</v>
      </c>
      <c r="BG27" s="337">
        <f t="shared" si="23"/>
        <v>1650.334143937949</v>
      </c>
      <c r="BH27" s="337">
        <f t="shared" si="23"/>
        <v>1428.9502754525249</v>
      </c>
      <c r="BI27" s="337">
        <f t="shared" si="23"/>
        <v>1299.8049317091488</v>
      </c>
      <c r="BJ27" s="337">
        <f t="shared" si="23"/>
        <v>1290.9424406383271</v>
      </c>
      <c r="BK27" s="337">
        <f t="shared" si="23"/>
        <v>1255.4736151177467</v>
      </c>
      <c r="BL27" s="337">
        <f t="shared" si="23"/>
        <v>1273.7800943026857</v>
      </c>
      <c r="BM27" s="379">
        <f t="shared" si="23"/>
        <v>1272.9918834506852</v>
      </c>
      <c r="BN27" s="337">
        <f t="shared" si="23"/>
        <v>1346.8089973008859</v>
      </c>
      <c r="BO27" s="337">
        <f t="shared" si="23"/>
        <v>1273.8321433886906</v>
      </c>
      <c r="BP27" s="379">
        <f t="shared" si="23"/>
        <v>1193.5092310621178</v>
      </c>
      <c r="BQ27" s="337">
        <f t="shared" si="23"/>
        <v>1182.1110836473979</v>
      </c>
      <c r="BR27" s="337">
        <f t="shared" si="23"/>
        <v>1226.6076392399507</v>
      </c>
      <c r="BS27" s="337">
        <f t="shared" si="23"/>
        <v>1233.1194049881999</v>
      </c>
      <c r="BT27" s="337">
        <f t="shared" si="23"/>
        <v>1189.8951538863171</v>
      </c>
      <c r="BU27" s="337">
        <f t="shared" si="23"/>
        <v>1179.1737174535399</v>
      </c>
      <c r="BV27" s="337">
        <f t="shared" si="23"/>
        <v>1213.6744453057081</v>
      </c>
      <c r="BW27" s="337">
        <f t="shared" si="23"/>
        <v>1244.3741577627632</v>
      </c>
      <c r="BX27" s="337">
        <f t="shared" si="23"/>
        <v>1267.6152331039468</v>
      </c>
      <c r="BY27" s="337">
        <f t="shared" si="23"/>
        <v>1267.6152331039468</v>
      </c>
      <c r="BZ27" s="337">
        <f t="shared" si="23"/>
        <v>1389.4579232308406</v>
      </c>
      <c r="CA27" s="337">
        <f t="shared" si="23"/>
        <v>1500.8057306908936</v>
      </c>
      <c r="CB27" s="337">
        <f t="shared" si="23"/>
        <v>1535.1617078104994</v>
      </c>
      <c r="CC27" s="337">
        <f t="shared" si="23"/>
        <v>1439.1077810143017</v>
      </c>
      <c r="CD27" s="337">
        <f t="shared" si="23"/>
        <v>1435.35205667373</v>
      </c>
      <c r="CE27" s="337">
        <f t="shared" si="23"/>
        <v>1281.3273185317998</v>
      </c>
      <c r="CF27" s="337">
        <f t="shared" si="23"/>
        <v>1307.846249009227</v>
      </c>
      <c r="CG27" s="337">
        <f t="shared" si="23"/>
        <v>1198.0348966374936</v>
      </c>
      <c r="CH27" s="337">
        <f t="shared" si="23"/>
        <v>1184.8778770130416</v>
      </c>
      <c r="CI27" s="337">
        <f t="shared" si="23"/>
        <v>1186.5035815895135</v>
      </c>
      <c r="CJ27" s="337">
        <f t="shared" si="23"/>
        <v>1142.7549767368105</v>
      </c>
      <c r="CK27" s="622">
        <f t="shared" si="23"/>
        <v>1128.7641514473505</v>
      </c>
      <c r="CL27" s="622">
        <f t="shared" si="23"/>
        <v>1192.9767352338292</v>
      </c>
      <c r="CM27" s="622">
        <f t="shared" si="23"/>
        <v>1229.9559108798821</v>
      </c>
      <c r="CN27" s="622">
        <f t="shared" si="23"/>
        <v>1481.7338702604845</v>
      </c>
      <c r="CO27" s="622">
        <f t="shared" si="23"/>
        <v>1224.4769951505054</v>
      </c>
      <c r="CP27" s="622">
        <f t="shared" si="23"/>
        <v>1204.7186160396182</v>
      </c>
      <c r="CQ27" s="622">
        <f t="shared" si="23"/>
        <v>1176.8598412751749</v>
      </c>
      <c r="CR27" s="622">
        <f t="shared" si="23"/>
        <v>1095.0968433444402</v>
      </c>
      <c r="CS27" s="622">
        <f t="shared" si="23"/>
        <v>1079.0636685953975</v>
      </c>
      <c r="CT27" s="622">
        <f t="shared" si="23"/>
        <v>1060.399100377572</v>
      </c>
      <c r="CU27" s="622">
        <f t="shared" si="23"/>
        <v>1099.862660511166</v>
      </c>
      <c r="CV27" s="622">
        <f t="shared" si="23"/>
        <v>1561.7572264445439</v>
      </c>
      <c r="CW27" s="338"/>
      <c r="CX27" s="338"/>
      <c r="CY27" s="699"/>
      <c r="CZ27" s="756" t="s">
        <v>600</v>
      </c>
      <c r="DS27" s="330"/>
      <c r="DT27" s="330"/>
      <c r="DU27" s="22"/>
      <c r="DV27" s="22"/>
      <c r="DW27" s="22"/>
      <c r="DX27" s="22"/>
      <c r="DY27" s="22"/>
      <c r="DZ27" s="22"/>
      <c r="EA27" s="22"/>
      <c r="EB27" s="491"/>
      <c r="EC27" s="491"/>
      <c r="ED27" s="491"/>
      <c r="EE27" s="491"/>
      <c r="EF27" s="491"/>
      <c r="EG27" s="491"/>
      <c r="EH27" s="491"/>
      <c r="EI27" s="491"/>
      <c r="EM27" s="769" t="s">
        <v>730</v>
      </c>
    </row>
    <row r="28" spans="2:146" x14ac:dyDescent="0.35">
      <c r="B28" s="775" t="s">
        <v>529</v>
      </c>
      <c r="C28" s="623" t="s">
        <v>117</v>
      </c>
      <c r="D28" s="197"/>
      <c r="E28" s="197"/>
      <c r="F28" s="197"/>
      <c r="G28" s="197"/>
      <c r="H28" s="197"/>
      <c r="I28" s="197"/>
      <c r="J28" s="197"/>
      <c r="K28" s="197"/>
      <c r="L28" s="197"/>
      <c r="M28" s="197"/>
      <c r="N28" s="197"/>
      <c r="O28" s="197"/>
      <c r="P28" s="197"/>
      <c r="Q28" s="197"/>
      <c r="R28" s="197"/>
      <c r="S28" s="197"/>
      <c r="T28" s="197"/>
      <c r="U28" s="197"/>
      <c r="V28" s="197"/>
      <c r="W28" s="197"/>
      <c r="X28" s="197"/>
      <c r="Y28" s="197"/>
      <c r="Z28" s="197"/>
      <c r="AA28" s="197"/>
      <c r="AB28" s="197"/>
      <c r="AC28" s="197"/>
      <c r="AD28" s="197"/>
      <c r="AE28" s="197"/>
      <c r="AF28" s="198"/>
      <c r="AG28" s="198"/>
      <c r="AH28" s="198"/>
      <c r="AI28" s="198"/>
      <c r="AJ28" s="198"/>
      <c r="AK28" s="120" t="e">
        <f>+#REF!</f>
        <v>#REF!</v>
      </c>
      <c r="AL28" s="120" t="e">
        <f>+#REF!</f>
        <v>#REF!</v>
      </c>
      <c r="AM28" s="120" t="e">
        <f>+#REF!</f>
        <v>#REF!</v>
      </c>
      <c r="AN28" s="120" t="e">
        <f>+#REF!</f>
        <v>#REF!</v>
      </c>
      <c r="AO28" s="120" t="e">
        <f>+#REF!</f>
        <v>#REF!</v>
      </c>
      <c r="AP28" s="120" t="e">
        <f>+#REF!</f>
        <v>#REF!</v>
      </c>
      <c r="AQ28" s="120" t="e">
        <f>+#REF!</f>
        <v>#REF!</v>
      </c>
      <c r="AR28" s="120" t="e">
        <f>+#REF!</f>
        <v>#REF!</v>
      </c>
      <c r="AS28" s="120" t="e">
        <f>+#REF!</f>
        <v>#REF!</v>
      </c>
      <c r="AT28" s="120" t="e">
        <f>+#REF!</f>
        <v>#REF!</v>
      </c>
      <c r="AU28" s="120" t="e">
        <f>+#REF!</f>
        <v>#REF!</v>
      </c>
      <c r="AV28" s="120">
        <v>1780.8031667269806</v>
      </c>
      <c r="AW28" s="120">
        <v>1844.8576379989688</v>
      </c>
      <c r="AX28" s="120" t="e">
        <f>+#REF!</f>
        <v>#REF!</v>
      </c>
      <c r="AY28" s="120">
        <v>1880.1281815309007</v>
      </c>
      <c r="AZ28" s="120" t="e">
        <f>+#REF!</f>
        <v>#REF!</v>
      </c>
      <c r="BA28" s="327" t="e">
        <f>+#REF!</f>
        <v>#REF!</v>
      </c>
      <c r="BB28" s="337" t="e">
        <f>+#REF!</f>
        <v>#REF!</v>
      </c>
      <c r="BC28" s="337" t="e">
        <f>+#REF!</f>
        <v>#REF!</v>
      </c>
      <c r="BD28" s="337" t="e">
        <f>+#REF!</f>
        <v>#REF!</v>
      </c>
      <c r="BE28" s="337" t="e">
        <f>+#REF!</f>
        <v>#REF!</v>
      </c>
      <c r="BF28" s="337" t="e">
        <f>+#REF!</f>
        <v>#REF!</v>
      </c>
      <c r="BG28" s="337" t="e">
        <f>+#REF!</f>
        <v>#REF!</v>
      </c>
      <c r="BH28" s="337" t="e">
        <f>+#REF!</f>
        <v>#REF!</v>
      </c>
      <c r="BI28" s="337" t="e">
        <f>+#REF!</f>
        <v>#REF!</v>
      </c>
      <c r="BJ28" s="337" t="e">
        <f>+#REF!</f>
        <v>#REF!</v>
      </c>
      <c r="BK28" s="337" t="e">
        <f>+#REF!</f>
        <v>#REF!</v>
      </c>
      <c r="BL28" s="337" t="e">
        <f>+#REF!</f>
        <v>#REF!</v>
      </c>
      <c r="BM28" s="379">
        <f t="shared" ref="BM28:BR28" si="24">+DA24</f>
        <v>1267.0143376361973</v>
      </c>
      <c r="BN28" s="337">
        <f t="shared" si="24"/>
        <v>1304.1208334640173</v>
      </c>
      <c r="BO28" s="337">
        <f t="shared" si="24"/>
        <v>1298.9692885147945</v>
      </c>
      <c r="BP28" s="379">
        <f t="shared" si="24"/>
        <v>1254.8428525614802</v>
      </c>
      <c r="BQ28" s="337">
        <f t="shared" si="24"/>
        <v>1215.9045352417124</v>
      </c>
      <c r="BR28" s="337">
        <f t="shared" si="24"/>
        <v>1220.6546814110968</v>
      </c>
      <c r="BS28" s="337">
        <f>+DG24</f>
        <v>1226.1866522264747</v>
      </c>
      <c r="BT28" s="337">
        <f>+DH24</f>
        <v>1209.0551584269829</v>
      </c>
      <c r="BU28" s="337">
        <f>+DI24</f>
        <v>1194.1871579510785</v>
      </c>
      <c r="BV28" s="337">
        <f>+DJ24</f>
        <v>1203.3753896982651</v>
      </c>
      <c r="BW28" s="337">
        <f>+DJ24</f>
        <v>1203.3753896982651</v>
      </c>
      <c r="BX28" s="337">
        <f>+DL24</f>
        <v>1225.54462078749</v>
      </c>
      <c r="BY28" s="337">
        <f>+DL24</f>
        <v>1225.54462078749</v>
      </c>
      <c r="BZ28" s="337">
        <f t="shared" ref="BZ28:CR28" si="25">+DN24</f>
        <v>1317.0024167853026</v>
      </c>
      <c r="CA28" s="337">
        <f t="shared" si="25"/>
        <v>1419.7186546650141</v>
      </c>
      <c r="CB28" s="337">
        <f t="shared" si="25"/>
        <v>1509.9821039091423</v>
      </c>
      <c r="CC28" s="337">
        <f t="shared" si="25"/>
        <v>1468.930215646893</v>
      </c>
      <c r="CD28" s="337">
        <f t="shared" si="25"/>
        <v>1441.3901886717804</v>
      </c>
      <c r="CE28" s="337">
        <f t="shared" si="25"/>
        <v>1363.6378209264894</v>
      </c>
      <c r="CF28" s="337">
        <f t="shared" si="25"/>
        <v>1331.6466501380658</v>
      </c>
      <c r="CG28" s="337">
        <f t="shared" si="25"/>
        <v>1304.2777885746743</v>
      </c>
      <c r="CH28" s="337">
        <f t="shared" si="25"/>
        <v>1211.7009226258197</v>
      </c>
      <c r="CI28" s="337">
        <f t="shared" si="25"/>
        <v>1201.5962051573779</v>
      </c>
      <c r="CJ28" s="337">
        <f t="shared" si="25"/>
        <v>1178.6438201323385</v>
      </c>
      <c r="CK28" s="622">
        <f t="shared" si="25"/>
        <v>1159.5043426924331</v>
      </c>
      <c r="CL28" s="622">
        <f t="shared" si="25"/>
        <v>1169.9781021941997</v>
      </c>
      <c r="CM28" s="622">
        <f t="shared" si="25"/>
        <v>1188.462432983202</v>
      </c>
      <c r="CN28" s="622">
        <f t="shared" si="25"/>
        <v>1364.4350559233303</v>
      </c>
      <c r="CO28" s="622">
        <f t="shared" si="25"/>
        <v>1286.7632895323181</v>
      </c>
      <c r="CP28" s="622">
        <f t="shared" si="25"/>
        <v>1249.5027202502913</v>
      </c>
      <c r="CQ28" s="622">
        <f t="shared" si="25"/>
        <v>1229.7082723501064</v>
      </c>
      <c r="CR28" s="622">
        <f t="shared" si="25"/>
        <v>1201.4273245732036</v>
      </c>
      <c r="CS28" s="622">
        <f>+EG24</f>
        <v>1170.9491189896669</v>
      </c>
      <c r="CT28" s="622">
        <f>+EH24</f>
        <v>1137.1396232839734</v>
      </c>
      <c r="CU28" s="622">
        <f>+EI24</f>
        <v>1122.3752534824653</v>
      </c>
      <c r="CV28" s="338"/>
      <c r="CW28" s="338"/>
      <c r="CX28" s="338"/>
      <c r="CY28" s="699"/>
      <c r="CZ28" s="756" t="s">
        <v>596</v>
      </c>
      <c r="DA28" s="497"/>
      <c r="DB28" s="497"/>
      <c r="DC28" s="497"/>
      <c r="DD28" s="497"/>
      <c r="DE28" s="497"/>
      <c r="DF28" s="497"/>
      <c r="DG28" s="497"/>
      <c r="DH28" s="497"/>
      <c r="DI28" s="497"/>
      <c r="DJ28" s="497"/>
      <c r="DK28" s="497"/>
      <c r="DL28" s="497"/>
      <c r="DM28" s="497"/>
      <c r="DN28" s="497"/>
      <c r="DO28" s="497"/>
      <c r="DP28" s="497"/>
      <c r="DQ28" s="497"/>
      <c r="DR28" s="497"/>
      <c r="DS28" s="497"/>
      <c r="DT28" s="497"/>
      <c r="DU28" s="497"/>
      <c r="DV28" s="497"/>
      <c r="DW28" s="497"/>
      <c r="DX28" s="497"/>
    </row>
    <row r="29" spans="2:146" x14ac:dyDescent="0.35">
      <c r="C29" s="624" t="s">
        <v>118</v>
      </c>
      <c r="D29" s="197"/>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c r="AC29" s="197"/>
      <c r="AD29" s="197"/>
      <c r="AE29" s="197"/>
      <c r="AF29" s="198"/>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338"/>
      <c r="BC29" s="339"/>
      <c r="BD29" s="339"/>
      <c r="BE29" s="339"/>
      <c r="BF29" s="339"/>
      <c r="BG29" s="339"/>
      <c r="BH29" s="339"/>
      <c r="BI29" s="339"/>
      <c r="BJ29" s="339"/>
      <c r="BK29" s="339"/>
      <c r="BL29" s="339"/>
      <c r="BM29" s="380"/>
      <c r="BN29" s="339"/>
      <c r="BO29" s="339"/>
      <c r="BP29" s="380"/>
      <c r="BQ29" s="339"/>
      <c r="BR29" s="339"/>
      <c r="BS29" s="339"/>
      <c r="BT29" s="339"/>
      <c r="BU29" s="339"/>
      <c r="BV29" s="339"/>
      <c r="BW29" s="339"/>
      <c r="BX29" s="339"/>
      <c r="BY29" s="339"/>
      <c r="BZ29" s="339"/>
      <c r="CA29" s="339"/>
      <c r="CB29" s="339"/>
      <c r="CC29" s="339"/>
      <c r="CD29" s="339"/>
      <c r="CE29" s="339"/>
      <c r="CF29" s="339"/>
      <c r="CG29" s="339"/>
      <c r="CH29" s="339"/>
      <c r="CI29" s="339"/>
      <c r="CJ29" s="339"/>
      <c r="CK29" s="625"/>
      <c r="CL29" s="625"/>
      <c r="CM29" s="625"/>
      <c r="CN29" s="625"/>
      <c r="CO29" s="625"/>
      <c r="CP29" s="625"/>
      <c r="CQ29" s="625"/>
      <c r="CR29" s="625"/>
      <c r="CS29" s="625"/>
      <c r="CT29" s="625"/>
      <c r="CU29" s="625"/>
      <c r="CV29" s="784"/>
      <c r="CW29" s="784"/>
      <c r="CX29" s="784"/>
      <c r="CY29" s="242"/>
      <c r="CZ29" s="757"/>
    </row>
    <row r="30" spans="2:146" ht="13" customHeight="1" thickBot="1" x14ac:dyDescent="0.4">
      <c r="C30" s="674" t="s">
        <v>119</v>
      </c>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c r="AE30" s="675"/>
      <c r="AF30" s="676"/>
      <c r="AG30" s="676"/>
      <c r="AH30" s="676"/>
      <c r="AI30" s="676"/>
      <c r="AJ30" s="676"/>
      <c r="AK30" s="676"/>
      <c r="AL30" s="676"/>
      <c r="AM30" s="676"/>
      <c r="AN30" s="676"/>
      <c r="AO30" s="676"/>
      <c r="AP30" s="676"/>
      <c r="AQ30" s="676"/>
      <c r="AR30" s="676"/>
      <c r="AS30" s="676"/>
      <c r="AT30" s="676"/>
      <c r="AU30" s="676"/>
      <c r="AV30" s="676"/>
      <c r="AW30" s="676"/>
      <c r="AX30" s="676"/>
      <c r="AY30" s="676"/>
      <c r="AZ30" s="676"/>
      <c r="BA30" s="676"/>
      <c r="BB30" s="677"/>
      <c r="BC30" s="678" t="e">
        <f t="shared" ref="BC30:CU30" si="26">+BC28+BC29</f>
        <v>#REF!</v>
      </c>
      <c r="BD30" s="678" t="e">
        <f t="shared" si="26"/>
        <v>#REF!</v>
      </c>
      <c r="BE30" s="678" t="e">
        <f t="shared" si="26"/>
        <v>#REF!</v>
      </c>
      <c r="BF30" s="678" t="e">
        <f t="shared" si="26"/>
        <v>#REF!</v>
      </c>
      <c r="BG30" s="678" t="e">
        <f t="shared" si="26"/>
        <v>#REF!</v>
      </c>
      <c r="BH30" s="678" t="e">
        <f t="shared" si="26"/>
        <v>#REF!</v>
      </c>
      <c r="BI30" s="678" t="e">
        <f t="shared" si="26"/>
        <v>#REF!</v>
      </c>
      <c r="BJ30" s="678" t="e">
        <f t="shared" si="26"/>
        <v>#REF!</v>
      </c>
      <c r="BK30" s="678" t="e">
        <f t="shared" si="26"/>
        <v>#REF!</v>
      </c>
      <c r="BL30" s="678" t="e">
        <f t="shared" si="26"/>
        <v>#REF!</v>
      </c>
      <c r="BM30" s="679">
        <f t="shared" si="26"/>
        <v>1267.0143376361973</v>
      </c>
      <c r="BN30" s="678">
        <f t="shared" si="26"/>
        <v>1304.1208334640173</v>
      </c>
      <c r="BO30" s="678">
        <f t="shared" si="26"/>
        <v>1298.9692885147945</v>
      </c>
      <c r="BP30" s="679">
        <f t="shared" si="26"/>
        <v>1254.8428525614802</v>
      </c>
      <c r="BQ30" s="678">
        <f t="shared" si="26"/>
        <v>1215.9045352417124</v>
      </c>
      <c r="BR30" s="678">
        <f t="shared" si="26"/>
        <v>1220.6546814110968</v>
      </c>
      <c r="BS30" s="678">
        <f t="shared" si="26"/>
        <v>1226.1866522264747</v>
      </c>
      <c r="BT30" s="678">
        <f t="shared" si="26"/>
        <v>1209.0551584269829</v>
      </c>
      <c r="BU30" s="678">
        <f t="shared" si="26"/>
        <v>1194.1871579510785</v>
      </c>
      <c r="BV30" s="678">
        <f t="shared" si="26"/>
        <v>1203.3753896982651</v>
      </c>
      <c r="BW30" s="678">
        <f t="shared" si="26"/>
        <v>1203.3753896982651</v>
      </c>
      <c r="BX30" s="678">
        <f t="shared" si="26"/>
        <v>1225.54462078749</v>
      </c>
      <c r="BY30" s="678">
        <f t="shared" si="26"/>
        <v>1225.54462078749</v>
      </c>
      <c r="BZ30" s="678">
        <f t="shared" si="26"/>
        <v>1317.0024167853026</v>
      </c>
      <c r="CA30" s="678">
        <f t="shared" si="26"/>
        <v>1419.7186546650141</v>
      </c>
      <c r="CB30" s="678">
        <f t="shared" si="26"/>
        <v>1509.9821039091423</v>
      </c>
      <c r="CC30" s="678">
        <f t="shared" si="26"/>
        <v>1468.930215646893</v>
      </c>
      <c r="CD30" s="678">
        <f t="shared" si="26"/>
        <v>1441.3901886717804</v>
      </c>
      <c r="CE30" s="678">
        <f t="shared" si="26"/>
        <v>1363.6378209264894</v>
      </c>
      <c r="CF30" s="678">
        <f t="shared" si="26"/>
        <v>1331.6466501380658</v>
      </c>
      <c r="CG30" s="678">
        <f t="shared" si="26"/>
        <v>1304.2777885746743</v>
      </c>
      <c r="CH30" s="678">
        <f t="shared" si="26"/>
        <v>1211.7009226258197</v>
      </c>
      <c r="CI30" s="678">
        <f t="shared" si="26"/>
        <v>1201.5962051573779</v>
      </c>
      <c r="CJ30" s="678">
        <f t="shared" si="26"/>
        <v>1178.6438201323385</v>
      </c>
      <c r="CK30" s="680">
        <f t="shared" si="26"/>
        <v>1159.5043426924331</v>
      </c>
      <c r="CL30" s="680">
        <f t="shared" si="26"/>
        <v>1169.9781021941997</v>
      </c>
      <c r="CM30" s="680">
        <f t="shared" si="26"/>
        <v>1188.462432983202</v>
      </c>
      <c r="CN30" s="680">
        <f t="shared" si="26"/>
        <v>1364.4350559233303</v>
      </c>
      <c r="CO30" s="680">
        <f t="shared" si="26"/>
        <v>1286.7632895323181</v>
      </c>
      <c r="CP30" s="680">
        <f t="shared" si="26"/>
        <v>1249.5027202502913</v>
      </c>
      <c r="CQ30" s="680">
        <f t="shared" si="26"/>
        <v>1229.7082723501064</v>
      </c>
      <c r="CR30" s="680">
        <f t="shared" si="26"/>
        <v>1201.4273245732036</v>
      </c>
      <c r="CS30" s="680">
        <f t="shared" si="26"/>
        <v>1170.9491189896669</v>
      </c>
      <c r="CT30" s="680">
        <f t="shared" si="26"/>
        <v>1137.1396232839734</v>
      </c>
      <c r="CU30" s="680">
        <f t="shared" si="26"/>
        <v>1122.3752534824653</v>
      </c>
      <c r="CV30" s="338"/>
      <c r="CW30" s="338"/>
      <c r="CX30" s="338"/>
      <c r="CY30" s="257"/>
      <c r="CZ30" s="755" t="s">
        <v>597</v>
      </c>
      <c r="EA30" s="22"/>
    </row>
    <row r="31" spans="2:146" ht="10.5" customHeight="1" thickBot="1" x14ac:dyDescent="0.4">
      <c r="C31" s="816"/>
      <c r="D31" s="816"/>
      <c r="E31" s="816"/>
      <c r="F31" s="816"/>
      <c r="G31" s="816"/>
      <c r="H31" s="816"/>
      <c r="I31" s="816"/>
      <c r="J31" s="816"/>
      <c r="K31" s="816"/>
      <c r="L31" s="816"/>
      <c r="M31" s="816"/>
      <c r="N31" s="816"/>
      <c r="O31" s="816"/>
      <c r="P31" s="816"/>
      <c r="Q31" s="816"/>
      <c r="R31" s="816"/>
      <c r="S31" s="816"/>
      <c r="T31" s="816"/>
      <c r="U31" s="816"/>
      <c r="V31" s="816"/>
      <c r="W31" s="816"/>
      <c r="X31" s="816"/>
      <c r="Y31" s="816"/>
      <c r="Z31" s="816"/>
      <c r="AA31" s="816"/>
      <c r="AB31" s="816"/>
      <c r="AC31" s="816"/>
      <c r="AD31" s="816"/>
      <c r="AE31" s="816"/>
      <c r="AF31" s="816"/>
      <c r="AG31" s="816"/>
      <c r="AH31" s="816"/>
      <c r="AI31" s="816"/>
      <c r="AJ31" s="816"/>
      <c r="AK31" s="816"/>
      <c r="AL31" s="816"/>
      <c r="AM31" s="816"/>
      <c r="AN31" s="816"/>
      <c r="AO31" s="816"/>
      <c r="AP31" s="816"/>
      <c r="AQ31" s="816"/>
      <c r="AR31" s="816"/>
      <c r="AS31" s="816"/>
      <c r="AT31" s="816"/>
      <c r="AU31" s="816"/>
      <c r="AV31" s="816"/>
      <c r="AW31" s="816"/>
      <c r="AX31" s="816"/>
      <c r="AY31" s="816"/>
      <c r="AZ31" s="816"/>
      <c r="BA31" s="816"/>
      <c r="BB31" s="816"/>
      <c r="BC31" s="816"/>
      <c r="BD31" s="816"/>
      <c r="BE31" s="816"/>
      <c r="BF31" s="816"/>
      <c r="BG31" s="816"/>
      <c r="BH31" s="816"/>
      <c r="BI31" s="816"/>
      <c r="BJ31" s="816"/>
      <c r="BK31" s="816"/>
      <c r="BL31" s="816"/>
      <c r="BM31" s="816"/>
      <c r="BN31" s="816"/>
      <c r="BO31" s="816"/>
      <c r="BP31" s="816"/>
      <c r="BQ31" s="816"/>
      <c r="BR31" s="816"/>
      <c r="BS31" s="816"/>
      <c r="BT31" s="816"/>
      <c r="BU31" s="816"/>
      <c r="BV31" s="816"/>
      <c r="BW31" s="816"/>
      <c r="BX31" s="816"/>
      <c r="BY31" s="816"/>
      <c r="BZ31" s="816"/>
      <c r="CA31" s="816"/>
      <c r="CB31" s="816"/>
      <c r="CC31" s="816"/>
      <c r="CD31" s="816"/>
      <c r="CE31" s="816"/>
      <c r="CF31" s="816"/>
      <c r="CG31" s="816"/>
      <c r="CH31" s="816"/>
      <c r="CI31" s="816"/>
      <c r="CJ31" s="816"/>
      <c r="CK31" s="816"/>
      <c r="CL31" s="683"/>
      <c r="CM31" s="683"/>
      <c r="CN31" s="683"/>
      <c r="CO31" s="683"/>
      <c r="CP31" s="683"/>
      <c r="CQ31" s="683"/>
      <c r="CR31" s="683"/>
      <c r="CS31" s="683"/>
      <c r="CT31" s="683"/>
      <c r="CU31" s="683"/>
      <c r="CV31" s="683"/>
      <c r="CW31" s="683"/>
      <c r="CX31" s="683"/>
      <c r="CY31" s="235"/>
      <c r="CZ31" t="s">
        <v>599</v>
      </c>
    </row>
    <row r="32" spans="2:146" x14ac:dyDescent="0.35">
      <c r="C32" s="605" t="s">
        <v>120</v>
      </c>
      <c r="D32" s="669">
        <f t="shared" ref="D32:X32" si="27">+D26*(1-5%)</f>
        <v>1630.4207904109589</v>
      </c>
      <c r="E32" s="669">
        <f t="shared" si="27"/>
        <v>1572.9196328767123</v>
      </c>
      <c r="F32" s="669">
        <f t="shared" si="27"/>
        <v>1572.2066242734033</v>
      </c>
      <c r="G32" s="669">
        <f t="shared" si="27"/>
        <v>1567.7445286986301</v>
      </c>
      <c r="H32" s="669">
        <f t="shared" si="27"/>
        <v>1630.4207904109589</v>
      </c>
      <c r="I32" s="669">
        <f t="shared" si="27"/>
        <v>1557.1068145547943</v>
      </c>
      <c r="J32" s="669">
        <f t="shared" si="27"/>
        <v>1394.6660445205478</v>
      </c>
      <c r="K32" s="669">
        <f t="shared" si="27"/>
        <v>1328.6149630424034</v>
      </c>
      <c r="L32" s="669">
        <f t="shared" si="27"/>
        <v>1301.7777271643836</v>
      </c>
      <c r="M32" s="669">
        <f t="shared" si="27"/>
        <v>1351.0895420479451</v>
      </c>
      <c r="N32" s="669">
        <f t="shared" si="27"/>
        <v>1372.8447544965752</v>
      </c>
      <c r="O32" s="669">
        <f t="shared" si="27"/>
        <v>1378.6461444828767</v>
      </c>
      <c r="P32" s="669">
        <f t="shared" si="27"/>
        <v>1266.3892482479453</v>
      </c>
      <c r="Q32" s="669">
        <f t="shared" si="27"/>
        <v>1175.5974949623287</v>
      </c>
      <c r="R32" s="669">
        <f t="shared" si="27"/>
        <v>1222.7395957924039</v>
      </c>
      <c r="S32" s="669">
        <f t="shared" si="27"/>
        <v>1132.3771395643835</v>
      </c>
      <c r="T32" s="669">
        <f t="shared" si="27"/>
        <v>1108.8815101198629</v>
      </c>
      <c r="U32" s="669">
        <f t="shared" si="27"/>
        <v>1076.6445176986301</v>
      </c>
      <c r="V32" s="669">
        <f t="shared" si="27"/>
        <v>1063.9599612089041</v>
      </c>
      <c r="W32" s="669">
        <f t="shared" si="27"/>
        <v>1072.5363584211129</v>
      </c>
      <c r="X32" s="669">
        <f t="shared" si="27"/>
        <v>1092.8638664146681</v>
      </c>
      <c r="Y32" s="669">
        <f>1.33255813953488*1000</f>
        <v>1332.55813953488</v>
      </c>
      <c r="Z32" s="669">
        <f>+' PCR Enkador'!H55</f>
        <v>1386.3640879999998</v>
      </c>
      <c r="AA32" s="669">
        <f>+Z32</f>
        <v>1386.3640879999998</v>
      </c>
      <c r="AB32" s="669">
        <f>+AA32</f>
        <v>1386.3640879999998</v>
      </c>
      <c r="AC32" s="669">
        <f>+AB32</f>
        <v>1386.3640879999998</v>
      </c>
      <c r="AD32" s="669">
        <f>+AC32</f>
        <v>1386.3640879999998</v>
      </c>
      <c r="AE32" s="670">
        <f>+' PCR Enkador'!H69</f>
        <v>1412.3595833333334</v>
      </c>
      <c r="AF32" s="669">
        <f>+' PCR Enkador'!H69</f>
        <v>1412.3595833333334</v>
      </c>
      <c r="AG32" s="669">
        <f>+' PCR Enkador'!H69</f>
        <v>1412.3595833333334</v>
      </c>
      <c r="AH32" s="669">
        <f>+AG32</f>
        <v>1412.3595833333334</v>
      </c>
      <c r="AI32" s="669">
        <f>+AH32</f>
        <v>1412.3595833333334</v>
      </c>
      <c r="AJ32" s="669">
        <f>+' PCR Enkador'!H88</f>
        <v>1394.54</v>
      </c>
      <c r="AK32" s="669">
        <f>+' PCR Enkador'!H88</f>
        <v>1394.54</v>
      </c>
      <c r="AL32" s="669">
        <f>+AK32</f>
        <v>1394.54</v>
      </c>
      <c r="AM32" s="669">
        <f>+AL32</f>
        <v>1394.54</v>
      </c>
      <c r="AN32" s="669">
        <f>+' PCR Enkador'!H104</f>
        <v>1485</v>
      </c>
      <c r="AO32" s="669">
        <f>+AN32</f>
        <v>1485</v>
      </c>
      <c r="AP32" s="669">
        <f>+AO32</f>
        <v>1485</v>
      </c>
      <c r="AQ32" s="669">
        <f>+' PCR Enkador'!H124</f>
        <v>1514.8753400165135</v>
      </c>
      <c r="AR32" s="669">
        <f>+AQ32</f>
        <v>1514.8753400165135</v>
      </c>
      <c r="AS32" s="669">
        <f>+AR32</f>
        <v>1514.8753400165135</v>
      </c>
      <c r="AT32" s="669">
        <f>+' PCR Enkador'!E139</f>
        <v>1748.1781955494955</v>
      </c>
      <c r="AU32" s="669">
        <f>+' PCR Enkador'!F139</f>
        <v>2005.3590231791213</v>
      </c>
      <c r="AV32" s="669">
        <v>1942.1299178517277</v>
      </c>
      <c r="AW32" s="669">
        <v>1863.1433991880042</v>
      </c>
      <c r="AX32" s="669">
        <f>+' PCR Enkador'!I139</f>
        <v>2055.0951117457171</v>
      </c>
      <c r="AY32" s="669">
        <v>2104.5193955564387</v>
      </c>
      <c r="AZ32" s="669">
        <f>+' PCR Enkador'!K139</f>
        <v>2174.9407488222141</v>
      </c>
      <c r="BA32" s="669">
        <f>+' PCR Enkador'!L139</f>
        <v>2224.6328195831784</v>
      </c>
      <c r="BB32" s="671">
        <f>+' PCR Enkador'!L139</f>
        <v>2224.6328195831784</v>
      </c>
      <c r="BC32" s="671">
        <f>+' PCR Enkador'!N139</f>
        <v>2351.9980645856022</v>
      </c>
      <c r="BD32" s="671">
        <f>+' PCR Enkador'!O139</f>
        <v>2084.0879699121556</v>
      </c>
      <c r="BE32" s="671">
        <f>+' PCR Enkador'!P139</f>
        <v>2039.0612287085833</v>
      </c>
      <c r="BF32" s="671">
        <f>+' PCR Enkador'!Q139</f>
        <v>1827.4006175929699</v>
      </c>
      <c r="BG32" s="671">
        <f>+' PCR Enkador'!R139</f>
        <v>1572.1529790762611</v>
      </c>
      <c r="BH32" s="671">
        <f>+' PCR Enkador'!S139</f>
        <v>1511.4315793908329</v>
      </c>
      <c r="BI32" s="671">
        <f>+' PCR Enkador'!T139</f>
        <v>1571.7048222592841</v>
      </c>
      <c r="BJ32" s="671">
        <f>+' PCR Enkador'!U139</f>
        <v>1749.1772307014442</v>
      </c>
      <c r="BK32" s="671">
        <f>+' PCR Enkador'!V139</f>
        <v>1692.4082469121936</v>
      </c>
      <c r="BL32" s="671">
        <f>+' PCR Enkador'!W139</f>
        <v>1650.0848702661715</v>
      </c>
      <c r="BM32" s="672">
        <f>+' PCR Enkador'!X139</f>
        <v>1719.7814689069273</v>
      </c>
      <c r="BN32" s="671">
        <f>+' PCR Enkador'!Y139</f>
        <v>1698.3624926757873</v>
      </c>
      <c r="BO32" s="671">
        <f>+' PCR Enkador'!Z139</f>
        <v>1786.3921944383619</v>
      </c>
      <c r="BP32" s="671">
        <f>+' PCR Enkador'!AA139</f>
        <v>1832.805473405368</v>
      </c>
      <c r="BQ32" s="671">
        <f>+' PCR Enkador'!AB139</f>
        <v>1794.3773311945754</v>
      </c>
      <c r="BR32" s="671">
        <f>+' PCR Enkador'!AC139</f>
        <v>1784.8604795819303</v>
      </c>
      <c r="BS32" s="671">
        <f>+' PCR Enkador'!AD139</f>
        <v>1815.4425995528729</v>
      </c>
      <c r="BT32" s="671">
        <f>+' PCR Enkador'!AE139</f>
        <v>1917.1170907848905</v>
      </c>
      <c r="BU32" s="671">
        <f>+' PCR Enkador'!AF139</f>
        <v>1989.5364049472171</v>
      </c>
      <c r="BV32" s="671">
        <f>+' PCR Enkador'!AG139</f>
        <v>1762.3791591494746</v>
      </c>
      <c r="BW32" s="671">
        <f>+' PCR Enkador'!AH139</f>
        <v>1936.9946953544004</v>
      </c>
      <c r="BX32" s="671">
        <f>+' PCR Enkador'!AI139</f>
        <v>1960.7323860646977</v>
      </c>
      <c r="BY32" s="671">
        <f>+' PCR Enkador'!AJ139</f>
        <v>2006.6200046357087</v>
      </c>
      <c r="BZ32" s="671">
        <f>+' PCR Enkador'!AK139</f>
        <v>2038.1934573861074</v>
      </c>
      <c r="CA32" s="671">
        <f>+' PCR Enkador'!AL139</f>
        <v>2069.5841202518686</v>
      </c>
      <c r="CB32" s="671">
        <f>+' PCR Enkador'!AM139</f>
        <v>2145.0106360393302</v>
      </c>
      <c r="CC32" s="671">
        <f>+' PCR Enkador'!AN139</f>
        <v>2214.5182783877758</v>
      </c>
      <c r="CD32" s="671">
        <f>+' PCR Enkador'!AO139</f>
        <v>2244.2588516480246</v>
      </c>
      <c r="CE32" s="671">
        <f>+' PCR Enkador'!AP139</f>
        <v>2281.9841219161976</v>
      </c>
      <c r="CF32" s="671">
        <f>+' PCR Enkador'!AQ139</f>
        <v>2206.9405995539732</v>
      </c>
      <c r="CG32" s="671">
        <f>+' PCR Enkador'!AR139</f>
        <v>2237.8729025936364</v>
      </c>
      <c r="CH32" s="671">
        <f>+' PCR Enkador'!AS139</f>
        <v>2324.4326142171481</v>
      </c>
      <c r="CI32" s="671">
        <f>+' PCR Enkador'!AT139</f>
        <v>2425.6132670647744</v>
      </c>
      <c r="CJ32" s="671">
        <f>+' PCR Enkador'!AU139</f>
        <v>2426.0741017318292</v>
      </c>
      <c r="CK32" s="673">
        <f>+FIFO!BH7</f>
        <v>2350.0218802513937</v>
      </c>
      <c r="CL32" s="673">
        <f>+' PCR Enkador'!AW139</f>
        <v>2390.1838970744866</v>
      </c>
      <c r="CM32" s="673">
        <f>+' PCR Enkador'!AX139</f>
        <v>2381.7182128099948</v>
      </c>
      <c r="CN32" s="673">
        <f>+' PCR Enkador'!AY139</f>
        <v>2377.8053593005889</v>
      </c>
      <c r="CO32" s="673">
        <f>+'PCR Aurora '!W21</f>
        <v>2309.2090115776759</v>
      </c>
      <c r="CP32" s="673">
        <f>+'PCR Aurora '!X21</f>
        <v>2315.1788314407136</v>
      </c>
      <c r="CQ32" s="673">
        <f>+'PCR Aurora '!Y21</f>
        <v>2287.8264767153851</v>
      </c>
      <c r="CR32" s="673">
        <f>+'PCR Aurora '!Z21</f>
        <v>2304.9181954506435</v>
      </c>
      <c r="CS32" s="673">
        <f>+' PCR Enkador'!BD139</f>
        <v>2246.5394948114213</v>
      </c>
      <c r="CT32" s="673">
        <f>+' PCR Enkador'!BE139</f>
        <v>2284.7438078645764</v>
      </c>
      <c r="CU32" s="673">
        <f>+' PCR Enkador'!BG139</f>
        <v>0</v>
      </c>
      <c r="CV32" s="707"/>
      <c r="CW32" s="707"/>
      <c r="CX32" s="707"/>
      <c r="CY32" s="235"/>
      <c r="CZ32" s="772"/>
    </row>
    <row r="33" spans="3:137" x14ac:dyDescent="0.35">
      <c r="C33" s="628" t="s">
        <v>121</v>
      </c>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100"/>
      <c r="AF33" s="7"/>
      <c r="AG33" s="7"/>
      <c r="AH33" s="7"/>
      <c r="AI33" s="7"/>
      <c r="AJ33" s="7"/>
      <c r="AK33" s="7"/>
      <c r="AL33" s="7"/>
      <c r="AM33" s="7"/>
      <c r="AN33" s="7"/>
      <c r="AO33" s="7"/>
      <c r="AP33" s="7"/>
      <c r="AQ33" s="7">
        <f>+AQ32</f>
        <v>1514.8753400165135</v>
      </c>
      <c r="AR33" s="7">
        <f>+AR32</f>
        <v>1514.8753400165135</v>
      </c>
      <c r="AS33" s="7">
        <f>+AS32</f>
        <v>1514.8753400165135</v>
      </c>
      <c r="AT33" s="7">
        <f>+AT32</f>
        <v>1748.1781955494955</v>
      </c>
      <c r="AU33" s="7">
        <f>+AU32</f>
        <v>2005.3590231791213</v>
      </c>
      <c r="AV33" s="7">
        <v>1942.1299178517277</v>
      </c>
      <c r="AW33" s="7">
        <v>1863.1433991880042</v>
      </c>
      <c r="AX33" s="7">
        <f>+AX32</f>
        <v>2055.0951117457171</v>
      </c>
      <c r="AY33" s="7">
        <v>2104.5193955564387</v>
      </c>
      <c r="AZ33" s="7">
        <f t="shared" ref="AZ33:BK33" si="28">+AZ32</f>
        <v>2174.9407488222141</v>
      </c>
      <c r="BA33" s="7">
        <f t="shared" si="28"/>
        <v>2224.6328195831784</v>
      </c>
      <c r="BB33" s="340">
        <f t="shared" si="28"/>
        <v>2224.6328195831784</v>
      </c>
      <c r="BC33" s="340">
        <f t="shared" si="28"/>
        <v>2351.9980645856022</v>
      </c>
      <c r="BD33" s="340">
        <f t="shared" si="28"/>
        <v>2084.0879699121556</v>
      </c>
      <c r="BE33" s="340">
        <f t="shared" si="28"/>
        <v>2039.0612287085833</v>
      </c>
      <c r="BF33" s="340">
        <f t="shared" si="28"/>
        <v>1827.4006175929699</v>
      </c>
      <c r="BG33" s="340">
        <f t="shared" si="28"/>
        <v>1572.1529790762611</v>
      </c>
      <c r="BH33" s="340">
        <f t="shared" si="28"/>
        <v>1511.4315793908329</v>
      </c>
      <c r="BI33" s="340">
        <f t="shared" si="28"/>
        <v>1571.7048222592841</v>
      </c>
      <c r="BJ33" s="340">
        <f t="shared" si="28"/>
        <v>1749.1772307014442</v>
      </c>
      <c r="BK33" s="340">
        <f t="shared" si="28"/>
        <v>1692.4082469121936</v>
      </c>
      <c r="BL33" s="340">
        <f>+FIFO!J9</f>
        <v>1690.2249456104021</v>
      </c>
      <c r="BM33" s="381">
        <f>+FIFO!L9</f>
        <v>1699.0064798607102</v>
      </c>
      <c r="BN33" s="340">
        <f>+FIFO!N9</f>
        <v>1698.7785121302347</v>
      </c>
      <c r="BO33" s="340">
        <f>+FIFO!P8</f>
        <v>1730.0096796994928</v>
      </c>
      <c r="BP33" s="340">
        <f>+FIFO!R8</f>
        <v>1773.5613698859654</v>
      </c>
      <c r="BQ33" s="340">
        <f>+FIFO!T8</f>
        <v>1784.875503136215</v>
      </c>
      <c r="BR33" s="340">
        <f>+FIFO!V8</f>
        <v>1784.8627904875955</v>
      </c>
      <c r="BS33" s="340">
        <f>+FIFO!X8</f>
        <v>1813.0215091949415</v>
      </c>
      <c r="BT33" s="340">
        <f>+FIFO!Z8</f>
        <v>1904.7514447411731</v>
      </c>
      <c r="BU33" s="340">
        <f>+FIFO!AB9</f>
        <v>1962.2860661850234</v>
      </c>
      <c r="BV33" s="340">
        <f>+FIFO!AD8</f>
        <v>1845.7119798851147</v>
      </c>
      <c r="BW33" s="340">
        <f>+FIFO!AF8</f>
        <v>1890.2730666010168</v>
      </c>
      <c r="BX33" s="340">
        <f>+FIFO!AH8</f>
        <v>1917.1799012981703</v>
      </c>
      <c r="BY33" s="340">
        <f>+FIFO!AJ7</f>
        <v>2006.6200046357087</v>
      </c>
      <c r="BZ33" s="340">
        <f>+FIFO!AL8</f>
        <v>1943.4781005633749</v>
      </c>
      <c r="CA33" s="340">
        <f>+FIFO!AN8</f>
        <v>2034.9008161852571</v>
      </c>
      <c r="CB33" s="340">
        <f>+FIFO!AP8</f>
        <v>2114.7268131722517</v>
      </c>
      <c r="CC33" s="340">
        <f>+FIFO!AR8</f>
        <v>2187.72651496972</v>
      </c>
      <c r="CD33" s="340">
        <f>+FIFO!AT8</f>
        <v>2235.0890180084707</v>
      </c>
      <c r="CE33" s="340">
        <f>+FIFO!AV8</f>
        <v>2269.3398181541666</v>
      </c>
      <c r="CF33" s="340">
        <f>+FIFO!AX8</f>
        <v>2218.3558998675385</v>
      </c>
      <c r="CG33" s="340">
        <f>+FIFO!AZ8</f>
        <v>2236.8571959832848</v>
      </c>
      <c r="CH33" s="340">
        <f>+FIFO!BB8</f>
        <v>2321.275438326265</v>
      </c>
      <c r="CI33" s="340">
        <f>+FIFO!BD8</f>
        <v>2410.4812551255345</v>
      </c>
      <c r="CJ33" s="340">
        <f>+FIFO!BF8</f>
        <v>2410.8752553973541</v>
      </c>
      <c r="CK33" s="627">
        <f>+FIFO!BH8</f>
        <v>2358.2487742672251</v>
      </c>
      <c r="CL33" s="627" t="e">
        <f>+FIFO!#REF!</f>
        <v>#REF!</v>
      </c>
      <c r="CM33" s="627">
        <f>+FIFO!CA8</f>
        <v>0</v>
      </c>
      <c r="CN33" s="627">
        <f>+FIFO!BN34</f>
        <v>2373.4672471279</v>
      </c>
      <c r="CO33" s="627">
        <f>+FIFO!BO34</f>
        <v>0</v>
      </c>
      <c r="CP33" s="627">
        <f>+FIFO!BP34</f>
        <v>2373.4672471279</v>
      </c>
      <c r="CQ33" s="627">
        <f>+FIFO!BR34</f>
        <v>2373.4672471279</v>
      </c>
      <c r="CR33" s="627">
        <f>+FIFO!CA34</f>
        <v>0</v>
      </c>
      <c r="CS33" s="627">
        <f>+FIFO!CB34</f>
        <v>0</v>
      </c>
      <c r="CT33" s="627">
        <f>+FIFO!CC34</f>
        <v>0</v>
      </c>
      <c r="CU33" s="627">
        <f>+FIFO!CD34</f>
        <v>0</v>
      </c>
      <c r="CV33" s="707"/>
      <c r="CW33" s="707"/>
      <c r="CX33" s="707"/>
      <c r="CY33" s="707">
        <f>+FIFO!BQ34</f>
        <v>0</v>
      </c>
      <c r="CZ33" s="773" t="s">
        <v>598</v>
      </c>
    </row>
    <row r="34" spans="3:137" x14ac:dyDescent="0.35">
      <c r="C34" s="626" t="s">
        <v>122</v>
      </c>
      <c r="D34" s="7"/>
      <c r="E34" s="7"/>
      <c r="F34" s="7"/>
      <c r="G34" s="7"/>
      <c r="H34" s="7"/>
      <c r="I34" s="7"/>
      <c r="J34" s="7"/>
      <c r="K34" s="7"/>
      <c r="L34" s="7"/>
      <c r="M34" s="7"/>
      <c r="N34" s="7"/>
      <c r="O34" s="7"/>
      <c r="P34" s="7"/>
      <c r="Q34" s="7"/>
      <c r="R34" s="7"/>
      <c r="S34" s="7"/>
      <c r="T34" s="7"/>
      <c r="U34" s="7"/>
      <c r="V34" s="7"/>
      <c r="W34" s="7"/>
      <c r="X34" s="7"/>
      <c r="Y34" s="7"/>
      <c r="Z34" s="7">
        <f>+'PCR Enka'!C26</f>
        <v>1070.2457145299522</v>
      </c>
      <c r="AA34" s="7">
        <f>+'PCR Enka'!D26</f>
        <v>1103.3117577063094</v>
      </c>
      <c r="AB34" s="7">
        <f>+'PCR Enka'!D26</f>
        <v>1103.3117577063094</v>
      </c>
      <c r="AC34" s="7">
        <f>+'PCR Enka'!E26</f>
        <v>1149.9846517001231</v>
      </c>
      <c r="AD34" s="7">
        <f>+'PCR Enka'!E26</f>
        <v>1149.9846517001231</v>
      </c>
      <c r="AE34" s="119">
        <f>+'PCR Enka'!F26</f>
        <v>1163.7351584349315</v>
      </c>
      <c r="AF34" s="119">
        <f>+'PCR Enka'!F26</f>
        <v>1163.7351584349315</v>
      </c>
      <c r="AG34" s="119">
        <v>6</v>
      </c>
      <c r="AH34" s="119">
        <f>+'PCR Enka'!H26</f>
        <v>1125.2337117924039</v>
      </c>
      <c r="AI34" s="119">
        <f>+'PCR Enka'!I26</f>
        <v>1153.6208952478003</v>
      </c>
      <c r="AJ34" s="119">
        <f>+'PCR Enka'!J26</f>
        <v>1197.5282466283243</v>
      </c>
      <c r="AK34" s="119">
        <f>+'PCR Enka'!K26</f>
        <v>1277.3813189985585</v>
      </c>
      <c r="AL34" s="119">
        <f>+'PCR Enka'!L26</f>
        <v>1467.9414592909875</v>
      </c>
      <c r="AM34" s="119">
        <f>+'PCR Enka'!M26</f>
        <v>1432.4780328621268</v>
      </c>
      <c r="AN34" s="119">
        <f>+'PCR Enka'!N26</f>
        <v>1415.0274435548959</v>
      </c>
      <c r="AO34" s="119">
        <f>+'PCR Enka'!O26</f>
        <v>1623.5225332915529</v>
      </c>
      <c r="AP34" s="119">
        <f>+'PCR Enka'!P26</f>
        <v>1586.6292370018218</v>
      </c>
      <c r="AQ34" s="119">
        <f>+'PCR Enka'!Q26</f>
        <v>1609.9821539163602</v>
      </c>
      <c r="AR34" s="119">
        <f>+'PCR Enka'!R26</f>
        <v>1643.8951960695449</v>
      </c>
      <c r="AS34" s="119">
        <f>+'PCR Enka'!S26</f>
        <v>1621.9696599033766</v>
      </c>
      <c r="AT34" s="119">
        <f>+'PCR Enka'!T26</f>
        <v>1648.1853188371667</v>
      </c>
      <c r="AU34" s="119">
        <f>+'PCR Enka'!U26</f>
        <v>1905.3661464667925</v>
      </c>
      <c r="AV34" s="119">
        <v>1842.1370411393989</v>
      </c>
      <c r="AW34" s="119">
        <v>1765.8141671880041</v>
      </c>
      <c r="AX34" s="119">
        <f>+'PCR Enka'!X26</f>
        <v>1957.7658797457173</v>
      </c>
      <c r="AY34" s="119">
        <v>2007.3085977964388</v>
      </c>
      <c r="AZ34" s="119">
        <f>+'PCR Enka'!Z26</f>
        <v>2077.6143488222142</v>
      </c>
      <c r="BA34" s="119">
        <f>+'PCR Enka'!AA26</f>
        <v>2127.3064195831785</v>
      </c>
      <c r="BB34" s="341">
        <f>+'PCR Enka'!AA26</f>
        <v>2127.3064195831785</v>
      </c>
      <c r="BC34" s="341">
        <f>+'PCR Enka'!AC26</f>
        <v>2251.8217285856022</v>
      </c>
      <c r="BD34" s="341">
        <f>+'PCR Enka'!AD26</f>
        <v>1986.3645985148953</v>
      </c>
      <c r="BE34" s="341">
        <f>+'PCR Enka'!AE26</f>
        <v>1941.337857311323</v>
      </c>
      <c r="BF34" s="341">
        <f>+'PCR Enka'!AF26</f>
        <v>1729.6772461957096</v>
      </c>
      <c r="BG34" s="341">
        <f>+'PCR Enka'!AG26</f>
        <v>1474.4296076790008</v>
      </c>
      <c r="BH34" s="341">
        <f>+'PCR Enka'!AH26</f>
        <v>1413.7082079935726</v>
      </c>
      <c r="BI34" s="341">
        <f>+'PCR Enka'!AI26</f>
        <v>1472.9886975294212</v>
      </c>
      <c r="BJ34" s="341">
        <f>+'PCR Enka'!AJ26</f>
        <v>1650.4611059715812</v>
      </c>
      <c r="BK34" s="341">
        <f>+'PCR Enka'!AK26</f>
        <v>1593.6921221823306</v>
      </c>
      <c r="BL34" s="341">
        <f>+'PCR Enka'!AL26</f>
        <v>1551.3687455363086</v>
      </c>
      <c r="BM34" s="382">
        <f>+'PCR Enka'!AM26</f>
        <v>1621.0653441770644</v>
      </c>
      <c r="BN34" s="341">
        <f>+'PCR Enka'!AN26</f>
        <v>1599.6463679459243</v>
      </c>
      <c r="BO34" s="341">
        <f>+'PCR Enka'!AO26</f>
        <v>1688.6912974827455</v>
      </c>
      <c r="BP34" s="341">
        <f>+'PCR Enka'!AP26</f>
        <v>1735.1045764497517</v>
      </c>
      <c r="BQ34" s="341">
        <f>+'PCR Enka'!AQ26</f>
        <v>1696.676434238959</v>
      </c>
      <c r="BR34" s="341">
        <f>+'PCR Enka'!AR26</f>
        <v>1687.159582626314</v>
      </c>
      <c r="BS34" s="341">
        <f>+'PCR Enka'!AS26</f>
        <v>1717.7417025972566</v>
      </c>
      <c r="BT34" s="341">
        <f>+'PCR Enka'!AT26</f>
        <v>1819.4161938292741</v>
      </c>
      <c r="BU34" s="341">
        <f>+' PCR Enkador'!AF134</f>
        <v>1891.8355079916007</v>
      </c>
      <c r="BV34" s="341">
        <f>+' PCR Enkador'!AG134</f>
        <v>1664.6782621938582</v>
      </c>
      <c r="BW34" s="341">
        <f>+' PCR Enkador'!AH134</f>
        <v>1838.3840017171401</v>
      </c>
      <c r="BX34" s="341">
        <f>+' PCR Enkador'!AI134</f>
        <v>1862.1216924274374</v>
      </c>
      <c r="BY34" s="341">
        <f>+' PCR Enkador'!AI134</f>
        <v>1862.1216924274374</v>
      </c>
      <c r="BZ34" s="341">
        <f>+' PCR Enkador'!AK134</f>
        <v>1939.5827637488471</v>
      </c>
      <c r="CA34" s="341">
        <f>+' PCR Enkador'!AL134</f>
        <v>1970.9734266146086</v>
      </c>
      <c r="CB34" s="341">
        <f>+' PCR Enkador'!AM134</f>
        <v>2046.3999424020699</v>
      </c>
      <c r="CC34" s="341">
        <f>+' PCR Enkador'!AN134</f>
        <v>2115.9075847505155</v>
      </c>
      <c r="CD34" s="341">
        <f>+' PCR Enkador'!AO134</f>
        <v>2145.6481580107643</v>
      </c>
      <c r="CE34" s="341">
        <f>+' PCR Enkador'!AP134</f>
        <v>2183.3734282789374</v>
      </c>
      <c r="CF34" s="341">
        <f>+' PCR Enkador'!AQ134</f>
        <v>2108.329905916713</v>
      </c>
      <c r="CG34" s="341">
        <f>+' PCR Enkador'!AR134</f>
        <v>2139.8630010747324</v>
      </c>
      <c r="CH34" s="341">
        <f>+' PCR Enkador'!AS134</f>
        <v>2226.4227126982441</v>
      </c>
      <c r="CI34" s="341">
        <f>+' PCR Enkador'!AT134</f>
        <v>2327.6033655458705</v>
      </c>
      <c r="CJ34" s="341">
        <f>+' PCR Enkador'!AU134</f>
        <v>2328.0642002129252</v>
      </c>
      <c r="CK34" s="629">
        <f>+FIFO!BH20</f>
        <v>2252.0119787324898</v>
      </c>
      <c r="CL34" s="629">
        <f>+' PCR Enkador'!AW134</f>
        <v>2292.1739955555827</v>
      </c>
      <c r="CM34" s="629">
        <f>+'PCR Aurora '!U14</f>
        <v>2283.7083112910909</v>
      </c>
      <c r="CN34" s="629">
        <f>+'PCR Enka'!DS26</f>
        <v>2279.7954577816849</v>
      </c>
      <c r="CO34" s="629">
        <f>+'PCR Aurora '!W14</f>
        <v>2211.199110058772</v>
      </c>
      <c r="CP34" s="629">
        <f>+'PCR Aurora '!X14</f>
        <v>2217.1689299218096</v>
      </c>
      <c r="CQ34" s="629">
        <f>+'PCR Aurora '!Y14</f>
        <v>2189.8165751964812</v>
      </c>
      <c r="CR34" s="629">
        <f>+'PCR Aurora '!Z14</f>
        <v>2206.9082939317395</v>
      </c>
      <c r="CS34" s="629">
        <f>+'PCR Aurora '!AA40</f>
        <v>1925.9158230062833</v>
      </c>
      <c r="CT34" s="629">
        <f>+'PCR Enka'!EI26</f>
        <v>2187.04291090896</v>
      </c>
      <c r="CU34" s="629">
        <f>+'PCR Enka'!EK26</f>
        <v>0</v>
      </c>
      <c r="CV34" s="368"/>
      <c r="CW34" s="368"/>
      <c r="CX34" s="368"/>
      <c r="CZ34" s="773" t="s">
        <v>591</v>
      </c>
    </row>
    <row r="35" spans="3:137" x14ac:dyDescent="0.35">
      <c r="C35" s="628" t="s">
        <v>123</v>
      </c>
      <c r="D35" s="7"/>
      <c r="E35" s="7"/>
      <c r="F35" s="7"/>
      <c r="G35" s="7"/>
      <c r="H35" s="7"/>
      <c r="I35" s="7"/>
      <c r="J35" s="7"/>
      <c r="K35" s="7"/>
      <c r="L35" s="7"/>
      <c r="M35" s="7"/>
      <c r="N35" s="7"/>
      <c r="O35" s="7"/>
      <c r="P35" s="7"/>
      <c r="Q35" s="7"/>
      <c r="R35" s="7"/>
      <c r="S35" s="7"/>
      <c r="T35" s="7"/>
      <c r="U35" s="7"/>
      <c r="V35" s="7"/>
      <c r="W35" s="7"/>
      <c r="X35" s="7"/>
      <c r="Y35" s="7"/>
      <c r="Z35" s="7"/>
      <c r="AA35" s="7"/>
      <c r="AB35" s="7"/>
      <c r="AC35" s="7"/>
      <c r="AD35" s="36"/>
      <c r="AE35" s="36"/>
      <c r="AF35" s="36"/>
      <c r="AG35" s="36"/>
      <c r="AH35" s="36"/>
      <c r="AI35" s="36"/>
      <c r="AJ35" s="36"/>
      <c r="AK35" s="36"/>
      <c r="AL35" s="36"/>
      <c r="AM35" s="36"/>
      <c r="AN35" s="36"/>
      <c r="AO35" s="36"/>
      <c r="AP35" s="36"/>
      <c r="AQ35" s="36"/>
      <c r="AR35" s="36"/>
      <c r="AS35" s="36"/>
      <c r="AT35" s="7"/>
      <c r="AU35" s="7"/>
      <c r="AV35" s="7"/>
      <c r="AW35" s="7"/>
      <c r="AX35" s="7"/>
      <c r="AY35" s="7"/>
      <c r="AZ35" s="7"/>
      <c r="BA35" s="7"/>
      <c r="BB35" s="340"/>
      <c r="BC35" s="340"/>
      <c r="BD35" s="340"/>
      <c r="BE35" s="340"/>
      <c r="BF35" s="340"/>
      <c r="BG35" s="340"/>
      <c r="BH35" s="340"/>
      <c r="BI35" s="340"/>
      <c r="BJ35" s="340"/>
      <c r="BK35" s="340"/>
      <c r="BL35" s="340">
        <f>+FIFO!J22</f>
        <v>1541.7235892107569</v>
      </c>
      <c r="BM35" s="381">
        <f>+FIFO!L22</f>
        <v>1572.230546542331</v>
      </c>
      <c r="BN35" s="340">
        <f>+FIFO!N22</f>
        <v>1582.7074802349362</v>
      </c>
      <c r="BO35" s="340">
        <f>+FIFO!P21</f>
        <v>1624.5182483405063</v>
      </c>
      <c r="BP35" s="340">
        <f>+FIFO!R21</f>
        <v>1640.1021282038605</v>
      </c>
      <c r="BQ35" s="340">
        <f>+FIFO!T21</f>
        <v>1640.1021282038605</v>
      </c>
      <c r="BR35" s="340">
        <f>+FIFO!V21</f>
        <v>1640.1021282038605</v>
      </c>
      <c r="BS35" s="340">
        <f>+FIFO!X21</f>
        <v>1640.1021282038603</v>
      </c>
      <c r="BT35" s="340">
        <f>+FIFO!Z21</f>
        <v>1640.1021282038603</v>
      </c>
      <c r="BU35" s="340">
        <f>+FIFO!AB22</f>
        <v>1640.1021282038603</v>
      </c>
      <c r="BV35" s="340">
        <f>+FIFO!AD21</f>
        <v>1640.1021282038603</v>
      </c>
      <c r="BW35" s="340">
        <f>+FIFO!AF21</f>
        <v>1640.1021282038603</v>
      </c>
      <c r="BX35" s="340">
        <f>+FIFO!AH21</f>
        <v>1640.1021282038603</v>
      </c>
      <c r="BY35" s="340">
        <f>+FIFO!AJ21</f>
        <v>1640.1021282038605</v>
      </c>
      <c r="BZ35" s="340">
        <f>+FIFO!AL21</f>
        <v>1640.1021282038605</v>
      </c>
      <c r="CA35" s="340">
        <f>+FIFO!AN21</f>
        <v>1756.8307250572293</v>
      </c>
      <c r="CB35" s="340">
        <f>+FIFO!AP21</f>
        <v>1848.5020188604981</v>
      </c>
      <c r="CC35" s="340">
        <f>+FIFO!AR21</f>
        <v>1924.5345961916541</v>
      </c>
      <c r="CD35" s="340">
        <f>+FIFO!AT21</f>
        <v>1924.5345961916544</v>
      </c>
      <c r="CE35" s="340">
        <f>+FIFO!AV21</f>
        <v>1924.5345961916544</v>
      </c>
      <c r="CF35" s="340">
        <f>+FIFO!AX21</f>
        <v>1924.5345961916544</v>
      </c>
      <c r="CG35" s="340">
        <f>+FIFO!AZ21</f>
        <v>1924.5345961916544</v>
      </c>
      <c r="CH35" s="340">
        <f>+FIFO!BB21</f>
        <v>1924.5345961916544</v>
      </c>
      <c r="CI35" s="340">
        <f>+FIFO!BD21</f>
        <v>2047.4441943061959</v>
      </c>
      <c r="CJ35" s="340">
        <f>+FIFO!BF21</f>
        <v>2047.5847187229492</v>
      </c>
      <c r="CK35" s="627">
        <f>+FIFO!BH21</f>
        <v>2095.2471948212533</v>
      </c>
      <c r="CL35" s="627">
        <f>+FIFO!BJ21</f>
        <v>2103.550947181317</v>
      </c>
      <c r="CM35" s="627">
        <f>+FIFO!BL21</f>
        <v>2141.3654444938466</v>
      </c>
      <c r="CN35" s="627">
        <f>+FIFO!BN21</f>
        <v>2141.3654444938461</v>
      </c>
      <c r="CO35" s="627">
        <f>+FIFO!BP21</f>
        <v>2141.3654444938461</v>
      </c>
      <c r="CP35" s="627">
        <f>+FIFO!BR21</f>
        <v>2141.3654444938461</v>
      </c>
      <c r="CQ35" s="627">
        <f>+FIFO!BR21</f>
        <v>2141.3654444938461</v>
      </c>
      <c r="CR35" s="627">
        <f>+FIFO!BV21</f>
        <v>2141.3654444938461</v>
      </c>
      <c r="CS35" s="627">
        <f>+FIFO!BV21</f>
        <v>2141.3654444938461</v>
      </c>
      <c r="CT35" s="627">
        <f>+FIFO!BZ21</f>
        <v>2141.3654444938461</v>
      </c>
      <c r="CU35" s="627">
        <f>+FIFO!CA21</f>
        <v>0</v>
      </c>
      <c r="CV35" s="707"/>
      <c r="CW35" s="707"/>
      <c r="CX35" s="707"/>
      <c r="CY35" s="235"/>
      <c r="CZ35" s="773" t="s">
        <v>592</v>
      </c>
    </row>
    <row r="36" spans="3:137" x14ac:dyDescent="0.35">
      <c r="C36" s="626" t="s">
        <v>514</v>
      </c>
      <c r="D36" s="7"/>
      <c r="E36" s="7"/>
      <c r="F36" s="7"/>
      <c r="G36" s="7"/>
      <c r="H36" s="7"/>
      <c r="I36" s="7"/>
      <c r="J36" s="7"/>
      <c r="K36" s="7"/>
      <c r="L36" s="7"/>
      <c r="M36" s="7"/>
      <c r="N36" s="7"/>
      <c r="O36" s="7"/>
      <c r="P36" s="7"/>
      <c r="Q36" s="7"/>
      <c r="R36" s="7"/>
      <c r="S36" s="7"/>
      <c r="T36" s="7"/>
      <c r="U36" s="7"/>
      <c r="V36" s="7"/>
      <c r="W36" s="7"/>
      <c r="X36" s="7"/>
      <c r="Y36" s="7"/>
      <c r="Z36" s="7">
        <f>+'PCR Enka'!C28</f>
        <v>0</v>
      </c>
      <c r="AA36" s="7">
        <f>+'PCR Enka'!D28</f>
        <v>0</v>
      </c>
      <c r="AB36" s="7">
        <f>+'PCR Enka'!D28</f>
        <v>0</v>
      </c>
      <c r="AC36" s="7">
        <f>+'PCR Enka'!E28</f>
        <v>0</v>
      </c>
      <c r="AD36" s="7">
        <f>+'PCR Enka'!E28</f>
        <v>0</v>
      </c>
      <c r="AE36" s="119">
        <f>+'PCR Enka'!F28</f>
        <v>0</v>
      </c>
      <c r="AF36" s="119">
        <f>+'PCR Enka'!F28</f>
        <v>0</v>
      </c>
      <c r="AG36" s="119">
        <v>6</v>
      </c>
      <c r="AH36" s="119">
        <f>+'PCR Enka'!H28</f>
        <v>0</v>
      </c>
      <c r="AI36" s="119">
        <f>+'PCR Enka'!I28</f>
        <v>0</v>
      </c>
      <c r="AJ36" s="119">
        <f>+'PCR Enka'!J28</f>
        <v>0</v>
      </c>
      <c r="AK36" s="119">
        <f>+'PCR Enka'!K28</f>
        <v>0</v>
      </c>
      <c r="AL36" s="119">
        <f>+'PCR Enka'!L28</f>
        <v>0</v>
      </c>
      <c r="AM36" s="119">
        <f>+'PCR Enka'!M28</f>
        <v>0</v>
      </c>
      <c r="AN36" s="119">
        <f>+'PCR Enka'!N28</f>
        <v>0</v>
      </c>
      <c r="AO36" s="119">
        <f>+'PCR Enka'!O28</f>
        <v>0</v>
      </c>
      <c r="AP36" s="119">
        <f>+'PCR Enka'!P28</f>
        <v>0</v>
      </c>
      <c r="AQ36" s="119">
        <f>+'PCR Enka'!Q28</f>
        <v>0</v>
      </c>
      <c r="AR36" s="119">
        <f>+'PCR Enka'!R28</f>
        <v>0</v>
      </c>
      <c r="AS36" s="119">
        <f>+'PCR Enka'!S28</f>
        <v>0</v>
      </c>
      <c r="AT36" s="119">
        <f>+'PCR Enka'!T28</f>
        <v>0</v>
      </c>
      <c r="AU36" s="119">
        <f>+'PCR Enka'!U28</f>
        <v>0</v>
      </c>
      <c r="AV36" s="119">
        <v>1842.1370411393989</v>
      </c>
      <c r="AW36" s="119">
        <v>1765.8141671880041</v>
      </c>
      <c r="AX36" s="119">
        <f>+'PCR Enka'!X28</f>
        <v>0</v>
      </c>
      <c r="AY36" s="119">
        <v>2007.3085977964388</v>
      </c>
      <c r="AZ36" s="119">
        <f>+'PCR Enka'!Z28</f>
        <v>0</v>
      </c>
      <c r="BA36" s="119">
        <f>+'PCR Enka'!AA28</f>
        <v>0</v>
      </c>
      <c r="BB36" s="341">
        <f>+'PCR Enka'!AA28</f>
        <v>0</v>
      </c>
      <c r="BC36" s="341">
        <f>+'PCR Enka'!AC28</f>
        <v>0</v>
      </c>
      <c r="BD36" s="341">
        <f>+'PCR Enka'!AD28</f>
        <v>0</v>
      </c>
      <c r="BE36" s="341">
        <f>+'PCR Enka'!AE28</f>
        <v>0</v>
      </c>
      <c r="BF36" s="341">
        <f>+'PCR Enka'!AF28</f>
        <v>0</v>
      </c>
      <c r="BG36" s="341">
        <f>+'PCR Enka'!AG28</f>
        <v>0</v>
      </c>
      <c r="BH36" s="341">
        <f>+'PCR Enka'!AH28</f>
        <v>0</v>
      </c>
      <c r="BI36" s="341">
        <f>+'PCR Enka'!AI28</f>
        <v>0</v>
      </c>
      <c r="BJ36" s="341">
        <f>+'PCR Enka'!AJ28</f>
        <v>0</v>
      </c>
      <c r="BK36" s="341">
        <f>+'PCR Enka'!AK28</f>
        <v>0</v>
      </c>
      <c r="BL36" s="341">
        <f>+'PCR Enka'!AL28</f>
        <v>0</v>
      </c>
      <c r="BM36" s="382">
        <f>+'PCR Enka'!AM28</f>
        <v>0</v>
      </c>
      <c r="BN36" s="341">
        <f>+'PCR Enka'!AN28</f>
        <v>0</v>
      </c>
      <c r="BO36" s="341">
        <f>+'PCR Enka'!AO28</f>
        <v>0</v>
      </c>
      <c r="BP36" s="341">
        <f>+'PCR Enka'!AP28</f>
        <v>0</v>
      </c>
      <c r="BQ36" s="341">
        <f>+'PCR Enka'!AQ28</f>
        <v>0</v>
      </c>
      <c r="BR36" s="341">
        <f>+'PCR Enka'!AR28</f>
        <v>0</v>
      </c>
      <c r="BS36" s="341">
        <f>+'PCR Enka'!AS28</f>
        <v>0</v>
      </c>
      <c r="BT36" s="341">
        <f>+'PCR Enka'!AT28</f>
        <v>0</v>
      </c>
      <c r="BU36" s="341">
        <f>+' PCR Enkador'!AF136</f>
        <v>94.4</v>
      </c>
      <c r="BV36" s="341">
        <f>+' PCR Enkador'!AG136</f>
        <v>94.4</v>
      </c>
      <c r="BW36" s="341">
        <f>+' PCR Enkador'!AH136</f>
        <v>94.4</v>
      </c>
      <c r="BX36" s="341">
        <f>+' PCR Enkador'!AI136</f>
        <v>94.4</v>
      </c>
      <c r="BY36" s="341">
        <f>+' PCR Enkador'!AI136</f>
        <v>94.4</v>
      </c>
      <c r="BZ36" s="341">
        <f>+' PCR Enkador'!AK136</f>
        <v>94.4</v>
      </c>
      <c r="CA36" s="341">
        <f>+' PCR Enkador'!AL136</f>
        <v>94.4</v>
      </c>
      <c r="CB36" s="341">
        <f>+' PCR Enkador'!AM136</f>
        <v>94.4</v>
      </c>
      <c r="CC36" s="341">
        <f>+' PCR Enkador'!AN136</f>
        <v>94.4</v>
      </c>
      <c r="CD36" s="341">
        <f>+' PCR Enkador'!AO136</f>
        <v>94.4</v>
      </c>
      <c r="CE36" s="341">
        <f>+' PCR Enkador'!AP136</f>
        <v>94.4</v>
      </c>
      <c r="CF36" s="341">
        <f>+' PCR Enkador'!AQ136</f>
        <v>94.4</v>
      </c>
      <c r="CG36" s="341">
        <f>+' PCR Enkador'!AR136</f>
        <v>94.4</v>
      </c>
      <c r="CH36" s="341"/>
      <c r="CI36" s="341"/>
      <c r="CJ36" s="341"/>
      <c r="CK36" s="629">
        <f>+'PCR Aurora '!S40</f>
        <v>2305.7166775516657</v>
      </c>
      <c r="CL36" s="629">
        <f>+'PCR Aurora '!T40</f>
        <v>2302.3701985557918</v>
      </c>
      <c r="CM36" s="629">
        <f>+'PCR Aurora '!U40</f>
        <v>2271.7916238284411</v>
      </c>
      <c r="CN36" s="629">
        <f>+'PCR Aurora '!V40</f>
        <v>2155.0837100363988</v>
      </c>
      <c r="CO36" s="629">
        <f>+'PCR Aurora '!W40</f>
        <v>1974.3325988131585</v>
      </c>
      <c r="CP36" s="629">
        <f>+'PCR Aurora '!X40</f>
        <v>1974.0609122249023</v>
      </c>
      <c r="CQ36" s="629">
        <f>+'PCR Aurora '!Y40</f>
        <v>1958.5504491929626</v>
      </c>
      <c r="CR36" s="629">
        <f>+'PCR Aurora '!Z40</f>
        <v>1951.0595192608473</v>
      </c>
      <c r="CS36" s="629">
        <f>+'PCR Aurora '!AA40</f>
        <v>1925.9158230062833</v>
      </c>
      <c r="CT36" s="629">
        <f>+'PCR Aurora '!AB40</f>
        <v>1951.0704885863584</v>
      </c>
      <c r="CU36" s="629">
        <f>+'PCR Aurora '!AC40</f>
        <v>1982.7376031147148</v>
      </c>
      <c r="CV36" s="368"/>
      <c r="CW36" s="368"/>
      <c r="CX36" s="368"/>
      <c r="CY36" s="235"/>
      <c r="CZ36" s="773" t="s">
        <v>593</v>
      </c>
    </row>
    <row r="37" spans="3:137" ht="15" thickBot="1" x14ac:dyDescent="0.4">
      <c r="C37" s="630" t="s">
        <v>474</v>
      </c>
      <c r="D37" s="631"/>
      <c r="E37" s="631"/>
      <c r="F37" s="631"/>
      <c r="G37" s="631"/>
      <c r="H37" s="631"/>
      <c r="I37" s="631"/>
      <c r="J37" s="631"/>
      <c r="K37" s="631"/>
      <c r="L37" s="631"/>
      <c r="M37" s="631"/>
      <c r="N37" s="631"/>
      <c r="O37" s="631"/>
      <c r="P37" s="631"/>
      <c r="Q37" s="631"/>
      <c r="R37" s="631"/>
      <c r="S37" s="631"/>
      <c r="T37" s="631"/>
      <c r="U37" s="631"/>
      <c r="V37" s="631"/>
      <c r="W37" s="631"/>
      <c r="X37" s="631"/>
      <c r="Y37" s="631"/>
      <c r="Z37" s="631"/>
      <c r="AA37" s="631"/>
      <c r="AB37" s="631"/>
      <c r="AC37" s="631"/>
      <c r="AD37" s="632"/>
      <c r="AE37" s="632"/>
      <c r="AF37" s="632"/>
      <c r="AG37" s="632"/>
      <c r="AH37" s="632"/>
      <c r="AI37" s="632"/>
      <c r="AJ37" s="632"/>
      <c r="AK37" s="632"/>
      <c r="AL37" s="632"/>
      <c r="AM37" s="632"/>
      <c r="AN37" s="632"/>
      <c r="AO37" s="632"/>
      <c r="AP37" s="632"/>
      <c r="AQ37" s="632"/>
      <c r="AR37" s="632"/>
      <c r="AS37" s="632"/>
      <c r="AT37" s="631"/>
      <c r="AU37" s="631"/>
      <c r="AV37" s="631"/>
      <c r="AW37" s="631"/>
      <c r="AX37" s="631"/>
      <c r="AY37" s="631"/>
      <c r="AZ37" s="631"/>
      <c r="BA37" s="631"/>
      <c r="BB37" s="633"/>
      <c r="BC37" s="633"/>
      <c r="BD37" s="633"/>
      <c r="BE37" s="633"/>
      <c r="BF37" s="633"/>
      <c r="BG37" s="633"/>
      <c r="BH37" s="633"/>
      <c r="BI37" s="633"/>
      <c r="BJ37" s="633"/>
      <c r="BK37" s="633"/>
      <c r="BL37" s="633">
        <f>+FIFO!J24</f>
        <v>1536.7815155498031</v>
      </c>
      <c r="BM37" s="634">
        <f>+FIFO!L24</f>
        <v>1541.7235892107569</v>
      </c>
      <c r="BN37" s="633">
        <f>+FIFO!N24</f>
        <v>1572.230546542331</v>
      </c>
      <c r="BO37" s="633">
        <f>+FIFO!P23</f>
        <v>0</v>
      </c>
      <c r="BP37" s="633">
        <f>+FIFO!R23</f>
        <v>0</v>
      </c>
      <c r="BQ37" s="633">
        <f>+FIFO!T23</f>
        <v>0</v>
      </c>
      <c r="BR37" s="633">
        <f>+FIFO!V23</f>
        <v>0</v>
      </c>
      <c r="BS37" s="633">
        <f>+FIFO!X23</f>
        <v>0</v>
      </c>
      <c r="BT37" s="633">
        <f>+FIFO!Z23</f>
        <v>0</v>
      </c>
      <c r="BU37" s="633">
        <f>+FIFO!AB24</f>
        <v>1640.10212820386</v>
      </c>
      <c r="BV37" s="633">
        <f>+FIFO!AD23</f>
        <v>0</v>
      </c>
      <c r="BW37" s="633">
        <f>+FIFO!AF23</f>
        <v>0</v>
      </c>
      <c r="BX37" s="633">
        <f>+FIFO!AH23</f>
        <v>0</v>
      </c>
      <c r="BY37" s="633">
        <f>+FIFO!AJ23</f>
        <v>0</v>
      </c>
      <c r="BZ37" s="633">
        <f>+FIFO!AL23</f>
        <v>0</v>
      </c>
      <c r="CA37" s="633">
        <f>+FIFO!AN23</f>
        <v>0</v>
      </c>
      <c r="CB37" s="633">
        <f>+FIFO!AP23</f>
        <v>0</v>
      </c>
      <c r="CC37" s="633">
        <f>+FIFO!AR23</f>
        <v>0</v>
      </c>
      <c r="CD37" s="633">
        <f>+FIFO!AT23</f>
        <v>0</v>
      </c>
      <c r="CE37" s="633">
        <f>+FIFO!AV23</f>
        <v>0</v>
      </c>
      <c r="CF37" s="633">
        <f>+FIFO!AX23</f>
        <v>0</v>
      </c>
      <c r="CG37" s="633">
        <f>+FIFO!AZ23</f>
        <v>0</v>
      </c>
      <c r="CH37" s="633"/>
      <c r="CI37" s="633"/>
      <c r="CJ37" s="633"/>
      <c r="CK37" s="635">
        <f>+FIFO!BH23</f>
        <v>0</v>
      </c>
      <c r="CL37" s="635" t="e">
        <f>+FIFO!#REF!</f>
        <v>#REF!</v>
      </c>
      <c r="CM37" s="635">
        <f>+FIFO!CA23</f>
        <v>0</v>
      </c>
      <c r="CN37" s="635">
        <f>+FIFO!CB23</f>
        <v>0</v>
      </c>
      <c r="CO37" s="635">
        <f>+FIFO!CC23</f>
        <v>0</v>
      </c>
      <c r="CP37" s="635">
        <f>+FIFO!CD23</f>
        <v>0</v>
      </c>
      <c r="CQ37" s="635">
        <f>+FIFO!CE23</f>
        <v>0</v>
      </c>
      <c r="CR37" s="635">
        <f>+FIFO!CF23</f>
        <v>0</v>
      </c>
      <c r="CS37" s="635">
        <f>+FIFO!CG23</f>
        <v>0</v>
      </c>
      <c r="CT37" s="635">
        <f>+FIFO!CH23</f>
        <v>0</v>
      </c>
      <c r="CU37" s="635">
        <f>+FIFO!CI23</f>
        <v>0</v>
      </c>
      <c r="CV37" s="707"/>
      <c r="CW37" s="707"/>
      <c r="CX37" s="707"/>
      <c r="CY37" s="235"/>
      <c r="CZ37" s="773" t="s">
        <v>601</v>
      </c>
    </row>
    <row r="38" spans="3:137" x14ac:dyDescent="0.35">
      <c r="C38" s="626" t="s">
        <v>515</v>
      </c>
      <c r="D38" s="7"/>
      <c r="E38" s="7"/>
      <c r="F38" s="7"/>
      <c r="G38" s="7"/>
      <c r="H38" s="7"/>
      <c r="I38" s="7"/>
      <c r="J38" s="7"/>
      <c r="K38" s="7"/>
      <c r="L38" s="7"/>
      <c r="M38" s="7"/>
      <c r="N38" s="7"/>
      <c r="O38" s="7"/>
      <c r="P38" s="7"/>
      <c r="Q38" s="7"/>
      <c r="R38" s="7"/>
      <c r="S38" s="7"/>
      <c r="T38" s="7"/>
      <c r="U38" s="7"/>
      <c r="V38" s="7"/>
      <c r="W38" s="7"/>
      <c r="X38" s="7"/>
      <c r="Y38" s="7"/>
      <c r="Z38" s="7" t="str">
        <f>+'PCR Enka'!C30</f>
        <v>Fecha</v>
      </c>
      <c r="AA38" s="7" t="str">
        <f>+'PCR Enka'!D30</f>
        <v>TRM</v>
      </c>
      <c r="AB38" s="7" t="str">
        <f>+'PCR Enka'!D30</f>
        <v>TRM</v>
      </c>
      <c r="AC38" s="7" t="str">
        <f>+'PCR Enka'!E30</f>
        <v>Fecha</v>
      </c>
      <c r="AD38" s="7" t="str">
        <f>+'PCR Enka'!E30</f>
        <v>Fecha</v>
      </c>
      <c r="AE38" s="119" t="str">
        <f>+'PCR Enka'!F30</f>
        <v>TRM</v>
      </c>
      <c r="AF38" s="119" t="str">
        <f>+'PCR Enka'!F30</f>
        <v>TRM</v>
      </c>
      <c r="AG38" s="119">
        <v>6</v>
      </c>
      <c r="AH38" s="119" t="str">
        <f>+'PCR Enka'!H30</f>
        <v>TRM</v>
      </c>
      <c r="AI38" s="119" t="str">
        <f>+'PCR Enka'!I30</f>
        <v>Fecha</v>
      </c>
      <c r="AJ38" s="119" t="str">
        <f>+'PCR Enka'!J30</f>
        <v>TRM</v>
      </c>
      <c r="AK38" s="119" t="str">
        <f>+'PCR Enka'!K30</f>
        <v>Fecha</v>
      </c>
      <c r="AL38" s="119" t="str">
        <f>+'PCR Enka'!L30</f>
        <v>TRM</v>
      </c>
      <c r="AM38" s="119" t="str">
        <f>+'PCR Enka'!M30</f>
        <v>Fecha</v>
      </c>
      <c r="AN38" s="119" t="str">
        <f>+'PCR Enka'!N30</f>
        <v>TRM</v>
      </c>
      <c r="AO38" s="119" t="str">
        <f>+'PCR Enka'!O30</f>
        <v>Fecha</v>
      </c>
      <c r="AP38" s="119" t="str">
        <f>+'PCR Enka'!P30</f>
        <v>TRM</v>
      </c>
      <c r="AQ38" s="119" t="str">
        <f>+'PCR Enka'!Q30</f>
        <v>Fecha</v>
      </c>
      <c r="AR38" s="119" t="str">
        <f>+'PCR Enka'!R30</f>
        <v>TRM</v>
      </c>
      <c r="AS38" s="119" t="str">
        <f>+'PCR Enka'!S30</f>
        <v>Fecha</v>
      </c>
      <c r="AT38" s="119" t="str">
        <f>+'PCR Enka'!T30</f>
        <v>TRM</v>
      </c>
      <c r="AU38" s="119" t="str">
        <f>+'PCR Enka'!U30</f>
        <v>Fecha</v>
      </c>
      <c r="AV38" s="119">
        <v>1842.1370411393989</v>
      </c>
      <c r="AW38" s="119">
        <v>1765.8141671880041</v>
      </c>
      <c r="AX38" s="119" t="str">
        <f>+'PCR Enka'!X30</f>
        <v>TRM</v>
      </c>
      <c r="AY38" s="119">
        <v>2007.3085977964388</v>
      </c>
      <c r="AZ38" s="119" t="str">
        <f>+'PCR Enka'!Z30</f>
        <v>TRM</v>
      </c>
      <c r="BA38" s="119" t="str">
        <f>+'PCR Enka'!AA30</f>
        <v>Fecha</v>
      </c>
      <c r="BB38" s="341" t="str">
        <f>+'PCR Enka'!AA30</f>
        <v>Fecha</v>
      </c>
      <c r="BC38" s="341" t="str">
        <f>+'PCR Enka'!AC30</f>
        <v>Fecha</v>
      </c>
      <c r="BD38" s="341" t="str">
        <f>+'PCR Enka'!AD30</f>
        <v>TRM</v>
      </c>
      <c r="BE38" s="341" t="str">
        <f>+'PCR Enka'!AE30</f>
        <v>Fecha</v>
      </c>
      <c r="BF38" s="341" t="str">
        <f>+'PCR Enka'!AF30</f>
        <v>TRM</v>
      </c>
      <c r="BG38" s="341" t="str">
        <f>+'PCR Enka'!AG30</f>
        <v>Fecha</v>
      </c>
      <c r="BH38" s="341" t="str">
        <f>+'PCR Enka'!AH30</f>
        <v>TRM</v>
      </c>
      <c r="BI38" s="341" t="str">
        <f>+'PCR Enka'!AI30</f>
        <v>Fecha</v>
      </c>
      <c r="BJ38" s="341" t="str">
        <f>+'PCR Enka'!AJ30</f>
        <v>TRM</v>
      </c>
      <c r="BK38" s="341" t="str">
        <f>+'PCR Enka'!AK30</f>
        <v>Fecha</v>
      </c>
      <c r="BL38" s="341" t="str">
        <f>+'PCR Enka'!AL30</f>
        <v>TRM</v>
      </c>
      <c r="BM38" s="382" t="str">
        <f>+'PCR Enka'!AM30</f>
        <v>Fecha</v>
      </c>
      <c r="BN38" s="341" t="str">
        <f>+'PCR Enka'!AN30</f>
        <v>TRM</v>
      </c>
      <c r="BO38" s="341" t="str">
        <f>+'PCR Enka'!AO30</f>
        <v>Fecha</v>
      </c>
      <c r="BP38" s="341" t="str">
        <f>+'PCR Enka'!AP30</f>
        <v>TRM</v>
      </c>
      <c r="BQ38" s="341" t="str">
        <f>+'PCR Enka'!AQ30</f>
        <v>Fecha</v>
      </c>
      <c r="BR38" s="341" t="str">
        <f>+'PCR Enka'!AR30</f>
        <v>TRM</v>
      </c>
      <c r="BS38" s="341" t="str">
        <f>+'PCR Enka'!AS30</f>
        <v>Fecha</v>
      </c>
      <c r="BT38" s="341" t="str">
        <f>+'PCR Enka'!AT30</f>
        <v>TRM</v>
      </c>
      <c r="BU38" s="341">
        <f>+' PCR Enkador'!AF138</f>
        <v>97.700896955616443</v>
      </c>
      <c r="BV38" s="341">
        <f>+' PCR Enkador'!AG138</f>
        <v>97.700896955616443</v>
      </c>
      <c r="BW38" s="341">
        <f>+' PCR Enkador'!AH138</f>
        <v>98.610693637260283</v>
      </c>
      <c r="BX38" s="341">
        <f>+' PCR Enkador'!AI138</f>
        <v>98.610693637260283</v>
      </c>
      <c r="BY38" s="341">
        <f>+' PCR Enkador'!AI138</f>
        <v>98.610693637260283</v>
      </c>
      <c r="BZ38" s="341">
        <f>+' PCR Enkador'!AK138</f>
        <v>98.610693637260283</v>
      </c>
      <c r="CA38" s="341">
        <f>+' PCR Enkador'!AL138</f>
        <v>98.610693637260283</v>
      </c>
      <c r="CB38" s="341">
        <f>+' PCR Enkador'!AM138</f>
        <v>98.610693637260283</v>
      </c>
      <c r="CC38" s="341">
        <f>+' PCR Enkador'!AN138</f>
        <v>98.610693637260283</v>
      </c>
      <c r="CD38" s="341">
        <f>+' PCR Enkador'!AO138</f>
        <v>98.610693637260283</v>
      </c>
      <c r="CE38" s="341">
        <f>+' PCR Enkador'!AP138</f>
        <v>98.610693637260283</v>
      </c>
      <c r="CF38" s="341">
        <f>+' PCR Enkador'!AQ138</f>
        <v>98.610693637260283</v>
      </c>
      <c r="CG38" s="341">
        <f>+' PCR Enkador'!AR138</f>
        <v>98.009901518904115</v>
      </c>
      <c r="CH38" s="341"/>
      <c r="CI38" s="341"/>
      <c r="CJ38" s="341"/>
      <c r="CK38" s="629">
        <f>+'PCR Aurora '!S42</f>
        <v>0</v>
      </c>
      <c r="CL38" s="629">
        <f>+'PCR Aurora '!T42</f>
        <v>0</v>
      </c>
      <c r="CM38" s="629">
        <f>+'PCR Aurora '!U42</f>
        <v>0</v>
      </c>
      <c r="CN38" s="629">
        <f>+'PCR Aurora '!V42</f>
        <v>0</v>
      </c>
      <c r="CO38" s="629">
        <f>+'PCR Aurora '!W42</f>
        <v>0</v>
      </c>
      <c r="CP38" s="629">
        <f>+'PCR Aurora '!X42</f>
        <v>0</v>
      </c>
      <c r="CQ38" s="629">
        <f>+'PCR Aurora '!Y42</f>
        <v>0</v>
      </c>
      <c r="CR38" s="629">
        <f>+'PCR Aurora '!Z42</f>
        <v>0</v>
      </c>
      <c r="CS38" s="629">
        <f>+'PCR Aurora '!AA42</f>
        <v>1825.9158230062833</v>
      </c>
      <c r="CT38" s="629">
        <f>+'PCR Aurora '!AB42</f>
        <v>1851.0704885863584</v>
      </c>
      <c r="CU38" s="629">
        <f>+'PCR Aurora '!AC42</f>
        <v>1882.7376031147148</v>
      </c>
      <c r="CV38" s="368"/>
      <c r="CW38" s="368"/>
      <c r="CX38" s="368"/>
      <c r="CY38" s="235"/>
    </row>
    <row r="39" spans="3:137" ht="15" thickBot="1" x14ac:dyDescent="0.4">
      <c r="C39" s="630" t="s">
        <v>474</v>
      </c>
      <c r="D39" s="631"/>
      <c r="E39" s="631"/>
      <c r="F39" s="631"/>
      <c r="G39" s="631"/>
      <c r="H39" s="631"/>
      <c r="I39" s="631"/>
      <c r="J39" s="631"/>
      <c r="K39" s="631"/>
      <c r="L39" s="631"/>
      <c r="M39" s="631"/>
      <c r="N39" s="631"/>
      <c r="O39" s="631"/>
      <c r="P39" s="631"/>
      <c r="Q39" s="631"/>
      <c r="R39" s="631"/>
      <c r="S39" s="631"/>
      <c r="T39" s="631"/>
      <c r="U39" s="631"/>
      <c r="V39" s="631"/>
      <c r="W39" s="631"/>
      <c r="X39" s="631"/>
      <c r="Y39" s="631"/>
      <c r="Z39" s="631"/>
      <c r="AA39" s="631"/>
      <c r="AB39" s="631"/>
      <c r="AC39" s="631"/>
      <c r="AD39" s="632"/>
      <c r="AE39" s="632"/>
      <c r="AF39" s="632"/>
      <c r="AG39" s="632"/>
      <c r="AH39" s="632"/>
      <c r="AI39" s="632"/>
      <c r="AJ39" s="632"/>
      <c r="AK39" s="632"/>
      <c r="AL39" s="632"/>
      <c r="AM39" s="632"/>
      <c r="AN39" s="632"/>
      <c r="AO39" s="632"/>
      <c r="AP39" s="632"/>
      <c r="AQ39" s="632"/>
      <c r="AR39" s="632"/>
      <c r="AS39" s="632"/>
      <c r="AT39" s="631"/>
      <c r="AU39" s="631"/>
      <c r="AV39" s="631"/>
      <c r="AW39" s="631"/>
      <c r="AX39" s="631"/>
      <c r="AY39" s="631"/>
      <c r="AZ39" s="631"/>
      <c r="BA39" s="631"/>
      <c r="BB39" s="633"/>
      <c r="BC39" s="633"/>
      <c r="BD39" s="633"/>
      <c r="BE39" s="633"/>
      <c r="BF39" s="633"/>
      <c r="BG39" s="633"/>
      <c r="BH39" s="633"/>
      <c r="BI39" s="633"/>
      <c r="BJ39" s="633"/>
      <c r="BK39" s="633"/>
      <c r="BL39" s="633">
        <f>+FIFO!J26</f>
        <v>1541.7235892107569</v>
      </c>
      <c r="BM39" s="634">
        <f>+FIFO!L26</f>
        <v>1572.2305465423312</v>
      </c>
      <c r="BN39" s="633">
        <f>+FIFO!N26</f>
        <v>1582.7074802349359</v>
      </c>
      <c r="BO39" s="633">
        <f>+FIFO!P25</f>
        <v>1688.6912974827455</v>
      </c>
      <c r="BP39" s="633">
        <f>+FIFO!R25</f>
        <v>1735.1045764497517</v>
      </c>
      <c r="BQ39" s="633">
        <f>+FIFO!T25</f>
        <v>1696.676434238959</v>
      </c>
      <c r="BR39" s="633">
        <f>+FIFO!V25</f>
        <v>1687.159582626314</v>
      </c>
      <c r="BS39" s="633">
        <f>+FIFO!X25</f>
        <v>1717.7417025972566</v>
      </c>
      <c r="BT39" s="633">
        <f>+FIFO!Z25</f>
        <v>1819.4161938292741</v>
      </c>
      <c r="BU39" s="633">
        <f>+FIFO!AB26</f>
        <v>1640.10212820386</v>
      </c>
      <c r="BV39" s="633">
        <f>+FIFO!AD25</f>
        <v>0</v>
      </c>
      <c r="BW39" s="633">
        <f>+FIFO!AF25</f>
        <v>0</v>
      </c>
      <c r="BX39" s="633">
        <f>+FIFO!AH25</f>
        <v>0</v>
      </c>
      <c r="BY39" s="633">
        <f>+FIFO!AJ25</f>
        <v>0</v>
      </c>
      <c r="BZ39" s="633">
        <f>+FIFO!AL25</f>
        <v>0</v>
      </c>
      <c r="CA39" s="633">
        <f>+FIFO!AN25</f>
        <v>1970.9734266146086</v>
      </c>
      <c r="CB39" s="633">
        <f>+FIFO!AP25</f>
        <v>2046.3999424020699</v>
      </c>
      <c r="CC39" s="633">
        <f>+FIFO!AR25</f>
        <v>2115.9075847505155</v>
      </c>
      <c r="CD39" s="633">
        <f>+FIFO!AT25</f>
        <v>2145.6481580107643</v>
      </c>
      <c r="CE39" s="633">
        <f>+FIFO!AV25</f>
        <v>2183.3734282789374</v>
      </c>
      <c r="CF39" s="633">
        <f>+FIFO!AX25</f>
        <v>2108.329905916713</v>
      </c>
      <c r="CG39" s="633">
        <f>+FIFO!AZ25</f>
        <v>2139.8630010747324</v>
      </c>
      <c r="CH39" s="633"/>
      <c r="CI39" s="633"/>
      <c r="CJ39" s="633"/>
      <c r="CK39" s="635">
        <f>+FIFO!BH25</f>
        <v>2252.0119787324898</v>
      </c>
      <c r="CL39" s="635" t="e">
        <f>+FIFO!#REF!</f>
        <v>#REF!</v>
      </c>
      <c r="CM39" s="635">
        <f>+FIFO!CA25</f>
        <v>0</v>
      </c>
      <c r="CN39" s="635">
        <f>+FIFO!CB25</f>
        <v>0</v>
      </c>
      <c r="CO39" s="635">
        <f>+FIFO!CC25</f>
        <v>0</v>
      </c>
      <c r="CP39" s="635">
        <f>+FIFO!CD25</f>
        <v>0</v>
      </c>
      <c r="CQ39" s="635">
        <f>+FIFO!CE25</f>
        <v>0</v>
      </c>
      <c r="CR39" s="635">
        <f>+FIFO!CF25</f>
        <v>0</v>
      </c>
      <c r="CS39" s="635">
        <f>+FIFO!CG25</f>
        <v>0</v>
      </c>
      <c r="CT39" s="635">
        <f>+FIFO!CH25</f>
        <v>0</v>
      </c>
      <c r="CU39" s="635">
        <f>+FIFO!CI25</f>
        <v>0</v>
      </c>
      <c r="CV39" s="707"/>
      <c r="CW39" s="707"/>
      <c r="CX39" s="707"/>
      <c r="CY39" s="235"/>
    </row>
    <row r="40" spans="3:137" ht="11.25" customHeight="1" thickBot="1" x14ac:dyDescent="0.4">
      <c r="C40" s="369"/>
      <c r="D40" s="235"/>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C40" s="235"/>
      <c r="AT40" s="235"/>
      <c r="AU40" s="235"/>
      <c r="AV40" s="235"/>
      <c r="AW40" s="235"/>
      <c r="AX40" s="235"/>
      <c r="AY40" s="235"/>
      <c r="AZ40" s="235"/>
      <c r="BA40" s="235"/>
      <c r="BB40" s="368"/>
      <c r="BC40" s="368"/>
      <c r="BD40" s="368"/>
      <c r="BE40" s="368"/>
      <c r="BF40" s="368"/>
      <c r="BG40" s="368"/>
      <c r="BH40" s="368"/>
      <c r="BI40" s="368"/>
      <c r="BJ40" s="368"/>
      <c r="BK40" s="368"/>
      <c r="BL40" s="368"/>
      <c r="BM40" s="368"/>
      <c r="BN40" s="368"/>
      <c r="BO40" s="368"/>
      <c r="BP40" s="368"/>
      <c r="BQ40" s="368"/>
      <c r="BR40" s="368"/>
      <c r="BS40" s="368"/>
      <c r="BT40" s="368"/>
      <c r="BU40" s="368"/>
      <c r="BV40" s="368"/>
      <c r="BW40" s="368"/>
      <c r="BX40" s="368"/>
      <c r="BY40" s="368"/>
      <c r="BZ40" s="368"/>
      <c r="CA40" s="368"/>
      <c r="CB40" s="368"/>
      <c r="CC40" s="368"/>
      <c r="CD40" s="368"/>
      <c r="CE40" s="368"/>
      <c r="CF40" s="368"/>
      <c r="CG40" s="368"/>
      <c r="CH40" s="368"/>
      <c r="CI40" s="368"/>
      <c r="CJ40" s="368"/>
      <c r="CK40" s="368"/>
      <c r="CL40" s="368"/>
      <c r="CM40" s="368"/>
      <c r="CN40" s="368"/>
      <c r="CO40" s="368"/>
      <c r="CP40" s="368"/>
      <c r="CQ40" s="368"/>
      <c r="CR40" s="368"/>
      <c r="CS40" s="368"/>
      <c r="CT40" s="368"/>
      <c r="CU40" s="368"/>
      <c r="CV40" s="368"/>
      <c r="CW40" s="368"/>
      <c r="CX40" s="368"/>
      <c r="CY40" s="235"/>
    </row>
    <row r="41" spans="3:137" ht="14.15" customHeight="1" x14ac:dyDescent="0.35">
      <c r="C41" s="636" t="s">
        <v>476</v>
      </c>
      <c r="D41" s="637"/>
      <c r="E41" s="637"/>
      <c r="F41" s="637"/>
      <c r="G41" s="637"/>
      <c r="H41" s="637"/>
      <c r="I41" s="637"/>
      <c r="J41" s="637"/>
      <c r="K41" s="637"/>
      <c r="L41" s="637"/>
      <c r="M41" s="637"/>
      <c r="N41" s="637"/>
      <c r="O41" s="637"/>
      <c r="P41" s="637"/>
      <c r="Q41" s="637"/>
      <c r="R41" s="637"/>
      <c r="S41" s="637"/>
      <c r="T41" s="637"/>
      <c r="U41" s="637"/>
      <c r="V41" s="638">
        <f>+(V32*50%)+(V66*50%)</f>
        <v>531.97998060445207</v>
      </c>
      <c r="W41" s="639">
        <f t="shared" ref="W41:AJ41" si="29">+(W26*50%)+(W32*50%)</f>
        <v>1100.7609994321949</v>
      </c>
      <c r="X41" s="639">
        <f t="shared" si="29"/>
        <v>1121.6234418466331</v>
      </c>
      <c r="Y41" s="639">
        <f t="shared" si="29"/>
        <v>1241.4705784067392</v>
      </c>
      <c r="Z41" s="639">
        <f t="shared" si="29"/>
        <v>1204.735912483266</v>
      </c>
      <c r="AA41" s="639">
        <f t="shared" si="29"/>
        <v>1154.2059420913538</v>
      </c>
      <c r="AB41" s="639">
        <f t="shared" si="29"/>
        <v>1186.407044</v>
      </c>
      <c r="AC41" s="639">
        <f t="shared" si="29"/>
        <v>1163.0801626887455</v>
      </c>
      <c r="AD41" s="639">
        <f t="shared" si="29"/>
        <v>1174.2220439999999</v>
      </c>
      <c r="AE41" s="639">
        <f t="shared" si="29"/>
        <v>1181.4777297732207</v>
      </c>
      <c r="AF41" s="639">
        <f t="shared" si="29"/>
        <v>1184.1997916666667</v>
      </c>
      <c r="AG41" s="639">
        <f t="shared" si="29"/>
        <v>1169.672178634733</v>
      </c>
      <c r="AH41" s="639">
        <f t="shared" si="29"/>
        <v>1162.5752731141849</v>
      </c>
      <c r="AI41" s="639">
        <f t="shared" si="29"/>
        <v>1163.7354659718508</v>
      </c>
      <c r="AJ41" s="639">
        <f t="shared" si="29"/>
        <v>1149.9627481324496</v>
      </c>
      <c r="AK41" s="639" t="e">
        <f t="shared" ref="AK41:AP41" si="30">+(AK27*50%)+(AK32*50%)</f>
        <v>#REF!</v>
      </c>
      <c r="AL41" s="639" t="e">
        <f t="shared" si="30"/>
        <v>#REF!</v>
      </c>
      <c r="AM41" s="639" t="e">
        <f t="shared" si="30"/>
        <v>#REF!</v>
      </c>
      <c r="AN41" s="639" t="e">
        <f t="shared" si="30"/>
        <v>#REF!</v>
      </c>
      <c r="AO41" s="639" t="e">
        <f t="shared" si="30"/>
        <v>#REF!</v>
      </c>
      <c r="AP41" s="639" t="e">
        <f t="shared" si="30"/>
        <v>#REF!</v>
      </c>
      <c r="AQ41" s="639" t="e">
        <f>+(AQ28*50%)+(AQ33*50%)</f>
        <v>#REF!</v>
      </c>
      <c r="AR41" s="639" t="e">
        <f>+(AR28*50%)+(AR33*50%)</f>
        <v>#REF!</v>
      </c>
      <c r="AS41" s="639" t="e">
        <f>+(AS28*50%)+(AS33*50%)</f>
        <v>#REF!</v>
      </c>
      <c r="AT41" s="639" t="e">
        <f>+(AT28*50%)+(AT33*50%)</f>
        <v>#REF!</v>
      </c>
      <c r="AU41" s="639" t="e">
        <f>+(AU28*50%)+(AU33*50%)</f>
        <v>#REF!</v>
      </c>
      <c r="AV41" s="639">
        <v>1861.466542289354</v>
      </c>
      <c r="AW41" s="639">
        <v>1854.0005185934865</v>
      </c>
      <c r="AX41" s="639" t="e">
        <f>+(AX28*50%)+(AX33*50%)</f>
        <v>#REF!</v>
      </c>
      <c r="AY41" s="639">
        <v>1992.3237885436697</v>
      </c>
      <c r="AZ41" s="639" t="e">
        <f>+(AZ28*50%)+(AZ33*50%)</f>
        <v>#REF!</v>
      </c>
      <c r="BA41" s="639" t="e">
        <f>+(BA28*50%)+(BA33*50%)</f>
        <v>#REF!</v>
      </c>
      <c r="BB41" s="640" t="e">
        <f>+(BB28*50%)+(BB33*50%)</f>
        <v>#REF!</v>
      </c>
      <c r="BC41" s="640" t="e">
        <f t="shared" ref="BC41:CJ41" si="31">+(BC30*50%)+(BC33*50%)</f>
        <v>#REF!</v>
      </c>
      <c r="BD41" s="640" t="e">
        <f t="shared" si="31"/>
        <v>#REF!</v>
      </c>
      <c r="BE41" s="640" t="e">
        <f t="shared" si="31"/>
        <v>#REF!</v>
      </c>
      <c r="BF41" s="640" t="e">
        <f t="shared" si="31"/>
        <v>#REF!</v>
      </c>
      <c r="BG41" s="640" t="e">
        <f t="shared" si="31"/>
        <v>#REF!</v>
      </c>
      <c r="BH41" s="640" t="e">
        <f t="shared" si="31"/>
        <v>#REF!</v>
      </c>
      <c r="BI41" s="640" t="e">
        <f t="shared" si="31"/>
        <v>#REF!</v>
      </c>
      <c r="BJ41" s="640" t="e">
        <f t="shared" si="31"/>
        <v>#REF!</v>
      </c>
      <c r="BK41" s="640" t="e">
        <f t="shared" si="31"/>
        <v>#REF!</v>
      </c>
      <c r="BL41" s="640" t="e">
        <f t="shared" si="31"/>
        <v>#REF!</v>
      </c>
      <c r="BM41" s="640">
        <f t="shared" si="31"/>
        <v>1483.0104087484538</v>
      </c>
      <c r="BN41" s="640">
        <f t="shared" si="31"/>
        <v>1501.4496727971259</v>
      </c>
      <c r="BO41" s="640">
        <f t="shared" si="31"/>
        <v>1514.4894841071437</v>
      </c>
      <c r="BP41" s="640">
        <f t="shared" si="31"/>
        <v>1514.2021112237228</v>
      </c>
      <c r="BQ41" s="640">
        <f t="shared" si="31"/>
        <v>1500.3900191889638</v>
      </c>
      <c r="BR41" s="640">
        <f t="shared" si="31"/>
        <v>1502.7587359493461</v>
      </c>
      <c r="BS41" s="640">
        <f t="shared" si="31"/>
        <v>1519.6040807107081</v>
      </c>
      <c r="BT41" s="640">
        <f t="shared" si="31"/>
        <v>1556.903301584078</v>
      </c>
      <c r="BU41" s="640">
        <f t="shared" si="31"/>
        <v>1578.2366120680508</v>
      </c>
      <c r="BV41" s="640">
        <f t="shared" si="31"/>
        <v>1524.5436847916899</v>
      </c>
      <c r="BW41" s="640">
        <f t="shared" si="31"/>
        <v>1546.8242281496409</v>
      </c>
      <c r="BX41" s="640">
        <f t="shared" si="31"/>
        <v>1571.3622610428301</v>
      </c>
      <c r="BY41" s="640">
        <f t="shared" si="31"/>
        <v>1616.0823127115993</v>
      </c>
      <c r="BZ41" s="640">
        <f t="shared" si="31"/>
        <v>1630.2402586743387</v>
      </c>
      <c r="CA41" s="640">
        <f t="shared" si="31"/>
        <v>1727.3097354251356</v>
      </c>
      <c r="CB41" s="640">
        <f t="shared" si="31"/>
        <v>1812.3544585406971</v>
      </c>
      <c r="CC41" s="640">
        <f t="shared" si="31"/>
        <v>1828.3283653083065</v>
      </c>
      <c r="CD41" s="640">
        <f t="shared" si="31"/>
        <v>1838.2396033401255</v>
      </c>
      <c r="CE41" s="640">
        <f t="shared" si="31"/>
        <v>1816.488819540328</v>
      </c>
      <c r="CF41" s="640">
        <f t="shared" si="31"/>
        <v>1775.0012750028022</v>
      </c>
      <c r="CG41" s="640">
        <f t="shared" si="31"/>
        <v>1770.5674922789794</v>
      </c>
      <c r="CH41" s="640">
        <f t="shared" si="31"/>
        <v>1766.4881804760423</v>
      </c>
      <c r="CI41" s="640">
        <f t="shared" si="31"/>
        <v>1806.0387301414562</v>
      </c>
      <c r="CJ41" s="640">
        <f t="shared" si="31"/>
        <v>1794.7595377648463</v>
      </c>
      <c r="CK41" s="641">
        <f t="shared" ref="CK41:CU41" si="32">+(CK30*50%)+(CK36*50%)</f>
        <v>1732.6105101220494</v>
      </c>
      <c r="CL41" s="641">
        <f t="shared" si="32"/>
        <v>1736.1741503749959</v>
      </c>
      <c r="CM41" s="641">
        <f t="shared" si="32"/>
        <v>1730.1270284058214</v>
      </c>
      <c r="CN41" s="641">
        <f t="shared" si="32"/>
        <v>1759.7593829798645</v>
      </c>
      <c r="CO41" s="641">
        <f t="shared" si="32"/>
        <v>1630.5479441727384</v>
      </c>
      <c r="CP41" s="641">
        <f t="shared" si="32"/>
        <v>1611.7818162375968</v>
      </c>
      <c r="CQ41" s="641">
        <f t="shared" si="32"/>
        <v>1594.1293607715345</v>
      </c>
      <c r="CR41" s="641">
        <f t="shared" si="32"/>
        <v>1576.2434219170254</v>
      </c>
      <c r="CS41" s="641">
        <f t="shared" si="32"/>
        <v>1548.4324709979751</v>
      </c>
      <c r="CT41" s="641">
        <f t="shared" si="32"/>
        <v>1544.1050559351659</v>
      </c>
      <c r="CU41" s="641">
        <f t="shared" si="32"/>
        <v>1552.5564282985902</v>
      </c>
      <c r="CV41" s="785"/>
      <c r="CW41" s="785"/>
      <c r="CX41" s="785"/>
      <c r="CY41" s="240"/>
      <c r="CZ41" s="22"/>
      <c r="EG41" s="491"/>
    </row>
    <row r="42" spans="3:137" ht="14.15" customHeight="1" x14ac:dyDescent="0.35">
      <c r="C42" s="642" t="s">
        <v>125</v>
      </c>
      <c r="D42" s="36"/>
      <c r="E42" s="36"/>
      <c r="F42" s="36"/>
      <c r="G42" s="36"/>
      <c r="H42" s="36"/>
      <c r="I42" s="36"/>
      <c r="J42" s="36"/>
      <c r="K42" s="36"/>
      <c r="L42" s="36"/>
      <c r="M42" s="36"/>
      <c r="N42" s="36"/>
      <c r="O42" s="36"/>
      <c r="P42" s="36"/>
      <c r="Q42" s="36"/>
      <c r="R42" s="36"/>
      <c r="S42" s="36"/>
      <c r="T42" s="36"/>
      <c r="U42" s="36"/>
      <c r="V42" s="8">
        <f t="shared" ref="V42:AU42" si="33">+V41*1%</f>
        <v>5.3197998060445206</v>
      </c>
      <c r="W42" s="8">
        <f t="shared" si="33"/>
        <v>11.00760999432195</v>
      </c>
      <c r="X42" s="8">
        <f t="shared" si="33"/>
        <v>11.216234418466332</v>
      </c>
      <c r="Y42" s="8">
        <f t="shared" si="33"/>
        <v>12.414705784067392</v>
      </c>
      <c r="Z42" s="8">
        <f t="shared" si="33"/>
        <v>12.04735912483266</v>
      </c>
      <c r="AA42" s="8">
        <f t="shared" si="33"/>
        <v>11.542059420913539</v>
      </c>
      <c r="AB42" s="8">
        <f t="shared" si="33"/>
        <v>11.864070440000001</v>
      </c>
      <c r="AC42" s="8">
        <f t="shared" si="33"/>
        <v>11.630801626887456</v>
      </c>
      <c r="AD42" s="8">
        <f t="shared" si="33"/>
        <v>11.742220439999999</v>
      </c>
      <c r="AE42" s="8">
        <f t="shared" si="33"/>
        <v>11.814777297732208</v>
      </c>
      <c r="AF42" s="8">
        <f t="shared" si="33"/>
        <v>11.841997916666667</v>
      </c>
      <c r="AG42" s="8">
        <f t="shared" si="33"/>
        <v>11.696721786347331</v>
      </c>
      <c r="AH42" s="8">
        <f t="shared" si="33"/>
        <v>11.62575273114185</v>
      </c>
      <c r="AI42" s="8">
        <f t="shared" si="33"/>
        <v>11.637354659718508</v>
      </c>
      <c r="AJ42" s="8">
        <f t="shared" si="33"/>
        <v>11.499627481324497</v>
      </c>
      <c r="AK42" s="8" t="e">
        <f t="shared" si="33"/>
        <v>#REF!</v>
      </c>
      <c r="AL42" s="8" t="e">
        <f t="shared" si="33"/>
        <v>#REF!</v>
      </c>
      <c r="AM42" s="8" t="e">
        <f t="shared" si="33"/>
        <v>#REF!</v>
      </c>
      <c r="AN42" s="8" t="e">
        <f t="shared" si="33"/>
        <v>#REF!</v>
      </c>
      <c r="AO42" s="8" t="e">
        <f t="shared" si="33"/>
        <v>#REF!</v>
      </c>
      <c r="AP42" s="8" t="e">
        <f t="shared" si="33"/>
        <v>#REF!</v>
      </c>
      <c r="AQ42" s="8" t="e">
        <f t="shared" si="33"/>
        <v>#REF!</v>
      </c>
      <c r="AR42" s="8" t="e">
        <f t="shared" si="33"/>
        <v>#REF!</v>
      </c>
      <c r="AS42" s="8" t="e">
        <f t="shared" si="33"/>
        <v>#REF!</v>
      </c>
      <c r="AT42" s="8" t="e">
        <f t="shared" si="33"/>
        <v>#REF!</v>
      </c>
      <c r="AU42" s="8" t="e">
        <f t="shared" si="33"/>
        <v>#REF!</v>
      </c>
      <c r="AV42" s="8">
        <v>18.614665422893541</v>
      </c>
      <c r="AW42" s="8">
        <v>18.540005185934866</v>
      </c>
      <c r="AX42" s="8" t="e">
        <f>+AX41*1%</f>
        <v>#REF!</v>
      </c>
      <c r="AY42" s="8">
        <v>19.923237885436698</v>
      </c>
      <c r="AZ42" s="8" t="e">
        <f t="shared" ref="AZ42:CU42" si="34">+AZ41*1%</f>
        <v>#REF!</v>
      </c>
      <c r="BA42" s="8" t="e">
        <f t="shared" si="34"/>
        <v>#REF!</v>
      </c>
      <c r="BB42" s="334" t="e">
        <f t="shared" si="34"/>
        <v>#REF!</v>
      </c>
      <c r="BC42" s="334" t="e">
        <f t="shared" si="34"/>
        <v>#REF!</v>
      </c>
      <c r="BD42" s="334" t="e">
        <f t="shared" si="34"/>
        <v>#REF!</v>
      </c>
      <c r="BE42" s="334" t="e">
        <f t="shared" si="34"/>
        <v>#REF!</v>
      </c>
      <c r="BF42" s="334" t="e">
        <f t="shared" si="34"/>
        <v>#REF!</v>
      </c>
      <c r="BG42" s="334" t="e">
        <f t="shared" si="34"/>
        <v>#REF!</v>
      </c>
      <c r="BH42" s="334" t="e">
        <f t="shared" si="34"/>
        <v>#REF!</v>
      </c>
      <c r="BI42" s="334" t="e">
        <f t="shared" si="34"/>
        <v>#REF!</v>
      </c>
      <c r="BJ42" s="334" t="e">
        <f t="shared" si="34"/>
        <v>#REF!</v>
      </c>
      <c r="BK42" s="334" t="e">
        <f t="shared" si="34"/>
        <v>#REF!</v>
      </c>
      <c r="BL42" s="334" t="e">
        <f t="shared" si="34"/>
        <v>#REF!</v>
      </c>
      <c r="BM42" s="334">
        <f t="shared" si="34"/>
        <v>14.830104087484537</v>
      </c>
      <c r="BN42" s="334">
        <f t="shared" si="34"/>
        <v>15.01449672797126</v>
      </c>
      <c r="BO42" s="334">
        <f t="shared" si="34"/>
        <v>15.144894841071437</v>
      </c>
      <c r="BP42" s="334">
        <f t="shared" si="34"/>
        <v>15.142021112237229</v>
      </c>
      <c r="BQ42" s="334">
        <f t="shared" si="34"/>
        <v>15.003900191889638</v>
      </c>
      <c r="BR42" s="334">
        <f t="shared" si="34"/>
        <v>15.027587359493461</v>
      </c>
      <c r="BS42" s="334">
        <f t="shared" si="34"/>
        <v>15.196040807107082</v>
      </c>
      <c r="BT42" s="334">
        <f t="shared" si="34"/>
        <v>15.56903301584078</v>
      </c>
      <c r="BU42" s="334">
        <f t="shared" si="34"/>
        <v>15.782366120680509</v>
      </c>
      <c r="BV42" s="334">
        <f t="shared" si="34"/>
        <v>15.245436847916899</v>
      </c>
      <c r="BW42" s="334">
        <f t="shared" si="34"/>
        <v>15.46824228149641</v>
      </c>
      <c r="BX42" s="334">
        <f t="shared" si="34"/>
        <v>15.713622610428303</v>
      </c>
      <c r="BY42" s="334">
        <f t="shared" si="34"/>
        <v>16.160823127115993</v>
      </c>
      <c r="BZ42" s="334">
        <f t="shared" si="34"/>
        <v>16.302402586743387</v>
      </c>
      <c r="CA42" s="334">
        <f t="shared" si="34"/>
        <v>17.273097354251355</v>
      </c>
      <c r="CB42" s="334">
        <f t="shared" si="34"/>
        <v>18.123544585406972</v>
      </c>
      <c r="CC42" s="334">
        <f t="shared" si="34"/>
        <v>18.283283653083064</v>
      </c>
      <c r="CD42" s="334">
        <f t="shared" si="34"/>
        <v>18.382396033401257</v>
      </c>
      <c r="CE42" s="334">
        <f t="shared" si="34"/>
        <v>18.164888195403279</v>
      </c>
      <c r="CF42" s="334">
        <f t="shared" si="34"/>
        <v>17.750012750028024</v>
      </c>
      <c r="CG42" s="334">
        <f t="shared" si="34"/>
        <v>17.705674922789793</v>
      </c>
      <c r="CH42" s="334">
        <f t="shared" si="34"/>
        <v>17.664881804760423</v>
      </c>
      <c r="CI42" s="334">
        <f t="shared" si="34"/>
        <v>18.060387301414561</v>
      </c>
      <c r="CJ42" s="334">
        <f t="shared" si="34"/>
        <v>17.947595377648465</v>
      </c>
      <c r="CK42" s="616">
        <f t="shared" si="34"/>
        <v>17.326105101220495</v>
      </c>
      <c r="CL42" s="616">
        <f t="shared" si="34"/>
        <v>17.361741503749958</v>
      </c>
      <c r="CM42" s="616">
        <f t="shared" si="34"/>
        <v>17.301270284058216</v>
      </c>
      <c r="CN42" s="616">
        <f t="shared" si="34"/>
        <v>17.597593829798647</v>
      </c>
      <c r="CO42" s="616">
        <f t="shared" si="34"/>
        <v>16.305479441727385</v>
      </c>
      <c r="CP42" s="616">
        <f t="shared" si="34"/>
        <v>16.117818162375968</v>
      </c>
      <c r="CQ42" s="616">
        <f t="shared" si="34"/>
        <v>15.941293607715345</v>
      </c>
      <c r="CR42" s="616">
        <f t="shared" si="34"/>
        <v>15.762434219170254</v>
      </c>
      <c r="CS42" s="616">
        <f t="shared" si="34"/>
        <v>15.484324709979751</v>
      </c>
      <c r="CT42" s="616">
        <f t="shared" si="34"/>
        <v>15.441050559351659</v>
      </c>
      <c r="CU42" s="616">
        <f t="shared" si="34"/>
        <v>15.525564282985902</v>
      </c>
      <c r="CV42" s="779"/>
      <c r="CW42" s="779"/>
      <c r="CX42" s="779"/>
      <c r="CY42" s="235"/>
    </row>
    <row r="43" spans="3:137" x14ac:dyDescent="0.35">
      <c r="C43" s="626" t="s">
        <v>126</v>
      </c>
      <c r="D43" s="36"/>
      <c r="E43" s="36"/>
      <c r="F43" s="36"/>
      <c r="G43" s="36"/>
      <c r="H43" s="490"/>
      <c r="I43" s="490"/>
      <c r="J43" s="490"/>
      <c r="K43" s="493"/>
      <c r="L43" s="36"/>
      <c r="M43" s="36"/>
      <c r="N43" s="36"/>
      <c r="O43" s="36"/>
      <c r="P43" s="36"/>
      <c r="Q43" s="36"/>
      <c r="R43" s="36"/>
      <c r="S43" s="36"/>
      <c r="T43" s="36"/>
      <c r="U43" s="36"/>
      <c r="V43" s="28">
        <f t="shared" ref="V43:AS43" si="35">+V42+V41</f>
        <v>537.29978041049662</v>
      </c>
      <c r="W43" s="28">
        <f t="shared" si="35"/>
        <v>1111.7686094265168</v>
      </c>
      <c r="X43" s="28">
        <f t="shared" si="35"/>
        <v>1132.8396762650993</v>
      </c>
      <c r="Y43" s="28">
        <f t="shared" si="35"/>
        <v>1253.8852841908065</v>
      </c>
      <c r="Z43" s="28">
        <f t="shared" si="35"/>
        <v>1216.7832716080986</v>
      </c>
      <c r="AA43" s="28">
        <f t="shared" si="35"/>
        <v>1165.7480015122674</v>
      </c>
      <c r="AB43" s="28">
        <f t="shared" si="35"/>
        <v>1198.27111444</v>
      </c>
      <c r="AC43" s="28">
        <f t="shared" si="35"/>
        <v>1174.710964315633</v>
      </c>
      <c r="AD43" s="28">
        <f t="shared" si="35"/>
        <v>1185.9642644399999</v>
      </c>
      <c r="AE43" s="28">
        <f t="shared" si="35"/>
        <v>1193.292507070953</v>
      </c>
      <c r="AF43" s="28">
        <f t="shared" si="35"/>
        <v>1196.0417895833334</v>
      </c>
      <c r="AG43" s="28">
        <f t="shared" si="35"/>
        <v>1181.3689004210803</v>
      </c>
      <c r="AH43" s="28">
        <f t="shared" si="35"/>
        <v>1174.2010258453267</v>
      </c>
      <c r="AI43" s="28">
        <f t="shared" si="35"/>
        <v>1175.3728206315693</v>
      </c>
      <c r="AJ43" s="28">
        <f t="shared" si="35"/>
        <v>1161.4623756137742</v>
      </c>
      <c r="AK43" s="28" t="e">
        <f t="shared" si="35"/>
        <v>#REF!</v>
      </c>
      <c r="AL43" s="28" t="e">
        <f t="shared" si="35"/>
        <v>#REF!</v>
      </c>
      <c r="AM43" s="28" t="e">
        <f t="shared" si="35"/>
        <v>#REF!</v>
      </c>
      <c r="AN43" s="28" t="e">
        <f t="shared" si="35"/>
        <v>#REF!</v>
      </c>
      <c r="AO43" s="28" t="e">
        <f t="shared" si="35"/>
        <v>#REF!</v>
      </c>
      <c r="AP43" s="28" t="e">
        <f t="shared" si="35"/>
        <v>#REF!</v>
      </c>
      <c r="AQ43" s="28" t="e">
        <f t="shared" si="35"/>
        <v>#REF!</v>
      </c>
      <c r="AR43" s="28" t="e">
        <f t="shared" si="35"/>
        <v>#REF!</v>
      </c>
      <c r="AS43" s="28" t="e">
        <f t="shared" si="35"/>
        <v>#REF!</v>
      </c>
      <c r="AT43" s="28" t="e">
        <f>+AT42+AT41</f>
        <v>#REF!</v>
      </c>
      <c r="AU43" s="28" t="e">
        <f>+AU42+AU41</f>
        <v>#REF!</v>
      </c>
      <c r="AV43" s="28">
        <v>1880.0812077122475</v>
      </c>
      <c r="AW43" s="28">
        <v>1872.5405237794214</v>
      </c>
      <c r="AX43" s="28" t="e">
        <f>+AX42+AX41</f>
        <v>#REF!</v>
      </c>
      <c r="AY43" s="28">
        <v>2012.2470264291064</v>
      </c>
      <c r="AZ43" s="28" t="e">
        <f t="shared" ref="AZ43:CU43" si="36">+AZ42+AZ41</f>
        <v>#REF!</v>
      </c>
      <c r="BA43" s="28" t="e">
        <f t="shared" si="36"/>
        <v>#REF!</v>
      </c>
      <c r="BB43" s="343" t="e">
        <f t="shared" si="36"/>
        <v>#REF!</v>
      </c>
      <c r="BC43" s="343" t="e">
        <f t="shared" si="36"/>
        <v>#REF!</v>
      </c>
      <c r="BD43" s="343" t="e">
        <f t="shared" si="36"/>
        <v>#REF!</v>
      </c>
      <c r="BE43" s="343" t="e">
        <f t="shared" si="36"/>
        <v>#REF!</v>
      </c>
      <c r="BF43" s="343" t="e">
        <f t="shared" si="36"/>
        <v>#REF!</v>
      </c>
      <c r="BG43" s="343" t="e">
        <f t="shared" si="36"/>
        <v>#REF!</v>
      </c>
      <c r="BH43" s="343" t="e">
        <f t="shared" si="36"/>
        <v>#REF!</v>
      </c>
      <c r="BI43" s="343" t="e">
        <f t="shared" si="36"/>
        <v>#REF!</v>
      </c>
      <c r="BJ43" s="343" t="e">
        <f t="shared" si="36"/>
        <v>#REF!</v>
      </c>
      <c r="BK43" s="343" t="e">
        <f t="shared" si="36"/>
        <v>#REF!</v>
      </c>
      <c r="BL43" s="343" t="e">
        <f t="shared" si="36"/>
        <v>#REF!</v>
      </c>
      <c r="BM43" s="343">
        <f t="shared" si="36"/>
        <v>1497.8405128359384</v>
      </c>
      <c r="BN43" s="343">
        <f t="shared" si="36"/>
        <v>1516.4641695250971</v>
      </c>
      <c r="BO43" s="343">
        <f t="shared" si="36"/>
        <v>1529.634378948215</v>
      </c>
      <c r="BP43" s="343">
        <f t="shared" si="36"/>
        <v>1529.34413233596</v>
      </c>
      <c r="BQ43" s="343">
        <f t="shared" si="36"/>
        <v>1515.3939193808535</v>
      </c>
      <c r="BR43" s="343">
        <f t="shared" si="36"/>
        <v>1517.7863233088397</v>
      </c>
      <c r="BS43" s="343">
        <f t="shared" si="36"/>
        <v>1534.8001215178151</v>
      </c>
      <c r="BT43" s="343">
        <f t="shared" si="36"/>
        <v>1572.4723345999189</v>
      </c>
      <c r="BU43" s="343">
        <f t="shared" si="36"/>
        <v>1594.0189781887314</v>
      </c>
      <c r="BV43" s="343">
        <f t="shared" si="36"/>
        <v>1539.7891216396067</v>
      </c>
      <c r="BW43" s="343">
        <f t="shared" si="36"/>
        <v>1562.2924704311374</v>
      </c>
      <c r="BX43" s="343">
        <f t="shared" si="36"/>
        <v>1587.0758836532584</v>
      </c>
      <c r="BY43" s="343">
        <f t="shared" si="36"/>
        <v>1632.2431358387153</v>
      </c>
      <c r="BZ43" s="343">
        <f t="shared" si="36"/>
        <v>1646.5426612610822</v>
      </c>
      <c r="CA43" s="343">
        <f t="shared" si="36"/>
        <v>1744.582832779387</v>
      </c>
      <c r="CB43" s="343">
        <f t="shared" si="36"/>
        <v>1830.4780031261041</v>
      </c>
      <c r="CC43" s="343">
        <f t="shared" si="36"/>
        <v>1846.6116489613896</v>
      </c>
      <c r="CD43" s="343">
        <f t="shared" si="36"/>
        <v>1856.6219993735267</v>
      </c>
      <c r="CE43" s="343">
        <f t="shared" si="36"/>
        <v>1834.6537077357314</v>
      </c>
      <c r="CF43" s="343">
        <f t="shared" si="36"/>
        <v>1792.7512877528302</v>
      </c>
      <c r="CG43" s="343">
        <f t="shared" si="36"/>
        <v>1788.2731672017692</v>
      </c>
      <c r="CH43" s="343">
        <f t="shared" si="36"/>
        <v>1784.1530622808027</v>
      </c>
      <c r="CI43" s="343">
        <f t="shared" si="36"/>
        <v>1824.0991174428707</v>
      </c>
      <c r="CJ43" s="343">
        <f t="shared" si="36"/>
        <v>1812.7071331424947</v>
      </c>
      <c r="CK43" s="643">
        <f t="shared" si="36"/>
        <v>1749.9366152232699</v>
      </c>
      <c r="CL43" s="643">
        <f t="shared" si="36"/>
        <v>1753.5358918787458</v>
      </c>
      <c r="CM43" s="643">
        <f t="shared" si="36"/>
        <v>1747.4282986898797</v>
      </c>
      <c r="CN43" s="643">
        <f t="shared" si="36"/>
        <v>1777.3569768096631</v>
      </c>
      <c r="CO43" s="643">
        <f t="shared" si="36"/>
        <v>1646.8534236144658</v>
      </c>
      <c r="CP43" s="643">
        <f t="shared" si="36"/>
        <v>1627.8996343999727</v>
      </c>
      <c r="CQ43" s="643">
        <f t="shared" si="36"/>
        <v>1610.0706543792498</v>
      </c>
      <c r="CR43" s="643">
        <f t="shared" si="36"/>
        <v>1592.0058561361957</v>
      </c>
      <c r="CS43" s="643">
        <f t="shared" si="36"/>
        <v>1563.9167957079549</v>
      </c>
      <c r="CT43" s="643">
        <f t="shared" si="36"/>
        <v>1559.5461064945175</v>
      </c>
      <c r="CU43" s="643">
        <f t="shared" si="36"/>
        <v>1568.0819925815761</v>
      </c>
      <c r="CV43" s="786"/>
      <c r="CW43" s="786"/>
      <c r="CX43" s="786"/>
      <c r="CY43" s="354"/>
    </row>
    <row r="44" spans="3:137" x14ac:dyDescent="0.35">
      <c r="C44" s="624"/>
      <c r="D44" s="36"/>
      <c r="E44" s="36"/>
      <c r="F44" s="36"/>
      <c r="G44" s="36"/>
      <c r="H44" s="36"/>
      <c r="I44" s="36"/>
      <c r="J44" s="36"/>
      <c r="K44" s="2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283"/>
      <c r="AQ44" s="494"/>
      <c r="AR44" s="494"/>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644"/>
      <c r="CL44" s="644"/>
      <c r="CM44" s="644"/>
      <c r="CN44" s="644"/>
      <c r="CO44" s="644"/>
      <c r="CP44" s="644"/>
      <c r="CQ44" s="644"/>
      <c r="CR44" s="644"/>
      <c r="CS44" s="644"/>
      <c r="CT44" s="644"/>
      <c r="CU44" s="644"/>
      <c r="CY44" s="355"/>
    </row>
    <row r="45" spans="3:137" x14ac:dyDescent="0.35">
      <c r="C45" s="645" t="s">
        <v>127</v>
      </c>
      <c r="D45" s="36"/>
      <c r="E45" s="36"/>
      <c r="F45" s="36"/>
      <c r="G45" s="36"/>
      <c r="H45" s="36"/>
      <c r="I45" s="36"/>
      <c r="J45" s="36"/>
      <c r="K45" s="36"/>
      <c r="L45" s="36"/>
      <c r="M45" s="36"/>
      <c r="N45" s="36"/>
      <c r="O45" s="36"/>
      <c r="P45" s="36"/>
      <c r="Q45" s="36"/>
      <c r="R45" s="36"/>
      <c r="S45" s="36"/>
      <c r="T45" s="36"/>
      <c r="U45" s="36"/>
      <c r="V45" s="36"/>
      <c r="W45" s="36"/>
      <c r="X45" s="36"/>
      <c r="Y45" s="36"/>
      <c r="Z45" s="24">
        <f t="shared" ref="Z45:AU45" si="37">+Z34</f>
        <v>1070.2457145299522</v>
      </c>
      <c r="AA45" s="24">
        <f t="shared" si="37"/>
        <v>1103.3117577063094</v>
      </c>
      <c r="AB45" s="24">
        <f t="shared" si="37"/>
        <v>1103.3117577063094</v>
      </c>
      <c r="AC45" s="24">
        <f t="shared" si="37"/>
        <v>1149.9846517001231</v>
      </c>
      <c r="AD45" s="24">
        <f t="shared" si="37"/>
        <v>1149.9846517001231</v>
      </c>
      <c r="AE45" s="24">
        <f t="shared" si="37"/>
        <v>1163.7351584349315</v>
      </c>
      <c r="AF45" s="24">
        <f t="shared" si="37"/>
        <v>1163.7351584349315</v>
      </c>
      <c r="AG45" s="24">
        <f t="shared" si="37"/>
        <v>6</v>
      </c>
      <c r="AH45" s="24">
        <f t="shared" si="37"/>
        <v>1125.2337117924039</v>
      </c>
      <c r="AI45" s="24">
        <f t="shared" si="37"/>
        <v>1153.6208952478003</v>
      </c>
      <c r="AJ45" s="24">
        <f t="shared" si="37"/>
        <v>1197.5282466283243</v>
      </c>
      <c r="AK45" s="24">
        <f t="shared" si="37"/>
        <v>1277.3813189985585</v>
      </c>
      <c r="AL45" s="24">
        <f t="shared" si="37"/>
        <v>1467.9414592909875</v>
      </c>
      <c r="AM45" s="24">
        <f t="shared" si="37"/>
        <v>1432.4780328621268</v>
      </c>
      <c r="AN45" s="24">
        <f t="shared" si="37"/>
        <v>1415.0274435548959</v>
      </c>
      <c r="AO45" s="24">
        <f t="shared" si="37"/>
        <v>1623.5225332915529</v>
      </c>
      <c r="AP45" s="24">
        <f t="shared" si="37"/>
        <v>1586.6292370018218</v>
      </c>
      <c r="AQ45" s="24">
        <f t="shared" si="37"/>
        <v>1609.9821539163602</v>
      </c>
      <c r="AR45" s="24">
        <f t="shared" si="37"/>
        <v>1643.8951960695449</v>
      </c>
      <c r="AS45" s="24">
        <f t="shared" si="37"/>
        <v>1621.9696599033766</v>
      </c>
      <c r="AT45" s="24">
        <f t="shared" si="37"/>
        <v>1648.1853188371667</v>
      </c>
      <c r="AU45" s="24">
        <f t="shared" si="37"/>
        <v>1905.3661464667925</v>
      </c>
      <c r="AV45" s="24">
        <v>1842.1370411393989</v>
      </c>
      <c r="AW45" s="24">
        <v>1765.8141671880041</v>
      </c>
      <c r="AX45" s="24">
        <f>+AX34</f>
        <v>1957.7658797457173</v>
      </c>
      <c r="AY45" s="24">
        <v>2007.3085977964388</v>
      </c>
      <c r="AZ45" s="24">
        <f t="shared" ref="AZ45:BK45" si="38">+AZ34</f>
        <v>2077.6143488222142</v>
      </c>
      <c r="BA45" s="24">
        <f t="shared" si="38"/>
        <v>2127.3064195831785</v>
      </c>
      <c r="BB45" s="342">
        <f t="shared" si="38"/>
        <v>2127.3064195831785</v>
      </c>
      <c r="BC45" s="342">
        <f t="shared" si="38"/>
        <v>2251.8217285856022</v>
      </c>
      <c r="BD45" s="342">
        <f t="shared" si="38"/>
        <v>1986.3645985148953</v>
      </c>
      <c r="BE45" s="342">
        <f t="shared" si="38"/>
        <v>1941.337857311323</v>
      </c>
      <c r="BF45" s="342">
        <f t="shared" si="38"/>
        <v>1729.6772461957096</v>
      </c>
      <c r="BG45" s="342">
        <f t="shared" si="38"/>
        <v>1474.4296076790008</v>
      </c>
      <c r="BH45" s="342">
        <f t="shared" si="38"/>
        <v>1413.7082079935726</v>
      </c>
      <c r="BI45" s="342">
        <f t="shared" si="38"/>
        <v>1472.9886975294212</v>
      </c>
      <c r="BJ45" s="342">
        <f t="shared" si="38"/>
        <v>1650.4611059715812</v>
      </c>
      <c r="BK45" s="342">
        <f t="shared" si="38"/>
        <v>1593.6921221823306</v>
      </c>
      <c r="BL45" s="342">
        <f t="shared" ref="BL45:BU45" si="39">+BL35</f>
        <v>1541.7235892107569</v>
      </c>
      <c r="BM45" s="342">
        <f t="shared" si="39"/>
        <v>1572.230546542331</v>
      </c>
      <c r="BN45" s="342">
        <f t="shared" si="39"/>
        <v>1582.7074802349362</v>
      </c>
      <c r="BO45" s="342">
        <f t="shared" si="39"/>
        <v>1624.5182483405063</v>
      </c>
      <c r="BP45" s="342">
        <f t="shared" si="39"/>
        <v>1640.1021282038605</v>
      </c>
      <c r="BQ45" s="342">
        <f t="shared" si="39"/>
        <v>1640.1021282038605</v>
      </c>
      <c r="BR45" s="342">
        <f t="shared" si="39"/>
        <v>1640.1021282038605</v>
      </c>
      <c r="BS45" s="342">
        <f t="shared" si="39"/>
        <v>1640.1021282038603</v>
      </c>
      <c r="BT45" s="342">
        <f t="shared" si="39"/>
        <v>1640.1021282038603</v>
      </c>
      <c r="BU45" s="342">
        <f t="shared" si="39"/>
        <v>1640.1021282038603</v>
      </c>
      <c r="BV45" s="342">
        <f>+FIFO!AB21</f>
        <v>1640.10212820386</v>
      </c>
      <c r="BW45" s="342">
        <f t="shared" ref="BW45:CJ45" si="40">+BW35</f>
        <v>1640.1021282038603</v>
      </c>
      <c r="BX45" s="342">
        <f t="shared" si="40"/>
        <v>1640.1021282038603</v>
      </c>
      <c r="BY45" s="342">
        <f t="shared" si="40"/>
        <v>1640.1021282038605</v>
      </c>
      <c r="BZ45" s="342">
        <f t="shared" si="40"/>
        <v>1640.1021282038605</v>
      </c>
      <c r="CA45" s="342">
        <f t="shared" si="40"/>
        <v>1756.8307250572293</v>
      </c>
      <c r="CB45" s="342">
        <f t="shared" si="40"/>
        <v>1848.5020188604981</v>
      </c>
      <c r="CC45" s="342">
        <f t="shared" si="40"/>
        <v>1924.5345961916541</v>
      </c>
      <c r="CD45" s="342">
        <f t="shared" si="40"/>
        <v>1924.5345961916544</v>
      </c>
      <c r="CE45" s="342">
        <f t="shared" si="40"/>
        <v>1924.5345961916544</v>
      </c>
      <c r="CF45" s="342">
        <f t="shared" si="40"/>
        <v>1924.5345961916544</v>
      </c>
      <c r="CG45" s="342">
        <f t="shared" si="40"/>
        <v>1924.5345961916544</v>
      </c>
      <c r="CH45" s="342">
        <f t="shared" si="40"/>
        <v>1924.5345961916544</v>
      </c>
      <c r="CI45" s="342">
        <f t="shared" si="40"/>
        <v>2047.4441943061959</v>
      </c>
      <c r="CJ45" s="342">
        <f t="shared" si="40"/>
        <v>2047.5847187229492</v>
      </c>
      <c r="CK45" s="646">
        <f>+FIFO!BH21</f>
        <v>2095.2471948212533</v>
      </c>
      <c r="CL45" s="646">
        <f>+FIFO!BJ21</f>
        <v>2103.550947181317</v>
      </c>
      <c r="CM45" s="646">
        <f>+CM35</f>
        <v>2141.3654444938466</v>
      </c>
      <c r="CN45" s="646">
        <f>+CN35</f>
        <v>2141.3654444938461</v>
      </c>
      <c r="CO45" s="646">
        <f>+FIFO!BP20</f>
        <v>2211.199110058772</v>
      </c>
      <c r="CP45" s="646">
        <f>+CP35</f>
        <v>2141.3654444938461</v>
      </c>
      <c r="CQ45" s="646">
        <f>+CQ35</f>
        <v>2141.3654444938461</v>
      </c>
      <c r="CR45" s="646">
        <f>+'PCR Aurora '!Z14</f>
        <v>2206.9082939317395</v>
      </c>
      <c r="CS45" s="646">
        <f>+'PCR Enka'!DX26</f>
        <v>2148.8385978558049</v>
      </c>
      <c r="CT45" s="646">
        <f>+CT35</f>
        <v>2141.3654444938461</v>
      </c>
      <c r="CU45" s="646">
        <f>+FIFO!BZ21</f>
        <v>2141.3654444938461</v>
      </c>
      <c r="CV45" s="785"/>
      <c r="CW45" s="785"/>
      <c r="CX45" s="785"/>
      <c r="CY45" s="356"/>
    </row>
    <row r="46" spans="3:137" x14ac:dyDescent="0.35">
      <c r="C46" s="642" t="s">
        <v>125</v>
      </c>
      <c r="D46" s="36"/>
      <c r="E46" s="36"/>
      <c r="F46" s="36"/>
      <c r="G46" s="36"/>
      <c r="H46" s="36"/>
      <c r="I46" s="36"/>
      <c r="J46" s="36"/>
      <c r="K46" s="36"/>
      <c r="L46" s="36"/>
      <c r="M46" s="36"/>
      <c r="N46" s="36"/>
      <c r="O46" s="36"/>
      <c r="P46" s="36"/>
      <c r="Q46" s="36"/>
      <c r="R46" s="36"/>
      <c r="S46" s="36"/>
      <c r="T46" s="36"/>
      <c r="U46" s="36"/>
      <c r="V46" s="36"/>
      <c r="W46" s="36"/>
      <c r="X46" s="36"/>
      <c r="Y46" s="36"/>
      <c r="Z46" s="8">
        <f t="shared" ref="Z46:AU46" si="41">+Z45*1%</f>
        <v>10.702457145299523</v>
      </c>
      <c r="AA46" s="8">
        <f t="shared" si="41"/>
        <v>11.033117577063095</v>
      </c>
      <c r="AB46" s="8">
        <f t="shared" si="41"/>
        <v>11.033117577063095</v>
      </c>
      <c r="AC46" s="8">
        <f t="shared" si="41"/>
        <v>11.499846517001231</v>
      </c>
      <c r="AD46" s="8">
        <f t="shared" si="41"/>
        <v>11.499846517001231</v>
      </c>
      <c r="AE46" s="8">
        <f t="shared" si="41"/>
        <v>11.637351584349314</v>
      </c>
      <c r="AF46" s="8">
        <f t="shared" si="41"/>
        <v>11.637351584349314</v>
      </c>
      <c r="AG46" s="8">
        <f t="shared" si="41"/>
        <v>0.06</v>
      </c>
      <c r="AH46" s="8">
        <f t="shared" si="41"/>
        <v>11.252337117924039</v>
      </c>
      <c r="AI46" s="8">
        <f t="shared" si="41"/>
        <v>11.536208952478002</v>
      </c>
      <c r="AJ46" s="8">
        <f t="shared" si="41"/>
        <v>11.975282466283243</v>
      </c>
      <c r="AK46" s="8">
        <f t="shared" si="41"/>
        <v>12.773813189985585</v>
      </c>
      <c r="AL46" s="8">
        <f t="shared" si="41"/>
        <v>14.679414592909875</v>
      </c>
      <c r="AM46" s="8">
        <f t="shared" si="41"/>
        <v>14.324780328621269</v>
      </c>
      <c r="AN46" s="8">
        <f t="shared" si="41"/>
        <v>14.150274435548958</v>
      </c>
      <c r="AO46" s="8">
        <f t="shared" si="41"/>
        <v>16.23522533291553</v>
      </c>
      <c r="AP46" s="8">
        <f t="shared" si="41"/>
        <v>15.866292370018218</v>
      </c>
      <c r="AQ46" s="8">
        <f t="shared" si="41"/>
        <v>16.099821539163603</v>
      </c>
      <c r="AR46" s="8">
        <f t="shared" si="41"/>
        <v>16.438951960695448</v>
      </c>
      <c r="AS46" s="8">
        <f t="shared" si="41"/>
        <v>16.219696599033767</v>
      </c>
      <c r="AT46" s="8">
        <f t="shared" si="41"/>
        <v>16.481853188371666</v>
      </c>
      <c r="AU46" s="8">
        <f t="shared" si="41"/>
        <v>19.053661464667925</v>
      </c>
      <c r="AV46" s="8">
        <v>18.42137041139399</v>
      </c>
      <c r="AW46" s="8">
        <v>17.658141671880042</v>
      </c>
      <c r="AX46" s="8">
        <f>+AX45*1%</f>
        <v>19.577658797457172</v>
      </c>
      <c r="AY46" s="8">
        <v>20.073085977964389</v>
      </c>
      <c r="AZ46" s="8">
        <f t="shared" ref="AZ46:CU46" si="42">+AZ45*1%</f>
        <v>20.776143488222143</v>
      </c>
      <c r="BA46" s="8">
        <f t="shared" si="42"/>
        <v>21.273064195831786</v>
      </c>
      <c r="BB46" s="334">
        <f t="shared" si="42"/>
        <v>21.273064195831786</v>
      </c>
      <c r="BC46" s="334">
        <f t="shared" si="42"/>
        <v>22.518217285856021</v>
      </c>
      <c r="BD46" s="334">
        <f t="shared" si="42"/>
        <v>19.863645985148953</v>
      </c>
      <c r="BE46" s="334">
        <f t="shared" si="42"/>
        <v>19.413378573113231</v>
      </c>
      <c r="BF46" s="334">
        <f t="shared" si="42"/>
        <v>17.296772461957097</v>
      </c>
      <c r="BG46" s="334">
        <f t="shared" si="42"/>
        <v>14.744296076790008</v>
      </c>
      <c r="BH46" s="334">
        <f t="shared" si="42"/>
        <v>14.137082079935727</v>
      </c>
      <c r="BI46" s="334">
        <f t="shared" si="42"/>
        <v>14.729886975294212</v>
      </c>
      <c r="BJ46" s="334">
        <f t="shared" si="42"/>
        <v>16.504611059715813</v>
      </c>
      <c r="BK46" s="334">
        <f t="shared" si="42"/>
        <v>15.936921221823306</v>
      </c>
      <c r="BL46" s="334">
        <f t="shared" si="42"/>
        <v>15.41723589210757</v>
      </c>
      <c r="BM46" s="334">
        <f t="shared" si="42"/>
        <v>15.722305465423311</v>
      </c>
      <c r="BN46" s="334">
        <f t="shared" si="42"/>
        <v>15.827074802349362</v>
      </c>
      <c r="BO46" s="334">
        <f t="shared" si="42"/>
        <v>16.245182483405063</v>
      </c>
      <c r="BP46" s="334">
        <f t="shared" si="42"/>
        <v>16.401021282038606</v>
      </c>
      <c r="BQ46" s="334">
        <f t="shared" si="42"/>
        <v>16.401021282038606</v>
      </c>
      <c r="BR46" s="334">
        <f t="shared" si="42"/>
        <v>16.401021282038606</v>
      </c>
      <c r="BS46" s="334">
        <f t="shared" si="42"/>
        <v>16.401021282038602</v>
      </c>
      <c r="BT46" s="334">
        <f t="shared" si="42"/>
        <v>16.401021282038602</v>
      </c>
      <c r="BU46" s="334">
        <f t="shared" si="42"/>
        <v>16.401021282038602</v>
      </c>
      <c r="BV46" s="334">
        <f t="shared" si="42"/>
        <v>16.401021282038602</v>
      </c>
      <c r="BW46" s="334">
        <f t="shared" si="42"/>
        <v>16.401021282038602</v>
      </c>
      <c r="BX46" s="334">
        <f t="shared" si="42"/>
        <v>16.401021282038602</v>
      </c>
      <c r="BY46" s="334">
        <f t="shared" si="42"/>
        <v>16.401021282038606</v>
      </c>
      <c r="BZ46" s="334">
        <f t="shared" si="42"/>
        <v>16.401021282038606</v>
      </c>
      <c r="CA46" s="334">
        <f t="shared" si="42"/>
        <v>17.568307250572293</v>
      </c>
      <c r="CB46" s="334">
        <f t="shared" si="42"/>
        <v>18.485020188604981</v>
      </c>
      <c r="CC46" s="334">
        <f t="shared" si="42"/>
        <v>19.245345961916541</v>
      </c>
      <c r="CD46" s="334">
        <f t="shared" si="42"/>
        <v>19.245345961916545</v>
      </c>
      <c r="CE46" s="334">
        <f t="shared" si="42"/>
        <v>19.245345961916545</v>
      </c>
      <c r="CF46" s="334">
        <f t="shared" si="42"/>
        <v>19.245345961916545</v>
      </c>
      <c r="CG46" s="334">
        <f t="shared" si="42"/>
        <v>19.245345961916545</v>
      </c>
      <c r="CH46" s="334">
        <f t="shared" si="42"/>
        <v>19.245345961916545</v>
      </c>
      <c r="CI46" s="334">
        <f t="shared" si="42"/>
        <v>20.474441943061958</v>
      </c>
      <c r="CJ46" s="334">
        <f t="shared" si="42"/>
        <v>20.475847187229494</v>
      </c>
      <c r="CK46" s="616">
        <f t="shared" si="42"/>
        <v>20.952471948212533</v>
      </c>
      <c r="CL46" s="616">
        <f t="shared" si="42"/>
        <v>21.035509471813171</v>
      </c>
      <c r="CM46" s="616">
        <f t="shared" si="42"/>
        <v>21.413654444938466</v>
      </c>
      <c r="CN46" s="616">
        <f t="shared" si="42"/>
        <v>21.413654444938462</v>
      </c>
      <c r="CO46" s="616">
        <f t="shared" si="42"/>
        <v>22.111991100587719</v>
      </c>
      <c r="CP46" s="616">
        <f t="shared" si="42"/>
        <v>21.413654444938462</v>
      </c>
      <c r="CQ46" s="616">
        <f t="shared" si="42"/>
        <v>21.413654444938462</v>
      </c>
      <c r="CR46" s="616">
        <f t="shared" si="42"/>
        <v>22.069082939317397</v>
      </c>
      <c r="CS46" s="616">
        <f t="shared" si="42"/>
        <v>21.48838597855805</v>
      </c>
      <c r="CT46" s="616">
        <f t="shared" si="42"/>
        <v>21.413654444938462</v>
      </c>
      <c r="CU46" s="616">
        <f t="shared" si="42"/>
        <v>21.413654444938462</v>
      </c>
      <c r="CV46" s="779"/>
      <c r="CW46" s="779"/>
      <c r="CX46" s="779"/>
      <c r="CY46" s="354"/>
    </row>
    <row r="47" spans="3:137" x14ac:dyDescent="0.35">
      <c r="C47" s="626" t="s">
        <v>126</v>
      </c>
      <c r="D47" s="36"/>
      <c r="E47" s="36"/>
      <c r="F47" s="36"/>
      <c r="G47" s="36"/>
      <c r="H47" s="36"/>
      <c r="I47" s="36"/>
      <c r="J47" s="36"/>
      <c r="K47" s="36"/>
      <c r="L47" s="36"/>
      <c r="M47" s="36"/>
      <c r="N47" s="36"/>
      <c r="O47" s="36"/>
      <c r="P47" s="36"/>
      <c r="Q47" s="36"/>
      <c r="R47" s="36"/>
      <c r="S47" s="36"/>
      <c r="T47" s="36"/>
      <c r="U47" s="36"/>
      <c r="V47" s="36"/>
      <c r="W47" s="36"/>
      <c r="X47" s="36"/>
      <c r="Y47" s="36"/>
      <c r="Z47" s="73">
        <f t="shared" ref="Z47:AU47" si="43">+Z46+Z45</f>
        <v>1080.9481716752518</v>
      </c>
      <c r="AA47" s="73">
        <f t="shared" si="43"/>
        <v>1114.3448752833726</v>
      </c>
      <c r="AB47" s="73">
        <f t="shared" si="43"/>
        <v>1114.3448752833726</v>
      </c>
      <c r="AC47" s="73">
        <f t="shared" si="43"/>
        <v>1161.4844982171244</v>
      </c>
      <c r="AD47" s="73">
        <f t="shared" si="43"/>
        <v>1161.4844982171244</v>
      </c>
      <c r="AE47" s="73">
        <f t="shared" si="43"/>
        <v>1175.3725100192808</v>
      </c>
      <c r="AF47" s="73">
        <f t="shared" si="43"/>
        <v>1175.3725100192808</v>
      </c>
      <c r="AG47" s="73">
        <f t="shared" si="43"/>
        <v>6.06</v>
      </c>
      <c r="AH47" s="73">
        <f t="shared" si="43"/>
        <v>1136.486048910328</v>
      </c>
      <c r="AI47" s="73">
        <f t="shared" si="43"/>
        <v>1165.1571042002784</v>
      </c>
      <c r="AJ47" s="73">
        <f t="shared" si="43"/>
        <v>1209.5035290946075</v>
      </c>
      <c r="AK47" s="73">
        <f t="shared" si="43"/>
        <v>1290.155132188544</v>
      </c>
      <c r="AL47" s="73">
        <f t="shared" si="43"/>
        <v>1482.6208738838973</v>
      </c>
      <c r="AM47" s="73">
        <f t="shared" si="43"/>
        <v>1446.8028131907481</v>
      </c>
      <c r="AN47" s="73">
        <f t="shared" si="43"/>
        <v>1429.1777179904448</v>
      </c>
      <c r="AO47" s="73">
        <f t="shared" si="43"/>
        <v>1639.7577586244684</v>
      </c>
      <c r="AP47" s="73">
        <f t="shared" si="43"/>
        <v>1602.4955293718401</v>
      </c>
      <c r="AQ47" s="73">
        <f t="shared" si="43"/>
        <v>1626.0819754555239</v>
      </c>
      <c r="AR47" s="73">
        <f t="shared" si="43"/>
        <v>1660.3341480302404</v>
      </c>
      <c r="AS47" s="73">
        <f t="shared" si="43"/>
        <v>1638.1893565024104</v>
      </c>
      <c r="AT47" s="73">
        <f t="shared" si="43"/>
        <v>1664.6671720255383</v>
      </c>
      <c r="AU47" s="73">
        <f t="shared" si="43"/>
        <v>1924.4198079314606</v>
      </c>
      <c r="AV47" s="73">
        <v>1860.5584115507929</v>
      </c>
      <c r="AW47" s="73">
        <v>1783.4723088598842</v>
      </c>
      <c r="AX47" s="73">
        <f>+AX46+AX45</f>
        <v>1977.3435385431744</v>
      </c>
      <c r="AY47" s="73">
        <v>2027.3816837744032</v>
      </c>
      <c r="AZ47" s="73">
        <f t="shared" ref="AZ47:BT47" si="44">+AZ46+AZ45</f>
        <v>2098.3904923104365</v>
      </c>
      <c r="BA47" s="73">
        <f t="shared" si="44"/>
        <v>2148.5794837790104</v>
      </c>
      <c r="BB47" s="344">
        <f t="shared" si="44"/>
        <v>2148.5794837790104</v>
      </c>
      <c r="BC47" s="344">
        <f t="shared" si="44"/>
        <v>2274.339945871458</v>
      </c>
      <c r="BD47" s="344">
        <f t="shared" si="44"/>
        <v>2006.2282445000442</v>
      </c>
      <c r="BE47" s="344">
        <f t="shared" si="44"/>
        <v>1960.7512358844363</v>
      </c>
      <c r="BF47" s="344">
        <f t="shared" si="44"/>
        <v>1746.9740186576666</v>
      </c>
      <c r="BG47" s="344">
        <f t="shared" si="44"/>
        <v>1489.1739037557909</v>
      </c>
      <c r="BH47" s="344">
        <f t="shared" si="44"/>
        <v>1427.8452900735083</v>
      </c>
      <c r="BI47" s="344">
        <f t="shared" si="44"/>
        <v>1487.7185845047154</v>
      </c>
      <c r="BJ47" s="344">
        <f t="shared" si="44"/>
        <v>1666.9657170312971</v>
      </c>
      <c r="BK47" s="344">
        <f t="shared" si="44"/>
        <v>1609.6290434041539</v>
      </c>
      <c r="BL47" s="344">
        <f t="shared" si="44"/>
        <v>1557.1408251028645</v>
      </c>
      <c r="BM47" s="344">
        <f t="shared" si="44"/>
        <v>1587.9528520077542</v>
      </c>
      <c r="BN47" s="344">
        <f t="shared" si="44"/>
        <v>1598.5345550372856</v>
      </c>
      <c r="BO47" s="344">
        <f t="shared" si="44"/>
        <v>1640.7634308239112</v>
      </c>
      <c r="BP47" s="344">
        <f t="shared" si="44"/>
        <v>1656.503149485899</v>
      </c>
      <c r="BQ47" s="344">
        <f t="shared" si="44"/>
        <v>1656.503149485899</v>
      </c>
      <c r="BR47" s="344">
        <f t="shared" si="44"/>
        <v>1656.503149485899</v>
      </c>
      <c r="BS47" s="344">
        <f t="shared" si="44"/>
        <v>1656.5031494858988</v>
      </c>
      <c r="BT47" s="344">
        <f t="shared" si="44"/>
        <v>1656.5031494858988</v>
      </c>
      <c r="BU47" s="344">
        <f>+BU46+BU45</f>
        <v>1656.5031494858988</v>
      </c>
      <c r="BV47" s="344">
        <f t="shared" ref="BV47:CU47" si="45">+BV46+BV45</f>
        <v>1656.5031494858986</v>
      </c>
      <c r="BW47" s="344">
        <f t="shared" si="45"/>
        <v>1656.5031494858988</v>
      </c>
      <c r="BX47" s="344">
        <f t="shared" si="45"/>
        <v>1656.5031494858988</v>
      </c>
      <c r="BY47" s="344">
        <f t="shared" si="45"/>
        <v>1656.503149485899</v>
      </c>
      <c r="BZ47" s="344">
        <f t="shared" si="45"/>
        <v>1656.503149485899</v>
      </c>
      <c r="CA47" s="344">
        <f t="shared" si="45"/>
        <v>1774.3990323078017</v>
      </c>
      <c r="CB47" s="344">
        <f t="shared" si="45"/>
        <v>1866.987039049103</v>
      </c>
      <c r="CC47" s="344">
        <f t="shared" si="45"/>
        <v>1943.7799421535706</v>
      </c>
      <c r="CD47" s="344">
        <f t="shared" si="45"/>
        <v>1943.779942153571</v>
      </c>
      <c r="CE47" s="344">
        <f t="shared" si="45"/>
        <v>1943.779942153571</v>
      </c>
      <c r="CF47" s="344">
        <f t="shared" si="45"/>
        <v>1943.779942153571</v>
      </c>
      <c r="CG47" s="344">
        <f t="shared" si="45"/>
        <v>1943.779942153571</v>
      </c>
      <c r="CH47" s="344">
        <f t="shared" si="45"/>
        <v>1943.779942153571</v>
      </c>
      <c r="CI47" s="344">
        <f t="shared" si="45"/>
        <v>2067.9186362492578</v>
      </c>
      <c r="CJ47" s="344">
        <f t="shared" si="45"/>
        <v>2068.0605659101789</v>
      </c>
      <c r="CK47" s="647">
        <f t="shared" si="45"/>
        <v>2116.1996667694657</v>
      </c>
      <c r="CL47" s="647">
        <f t="shared" si="45"/>
        <v>2124.5864566531304</v>
      </c>
      <c r="CM47" s="647">
        <f t="shared" si="45"/>
        <v>2162.779098938785</v>
      </c>
      <c r="CN47" s="647">
        <f t="shared" si="45"/>
        <v>2162.7790989387845</v>
      </c>
      <c r="CO47" s="647">
        <f t="shared" si="45"/>
        <v>2233.3111011593596</v>
      </c>
      <c r="CP47" s="647">
        <f t="shared" si="45"/>
        <v>2162.7790989387845</v>
      </c>
      <c r="CQ47" s="647">
        <f t="shared" si="45"/>
        <v>2162.7790989387845</v>
      </c>
      <c r="CR47" s="647">
        <f t="shared" si="45"/>
        <v>2228.977376871057</v>
      </c>
      <c r="CS47" s="647">
        <f t="shared" si="45"/>
        <v>2170.3269838343631</v>
      </c>
      <c r="CT47" s="647">
        <f t="shared" si="45"/>
        <v>2162.7790989387845</v>
      </c>
      <c r="CU47" s="647">
        <f t="shared" si="45"/>
        <v>2162.7790989387845</v>
      </c>
      <c r="CV47" s="787"/>
      <c r="CW47" s="787"/>
      <c r="CX47" s="787"/>
      <c r="CY47" s="276"/>
    </row>
    <row r="48" spans="3:137" x14ac:dyDescent="0.35">
      <c r="C48" s="648"/>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644"/>
      <c r="CL48" s="644"/>
      <c r="CM48" s="644"/>
      <c r="CN48" s="644"/>
      <c r="CO48" s="644"/>
      <c r="CP48" s="644"/>
      <c r="CQ48" s="644"/>
      <c r="CR48" s="644"/>
      <c r="CS48" s="644"/>
      <c r="CT48" s="644"/>
      <c r="CU48" s="644"/>
      <c r="CY48" s="355"/>
    </row>
    <row r="49" spans="3:103" x14ac:dyDescent="0.35">
      <c r="C49" s="649" t="s">
        <v>477</v>
      </c>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24">
        <f>+(AI26*25%)+(AI32*75%)</f>
        <v>1288.0475246525921</v>
      </c>
      <c r="AJ49" s="24">
        <f>+(AJ26*25%)+(AJ32*75%)</f>
        <v>1272.2513740662248</v>
      </c>
      <c r="AK49" s="24" t="e">
        <f t="shared" ref="AK49:AP49" si="46">+(AK27*25%)+(AK32*75%)</f>
        <v>#REF!</v>
      </c>
      <c r="AL49" s="24" t="e">
        <f t="shared" si="46"/>
        <v>#REF!</v>
      </c>
      <c r="AM49" s="24" t="e">
        <f t="shared" si="46"/>
        <v>#REF!</v>
      </c>
      <c r="AN49" s="24" t="e">
        <f t="shared" si="46"/>
        <v>#REF!</v>
      </c>
      <c r="AO49" s="24" t="e">
        <f t="shared" si="46"/>
        <v>#REF!</v>
      </c>
      <c r="AP49" s="24" t="e">
        <f t="shared" si="46"/>
        <v>#REF!</v>
      </c>
      <c r="AQ49" s="24" t="e">
        <f>+(AQ28*25%)+(AQ33*75%)</f>
        <v>#REF!</v>
      </c>
      <c r="AR49" s="24" t="e">
        <f>+(AR28*25%)+(AR33*75%)</f>
        <v>#REF!</v>
      </c>
      <c r="AS49" s="24" t="e">
        <f>+(AS28*25%)+(AS33*75%)</f>
        <v>#REF!</v>
      </c>
      <c r="AT49" s="24" t="e">
        <f>+(AT28*25%)+(AT33*75%)</f>
        <v>#REF!</v>
      </c>
      <c r="AU49" s="24" t="e">
        <f>+(AU28*25%)+(AU33*75%)</f>
        <v>#REF!</v>
      </c>
      <c r="AV49" s="24">
        <v>1901.798230070541</v>
      </c>
      <c r="AW49" s="24">
        <v>1858.5719588907455</v>
      </c>
      <c r="AX49" s="24" t="e">
        <f>+(AX28*25%)+(AX33*75%)</f>
        <v>#REF!</v>
      </c>
      <c r="AY49" s="24">
        <v>2048.4215920500542</v>
      </c>
      <c r="AZ49" s="24" t="e">
        <f>+(AZ28*25%)+(AZ33*75%)</f>
        <v>#REF!</v>
      </c>
      <c r="BA49" s="24" t="e">
        <f>+(BA28*25%)+(BA33*75%)</f>
        <v>#REF!</v>
      </c>
      <c r="BB49" s="342" t="e">
        <f>+(BB28*25%)+(BB33*75%)</f>
        <v>#REF!</v>
      </c>
      <c r="BC49" s="342" t="e">
        <f t="shared" ref="BC49:CJ49" si="47">+(BC30*25%)+(BC33*75%)</f>
        <v>#REF!</v>
      </c>
      <c r="BD49" s="342" t="e">
        <f t="shared" si="47"/>
        <v>#REF!</v>
      </c>
      <c r="BE49" s="342" t="e">
        <f t="shared" si="47"/>
        <v>#REF!</v>
      </c>
      <c r="BF49" s="342" t="e">
        <f t="shared" si="47"/>
        <v>#REF!</v>
      </c>
      <c r="BG49" s="342" t="e">
        <f t="shared" si="47"/>
        <v>#REF!</v>
      </c>
      <c r="BH49" s="342" t="e">
        <f t="shared" si="47"/>
        <v>#REF!</v>
      </c>
      <c r="BI49" s="342" t="e">
        <f t="shared" si="47"/>
        <v>#REF!</v>
      </c>
      <c r="BJ49" s="342" t="e">
        <f t="shared" si="47"/>
        <v>#REF!</v>
      </c>
      <c r="BK49" s="342" t="e">
        <f t="shared" si="47"/>
        <v>#REF!</v>
      </c>
      <c r="BL49" s="342" t="e">
        <f t="shared" si="47"/>
        <v>#REF!</v>
      </c>
      <c r="BM49" s="342">
        <f t="shared" si="47"/>
        <v>1591.0084443045821</v>
      </c>
      <c r="BN49" s="342">
        <f t="shared" si="47"/>
        <v>1600.1140924636802</v>
      </c>
      <c r="BO49" s="342">
        <f t="shared" si="47"/>
        <v>1622.2495819033181</v>
      </c>
      <c r="BP49" s="342">
        <f t="shared" si="47"/>
        <v>1643.8817405548441</v>
      </c>
      <c r="BQ49" s="342">
        <f t="shared" si="47"/>
        <v>1642.6327611625893</v>
      </c>
      <c r="BR49" s="342">
        <f t="shared" si="47"/>
        <v>1643.8107632184708</v>
      </c>
      <c r="BS49" s="342">
        <f t="shared" si="47"/>
        <v>1666.3127949528248</v>
      </c>
      <c r="BT49" s="342">
        <f t="shared" si="47"/>
        <v>1730.8273731626255</v>
      </c>
      <c r="BU49" s="342">
        <f t="shared" si="47"/>
        <v>1770.2613391265372</v>
      </c>
      <c r="BV49" s="342">
        <f t="shared" si="47"/>
        <v>1685.1278323384024</v>
      </c>
      <c r="BW49" s="342">
        <f t="shared" si="47"/>
        <v>1718.548647375329</v>
      </c>
      <c r="BX49" s="342">
        <f t="shared" si="47"/>
        <v>1744.2710811705003</v>
      </c>
      <c r="BY49" s="342">
        <f t="shared" si="47"/>
        <v>1811.351158673654</v>
      </c>
      <c r="BZ49" s="342">
        <f t="shared" si="47"/>
        <v>1786.8591796188568</v>
      </c>
      <c r="CA49" s="342">
        <f t="shared" si="47"/>
        <v>1881.1052758051965</v>
      </c>
      <c r="CB49" s="342">
        <f t="shared" si="47"/>
        <v>1963.5406358564742</v>
      </c>
      <c r="CC49" s="342">
        <f t="shared" si="47"/>
        <v>2008.0274401390134</v>
      </c>
      <c r="CD49" s="342">
        <f t="shared" si="47"/>
        <v>2036.6643106742981</v>
      </c>
      <c r="CE49" s="342">
        <f t="shared" si="47"/>
        <v>2042.9143188472472</v>
      </c>
      <c r="CF49" s="342">
        <f t="shared" si="47"/>
        <v>1996.6785874351704</v>
      </c>
      <c r="CG49" s="342">
        <f t="shared" si="47"/>
        <v>2003.7123441311323</v>
      </c>
      <c r="CH49" s="342">
        <f t="shared" si="47"/>
        <v>2043.8818094011535</v>
      </c>
      <c r="CI49" s="342">
        <f t="shared" si="47"/>
        <v>2108.2599926334951</v>
      </c>
      <c r="CJ49" s="342">
        <f t="shared" si="47"/>
        <v>2102.8173965811002</v>
      </c>
      <c r="CK49" s="646">
        <f t="shared" ref="CK49:CU49" si="48">+(CK30*25%)+(CK36*75%)</f>
        <v>2019.1635938368577</v>
      </c>
      <c r="CL49" s="646">
        <f t="shared" si="48"/>
        <v>2019.2721744653938</v>
      </c>
      <c r="CM49" s="646">
        <f t="shared" si="48"/>
        <v>2000.9593261171312</v>
      </c>
      <c r="CN49" s="646">
        <f t="shared" si="48"/>
        <v>1957.4215465081315</v>
      </c>
      <c r="CO49" s="646">
        <f t="shared" si="48"/>
        <v>1802.4402714929483</v>
      </c>
      <c r="CP49" s="646">
        <f t="shared" si="48"/>
        <v>1792.9213642312495</v>
      </c>
      <c r="CQ49" s="646">
        <f t="shared" si="48"/>
        <v>1776.3399049822485</v>
      </c>
      <c r="CR49" s="646">
        <f t="shared" si="48"/>
        <v>1763.6514705889365</v>
      </c>
      <c r="CS49" s="646">
        <f t="shared" si="48"/>
        <v>1737.1741470021293</v>
      </c>
      <c r="CT49" s="646">
        <f t="shared" si="48"/>
        <v>1747.5877722607622</v>
      </c>
      <c r="CU49" s="646">
        <f t="shared" si="48"/>
        <v>1767.6470157066524</v>
      </c>
      <c r="CV49" s="785"/>
      <c r="CW49" s="785"/>
      <c r="CX49" s="785"/>
      <c r="CY49" s="356"/>
    </row>
    <row r="50" spans="3:103" x14ac:dyDescent="0.35">
      <c r="C50" s="642" t="s">
        <v>125</v>
      </c>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8">
        <f t="shared" ref="AI50:AP50" si="49">+AI49*1%</f>
        <v>12.88047524652592</v>
      </c>
      <c r="AJ50" s="8">
        <f t="shared" si="49"/>
        <v>12.722513740662249</v>
      </c>
      <c r="AK50" s="8" t="e">
        <f t="shared" si="49"/>
        <v>#REF!</v>
      </c>
      <c r="AL50" s="8" t="e">
        <f t="shared" si="49"/>
        <v>#REF!</v>
      </c>
      <c r="AM50" s="8" t="e">
        <f t="shared" si="49"/>
        <v>#REF!</v>
      </c>
      <c r="AN50" s="8" t="e">
        <f t="shared" si="49"/>
        <v>#REF!</v>
      </c>
      <c r="AO50" s="8" t="e">
        <f t="shared" si="49"/>
        <v>#REF!</v>
      </c>
      <c r="AP50" s="8" t="e">
        <f t="shared" si="49"/>
        <v>#REF!</v>
      </c>
      <c r="AQ50" s="8" t="e">
        <f>+AQ49*1%</f>
        <v>#REF!</v>
      </c>
      <c r="AR50" s="8" t="e">
        <f>+AR49*1%</f>
        <v>#REF!</v>
      </c>
      <c r="AS50" s="8" t="e">
        <f>+AS49*1%</f>
        <v>#REF!</v>
      </c>
      <c r="AT50" s="8" t="e">
        <f>+AT49*1%</f>
        <v>#REF!</v>
      </c>
      <c r="AU50" s="8" t="e">
        <f>+AU49*1%</f>
        <v>#REF!</v>
      </c>
      <c r="AV50" s="8">
        <v>19.017982300705409</v>
      </c>
      <c r="AW50" s="8">
        <v>18.585719588907455</v>
      </c>
      <c r="AX50" s="8" t="e">
        <f>+AX49*1%</f>
        <v>#REF!</v>
      </c>
      <c r="AY50" s="8">
        <v>20.484215920500542</v>
      </c>
      <c r="AZ50" s="8" t="e">
        <f t="shared" ref="AZ50:CU50" si="50">+AZ49*1%</f>
        <v>#REF!</v>
      </c>
      <c r="BA50" s="8" t="e">
        <f t="shared" si="50"/>
        <v>#REF!</v>
      </c>
      <c r="BB50" s="334" t="e">
        <f t="shared" si="50"/>
        <v>#REF!</v>
      </c>
      <c r="BC50" s="334" t="e">
        <f t="shared" si="50"/>
        <v>#REF!</v>
      </c>
      <c r="BD50" s="334" t="e">
        <f t="shared" si="50"/>
        <v>#REF!</v>
      </c>
      <c r="BE50" s="334" t="e">
        <f t="shared" si="50"/>
        <v>#REF!</v>
      </c>
      <c r="BF50" s="334" t="e">
        <f t="shared" si="50"/>
        <v>#REF!</v>
      </c>
      <c r="BG50" s="334" t="e">
        <f t="shared" si="50"/>
        <v>#REF!</v>
      </c>
      <c r="BH50" s="334" t="e">
        <f t="shared" si="50"/>
        <v>#REF!</v>
      </c>
      <c r="BI50" s="334" t="e">
        <f t="shared" si="50"/>
        <v>#REF!</v>
      </c>
      <c r="BJ50" s="334" t="e">
        <f t="shared" si="50"/>
        <v>#REF!</v>
      </c>
      <c r="BK50" s="334" t="e">
        <f t="shared" si="50"/>
        <v>#REF!</v>
      </c>
      <c r="BL50" s="334" t="e">
        <f t="shared" si="50"/>
        <v>#REF!</v>
      </c>
      <c r="BM50" s="334">
        <f t="shared" si="50"/>
        <v>15.910084443045822</v>
      </c>
      <c r="BN50" s="334">
        <f t="shared" si="50"/>
        <v>16.001140924636804</v>
      </c>
      <c r="BO50" s="334">
        <f t="shared" si="50"/>
        <v>16.222495819033181</v>
      </c>
      <c r="BP50" s="334">
        <f t="shared" si="50"/>
        <v>16.438817405548441</v>
      </c>
      <c r="BQ50" s="334">
        <f t="shared" si="50"/>
        <v>16.426327611625894</v>
      </c>
      <c r="BR50" s="334">
        <f t="shared" si="50"/>
        <v>16.438107632184707</v>
      </c>
      <c r="BS50" s="334">
        <f t="shared" si="50"/>
        <v>16.663127949528249</v>
      </c>
      <c r="BT50" s="334">
        <f t="shared" si="50"/>
        <v>17.308273731626254</v>
      </c>
      <c r="BU50" s="334">
        <f t="shared" si="50"/>
        <v>17.702613391265373</v>
      </c>
      <c r="BV50" s="334">
        <f t="shared" si="50"/>
        <v>16.851278323384026</v>
      </c>
      <c r="BW50" s="334">
        <f t="shared" si="50"/>
        <v>17.18548647375329</v>
      </c>
      <c r="BX50" s="334">
        <f t="shared" si="50"/>
        <v>17.442710811705005</v>
      </c>
      <c r="BY50" s="334">
        <f t="shared" si="50"/>
        <v>18.113511586736539</v>
      </c>
      <c r="BZ50" s="334">
        <f t="shared" si="50"/>
        <v>17.868591796188568</v>
      </c>
      <c r="CA50" s="334">
        <f t="shared" si="50"/>
        <v>18.811052758051964</v>
      </c>
      <c r="CB50" s="334">
        <f t="shared" si="50"/>
        <v>19.635406358564744</v>
      </c>
      <c r="CC50" s="334">
        <f t="shared" si="50"/>
        <v>20.080274401390135</v>
      </c>
      <c r="CD50" s="334">
        <f t="shared" si="50"/>
        <v>20.366643106742981</v>
      </c>
      <c r="CE50" s="334">
        <f t="shared" si="50"/>
        <v>20.429143188472473</v>
      </c>
      <c r="CF50" s="334">
        <f t="shared" si="50"/>
        <v>19.966785874351704</v>
      </c>
      <c r="CG50" s="334">
        <f t="shared" si="50"/>
        <v>20.037123441311323</v>
      </c>
      <c r="CH50" s="334">
        <f t="shared" si="50"/>
        <v>20.438818094011534</v>
      </c>
      <c r="CI50" s="334">
        <f t="shared" si="50"/>
        <v>21.08259992633495</v>
      </c>
      <c r="CJ50" s="334">
        <f t="shared" si="50"/>
        <v>21.028173965811003</v>
      </c>
      <c r="CK50" s="616">
        <f t="shared" si="50"/>
        <v>20.191635938368577</v>
      </c>
      <c r="CL50" s="616">
        <f t="shared" si="50"/>
        <v>20.192721744653937</v>
      </c>
      <c r="CM50" s="616">
        <f t="shared" si="50"/>
        <v>20.009593261171315</v>
      </c>
      <c r="CN50" s="616">
        <f t="shared" si="50"/>
        <v>19.574215465081316</v>
      </c>
      <c r="CO50" s="616">
        <f t="shared" si="50"/>
        <v>18.024402714929483</v>
      </c>
      <c r="CP50" s="616">
        <f t="shared" si="50"/>
        <v>17.929213642312497</v>
      </c>
      <c r="CQ50" s="616">
        <f t="shared" si="50"/>
        <v>17.763399049822485</v>
      </c>
      <c r="CR50" s="616">
        <f t="shared" si="50"/>
        <v>17.636514705889365</v>
      </c>
      <c r="CS50" s="616">
        <f t="shared" si="50"/>
        <v>17.371741470021295</v>
      </c>
      <c r="CT50" s="616">
        <f t="shared" si="50"/>
        <v>17.475877722607624</v>
      </c>
      <c r="CU50" s="616">
        <f t="shared" si="50"/>
        <v>17.676470157066525</v>
      </c>
      <c r="CV50" s="779"/>
      <c r="CW50" s="779"/>
      <c r="CX50" s="779"/>
      <c r="CY50" s="354"/>
    </row>
    <row r="51" spans="3:103" x14ac:dyDescent="0.35">
      <c r="C51" s="626" t="s">
        <v>126</v>
      </c>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151">
        <f t="shared" ref="AI51:AP51" si="51">+AI50+AI49</f>
        <v>1300.927999899118</v>
      </c>
      <c r="AJ51" s="151">
        <f t="shared" si="51"/>
        <v>1284.973887806887</v>
      </c>
      <c r="AK51" s="151" t="e">
        <f t="shared" si="51"/>
        <v>#REF!</v>
      </c>
      <c r="AL51" s="151" t="e">
        <f t="shared" si="51"/>
        <v>#REF!</v>
      </c>
      <c r="AM51" s="151" t="e">
        <f t="shared" si="51"/>
        <v>#REF!</v>
      </c>
      <c r="AN51" s="151" t="e">
        <f t="shared" si="51"/>
        <v>#REF!</v>
      </c>
      <c r="AO51" s="151" t="e">
        <f t="shared" si="51"/>
        <v>#REF!</v>
      </c>
      <c r="AP51" s="151" t="e">
        <f t="shared" si="51"/>
        <v>#REF!</v>
      </c>
      <c r="AQ51" s="151" t="e">
        <f>+AQ50+AQ49</f>
        <v>#REF!</v>
      </c>
      <c r="AR51" s="151" t="e">
        <f>+AR50+AR49</f>
        <v>#REF!</v>
      </c>
      <c r="AS51" s="151" t="e">
        <f>+AS50+AS49</f>
        <v>#REF!</v>
      </c>
      <c r="AT51" s="151" t="e">
        <f>+AT50+AT49</f>
        <v>#REF!</v>
      </c>
      <c r="AU51" s="151" t="e">
        <f>+AU50+AU49</f>
        <v>#REF!</v>
      </c>
      <c r="AV51" s="151">
        <v>1920.8162123712464</v>
      </c>
      <c r="AW51" s="151">
        <v>1877.157678479653</v>
      </c>
      <c r="AX51" s="151" t="e">
        <f>+AX50+AX49</f>
        <v>#REF!</v>
      </c>
      <c r="AY51" s="151">
        <v>2068.9058079705546</v>
      </c>
      <c r="AZ51" s="151" t="e">
        <f t="shared" ref="AZ51:CU51" si="52">+AZ50+AZ49</f>
        <v>#REF!</v>
      </c>
      <c r="BA51" s="151" t="e">
        <f t="shared" si="52"/>
        <v>#REF!</v>
      </c>
      <c r="BB51" s="345" t="e">
        <f t="shared" si="52"/>
        <v>#REF!</v>
      </c>
      <c r="BC51" s="345" t="e">
        <f t="shared" si="52"/>
        <v>#REF!</v>
      </c>
      <c r="BD51" s="345" t="e">
        <f t="shared" si="52"/>
        <v>#REF!</v>
      </c>
      <c r="BE51" s="345" t="e">
        <f t="shared" si="52"/>
        <v>#REF!</v>
      </c>
      <c r="BF51" s="345" t="e">
        <f t="shared" si="52"/>
        <v>#REF!</v>
      </c>
      <c r="BG51" s="345" t="e">
        <f t="shared" si="52"/>
        <v>#REF!</v>
      </c>
      <c r="BH51" s="345" t="e">
        <f t="shared" si="52"/>
        <v>#REF!</v>
      </c>
      <c r="BI51" s="345" t="e">
        <f t="shared" si="52"/>
        <v>#REF!</v>
      </c>
      <c r="BJ51" s="345" t="e">
        <f t="shared" si="52"/>
        <v>#REF!</v>
      </c>
      <c r="BK51" s="345" t="e">
        <f t="shared" si="52"/>
        <v>#REF!</v>
      </c>
      <c r="BL51" s="345" t="e">
        <f t="shared" si="52"/>
        <v>#REF!</v>
      </c>
      <c r="BM51" s="345">
        <f t="shared" si="52"/>
        <v>1606.918528747628</v>
      </c>
      <c r="BN51" s="345">
        <f t="shared" si="52"/>
        <v>1616.1152333883169</v>
      </c>
      <c r="BO51" s="345">
        <f t="shared" si="52"/>
        <v>1638.4720777223513</v>
      </c>
      <c r="BP51" s="345">
        <f t="shared" si="52"/>
        <v>1660.3205579603925</v>
      </c>
      <c r="BQ51" s="345">
        <f t="shared" si="52"/>
        <v>1659.0590887742153</v>
      </c>
      <c r="BR51" s="345">
        <f t="shared" si="52"/>
        <v>1660.2488708506555</v>
      </c>
      <c r="BS51" s="345">
        <f t="shared" si="52"/>
        <v>1682.975922902353</v>
      </c>
      <c r="BT51" s="345">
        <f t="shared" si="52"/>
        <v>1748.1356468942517</v>
      </c>
      <c r="BU51" s="345">
        <f t="shared" si="52"/>
        <v>1787.9639525178027</v>
      </c>
      <c r="BV51" s="345">
        <f t="shared" si="52"/>
        <v>1701.9791106617865</v>
      </c>
      <c r="BW51" s="345">
        <f t="shared" si="52"/>
        <v>1735.7341338490824</v>
      </c>
      <c r="BX51" s="345">
        <f t="shared" si="52"/>
        <v>1761.7137919822053</v>
      </c>
      <c r="BY51" s="345">
        <f t="shared" si="52"/>
        <v>1829.4646702603907</v>
      </c>
      <c r="BZ51" s="345">
        <f t="shared" si="52"/>
        <v>1804.7277714150455</v>
      </c>
      <c r="CA51" s="345">
        <f t="shared" si="52"/>
        <v>1899.9163285632485</v>
      </c>
      <c r="CB51" s="345">
        <f t="shared" si="52"/>
        <v>1983.1760422150389</v>
      </c>
      <c r="CC51" s="345">
        <f t="shared" si="52"/>
        <v>2028.1077145404035</v>
      </c>
      <c r="CD51" s="345">
        <f t="shared" si="52"/>
        <v>2057.0309537810413</v>
      </c>
      <c r="CE51" s="345">
        <f t="shared" si="52"/>
        <v>2063.3434620357198</v>
      </c>
      <c r="CF51" s="345">
        <f t="shared" si="52"/>
        <v>2016.645373309522</v>
      </c>
      <c r="CG51" s="345">
        <f t="shared" si="52"/>
        <v>2023.7494675724436</v>
      </c>
      <c r="CH51" s="345">
        <f t="shared" si="52"/>
        <v>2064.3206274951649</v>
      </c>
      <c r="CI51" s="345">
        <f t="shared" si="52"/>
        <v>2129.3425925598299</v>
      </c>
      <c r="CJ51" s="345">
        <f t="shared" si="52"/>
        <v>2123.8455705469114</v>
      </c>
      <c r="CK51" s="650">
        <f t="shared" si="52"/>
        <v>2039.3552297752262</v>
      </c>
      <c r="CL51" s="650">
        <f t="shared" si="52"/>
        <v>2039.4648962100478</v>
      </c>
      <c r="CM51" s="650">
        <f t="shared" si="52"/>
        <v>2020.9689193783026</v>
      </c>
      <c r="CN51" s="650">
        <f t="shared" si="52"/>
        <v>1976.9957619732129</v>
      </c>
      <c r="CO51" s="650">
        <f t="shared" si="52"/>
        <v>1820.4646742078778</v>
      </c>
      <c r="CP51" s="650">
        <f t="shared" si="52"/>
        <v>1810.8505778735621</v>
      </c>
      <c r="CQ51" s="650">
        <f t="shared" si="52"/>
        <v>1794.103304032071</v>
      </c>
      <c r="CR51" s="650">
        <f t="shared" si="52"/>
        <v>1781.2879852948258</v>
      </c>
      <c r="CS51" s="650">
        <f t="shared" si="52"/>
        <v>1754.5458884721506</v>
      </c>
      <c r="CT51" s="650">
        <f t="shared" si="52"/>
        <v>1765.0636499833699</v>
      </c>
      <c r="CU51" s="650">
        <f t="shared" si="52"/>
        <v>1785.3234858637188</v>
      </c>
      <c r="CV51" s="788"/>
      <c r="CW51" s="788"/>
      <c r="CX51" s="788"/>
      <c r="CY51" s="354"/>
    </row>
    <row r="52" spans="3:103" ht="15" thickBot="1" x14ac:dyDescent="0.4">
      <c r="C52" s="651"/>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119"/>
      <c r="AJ52" s="119"/>
      <c r="AK52" s="119"/>
      <c r="AL52" s="119"/>
      <c r="AM52" s="119"/>
      <c r="AN52" s="119"/>
      <c r="AO52" s="119"/>
      <c r="AP52" s="119"/>
      <c r="AQ52" s="119"/>
      <c r="AR52" s="119"/>
      <c r="AS52" s="119"/>
      <c r="AT52" s="119"/>
      <c r="AU52" s="119"/>
      <c r="AV52" s="119"/>
      <c r="AW52" s="119"/>
      <c r="AX52" s="119"/>
      <c r="AY52" s="119"/>
      <c r="AZ52" s="119"/>
      <c r="BA52" s="119"/>
      <c r="BB52" s="341"/>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629"/>
      <c r="CL52" s="629"/>
      <c r="CM52" s="629"/>
      <c r="CN52" s="629"/>
      <c r="CO52" s="629"/>
      <c r="CP52" s="629"/>
      <c r="CQ52" s="629"/>
      <c r="CR52" s="629"/>
      <c r="CS52" s="629"/>
      <c r="CT52" s="629"/>
      <c r="CU52" s="629"/>
      <c r="CV52" s="368"/>
      <c r="CW52" s="368"/>
      <c r="CX52" s="368"/>
    </row>
    <row r="53" spans="3:103" ht="15" hidden="1" thickBot="1" x14ac:dyDescent="0.4">
      <c r="C53" s="652" t="s">
        <v>129</v>
      </c>
      <c r="D53" s="36"/>
      <c r="E53" s="36"/>
      <c r="F53" s="36"/>
      <c r="G53" s="36"/>
      <c r="H53" s="36"/>
      <c r="I53" s="36"/>
      <c r="J53" s="36"/>
      <c r="K53" s="36"/>
      <c r="L53" s="36"/>
      <c r="M53" s="36"/>
      <c r="N53" s="36"/>
      <c r="O53" s="36"/>
      <c r="P53" s="36"/>
      <c r="Q53" s="36"/>
      <c r="R53" s="36"/>
      <c r="S53" s="36"/>
      <c r="T53" s="36"/>
      <c r="U53" s="36"/>
      <c r="V53" s="25">
        <f t="shared" ref="V53:AP53" si="53">+V32</f>
        <v>1063.9599612089041</v>
      </c>
      <c r="W53" s="25">
        <f t="shared" si="53"/>
        <v>1072.5363584211129</v>
      </c>
      <c r="X53" s="24">
        <f t="shared" si="53"/>
        <v>1092.8638664146681</v>
      </c>
      <c r="Y53" s="24">
        <f t="shared" si="53"/>
        <v>1332.55813953488</v>
      </c>
      <c r="Z53" s="24">
        <f t="shared" si="53"/>
        <v>1386.3640879999998</v>
      </c>
      <c r="AA53" s="24">
        <f t="shared" si="53"/>
        <v>1386.3640879999998</v>
      </c>
      <c r="AB53" s="24">
        <f t="shared" si="53"/>
        <v>1386.3640879999998</v>
      </c>
      <c r="AC53" s="24">
        <f t="shared" si="53"/>
        <v>1386.3640879999998</v>
      </c>
      <c r="AD53" s="24">
        <f t="shared" si="53"/>
        <v>1386.3640879999998</v>
      </c>
      <c r="AE53" s="24">
        <f t="shared" si="53"/>
        <v>1412.3595833333334</v>
      </c>
      <c r="AF53" s="24">
        <f t="shared" si="53"/>
        <v>1412.3595833333334</v>
      </c>
      <c r="AG53" s="24">
        <f t="shared" si="53"/>
        <v>1412.3595833333334</v>
      </c>
      <c r="AH53" s="24">
        <f t="shared" si="53"/>
        <v>1412.3595833333334</v>
      </c>
      <c r="AI53" s="24">
        <f t="shared" si="53"/>
        <v>1412.3595833333334</v>
      </c>
      <c r="AJ53" s="24">
        <f t="shared" si="53"/>
        <v>1394.54</v>
      </c>
      <c r="AK53" s="24">
        <f t="shared" si="53"/>
        <v>1394.54</v>
      </c>
      <c r="AL53" s="24">
        <f t="shared" si="53"/>
        <v>1394.54</v>
      </c>
      <c r="AM53" s="24">
        <f t="shared" si="53"/>
        <v>1394.54</v>
      </c>
      <c r="AN53" s="24">
        <f t="shared" si="53"/>
        <v>1485</v>
      </c>
      <c r="AO53" s="24">
        <f t="shared" si="53"/>
        <v>1485</v>
      </c>
      <c r="AP53" s="24">
        <f t="shared" si="53"/>
        <v>1485</v>
      </c>
      <c r="AQ53" s="24">
        <f>+AQ33</f>
        <v>1514.8753400165135</v>
      </c>
      <c r="AR53" s="24">
        <f>+AR33</f>
        <v>1514.8753400165135</v>
      </c>
      <c r="AS53" s="24">
        <f>+AS33</f>
        <v>1514.8753400165135</v>
      </c>
      <c r="AT53" s="24">
        <f>+AT33</f>
        <v>1748.1781955494955</v>
      </c>
      <c r="AU53" s="24">
        <f>+AU33</f>
        <v>2005.3590231791213</v>
      </c>
      <c r="AV53" s="24">
        <v>1942.1299178517277</v>
      </c>
      <c r="AW53" s="24">
        <v>1863.1433991880042</v>
      </c>
      <c r="AX53" s="24">
        <f>+AX33</f>
        <v>2055.0951117457171</v>
      </c>
      <c r="AY53" s="24">
        <v>2104.5193955564387</v>
      </c>
      <c r="AZ53" s="24">
        <f t="shared" ref="AZ53:CU53" si="54">+AZ33</f>
        <v>2174.9407488222141</v>
      </c>
      <c r="BA53" s="24">
        <f t="shared" si="54"/>
        <v>2224.6328195831784</v>
      </c>
      <c r="BB53" s="342">
        <f t="shared" si="54"/>
        <v>2224.6328195831784</v>
      </c>
      <c r="BC53" s="342">
        <f t="shared" si="54"/>
        <v>2351.9980645856022</v>
      </c>
      <c r="BD53" s="342">
        <f t="shared" si="54"/>
        <v>2084.0879699121556</v>
      </c>
      <c r="BE53" s="342">
        <f t="shared" si="54"/>
        <v>2039.0612287085833</v>
      </c>
      <c r="BF53" s="342">
        <f t="shared" si="54"/>
        <v>1827.4006175929699</v>
      </c>
      <c r="BG53" s="342">
        <f t="shared" si="54"/>
        <v>1572.1529790762611</v>
      </c>
      <c r="BH53" s="342">
        <f t="shared" si="54"/>
        <v>1511.4315793908329</v>
      </c>
      <c r="BI53" s="342">
        <f t="shared" si="54"/>
        <v>1571.7048222592841</v>
      </c>
      <c r="BJ53" s="342">
        <f t="shared" si="54"/>
        <v>1749.1772307014442</v>
      </c>
      <c r="BK53" s="342">
        <f t="shared" si="54"/>
        <v>1692.4082469121936</v>
      </c>
      <c r="BL53" s="342">
        <f t="shared" si="54"/>
        <v>1690.2249456104021</v>
      </c>
      <c r="BM53" s="342">
        <f t="shared" si="54"/>
        <v>1699.0064798607102</v>
      </c>
      <c r="BN53" s="342">
        <f t="shared" si="54"/>
        <v>1698.7785121302347</v>
      </c>
      <c r="BO53" s="342">
        <f t="shared" si="54"/>
        <v>1730.0096796994928</v>
      </c>
      <c r="BP53" s="342">
        <f t="shared" si="54"/>
        <v>1773.5613698859654</v>
      </c>
      <c r="BQ53" s="342">
        <f t="shared" si="54"/>
        <v>1784.875503136215</v>
      </c>
      <c r="BR53" s="342">
        <f t="shared" si="54"/>
        <v>1784.8627904875955</v>
      </c>
      <c r="BS53" s="342">
        <f t="shared" si="54"/>
        <v>1813.0215091949415</v>
      </c>
      <c r="BT53" s="342">
        <f t="shared" si="54"/>
        <v>1904.7514447411731</v>
      </c>
      <c r="BU53" s="342">
        <f t="shared" si="54"/>
        <v>1962.2860661850234</v>
      </c>
      <c r="BV53" s="342">
        <f t="shared" si="54"/>
        <v>1845.7119798851147</v>
      </c>
      <c r="BW53" s="342">
        <f t="shared" si="54"/>
        <v>1890.2730666010168</v>
      </c>
      <c r="BX53" s="342">
        <f t="shared" si="54"/>
        <v>1917.1799012981703</v>
      </c>
      <c r="BY53" s="342">
        <f t="shared" si="54"/>
        <v>2006.6200046357087</v>
      </c>
      <c r="BZ53" s="342">
        <f t="shared" si="54"/>
        <v>1943.4781005633749</v>
      </c>
      <c r="CA53" s="342">
        <f t="shared" si="54"/>
        <v>2034.9008161852571</v>
      </c>
      <c r="CB53" s="342">
        <f t="shared" si="54"/>
        <v>2114.7268131722517</v>
      </c>
      <c r="CC53" s="342">
        <f t="shared" si="54"/>
        <v>2187.72651496972</v>
      </c>
      <c r="CD53" s="342">
        <f t="shared" si="54"/>
        <v>2235.0890180084707</v>
      </c>
      <c r="CE53" s="342">
        <f t="shared" si="54"/>
        <v>2269.3398181541666</v>
      </c>
      <c r="CF53" s="342">
        <f t="shared" si="54"/>
        <v>2218.3558998675385</v>
      </c>
      <c r="CG53" s="342">
        <f t="shared" si="54"/>
        <v>2236.8571959832848</v>
      </c>
      <c r="CH53" s="342">
        <f t="shared" si="54"/>
        <v>2321.275438326265</v>
      </c>
      <c r="CI53" s="342">
        <f t="shared" si="54"/>
        <v>2410.4812551255345</v>
      </c>
      <c r="CJ53" s="342">
        <f t="shared" si="54"/>
        <v>2410.8752553973541</v>
      </c>
      <c r="CK53" s="646">
        <f t="shared" si="54"/>
        <v>2358.2487742672251</v>
      </c>
      <c r="CL53" s="646" t="e">
        <f t="shared" si="54"/>
        <v>#REF!</v>
      </c>
      <c r="CM53" s="646">
        <f t="shared" si="54"/>
        <v>0</v>
      </c>
      <c r="CN53" s="646">
        <f t="shared" si="54"/>
        <v>2373.4672471279</v>
      </c>
      <c r="CO53" s="646">
        <f t="shared" si="54"/>
        <v>0</v>
      </c>
      <c r="CP53" s="646">
        <f t="shared" si="54"/>
        <v>2373.4672471279</v>
      </c>
      <c r="CQ53" s="646">
        <f t="shared" si="54"/>
        <v>2373.4672471279</v>
      </c>
      <c r="CR53" s="646">
        <f t="shared" si="54"/>
        <v>0</v>
      </c>
      <c r="CS53" s="646">
        <f t="shared" si="54"/>
        <v>0</v>
      </c>
      <c r="CT53" s="646">
        <f t="shared" si="54"/>
        <v>0</v>
      </c>
      <c r="CU53" s="646">
        <f t="shared" si="54"/>
        <v>0</v>
      </c>
      <c r="CV53" s="785"/>
      <c r="CW53" s="785"/>
      <c r="CX53" s="785"/>
      <c r="CY53" s="240"/>
    </row>
    <row r="54" spans="3:103" ht="15" hidden="1" thickBot="1" x14ac:dyDescent="0.4">
      <c r="C54" s="642" t="s">
        <v>125</v>
      </c>
      <c r="D54" s="36"/>
      <c r="E54" s="36"/>
      <c r="F54" s="36"/>
      <c r="G54" s="36"/>
      <c r="H54" s="36"/>
      <c r="I54" s="36"/>
      <c r="J54" s="36"/>
      <c r="K54" s="36"/>
      <c r="L54" s="36"/>
      <c r="M54" s="36"/>
      <c r="N54" s="36"/>
      <c r="O54" s="36"/>
      <c r="P54" s="36"/>
      <c r="Q54" s="36"/>
      <c r="R54" s="36"/>
      <c r="S54" s="36"/>
      <c r="T54" s="36"/>
      <c r="U54" s="36"/>
      <c r="V54" s="8">
        <f t="shared" ref="V54:AU54" si="55">+V53*1%</f>
        <v>10.639599612089041</v>
      </c>
      <c r="W54" s="8">
        <f t="shared" si="55"/>
        <v>10.725363584211129</v>
      </c>
      <c r="X54" s="8">
        <f t="shared" si="55"/>
        <v>10.928638664146682</v>
      </c>
      <c r="Y54" s="8">
        <f t="shared" si="55"/>
        <v>13.3255813953488</v>
      </c>
      <c r="Z54" s="8">
        <f t="shared" si="55"/>
        <v>13.863640879999998</v>
      </c>
      <c r="AA54" s="8">
        <f t="shared" si="55"/>
        <v>13.863640879999998</v>
      </c>
      <c r="AB54" s="8">
        <f t="shared" si="55"/>
        <v>13.863640879999998</v>
      </c>
      <c r="AC54" s="8">
        <f t="shared" si="55"/>
        <v>13.863640879999998</v>
      </c>
      <c r="AD54" s="8">
        <f t="shared" si="55"/>
        <v>13.863640879999998</v>
      </c>
      <c r="AE54" s="8">
        <f t="shared" si="55"/>
        <v>14.123595833333335</v>
      </c>
      <c r="AF54" s="8">
        <f t="shared" si="55"/>
        <v>14.123595833333335</v>
      </c>
      <c r="AG54" s="8">
        <f t="shared" si="55"/>
        <v>14.123595833333335</v>
      </c>
      <c r="AH54" s="8">
        <f t="shared" si="55"/>
        <v>14.123595833333335</v>
      </c>
      <c r="AI54" s="8">
        <f t="shared" si="55"/>
        <v>14.123595833333335</v>
      </c>
      <c r="AJ54" s="8">
        <f t="shared" si="55"/>
        <v>13.945399999999999</v>
      </c>
      <c r="AK54" s="8">
        <f t="shared" si="55"/>
        <v>13.945399999999999</v>
      </c>
      <c r="AL54" s="8">
        <f t="shared" si="55"/>
        <v>13.945399999999999</v>
      </c>
      <c r="AM54" s="8">
        <f t="shared" si="55"/>
        <v>13.945399999999999</v>
      </c>
      <c r="AN54" s="8">
        <f t="shared" si="55"/>
        <v>14.85</v>
      </c>
      <c r="AO54" s="8">
        <f t="shared" si="55"/>
        <v>14.85</v>
      </c>
      <c r="AP54" s="8">
        <f t="shared" si="55"/>
        <v>14.85</v>
      </c>
      <c r="AQ54" s="8">
        <f t="shared" si="55"/>
        <v>15.148753400165136</v>
      </c>
      <c r="AR54" s="8">
        <f t="shared" si="55"/>
        <v>15.148753400165136</v>
      </c>
      <c r="AS54" s="8">
        <f t="shared" si="55"/>
        <v>15.148753400165136</v>
      </c>
      <c r="AT54" s="8">
        <f t="shared" si="55"/>
        <v>17.481781955494956</v>
      </c>
      <c r="AU54" s="8">
        <f t="shared" si="55"/>
        <v>20.053590231791215</v>
      </c>
      <c r="AV54" s="8">
        <v>19.421299178517277</v>
      </c>
      <c r="AW54" s="8">
        <v>18.631433991880041</v>
      </c>
      <c r="AX54" s="8">
        <f>+AX53*1%</f>
        <v>20.550951117457171</v>
      </c>
      <c r="AY54" s="8">
        <v>21.045193955564386</v>
      </c>
      <c r="AZ54" s="8">
        <f t="shared" ref="AZ54:CU54" si="56">+AZ53*1%</f>
        <v>21.749407488222143</v>
      </c>
      <c r="BA54" s="8">
        <f t="shared" si="56"/>
        <v>22.246328195831783</v>
      </c>
      <c r="BB54" s="334">
        <f t="shared" si="56"/>
        <v>22.246328195831783</v>
      </c>
      <c r="BC54" s="334">
        <f t="shared" si="56"/>
        <v>23.519980645856023</v>
      </c>
      <c r="BD54" s="334">
        <f t="shared" si="56"/>
        <v>20.840879699121555</v>
      </c>
      <c r="BE54" s="334">
        <f t="shared" si="56"/>
        <v>20.390612287085833</v>
      </c>
      <c r="BF54" s="334">
        <f t="shared" si="56"/>
        <v>18.274006175929699</v>
      </c>
      <c r="BG54" s="334">
        <f t="shared" si="56"/>
        <v>15.721529790762611</v>
      </c>
      <c r="BH54" s="334">
        <f t="shared" si="56"/>
        <v>15.114315793908329</v>
      </c>
      <c r="BI54" s="334">
        <f t="shared" si="56"/>
        <v>15.717048222592842</v>
      </c>
      <c r="BJ54" s="334">
        <f t="shared" si="56"/>
        <v>17.491772307014443</v>
      </c>
      <c r="BK54" s="334">
        <f t="shared" si="56"/>
        <v>16.924082469121934</v>
      </c>
      <c r="BL54" s="334">
        <f t="shared" si="56"/>
        <v>16.90224945610402</v>
      </c>
      <c r="BM54" s="334">
        <f t="shared" si="56"/>
        <v>16.990064798607101</v>
      </c>
      <c r="BN54" s="334">
        <f t="shared" si="56"/>
        <v>16.987785121302348</v>
      </c>
      <c r="BO54" s="334">
        <f t="shared" si="56"/>
        <v>17.300096796994929</v>
      </c>
      <c r="BP54" s="334">
        <f t="shared" si="56"/>
        <v>17.735613698859655</v>
      </c>
      <c r="BQ54" s="334">
        <f t="shared" si="56"/>
        <v>17.848755031362149</v>
      </c>
      <c r="BR54" s="334">
        <f t="shared" si="56"/>
        <v>17.848627904875954</v>
      </c>
      <c r="BS54" s="334">
        <f t="shared" si="56"/>
        <v>18.130215091949417</v>
      </c>
      <c r="BT54" s="334">
        <f t="shared" si="56"/>
        <v>19.047514447411732</v>
      </c>
      <c r="BU54" s="334">
        <f t="shared" si="56"/>
        <v>19.622860661850236</v>
      </c>
      <c r="BV54" s="334">
        <f t="shared" si="56"/>
        <v>18.457119798851149</v>
      </c>
      <c r="BW54" s="334">
        <f t="shared" si="56"/>
        <v>18.902730666010168</v>
      </c>
      <c r="BX54" s="334">
        <f t="shared" si="56"/>
        <v>19.171799012981705</v>
      </c>
      <c r="BY54" s="334">
        <f t="shared" si="56"/>
        <v>20.066200046357089</v>
      </c>
      <c r="BZ54" s="334">
        <f t="shared" si="56"/>
        <v>19.434781005633749</v>
      </c>
      <c r="CA54" s="334">
        <f t="shared" si="56"/>
        <v>20.34900816185257</v>
      </c>
      <c r="CB54" s="334">
        <f t="shared" si="56"/>
        <v>21.147268131722516</v>
      </c>
      <c r="CC54" s="334">
        <f t="shared" si="56"/>
        <v>21.877265149697202</v>
      </c>
      <c r="CD54" s="334">
        <f t="shared" si="56"/>
        <v>22.350890180084708</v>
      </c>
      <c r="CE54" s="334">
        <f t="shared" si="56"/>
        <v>22.693398181541667</v>
      </c>
      <c r="CF54" s="334">
        <f t="shared" si="56"/>
        <v>22.183558998675384</v>
      </c>
      <c r="CG54" s="334">
        <f t="shared" si="56"/>
        <v>22.368571959832849</v>
      </c>
      <c r="CH54" s="334">
        <f t="shared" si="56"/>
        <v>23.212754383262649</v>
      </c>
      <c r="CI54" s="334">
        <f t="shared" si="56"/>
        <v>24.104812551255346</v>
      </c>
      <c r="CJ54" s="334">
        <f t="shared" si="56"/>
        <v>24.108752553973542</v>
      </c>
      <c r="CK54" s="616">
        <f t="shared" si="56"/>
        <v>23.582487742672253</v>
      </c>
      <c r="CL54" s="616" t="e">
        <f t="shared" si="56"/>
        <v>#REF!</v>
      </c>
      <c r="CM54" s="616">
        <f t="shared" si="56"/>
        <v>0</v>
      </c>
      <c r="CN54" s="616">
        <f t="shared" si="56"/>
        <v>23.734672471279001</v>
      </c>
      <c r="CO54" s="616">
        <f t="shared" si="56"/>
        <v>0</v>
      </c>
      <c r="CP54" s="616">
        <f t="shared" si="56"/>
        <v>23.734672471279001</v>
      </c>
      <c r="CQ54" s="616">
        <f t="shared" si="56"/>
        <v>23.734672471279001</v>
      </c>
      <c r="CR54" s="616">
        <f t="shared" si="56"/>
        <v>0</v>
      </c>
      <c r="CS54" s="616">
        <f t="shared" si="56"/>
        <v>0</v>
      </c>
      <c r="CT54" s="616">
        <f t="shared" si="56"/>
        <v>0</v>
      </c>
      <c r="CU54" s="616">
        <f t="shared" si="56"/>
        <v>0</v>
      </c>
      <c r="CV54" s="779"/>
      <c r="CW54" s="779"/>
      <c r="CX54" s="779"/>
      <c r="CY54" s="235"/>
    </row>
    <row r="55" spans="3:103" ht="15" hidden="1" thickBot="1" x14ac:dyDescent="0.4">
      <c r="C55" s="626" t="s">
        <v>126</v>
      </c>
      <c r="D55" s="36"/>
      <c r="E55" s="36"/>
      <c r="F55" s="36"/>
      <c r="G55" s="36"/>
      <c r="H55" s="36"/>
      <c r="I55" s="36"/>
      <c r="J55" s="36"/>
      <c r="K55" s="36"/>
      <c r="L55" s="36"/>
      <c r="M55" s="36"/>
      <c r="N55" s="36"/>
      <c r="O55" s="36"/>
      <c r="P55" s="36"/>
      <c r="Q55" s="36"/>
      <c r="R55" s="36"/>
      <c r="S55" s="36"/>
      <c r="T55" s="36"/>
      <c r="U55" s="36"/>
      <c r="V55" s="31">
        <f t="shared" ref="V55:AU55" si="57">+V54+V53</f>
        <v>1074.5995608209932</v>
      </c>
      <c r="W55" s="31">
        <f t="shared" si="57"/>
        <v>1083.2617220053241</v>
      </c>
      <c r="X55" s="31">
        <f t="shared" si="57"/>
        <v>1103.7925050788149</v>
      </c>
      <c r="Y55" s="31">
        <f t="shared" si="57"/>
        <v>1345.8837209302287</v>
      </c>
      <c r="Z55" s="31">
        <f t="shared" si="57"/>
        <v>1400.2277288799999</v>
      </c>
      <c r="AA55" s="31">
        <f t="shared" si="57"/>
        <v>1400.2277288799999</v>
      </c>
      <c r="AB55" s="31">
        <f t="shared" si="57"/>
        <v>1400.2277288799999</v>
      </c>
      <c r="AC55" s="31">
        <f t="shared" si="57"/>
        <v>1400.2277288799999</v>
      </c>
      <c r="AD55" s="31">
        <f t="shared" si="57"/>
        <v>1400.2277288799999</v>
      </c>
      <c r="AE55" s="31">
        <f t="shared" si="57"/>
        <v>1426.4831791666668</v>
      </c>
      <c r="AF55" s="31">
        <f t="shared" si="57"/>
        <v>1426.4831791666668</v>
      </c>
      <c r="AG55" s="31">
        <f t="shared" si="57"/>
        <v>1426.4831791666668</v>
      </c>
      <c r="AH55" s="31">
        <f t="shared" si="57"/>
        <v>1426.4831791666668</v>
      </c>
      <c r="AI55" s="31">
        <f t="shared" si="57"/>
        <v>1426.4831791666668</v>
      </c>
      <c r="AJ55" s="31">
        <f t="shared" si="57"/>
        <v>1408.4854</v>
      </c>
      <c r="AK55" s="31">
        <f t="shared" si="57"/>
        <v>1408.4854</v>
      </c>
      <c r="AL55" s="31">
        <f t="shared" si="57"/>
        <v>1408.4854</v>
      </c>
      <c r="AM55" s="31">
        <f t="shared" si="57"/>
        <v>1408.4854</v>
      </c>
      <c r="AN55" s="31">
        <f t="shared" si="57"/>
        <v>1499.85</v>
      </c>
      <c r="AO55" s="31">
        <f t="shared" si="57"/>
        <v>1499.85</v>
      </c>
      <c r="AP55" s="31">
        <f t="shared" si="57"/>
        <v>1499.85</v>
      </c>
      <c r="AQ55" s="31">
        <f t="shared" si="57"/>
        <v>1530.0240934166786</v>
      </c>
      <c r="AR55" s="31">
        <f t="shared" si="57"/>
        <v>1530.0240934166786</v>
      </c>
      <c r="AS55" s="31">
        <f t="shared" si="57"/>
        <v>1530.0240934166786</v>
      </c>
      <c r="AT55" s="31">
        <f t="shared" si="57"/>
        <v>1765.6599775049904</v>
      </c>
      <c r="AU55" s="31">
        <f t="shared" si="57"/>
        <v>2025.4126134109126</v>
      </c>
      <c r="AV55" s="31">
        <v>1961.551217030245</v>
      </c>
      <c r="AW55" s="31">
        <v>1881.7748331798841</v>
      </c>
      <c r="AX55" s="31">
        <f>+AX54+AX53</f>
        <v>2075.6460628631744</v>
      </c>
      <c r="AY55" s="31">
        <v>2125.5645895120028</v>
      </c>
      <c r="AZ55" s="31">
        <f t="shared" ref="AZ55:CU55" si="58">+AZ54+AZ53</f>
        <v>2196.6901563104361</v>
      </c>
      <c r="BA55" s="31">
        <f t="shared" si="58"/>
        <v>2246.8791477790101</v>
      </c>
      <c r="BB55" s="346">
        <f t="shared" si="58"/>
        <v>2246.8791477790101</v>
      </c>
      <c r="BC55" s="346">
        <f t="shared" si="58"/>
        <v>2375.518045231458</v>
      </c>
      <c r="BD55" s="346">
        <f t="shared" si="58"/>
        <v>2104.9288496112772</v>
      </c>
      <c r="BE55" s="346">
        <f t="shared" si="58"/>
        <v>2059.451840995669</v>
      </c>
      <c r="BF55" s="346">
        <f t="shared" si="58"/>
        <v>1845.6746237688997</v>
      </c>
      <c r="BG55" s="346">
        <f t="shared" si="58"/>
        <v>1587.8745088670237</v>
      </c>
      <c r="BH55" s="346">
        <f t="shared" si="58"/>
        <v>1526.5458951847413</v>
      </c>
      <c r="BI55" s="346">
        <f t="shared" si="58"/>
        <v>1587.421870481877</v>
      </c>
      <c r="BJ55" s="346">
        <f t="shared" si="58"/>
        <v>1766.6690030084585</v>
      </c>
      <c r="BK55" s="346">
        <f t="shared" si="58"/>
        <v>1709.3323293813155</v>
      </c>
      <c r="BL55" s="346">
        <f t="shared" si="58"/>
        <v>1707.1271950665061</v>
      </c>
      <c r="BM55" s="346">
        <f t="shared" si="58"/>
        <v>1715.9965446593174</v>
      </c>
      <c r="BN55" s="346">
        <f t="shared" si="58"/>
        <v>1715.766297251537</v>
      </c>
      <c r="BO55" s="346">
        <f t="shared" si="58"/>
        <v>1747.3097764964878</v>
      </c>
      <c r="BP55" s="346">
        <f t="shared" si="58"/>
        <v>1791.2969835848251</v>
      </c>
      <c r="BQ55" s="346">
        <f t="shared" si="58"/>
        <v>1802.7242581675771</v>
      </c>
      <c r="BR55" s="346">
        <f t="shared" si="58"/>
        <v>1802.7114183924714</v>
      </c>
      <c r="BS55" s="346">
        <f t="shared" si="58"/>
        <v>1831.1517242868908</v>
      </c>
      <c r="BT55" s="346">
        <f t="shared" si="58"/>
        <v>1923.7989591885848</v>
      </c>
      <c r="BU55" s="346">
        <f t="shared" si="58"/>
        <v>1981.9089268468736</v>
      </c>
      <c r="BV55" s="346">
        <f t="shared" si="58"/>
        <v>1864.1690996839659</v>
      </c>
      <c r="BW55" s="346">
        <f t="shared" si="58"/>
        <v>1909.1757972670271</v>
      </c>
      <c r="BX55" s="346">
        <f t="shared" si="58"/>
        <v>1936.3517003111519</v>
      </c>
      <c r="BY55" s="346">
        <f t="shared" si="58"/>
        <v>2026.6862046820659</v>
      </c>
      <c r="BZ55" s="346">
        <f t="shared" si="58"/>
        <v>1962.9128815690087</v>
      </c>
      <c r="CA55" s="346">
        <f t="shared" si="58"/>
        <v>2055.2498243471096</v>
      </c>
      <c r="CB55" s="346">
        <f t="shared" si="58"/>
        <v>2135.8740813039744</v>
      </c>
      <c r="CC55" s="346">
        <f t="shared" si="58"/>
        <v>2209.603780119417</v>
      </c>
      <c r="CD55" s="346">
        <f t="shared" si="58"/>
        <v>2257.4399081885554</v>
      </c>
      <c r="CE55" s="346">
        <f t="shared" si="58"/>
        <v>2292.0332163357084</v>
      </c>
      <c r="CF55" s="346">
        <f t="shared" si="58"/>
        <v>2240.5394588662139</v>
      </c>
      <c r="CG55" s="346">
        <f t="shared" si="58"/>
        <v>2259.2257679431177</v>
      </c>
      <c r="CH55" s="346">
        <f t="shared" si="58"/>
        <v>2344.4881927095275</v>
      </c>
      <c r="CI55" s="346">
        <f t="shared" si="58"/>
        <v>2434.5860676767898</v>
      </c>
      <c r="CJ55" s="346">
        <f t="shared" si="58"/>
        <v>2434.9840079513274</v>
      </c>
      <c r="CK55" s="653">
        <f t="shared" si="58"/>
        <v>2381.8312620098973</v>
      </c>
      <c r="CL55" s="653" t="e">
        <f t="shared" si="58"/>
        <v>#REF!</v>
      </c>
      <c r="CM55" s="653">
        <f t="shared" si="58"/>
        <v>0</v>
      </c>
      <c r="CN55" s="653">
        <f t="shared" si="58"/>
        <v>2397.2019195991788</v>
      </c>
      <c r="CO55" s="653">
        <f t="shared" si="58"/>
        <v>0</v>
      </c>
      <c r="CP55" s="653">
        <f t="shared" si="58"/>
        <v>2397.2019195991788</v>
      </c>
      <c r="CQ55" s="653">
        <f t="shared" si="58"/>
        <v>2397.2019195991788</v>
      </c>
      <c r="CR55" s="653">
        <f t="shared" si="58"/>
        <v>0</v>
      </c>
      <c r="CS55" s="653">
        <f t="shared" si="58"/>
        <v>0</v>
      </c>
      <c r="CT55" s="653">
        <f t="shared" si="58"/>
        <v>0</v>
      </c>
      <c r="CU55" s="653">
        <f t="shared" si="58"/>
        <v>0</v>
      </c>
      <c r="CV55" s="789"/>
      <c r="CW55" s="789"/>
      <c r="CX55" s="789"/>
    </row>
    <row r="56" spans="3:103" ht="15" hidden="1" thickBot="1" x14ac:dyDescent="0.4">
      <c r="C56" s="648"/>
      <c r="D56" s="36"/>
      <c r="E56" s="36"/>
      <c r="F56" s="36"/>
      <c r="G56" s="36"/>
      <c r="H56" s="36"/>
      <c r="I56" s="36"/>
      <c r="J56" s="490"/>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644"/>
      <c r="CL56" s="644"/>
      <c r="CM56" s="644"/>
      <c r="CN56" s="644"/>
      <c r="CO56" s="644"/>
      <c r="CP56" s="644"/>
      <c r="CQ56" s="644"/>
      <c r="CR56" s="644"/>
      <c r="CS56" s="644"/>
      <c r="CT56" s="644"/>
      <c r="CU56" s="644"/>
      <c r="CY56" s="243"/>
    </row>
    <row r="57" spans="3:103" ht="15" hidden="1" thickBot="1" x14ac:dyDescent="0.4">
      <c r="C57" s="628" t="s">
        <v>130</v>
      </c>
      <c r="D57" s="36"/>
      <c r="E57" s="36"/>
      <c r="F57" s="36"/>
      <c r="G57" s="36"/>
      <c r="H57" s="36"/>
      <c r="I57" s="36"/>
      <c r="J57" s="36"/>
      <c r="K57" s="36"/>
      <c r="L57" s="36"/>
      <c r="M57" s="36"/>
      <c r="N57" s="36"/>
      <c r="O57" s="36"/>
      <c r="P57" s="36"/>
      <c r="Q57" s="36"/>
      <c r="R57" s="36"/>
      <c r="S57" s="36"/>
      <c r="T57" s="36"/>
      <c r="U57" s="36"/>
      <c r="V57" s="36"/>
      <c r="W57" s="36"/>
      <c r="X57" s="36"/>
      <c r="Y57" s="24">
        <f t="shared" ref="Y57:AJ57" si="59">+Y26</f>
        <v>1150.3830172785981</v>
      </c>
      <c r="Z57" s="24">
        <f t="shared" si="59"/>
        <v>1023.1077369665325</v>
      </c>
      <c r="AA57" s="24">
        <f t="shared" si="59"/>
        <v>922.04779618270766</v>
      </c>
      <c r="AB57" s="24">
        <f t="shared" si="59"/>
        <v>986.45</v>
      </c>
      <c r="AC57" s="24">
        <f t="shared" si="59"/>
        <v>939.79623737749137</v>
      </c>
      <c r="AD57" s="24">
        <f t="shared" si="59"/>
        <v>962.07999999999981</v>
      </c>
      <c r="AE57" s="24">
        <f t="shared" si="59"/>
        <v>950.59587621310789</v>
      </c>
      <c r="AF57" s="24">
        <f t="shared" si="59"/>
        <v>956.03999999999985</v>
      </c>
      <c r="AG57" s="24">
        <f t="shared" si="59"/>
        <v>926.98477393613234</v>
      </c>
      <c r="AH57" s="24">
        <f t="shared" si="59"/>
        <v>912.79096289503639</v>
      </c>
      <c r="AI57" s="24">
        <f t="shared" si="59"/>
        <v>915.11134861036817</v>
      </c>
      <c r="AJ57" s="24">
        <f t="shared" si="59"/>
        <v>905.3854962648993</v>
      </c>
      <c r="AK57" s="24" t="e">
        <f t="shared" ref="AK57:AP57" si="60">+AK27</f>
        <v>#REF!</v>
      </c>
      <c r="AL57" s="24" t="e">
        <f t="shared" si="60"/>
        <v>#REF!</v>
      </c>
      <c r="AM57" s="24" t="e">
        <f t="shared" si="60"/>
        <v>#REF!</v>
      </c>
      <c r="AN57" s="24" t="e">
        <f t="shared" si="60"/>
        <v>#REF!</v>
      </c>
      <c r="AO57" s="24" t="e">
        <f t="shared" si="60"/>
        <v>#REF!</v>
      </c>
      <c r="AP57" s="24" t="e">
        <f t="shared" si="60"/>
        <v>#REF!</v>
      </c>
      <c r="AQ57" s="24" t="e">
        <f>+AQ28</f>
        <v>#REF!</v>
      </c>
      <c r="AR57" s="24" t="e">
        <f>+AR28</f>
        <v>#REF!</v>
      </c>
      <c r="AS57" s="24" t="e">
        <f>+AS28</f>
        <v>#REF!</v>
      </c>
      <c r="AT57" s="24" t="e">
        <f>+AT28</f>
        <v>#REF!</v>
      </c>
      <c r="AU57" s="24" t="e">
        <f>+AU28</f>
        <v>#REF!</v>
      </c>
      <c r="AV57" s="24">
        <v>1780.8031667269806</v>
      </c>
      <c r="AW57" s="24">
        <v>1844.8576379989688</v>
      </c>
      <c r="AX57" s="24" t="e">
        <f>+AX28</f>
        <v>#REF!</v>
      </c>
      <c r="AY57" s="24">
        <v>1880.1281815309007</v>
      </c>
      <c r="AZ57" s="24" t="e">
        <f>+AZ28</f>
        <v>#REF!</v>
      </c>
      <c r="BA57" s="24" t="e">
        <f>+BA28</f>
        <v>#REF!</v>
      </c>
      <c r="BB57" s="342" t="e">
        <f>+BB28</f>
        <v>#REF!</v>
      </c>
      <c r="BC57" s="342" t="e">
        <f t="shared" ref="BC57:CU57" si="61">+BC30</f>
        <v>#REF!</v>
      </c>
      <c r="BD57" s="342" t="e">
        <f t="shared" si="61"/>
        <v>#REF!</v>
      </c>
      <c r="BE57" s="342" t="e">
        <f t="shared" si="61"/>
        <v>#REF!</v>
      </c>
      <c r="BF57" s="342" t="e">
        <f t="shared" si="61"/>
        <v>#REF!</v>
      </c>
      <c r="BG57" s="342" t="e">
        <f t="shared" si="61"/>
        <v>#REF!</v>
      </c>
      <c r="BH57" s="342" t="e">
        <f t="shared" si="61"/>
        <v>#REF!</v>
      </c>
      <c r="BI57" s="342" t="e">
        <f t="shared" si="61"/>
        <v>#REF!</v>
      </c>
      <c r="BJ57" s="342" t="e">
        <f t="shared" si="61"/>
        <v>#REF!</v>
      </c>
      <c r="BK57" s="342" t="e">
        <f t="shared" si="61"/>
        <v>#REF!</v>
      </c>
      <c r="BL57" s="342" t="e">
        <f t="shared" si="61"/>
        <v>#REF!</v>
      </c>
      <c r="BM57" s="342">
        <f t="shared" si="61"/>
        <v>1267.0143376361973</v>
      </c>
      <c r="BN57" s="342">
        <f t="shared" si="61"/>
        <v>1304.1208334640173</v>
      </c>
      <c r="BO57" s="342">
        <f t="shared" si="61"/>
        <v>1298.9692885147945</v>
      </c>
      <c r="BP57" s="342">
        <f t="shared" si="61"/>
        <v>1254.8428525614802</v>
      </c>
      <c r="BQ57" s="342">
        <f t="shared" si="61"/>
        <v>1215.9045352417124</v>
      </c>
      <c r="BR57" s="342">
        <f t="shared" si="61"/>
        <v>1220.6546814110968</v>
      </c>
      <c r="BS57" s="342">
        <f t="shared" si="61"/>
        <v>1226.1866522264747</v>
      </c>
      <c r="BT57" s="342">
        <f t="shared" si="61"/>
        <v>1209.0551584269829</v>
      </c>
      <c r="BU57" s="342">
        <f t="shared" si="61"/>
        <v>1194.1871579510785</v>
      </c>
      <c r="BV57" s="342">
        <f t="shared" si="61"/>
        <v>1203.3753896982651</v>
      </c>
      <c r="BW57" s="342">
        <f t="shared" si="61"/>
        <v>1203.3753896982651</v>
      </c>
      <c r="BX57" s="342">
        <f t="shared" si="61"/>
        <v>1225.54462078749</v>
      </c>
      <c r="BY57" s="342">
        <f t="shared" si="61"/>
        <v>1225.54462078749</v>
      </c>
      <c r="BZ57" s="342">
        <f t="shared" si="61"/>
        <v>1317.0024167853026</v>
      </c>
      <c r="CA57" s="342">
        <f t="shared" si="61"/>
        <v>1419.7186546650141</v>
      </c>
      <c r="CB57" s="342">
        <f t="shared" si="61"/>
        <v>1509.9821039091423</v>
      </c>
      <c r="CC57" s="342">
        <f t="shared" si="61"/>
        <v>1468.930215646893</v>
      </c>
      <c r="CD57" s="342">
        <f t="shared" si="61"/>
        <v>1441.3901886717804</v>
      </c>
      <c r="CE57" s="342">
        <f t="shared" si="61"/>
        <v>1363.6378209264894</v>
      </c>
      <c r="CF57" s="342">
        <f t="shared" si="61"/>
        <v>1331.6466501380658</v>
      </c>
      <c r="CG57" s="342">
        <f t="shared" si="61"/>
        <v>1304.2777885746743</v>
      </c>
      <c r="CH57" s="342">
        <f t="shared" si="61"/>
        <v>1211.7009226258197</v>
      </c>
      <c r="CI57" s="342">
        <f t="shared" si="61"/>
        <v>1201.5962051573779</v>
      </c>
      <c r="CJ57" s="342">
        <f t="shared" si="61"/>
        <v>1178.6438201323385</v>
      </c>
      <c r="CK57" s="646">
        <f t="shared" si="61"/>
        <v>1159.5043426924331</v>
      </c>
      <c r="CL57" s="646">
        <f t="shared" si="61"/>
        <v>1169.9781021941997</v>
      </c>
      <c r="CM57" s="646">
        <f t="shared" si="61"/>
        <v>1188.462432983202</v>
      </c>
      <c r="CN57" s="646">
        <f t="shared" si="61"/>
        <v>1364.4350559233303</v>
      </c>
      <c r="CO57" s="646">
        <f t="shared" si="61"/>
        <v>1286.7632895323181</v>
      </c>
      <c r="CP57" s="646">
        <f t="shared" si="61"/>
        <v>1249.5027202502913</v>
      </c>
      <c r="CQ57" s="646">
        <f t="shared" si="61"/>
        <v>1229.7082723501064</v>
      </c>
      <c r="CR57" s="646">
        <f t="shared" si="61"/>
        <v>1201.4273245732036</v>
      </c>
      <c r="CS57" s="646">
        <f t="shared" si="61"/>
        <v>1170.9491189896669</v>
      </c>
      <c r="CT57" s="646">
        <f t="shared" si="61"/>
        <v>1137.1396232839734</v>
      </c>
      <c r="CU57" s="646">
        <f t="shared" si="61"/>
        <v>1122.3752534824653</v>
      </c>
      <c r="CV57" s="785"/>
      <c r="CW57" s="785"/>
      <c r="CX57" s="785"/>
      <c r="CY57" s="240"/>
    </row>
    <row r="58" spans="3:103" ht="15" hidden="1" thickBot="1" x14ac:dyDescent="0.4">
      <c r="C58" s="642" t="s">
        <v>125</v>
      </c>
      <c r="D58" s="36"/>
      <c r="E58" s="36"/>
      <c r="F58" s="36"/>
      <c r="G58" s="36"/>
      <c r="H58" s="36"/>
      <c r="I58" s="36"/>
      <c r="J58" s="36"/>
      <c r="K58" s="36"/>
      <c r="L58" s="36"/>
      <c r="M58" s="36"/>
      <c r="N58" s="36"/>
      <c r="O58" s="36"/>
      <c r="P58" s="36"/>
      <c r="Q58" s="36"/>
      <c r="R58" s="36"/>
      <c r="S58" s="36"/>
      <c r="T58" s="36"/>
      <c r="U58" s="36"/>
      <c r="V58" s="36"/>
      <c r="W58" s="36"/>
      <c r="X58" s="36"/>
      <c r="Y58" s="8">
        <f t="shared" ref="Y58:AU58" si="62">+Y57*1%</f>
        <v>11.503830172785982</v>
      </c>
      <c r="Z58" s="8">
        <f t="shared" si="62"/>
        <v>10.231077369665325</v>
      </c>
      <c r="AA58" s="8">
        <f t="shared" si="62"/>
        <v>9.2204779618270774</v>
      </c>
      <c r="AB58" s="8">
        <f t="shared" si="62"/>
        <v>9.8645000000000014</v>
      </c>
      <c r="AC58" s="8">
        <f t="shared" si="62"/>
        <v>9.3979623737749147</v>
      </c>
      <c r="AD58" s="8">
        <f t="shared" si="62"/>
        <v>9.6207999999999991</v>
      </c>
      <c r="AE58" s="8">
        <f t="shared" si="62"/>
        <v>9.5059587621310797</v>
      </c>
      <c r="AF58" s="8">
        <f t="shared" si="62"/>
        <v>9.5603999999999996</v>
      </c>
      <c r="AG58" s="8">
        <f t="shared" si="62"/>
        <v>9.2698477393613228</v>
      </c>
      <c r="AH58" s="8">
        <f t="shared" si="62"/>
        <v>9.1279096289503645</v>
      </c>
      <c r="AI58" s="8">
        <f t="shared" si="62"/>
        <v>9.1511134861036822</v>
      </c>
      <c r="AJ58" s="8">
        <f t="shared" si="62"/>
        <v>9.0538549626489928</v>
      </c>
      <c r="AK58" s="8" t="e">
        <f t="shared" si="62"/>
        <v>#REF!</v>
      </c>
      <c r="AL58" s="8" t="e">
        <f t="shared" si="62"/>
        <v>#REF!</v>
      </c>
      <c r="AM58" s="8" t="e">
        <f t="shared" si="62"/>
        <v>#REF!</v>
      </c>
      <c r="AN58" s="8" t="e">
        <f t="shared" si="62"/>
        <v>#REF!</v>
      </c>
      <c r="AO58" s="8" t="e">
        <f t="shared" si="62"/>
        <v>#REF!</v>
      </c>
      <c r="AP58" s="8" t="e">
        <f t="shared" si="62"/>
        <v>#REF!</v>
      </c>
      <c r="AQ58" s="8" t="e">
        <f t="shared" si="62"/>
        <v>#REF!</v>
      </c>
      <c r="AR58" s="8" t="e">
        <f t="shared" si="62"/>
        <v>#REF!</v>
      </c>
      <c r="AS58" s="8" t="e">
        <f t="shared" si="62"/>
        <v>#REF!</v>
      </c>
      <c r="AT58" s="8" t="e">
        <f t="shared" si="62"/>
        <v>#REF!</v>
      </c>
      <c r="AU58" s="8" t="e">
        <f t="shared" si="62"/>
        <v>#REF!</v>
      </c>
      <c r="AV58" s="8">
        <v>17.808031667269805</v>
      </c>
      <c r="AW58" s="8">
        <v>18.448576379989689</v>
      </c>
      <c r="AX58" s="8" t="e">
        <f>+AX57*1%</f>
        <v>#REF!</v>
      </c>
      <c r="AY58" s="8">
        <v>18.801281815309007</v>
      </c>
      <c r="AZ58" s="8" t="e">
        <f t="shared" ref="AZ58:CU58" si="63">+AZ57*1%</f>
        <v>#REF!</v>
      </c>
      <c r="BA58" s="8" t="e">
        <f t="shared" si="63"/>
        <v>#REF!</v>
      </c>
      <c r="BB58" s="334" t="e">
        <f t="shared" si="63"/>
        <v>#REF!</v>
      </c>
      <c r="BC58" s="334" t="e">
        <f t="shared" si="63"/>
        <v>#REF!</v>
      </c>
      <c r="BD58" s="334" t="e">
        <f t="shared" si="63"/>
        <v>#REF!</v>
      </c>
      <c r="BE58" s="334" t="e">
        <f t="shared" si="63"/>
        <v>#REF!</v>
      </c>
      <c r="BF58" s="334" t="e">
        <f t="shared" si="63"/>
        <v>#REF!</v>
      </c>
      <c r="BG58" s="334" t="e">
        <f t="shared" si="63"/>
        <v>#REF!</v>
      </c>
      <c r="BH58" s="334" t="e">
        <f t="shared" si="63"/>
        <v>#REF!</v>
      </c>
      <c r="BI58" s="334" t="e">
        <f t="shared" si="63"/>
        <v>#REF!</v>
      </c>
      <c r="BJ58" s="334" t="e">
        <f t="shared" si="63"/>
        <v>#REF!</v>
      </c>
      <c r="BK58" s="334" t="e">
        <f t="shared" si="63"/>
        <v>#REF!</v>
      </c>
      <c r="BL58" s="334" t="e">
        <f t="shared" si="63"/>
        <v>#REF!</v>
      </c>
      <c r="BM58" s="334">
        <f t="shared" si="63"/>
        <v>12.670143376361974</v>
      </c>
      <c r="BN58" s="334">
        <f t="shared" si="63"/>
        <v>13.041208334640174</v>
      </c>
      <c r="BO58" s="334">
        <f t="shared" si="63"/>
        <v>12.989692885147946</v>
      </c>
      <c r="BP58" s="334">
        <f t="shared" si="63"/>
        <v>12.548428525614803</v>
      </c>
      <c r="BQ58" s="334">
        <f t="shared" si="63"/>
        <v>12.159045352417124</v>
      </c>
      <c r="BR58" s="334">
        <f t="shared" si="63"/>
        <v>12.206546814110968</v>
      </c>
      <c r="BS58" s="334">
        <f t="shared" si="63"/>
        <v>12.261866522264748</v>
      </c>
      <c r="BT58" s="334">
        <f t="shared" si="63"/>
        <v>12.090551584269829</v>
      </c>
      <c r="BU58" s="334">
        <f t="shared" si="63"/>
        <v>11.941871579510785</v>
      </c>
      <c r="BV58" s="334">
        <f t="shared" si="63"/>
        <v>12.033753896982651</v>
      </c>
      <c r="BW58" s="334">
        <f t="shared" si="63"/>
        <v>12.033753896982651</v>
      </c>
      <c r="BX58" s="334">
        <f t="shared" si="63"/>
        <v>12.2554462078749</v>
      </c>
      <c r="BY58" s="334">
        <f t="shared" si="63"/>
        <v>12.2554462078749</v>
      </c>
      <c r="BZ58" s="334">
        <f t="shared" si="63"/>
        <v>13.170024167853025</v>
      </c>
      <c r="CA58" s="334">
        <f t="shared" si="63"/>
        <v>14.197186546650142</v>
      </c>
      <c r="CB58" s="334">
        <f t="shared" si="63"/>
        <v>15.099821039091424</v>
      </c>
      <c r="CC58" s="334">
        <f t="shared" si="63"/>
        <v>14.68930215646893</v>
      </c>
      <c r="CD58" s="334">
        <f t="shared" si="63"/>
        <v>14.413901886717804</v>
      </c>
      <c r="CE58" s="334">
        <f t="shared" si="63"/>
        <v>13.636378209264894</v>
      </c>
      <c r="CF58" s="334">
        <f t="shared" si="63"/>
        <v>13.316466501380658</v>
      </c>
      <c r="CG58" s="334">
        <f t="shared" si="63"/>
        <v>13.042777885746744</v>
      </c>
      <c r="CH58" s="334">
        <f t="shared" si="63"/>
        <v>12.117009226258197</v>
      </c>
      <c r="CI58" s="334">
        <f t="shared" si="63"/>
        <v>12.01596205157378</v>
      </c>
      <c r="CJ58" s="334">
        <f t="shared" si="63"/>
        <v>11.786438201323385</v>
      </c>
      <c r="CK58" s="616">
        <f t="shared" si="63"/>
        <v>11.595043426924331</v>
      </c>
      <c r="CL58" s="616">
        <f t="shared" si="63"/>
        <v>11.699781021941996</v>
      </c>
      <c r="CM58" s="616">
        <f t="shared" si="63"/>
        <v>11.88462432983202</v>
      </c>
      <c r="CN58" s="616">
        <f t="shared" si="63"/>
        <v>13.644350559233303</v>
      </c>
      <c r="CO58" s="616">
        <f t="shared" si="63"/>
        <v>12.867632895323181</v>
      </c>
      <c r="CP58" s="616">
        <f t="shared" si="63"/>
        <v>12.495027202502913</v>
      </c>
      <c r="CQ58" s="616">
        <f t="shared" si="63"/>
        <v>12.297082723501065</v>
      </c>
      <c r="CR58" s="616">
        <f t="shared" si="63"/>
        <v>12.014273245732037</v>
      </c>
      <c r="CS58" s="616">
        <f t="shared" si="63"/>
        <v>11.709491189896669</v>
      </c>
      <c r="CT58" s="616">
        <f t="shared" si="63"/>
        <v>11.371396232839734</v>
      </c>
      <c r="CU58" s="616">
        <f t="shared" si="63"/>
        <v>11.223752534824653</v>
      </c>
      <c r="CV58" s="779"/>
      <c r="CW58" s="779"/>
      <c r="CX58" s="779"/>
      <c r="CY58" s="235"/>
    </row>
    <row r="59" spans="3:103" ht="15" hidden="1" thickBot="1" x14ac:dyDescent="0.4">
      <c r="C59" s="626" t="s">
        <v>126</v>
      </c>
      <c r="D59" s="36"/>
      <c r="E59" s="36"/>
      <c r="F59" s="36"/>
      <c r="G59" s="36"/>
      <c r="H59" s="36"/>
      <c r="I59" s="36"/>
      <c r="J59" s="36"/>
      <c r="K59" s="36"/>
      <c r="L59" s="36"/>
      <c r="M59" s="36"/>
      <c r="N59" s="36"/>
      <c r="O59" s="36"/>
      <c r="P59" s="36"/>
      <c r="Q59" s="36"/>
      <c r="R59" s="36"/>
      <c r="S59" s="36"/>
      <c r="T59" s="36"/>
      <c r="U59" s="36"/>
      <c r="V59" s="36"/>
      <c r="W59" s="36"/>
      <c r="X59" s="36"/>
      <c r="Y59" s="69">
        <f t="shared" ref="Y59:AU59" si="64">+Y58+Y57</f>
        <v>1161.886847451384</v>
      </c>
      <c r="Z59" s="69">
        <f t="shared" si="64"/>
        <v>1033.3388143361979</v>
      </c>
      <c r="AA59" s="69">
        <f t="shared" si="64"/>
        <v>931.26827414453476</v>
      </c>
      <c r="AB59" s="69">
        <f t="shared" si="64"/>
        <v>996.31450000000007</v>
      </c>
      <c r="AC59" s="69">
        <f t="shared" si="64"/>
        <v>949.1941997512663</v>
      </c>
      <c r="AD59" s="69">
        <f t="shared" si="64"/>
        <v>971.70079999999984</v>
      </c>
      <c r="AE59" s="69">
        <f t="shared" si="64"/>
        <v>960.10183497523894</v>
      </c>
      <c r="AF59" s="69">
        <f t="shared" si="64"/>
        <v>965.60039999999981</v>
      </c>
      <c r="AG59" s="69">
        <f t="shared" si="64"/>
        <v>936.25462167549369</v>
      </c>
      <c r="AH59" s="69">
        <f t="shared" si="64"/>
        <v>921.91887252398681</v>
      </c>
      <c r="AI59" s="69">
        <f t="shared" si="64"/>
        <v>924.26246209647184</v>
      </c>
      <c r="AJ59" s="69">
        <f t="shared" si="64"/>
        <v>914.43935122754829</v>
      </c>
      <c r="AK59" s="69" t="e">
        <f t="shared" si="64"/>
        <v>#REF!</v>
      </c>
      <c r="AL59" s="69" t="e">
        <f t="shared" si="64"/>
        <v>#REF!</v>
      </c>
      <c r="AM59" s="69" t="e">
        <f t="shared" si="64"/>
        <v>#REF!</v>
      </c>
      <c r="AN59" s="69" t="e">
        <f t="shared" si="64"/>
        <v>#REF!</v>
      </c>
      <c r="AO59" s="69" t="e">
        <f t="shared" si="64"/>
        <v>#REF!</v>
      </c>
      <c r="AP59" s="69" t="e">
        <f t="shared" si="64"/>
        <v>#REF!</v>
      </c>
      <c r="AQ59" s="69" t="e">
        <f t="shared" si="64"/>
        <v>#REF!</v>
      </c>
      <c r="AR59" s="69" t="e">
        <f t="shared" si="64"/>
        <v>#REF!</v>
      </c>
      <c r="AS59" s="69" t="e">
        <f t="shared" si="64"/>
        <v>#REF!</v>
      </c>
      <c r="AT59" s="69" t="e">
        <f t="shared" si="64"/>
        <v>#REF!</v>
      </c>
      <c r="AU59" s="69" t="e">
        <f t="shared" si="64"/>
        <v>#REF!</v>
      </c>
      <c r="AV59" s="69">
        <v>1798.6111983942506</v>
      </c>
      <c r="AW59" s="69">
        <v>1863.3062143789584</v>
      </c>
      <c r="AX59" s="69" t="e">
        <f>+AX58+AX57</f>
        <v>#REF!</v>
      </c>
      <c r="AY59" s="69">
        <v>1898.9294633462098</v>
      </c>
      <c r="AZ59" s="69" t="e">
        <f t="shared" ref="AZ59:CU59" si="65">+AZ58+AZ57</f>
        <v>#REF!</v>
      </c>
      <c r="BA59" s="69" t="e">
        <f t="shared" si="65"/>
        <v>#REF!</v>
      </c>
      <c r="BB59" s="347" t="e">
        <f t="shared" si="65"/>
        <v>#REF!</v>
      </c>
      <c r="BC59" s="347" t="e">
        <f t="shared" si="65"/>
        <v>#REF!</v>
      </c>
      <c r="BD59" s="347" t="e">
        <f t="shared" si="65"/>
        <v>#REF!</v>
      </c>
      <c r="BE59" s="347" t="e">
        <f t="shared" si="65"/>
        <v>#REF!</v>
      </c>
      <c r="BF59" s="347" t="e">
        <f t="shared" si="65"/>
        <v>#REF!</v>
      </c>
      <c r="BG59" s="347" t="e">
        <f t="shared" si="65"/>
        <v>#REF!</v>
      </c>
      <c r="BH59" s="347" t="e">
        <f t="shared" si="65"/>
        <v>#REF!</v>
      </c>
      <c r="BI59" s="347" t="e">
        <f t="shared" si="65"/>
        <v>#REF!</v>
      </c>
      <c r="BJ59" s="347" t="e">
        <f t="shared" si="65"/>
        <v>#REF!</v>
      </c>
      <c r="BK59" s="347" t="e">
        <f t="shared" si="65"/>
        <v>#REF!</v>
      </c>
      <c r="BL59" s="347" t="e">
        <f t="shared" si="65"/>
        <v>#REF!</v>
      </c>
      <c r="BM59" s="347">
        <f t="shared" si="65"/>
        <v>1279.6844810125592</v>
      </c>
      <c r="BN59" s="347">
        <f t="shared" si="65"/>
        <v>1317.1620417986576</v>
      </c>
      <c r="BO59" s="347">
        <f t="shared" si="65"/>
        <v>1311.9589813999423</v>
      </c>
      <c r="BP59" s="347">
        <f t="shared" si="65"/>
        <v>1267.391281087095</v>
      </c>
      <c r="BQ59" s="347">
        <f t="shared" si="65"/>
        <v>1228.0635805941295</v>
      </c>
      <c r="BR59" s="347">
        <f t="shared" si="65"/>
        <v>1232.8612282252077</v>
      </c>
      <c r="BS59" s="347">
        <f t="shared" si="65"/>
        <v>1238.4485187487394</v>
      </c>
      <c r="BT59" s="347">
        <f t="shared" si="65"/>
        <v>1221.1457100112527</v>
      </c>
      <c r="BU59" s="347">
        <f t="shared" si="65"/>
        <v>1206.1290295305892</v>
      </c>
      <c r="BV59" s="347">
        <f t="shared" si="65"/>
        <v>1215.4091435952478</v>
      </c>
      <c r="BW59" s="347">
        <f t="shared" si="65"/>
        <v>1215.4091435952478</v>
      </c>
      <c r="BX59" s="347">
        <f t="shared" si="65"/>
        <v>1237.8000669953649</v>
      </c>
      <c r="BY59" s="347">
        <f t="shared" si="65"/>
        <v>1237.8000669953649</v>
      </c>
      <c r="BZ59" s="347">
        <f t="shared" si="65"/>
        <v>1330.1724409531555</v>
      </c>
      <c r="CA59" s="347">
        <f t="shared" si="65"/>
        <v>1433.9158412116642</v>
      </c>
      <c r="CB59" s="347">
        <f t="shared" si="65"/>
        <v>1525.0819249482338</v>
      </c>
      <c r="CC59" s="347">
        <f t="shared" si="65"/>
        <v>1483.619517803362</v>
      </c>
      <c r="CD59" s="347">
        <f t="shared" si="65"/>
        <v>1455.8040905584983</v>
      </c>
      <c r="CE59" s="347">
        <f t="shared" si="65"/>
        <v>1377.2741991357543</v>
      </c>
      <c r="CF59" s="347">
        <f t="shared" si="65"/>
        <v>1344.9631166394463</v>
      </c>
      <c r="CG59" s="347">
        <f t="shared" si="65"/>
        <v>1317.3205664604211</v>
      </c>
      <c r="CH59" s="347">
        <f t="shared" si="65"/>
        <v>1223.8179318520779</v>
      </c>
      <c r="CI59" s="347">
        <f t="shared" si="65"/>
        <v>1213.6121672089516</v>
      </c>
      <c r="CJ59" s="347">
        <f t="shared" si="65"/>
        <v>1190.4302583336619</v>
      </c>
      <c r="CK59" s="654">
        <f t="shared" si="65"/>
        <v>1171.0993861193574</v>
      </c>
      <c r="CL59" s="654">
        <f t="shared" si="65"/>
        <v>1181.6778832161417</v>
      </c>
      <c r="CM59" s="654">
        <f t="shared" si="65"/>
        <v>1200.3470573130339</v>
      </c>
      <c r="CN59" s="654">
        <f t="shared" si="65"/>
        <v>1378.0794064825636</v>
      </c>
      <c r="CO59" s="654">
        <f t="shared" si="65"/>
        <v>1299.6309224276413</v>
      </c>
      <c r="CP59" s="654">
        <f t="shared" si="65"/>
        <v>1261.9977474527943</v>
      </c>
      <c r="CQ59" s="654">
        <f t="shared" si="65"/>
        <v>1242.0053550736075</v>
      </c>
      <c r="CR59" s="654">
        <f t="shared" si="65"/>
        <v>1213.4415978189356</v>
      </c>
      <c r="CS59" s="654">
        <f t="shared" si="65"/>
        <v>1182.6586101795635</v>
      </c>
      <c r="CT59" s="654">
        <f t="shared" si="65"/>
        <v>1148.5110195168131</v>
      </c>
      <c r="CU59" s="654">
        <f t="shared" si="65"/>
        <v>1133.5990060172899</v>
      </c>
      <c r="CV59" s="790"/>
      <c r="CW59" s="790"/>
      <c r="CX59" s="790"/>
    </row>
    <row r="60" spans="3:103" ht="15" hidden="1" thickBot="1" x14ac:dyDescent="0.4">
      <c r="C60" s="648"/>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644"/>
      <c r="CL60" s="644"/>
      <c r="CM60" s="644"/>
      <c r="CN60" s="644"/>
      <c r="CO60" s="644"/>
      <c r="CP60" s="644"/>
      <c r="CQ60" s="644"/>
      <c r="CR60" s="644"/>
      <c r="CS60" s="644"/>
      <c r="CT60" s="644"/>
      <c r="CU60" s="644"/>
      <c r="CY60" s="243"/>
    </row>
    <row r="61" spans="3:103" x14ac:dyDescent="0.35">
      <c r="C61" s="655" t="s">
        <v>511</v>
      </c>
      <c r="D61" s="36"/>
      <c r="E61" s="36"/>
      <c r="F61" s="36"/>
      <c r="G61" s="36"/>
      <c r="H61" s="36"/>
      <c r="I61" s="36"/>
      <c r="J61" s="36"/>
      <c r="K61" s="36"/>
      <c r="L61" s="36"/>
      <c r="M61" s="36"/>
      <c r="N61" s="36"/>
      <c r="O61" s="36"/>
      <c r="P61" s="36"/>
      <c r="Q61" s="36"/>
      <c r="R61" s="36"/>
      <c r="S61" s="36"/>
      <c r="T61" s="36"/>
      <c r="U61" s="36"/>
      <c r="V61" s="36"/>
      <c r="W61" s="36"/>
      <c r="X61" s="36"/>
      <c r="Y61" s="36"/>
      <c r="Z61" s="24">
        <f>+Z68</f>
        <v>0</v>
      </c>
      <c r="AA61" s="24">
        <f>+AA68</f>
        <v>0</v>
      </c>
      <c r="AB61" s="24">
        <f>+AB68</f>
        <v>0</v>
      </c>
      <c r="AC61" s="24">
        <f>+AC68</f>
        <v>0</v>
      </c>
      <c r="AD61" s="24">
        <f t="shared" ref="AD61:AJ61" si="66">+(AD26*50%)+(AD34*50%)</f>
        <v>1056.0323258500614</v>
      </c>
      <c r="AE61" s="24">
        <f t="shared" si="66"/>
        <v>1057.1655173240197</v>
      </c>
      <c r="AF61" s="24">
        <f t="shared" si="66"/>
        <v>1059.8875792174656</v>
      </c>
      <c r="AG61" s="24">
        <f t="shared" si="66"/>
        <v>466.49238696806617</v>
      </c>
      <c r="AH61" s="24">
        <f t="shared" si="66"/>
        <v>1019.0123373437202</v>
      </c>
      <c r="AI61" s="24">
        <f t="shared" si="66"/>
        <v>1034.3661219290843</v>
      </c>
      <c r="AJ61" s="24">
        <f t="shared" si="66"/>
        <v>1051.4568714466118</v>
      </c>
      <c r="AK61" s="24" t="e">
        <f t="shared" ref="AK61:AP61" si="67">+(AK27*50%)+(AK34*50%)</f>
        <v>#REF!</v>
      </c>
      <c r="AL61" s="24" t="e">
        <f t="shared" si="67"/>
        <v>#REF!</v>
      </c>
      <c r="AM61" s="24" t="e">
        <f t="shared" si="67"/>
        <v>#REF!</v>
      </c>
      <c r="AN61" s="24" t="e">
        <f t="shared" si="67"/>
        <v>#REF!</v>
      </c>
      <c r="AO61" s="24" t="e">
        <f t="shared" si="67"/>
        <v>#REF!</v>
      </c>
      <c r="AP61" s="24" t="e">
        <f t="shared" si="67"/>
        <v>#REF!</v>
      </c>
      <c r="AQ61" s="24" t="e">
        <f>+(AQ28*50%)+(AQ34*50%)</f>
        <v>#REF!</v>
      </c>
      <c r="AR61" s="24" t="e">
        <f>+(AR28*50%)+(AR34*50%)</f>
        <v>#REF!</v>
      </c>
      <c r="AS61" s="24" t="e">
        <f>+(AS28*50%)+(AS34*50%)</f>
        <v>#REF!</v>
      </c>
      <c r="AT61" s="24" t="e">
        <f>+(AT28*50%)+(AT34*50%)</f>
        <v>#REF!</v>
      </c>
      <c r="AU61" s="24" t="e">
        <f>+(AU28*50%)+(AU34*50%)</f>
        <v>#REF!</v>
      </c>
      <c r="AV61" s="24">
        <v>1811.4701039331899</v>
      </c>
      <c r="AW61" s="24">
        <v>1805.3359025934865</v>
      </c>
      <c r="AX61" s="24" t="e">
        <f>+(AX28*50%)+(AX34*50%)</f>
        <v>#REF!</v>
      </c>
      <c r="AY61" s="24">
        <v>1943.7183896636698</v>
      </c>
      <c r="AZ61" s="24" t="e">
        <f>+(AZ28*50%)+(AZ34*50%)</f>
        <v>#REF!</v>
      </c>
      <c r="BA61" s="24" t="e">
        <f>+(BA28*50%)+(BA34*50%)</f>
        <v>#REF!</v>
      </c>
      <c r="BB61" s="342" t="e">
        <f>+(BB28*50%)+(BB34*50%)</f>
        <v>#REF!</v>
      </c>
      <c r="BC61" s="342" t="e">
        <f t="shared" ref="BC61:CS61" si="68">+(BC30*50%)+(BC34*50%)</f>
        <v>#REF!</v>
      </c>
      <c r="BD61" s="342" t="e">
        <f t="shared" si="68"/>
        <v>#REF!</v>
      </c>
      <c r="BE61" s="342" t="e">
        <f t="shared" si="68"/>
        <v>#REF!</v>
      </c>
      <c r="BF61" s="342" t="e">
        <f t="shared" si="68"/>
        <v>#REF!</v>
      </c>
      <c r="BG61" s="342" t="e">
        <f t="shared" si="68"/>
        <v>#REF!</v>
      </c>
      <c r="BH61" s="342" t="e">
        <f t="shared" si="68"/>
        <v>#REF!</v>
      </c>
      <c r="BI61" s="342" t="e">
        <f t="shared" si="68"/>
        <v>#REF!</v>
      </c>
      <c r="BJ61" s="342" t="e">
        <f t="shared" si="68"/>
        <v>#REF!</v>
      </c>
      <c r="BK61" s="342" t="e">
        <f t="shared" si="68"/>
        <v>#REF!</v>
      </c>
      <c r="BL61" s="342" t="e">
        <f t="shared" si="68"/>
        <v>#REF!</v>
      </c>
      <c r="BM61" s="342">
        <f t="shared" si="68"/>
        <v>1444.0398409066308</v>
      </c>
      <c r="BN61" s="342">
        <f t="shared" si="68"/>
        <v>1451.8836007049708</v>
      </c>
      <c r="BO61" s="342">
        <f t="shared" si="68"/>
        <v>1493.8302929987699</v>
      </c>
      <c r="BP61" s="342">
        <f t="shared" si="68"/>
        <v>1494.973714505616</v>
      </c>
      <c r="BQ61" s="342">
        <f t="shared" si="68"/>
        <v>1456.2904847403356</v>
      </c>
      <c r="BR61" s="342">
        <f t="shared" si="68"/>
        <v>1453.9071320187054</v>
      </c>
      <c r="BS61" s="342">
        <f t="shared" si="68"/>
        <v>1471.9641774118656</v>
      </c>
      <c r="BT61" s="342">
        <f t="shared" si="68"/>
        <v>1514.2356761281285</v>
      </c>
      <c r="BU61" s="342">
        <f t="shared" si="68"/>
        <v>1543.0113329713395</v>
      </c>
      <c r="BV61" s="342">
        <f t="shared" si="68"/>
        <v>1434.0268259460618</v>
      </c>
      <c r="BW61" s="342">
        <f t="shared" si="68"/>
        <v>1520.8796957077025</v>
      </c>
      <c r="BX61" s="342">
        <f t="shared" si="68"/>
        <v>1543.8331566074637</v>
      </c>
      <c r="BY61" s="342">
        <f t="shared" si="68"/>
        <v>1543.8331566074637</v>
      </c>
      <c r="BZ61" s="342">
        <f t="shared" si="68"/>
        <v>1628.292590267075</v>
      </c>
      <c r="CA61" s="342">
        <f t="shared" si="68"/>
        <v>1695.3460406398112</v>
      </c>
      <c r="CB61" s="342">
        <f t="shared" si="68"/>
        <v>1778.1910231556062</v>
      </c>
      <c r="CC61" s="342">
        <f t="shared" si="68"/>
        <v>1792.4189001987043</v>
      </c>
      <c r="CD61" s="342">
        <f t="shared" si="68"/>
        <v>1793.5191733412723</v>
      </c>
      <c r="CE61" s="342">
        <f t="shared" si="68"/>
        <v>1773.5056246027134</v>
      </c>
      <c r="CF61" s="342">
        <f t="shared" si="68"/>
        <v>1719.9882780273892</v>
      </c>
      <c r="CG61" s="342">
        <f t="shared" si="68"/>
        <v>1722.0703948247033</v>
      </c>
      <c r="CH61" s="342">
        <f t="shared" si="68"/>
        <v>1719.0618176620319</v>
      </c>
      <c r="CI61" s="342">
        <f t="shared" si="68"/>
        <v>1764.5997853516242</v>
      </c>
      <c r="CJ61" s="342">
        <f t="shared" si="68"/>
        <v>1753.3540101726319</v>
      </c>
      <c r="CK61" s="646">
        <f t="shared" si="68"/>
        <v>1705.7581607124614</v>
      </c>
      <c r="CL61" s="646">
        <f t="shared" si="68"/>
        <v>1731.0760488748911</v>
      </c>
      <c r="CM61" s="646">
        <f t="shared" si="68"/>
        <v>1736.0853721371464</v>
      </c>
      <c r="CN61" s="646">
        <f t="shared" si="68"/>
        <v>1822.1152568525076</v>
      </c>
      <c r="CO61" s="646">
        <f t="shared" si="68"/>
        <v>1748.9811997955451</v>
      </c>
      <c r="CP61" s="646">
        <f t="shared" si="68"/>
        <v>1733.3358250860506</v>
      </c>
      <c r="CQ61" s="646">
        <f t="shared" si="68"/>
        <v>1709.7624237732939</v>
      </c>
      <c r="CR61" s="646">
        <f t="shared" si="68"/>
        <v>1704.1678092524717</v>
      </c>
      <c r="CS61" s="646">
        <f t="shared" si="68"/>
        <v>1548.4324709979751</v>
      </c>
      <c r="CT61" s="641">
        <f>+(CT30*50%)+(CT38*50%)</f>
        <v>1494.1050559351659</v>
      </c>
      <c r="CU61" s="641">
        <f>+(CU30*50%)+(CU38*50%)</f>
        <v>1502.5564282985902</v>
      </c>
      <c r="CV61" s="785"/>
      <c r="CW61" s="785"/>
      <c r="CX61" s="785"/>
      <c r="CY61" s="240"/>
    </row>
    <row r="62" spans="3:103" x14ac:dyDescent="0.35">
      <c r="C62" s="642" t="s">
        <v>125</v>
      </c>
      <c r="D62" s="36"/>
      <c r="E62" s="36"/>
      <c r="F62" s="36"/>
      <c r="G62" s="36"/>
      <c r="H62" s="36"/>
      <c r="I62" s="36"/>
      <c r="J62" s="36"/>
      <c r="K62" s="36"/>
      <c r="L62" s="36"/>
      <c r="M62" s="36"/>
      <c r="N62" s="36"/>
      <c r="O62" s="36"/>
      <c r="P62" s="36"/>
      <c r="Q62" s="36"/>
      <c r="R62" s="36"/>
      <c r="S62" s="36"/>
      <c r="T62" s="36"/>
      <c r="U62" s="36"/>
      <c r="V62" s="36"/>
      <c r="W62" s="36"/>
      <c r="X62" s="36"/>
      <c r="Y62" s="36"/>
      <c r="Z62" s="8">
        <f t="shared" ref="Z62:AU62" si="69">+Z61*1%</f>
        <v>0</v>
      </c>
      <c r="AA62" s="8">
        <f t="shared" si="69"/>
        <v>0</v>
      </c>
      <c r="AB62" s="8">
        <f t="shared" si="69"/>
        <v>0</v>
      </c>
      <c r="AC62" s="8">
        <f t="shared" si="69"/>
        <v>0</v>
      </c>
      <c r="AD62" s="8">
        <f t="shared" si="69"/>
        <v>10.560323258500615</v>
      </c>
      <c r="AE62" s="8">
        <f t="shared" si="69"/>
        <v>10.571655173240197</v>
      </c>
      <c r="AF62" s="8">
        <f t="shared" si="69"/>
        <v>10.598875792174656</v>
      </c>
      <c r="AG62" s="8">
        <f t="shared" si="69"/>
        <v>4.6649238696806616</v>
      </c>
      <c r="AH62" s="8">
        <f t="shared" si="69"/>
        <v>10.190123373437203</v>
      </c>
      <c r="AI62" s="8">
        <f t="shared" si="69"/>
        <v>10.343661219290844</v>
      </c>
      <c r="AJ62" s="8">
        <f t="shared" si="69"/>
        <v>10.514568714466119</v>
      </c>
      <c r="AK62" s="8" t="e">
        <f t="shared" si="69"/>
        <v>#REF!</v>
      </c>
      <c r="AL62" s="8" t="e">
        <f t="shared" si="69"/>
        <v>#REF!</v>
      </c>
      <c r="AM62" s="8" t="e">
        <f t="shared" si="69"/>
        <v>#REF!</v>
      </c>
      <c r="AN62" s="8" t="e">
        <f t="shared" si="69"/>
        <v>#REF!</v>
      </c>
      <c r="AO62" s="8" t="e">
        <f t="shared" si="69"/>
        <v>#REF!</v>
      </c>
      <c r="AP62" s="8" t="e">
        <f t="shared" si="69"/>
        <v>#REF!</v>
      </c>
      <c r="AQ62" s="8" t="e">
        <f t="shared" si="69"/>
        <v>#REF!</v>
      </c>
      <c r="AR62" s="8" t="e">
        <f t="shared" si="69"/>
        <v>#REF!</v>
      </c>
      <c r="AS62" s="8" t="e">
        <f t="shared" si="69"/>
        <v>#REF!</v>
      </c>
      <c r="AT62" s="8" t="e">
        <f t="shared" si="69"/>
        <v>#REF!</v>
      </c>
      <c r="AU62" s="8" t="e">
        <f t="shared" si="69"/>
        <v>#REF!</v>
      </c>
      <c r="AV62" s="8">
        <v>18.114701039331898</v>
      </c>
      <c r="AW62" s="8">
        <v>18.053359025934864</v>
      </c>
      <c r="AX62" s="8" t="e">
        <f>+AX61*1%</f>
        <v>#REF!</v>
      </c>
      <c r="AY62" s="8">
        <v>19.437183896636697</v>
      </c>
      <c r="AZ62" s="8" t="e">
        <f t="shared" ref="AZ62:CU62" si="70">+AZ61*1%</f>
        <v>#REF!</v>
      </c>
      <c r="BA62" s="8" t="e">
        <f t="shared" si="70"/>
        <v>#REF!</v>
      </c>
      <c r="BB62" s="334" t="e">
        <f t="shared" si="70"/>
        <v>#REF!</v>
      </c>
      <c r="BC62" s="334" t="e">
        <f t="shared" si="70"/>
        <v>#REF!</v>
      </c>
      <c r="BD62" s="334" t="e">
        <f t="shared" si="70"/>
        <v>#REF!</v>
      </c>
      <c r="BE62" s="334" t="e">
        <f t="shared" si="70"/>
        <v>#REF!</v>
      </c>
      <c r="BF62" s="334" t="e">
        <f t="shared" si="70"/>
        <v>#REF!</v>
      </c>
      <c r="BG62" s="334" t="e">
        <f t="shared" si="70"/>
        <v>#REF!</v>
      </c>
      <c r="BH62" s="334" t="e">
        <f t="shared" si="70"/>
        <v>#REF!</v>
      </c>
      <c r="BI62" s="334" t="e">
        <f t="shared" si="70"/>
        <v>#REF!</v>
      </c>
      <c r="BJ62" s="334" t="e">
        <f t="shared" si="70"/>
        <v>#REF!</v>
      </c>
      <c r="BK62" s="334" t="e">
        <f t="shared" si="70"/>
        <v>#REF!</v>
      </c>
      <c r="BL62" s="334" t="e">
        <f t="shared" si="70"/>
        <v>#REF!</v>
      </c>
      <c r="BM62" s="334">
        <f t="shared" si="70"/>
        <v>14.440398409066308</v>
      </c>
      <c r="BN62" s="334">
        <f t="shared" si="70"/>
        <v>14.518836007049709</v>
      </c>
      <c r="BO62" s="334">
        <f t="shared" si="70"/>
        <v>14.938302929987699</v>
      </c>
      <c r="BP62" s="334">
        <f t="shared" si="70"/>
        <v>14.949737145056162</v>
      </c>
      <c r="BQ62" s="334">
        <f t="shared" si="70"/>
        <v>14.562904847403356</v>
      </c>
      <c r="BR62" s="334">
        <f t="shared" si="70"/>
        <v>14.539071320187054</v>
      </c>
      <c r="BS62" s="334">
        <f t="shared" si="70"/>
        <v>14.719641774118656</v>
      </c>
      <c r="BT62" s="334">
        <f t="shared" si="70"/>
        <v>15.142356761281285</v>
      </c>
      <c r="BU62" s="334">
        <f t="shared" si="70"/>
        <v>15.430113329713395</v>
      </c>
      <c r="BV62" s="334">
        <f t="shared" si="70"/>
        <v>14.340268259460618</v>
      </c>
      <c r="BW62" s="334">
        <f t="shared" si="70"/>
        <v>15.208796957077025</v>
      </c>
      <c r="BX62" s="334">
        <f t="shared" si="70"/>
        <v>15.438331566074638</v>
      </c>
      <c r="BY62" s="334">
        <f t="shared" si="70"/>
        <v>15.438331566074638</v>
      </c>
      <c r="BZ62" s="334">
        <f t="shared" si="70"/>
        <v>16.282925902670751</v>
      </c>
      <c r="CA62" s="334">
        <f t="shared" si="70"/>
        <v>16.953460406398111</v>
      </c>
      <c r="CB62" s="334">
        <f t="shared" si="70"/>
        <v>17.781910231556061</v>
      </c>
      <c r="CC62" s="334">
        <f t="shared" si="70"/>
        <v>17.924189001987042</v>
      </c>
      <c r="CD62" s="334">
        <f t="shared" si="70"/>
        <v>17.935191733412722</v>
      </c>
      <c r="CE62" s="334">
        <f t="shared" si="70"/>
        <v>17.735056246027135</v>
      </c>
      <c r="CF62" s="334">
        <f t="shared" si="70"/>
        <v>17.199882780273892</v>
      </c>
      <c r="CG62" s="334">
        <f t="shared" si="70"/>
        <v>17.220703948247031</v>
      </c>
      <c r="CH62" s="334">
        <f t="shared" si="70"/>
        <v>17.190618176620319</v>
      </c>
      <c r="CI62" s="334">
        <f t="shared" si="70"/>
        <v>17.645997853516242</v>
      </c>
      <c r="CJ62" s="334">
        <f t="shared" si="70"/>
        <v>17.53354010172632</v>
      </c>
      <c r="CK62" s="616">
        <f t="shared" si="70"/>
        <v>17.057581607124614</v>
      </c>
      <c r="CL62" s="616">
        <f t="shared" si="70"/>
        <v>17.310760488748912</v>
      </c>
      <c r="CM62" s="616">
        <f t="shared" si="70"/>
        <v>17.360853721371463</v>
      </c>
      <c r="CN62" s="616">
        <f t="shared" si="70"/>
        <v>18.221152568525078</v>
      </c>
      <c r="CO62" s="616">
        <f t="shared" si="70"/>
        <v>17.489811997955453</v>
      </c>
      <c r="CP62" s="616">
        <f t="shared" si="70"/>
        <v>17.333358250860506</v>
      </c>
      <c r="CQ62" s="616">
        <f t="shared" si="70"/>
        <v>17.097624237732941</v>
      </c>
      <c r="CR62" s="616">
        <f t="shared" si="70"/>
        <v>17.041678092524716</v>
      </c>
      <c r="CS62" s="616">
        <f t="shared" si="70"/>
        <v>15.484324709979751</v>
      </c>
      <c r="CT62" s="616">
        <f t="shared" si="70"/>
        <v>14.941050559351659</v>
      </c>
      <c r="CU62" s="616">
        <f t="shared" si="70"/>
        <v>15.025564282985902</v>
      </c>
      <c r="CV62" s="779"/>
      <c r="CW62" s="779"/>
      <c r="CX62" s="779"/>
      <c r="CY62" s="235"/>
    </row>
    <row r="63" spans="3:103" x14ac:dyDescent="0.35">
      <c r="C63" s="626" t="s">
        <v>126</v>
      </c>
      <c r="D63" s="36"/>
      <c r="E63" s="36"/>
      <c r="F63" s="36"/>
      <c r="G63" s="36"/>
      <c r="H63" s="36"/>
      <c r="I63" s="36"/>
      <c r="J63" s="36"/>
      <c r="K63" s="36"/>
      <c r="L63" s="36"/>
      <c r="M63" s="36"/>
      <c r="N63" s="36"/>
      <c r="O63" s="36"/>
      <c r="P63" s="36"/>
      <c r="Q63" s="36"/>
      <c r="R63" s="36"/>
      <c r="S63" s="36"/>
      <c r="T63" s="36"/>
      <c r="U63" s="36"/>
      <c r="V63" s="36"/>
      <c r="W63" s="36"/>
      <c r="X63" s="36"/>
      <c r="Y63" s="36"/>
      <c r="Z63" s="95">
        <f t="shared" ref="Z63:AU63" si="71">+Z62+Z61</f>
        <v>0</v>
      </c>
      <c r="AA63" s="95">
        <f t="shared" si="71"/>
        <v>0</v>
      </c>
      <c r="AB63" s="95">
        <f t="shared" si="71"/>
        <v>0</v>
      </c>
      <c r="AC63" s="95">
        <f t="shared" si="71"/>
        <v>0</v>
      </c>
      <c r="AD63" s="95">
        <f t="shared" si="71"/>
        <v>1066.592649108562</v>
      </c>
      <c r="AE63" s="95">
        <f t="shared" si="71"/>
        <v>1067.73717249726</v>
      </c>
      <c r="AF63" s="95">
        <f t="shared" si="71"/>
        <v>1070.4864550096402</v>
      </c>
      <c r="AG63" s="95">
        <f t="shared" si="71"/>
        <v>471.15731083774682</v>
      </c>
      <c r="AH63" s="95">
        <f t="shared" si="71"/>
        <v>1029.2024607171575</v>
      </c>
      <c r="AI63" s="95">
        <f t="shared" si="71"/>
        <v>1044.7097831483752</v>
      </c>
      <c r="AJ63" s="95">
        <f t="shared" si="71"/>
        <v>1061.9714401610779</v>
      </c>
      <c r="AK63" s="95" t="e">
        <f t="shared" si="71"/>
        <v>#REF!</v>
      </c>
      <c r="AL63" s="95" t="e">
        <f t="shared" si="71"/>
        <v>#REF!</v>
      </c>
      <c r="AM63" s="95" t="e">
        <f t="shared" si="71"/>
        <v>#REF!</v>
      </c>
      <c r="AN63" s="95" t="e">
        <f t="shared" si="71"/>
        <v>#REF!</v>
      </c>
      <c r="AO63" s="95" t="e">
        <f t="shared" si="71"/>
        <v>#REF!</v>
      </c>
      <c r="AP63" s="95" t="e">
        <f t="shared" si="71"/>
        <v>#REF!</v>
      </c>
      <c r="AQ63" s="95" t="e">
        <f t="shared" si="71"/>
        <v>#REF!</v>
      </c>
      <c r="AR63" s="95" t="e">
        <f t="shared" si="71"/>
        <v>#REF!</v>
      </c>
      <c r="AS63" s="95" t="e">
        <f t="shared" si="71"/>
        <v>#REF!</v>
      </c>
      <c r="AT63" s="95" t="e">
        <f t="shared" si="71"/>
        <v>#REF!</v>
      </c>
      <c r="AU63" s="95" t="e">
        <f t="shared" si="71"/>
        <v>#REF!</v>
      </c>
      <c r="AV63" s="95">
        <v>1829.5848049725219</v>
      </c>
      <c r="AW63" s="95">
        <v>1823.3892616194214</v>
      </c>
      <c r="AX63" s="95" t="e">
        <f>+AX62+AX61</f>
        <v>#REF!</v>
      </c>
      <c r="AY63" s="95">
        <v>1963.1555735603065</v>
      </c>
      <c r="AZ63" s="95" t="e">
        <f t="shared" ref="AZ63:CU63" si="72">+AZ62+AZ61</f>
        <v>#REF!</v>
      </c>
      <c r="BA63" s="95" t="e">
        <f t="shared" si="72"/>
        <v>#REF!</v>
      </c>
      <c r="BB63" s="348" t="e">
        <f t="shared" si="72"/>
        <v>#REF!</v>
      </c>
      <c r="BC63" s="348" t="e">
        <f t="shared" si="72"/>
        <v>#REF!</v>
      </c>
      <c r="BD63" s="348" t="e">
        <f t="shared" si="72"/>
        <v>#REF!</v>
      </c>
      <c r="BE63" s="348" t="e">
        <f t="shared" si="72"/>
        <v>#REF!</v>
      </c>
      <c r="BF63" s="348" t="e">
        <f t="shared" si="72"/>
        <v>#REF!</v>
      </c>
      <c r="BG63" s="348" t="e">
        <f t="shared" si="72"/>
        <v>#REF!</v>
      </c>
      <c r="BH63" s="348" t="e">
        <f t="shared" si="72"/>
        <v>#REF!</v>
      </c>
      <c r="BI63" s="348" t="e">
        <f t="shared" si="72"/>
        <v>#REF!</v>
      </c>
      <c r="BJ63" s="348" t="e">
        <f t="shared" si="72"/>
        <v>#REF!</v>
      </c>
      <c r="BK63" s="348" t="e">
        <f t="shared" si="72"/>
        <v>#REF!</v>
      </c>
      <c r="BL63" s="348" t="e">
        <f t="shared" si="72"/>
        <v>#REF!</v>
      </c>
      <c r="BM63" s="348">
        <f t="shared" si="72"/>
        <v>1458.4802393156972</v>
      </c>
      <c r="BN63" s="348">
        <f t="shared" si="72"/>
        <v>1466.4024367120205</v>
      </c>
      <c r="BO63" s="348">
        <f t="shared" si="72"/>
        <v>1508.7685959287576</v>
      </c>
      <c r="BP63" s="348">
        <f t="shared" si="72"/>
        <v>1509.9234516506722</v>
      </c>
      <c r="BQ63" s="348">
        <f t="shared" si="72"/>
        <v>1470.853389587739</v>
      </c>
      <c r="BR63" s="348">
        <f t="shared" si="72"/>
        <v>1468.4462033388925</v>
      </c>
      <c r="BS63" s="348">
        <f t="shared" si="72"/>
        <v>1486.6838191859842</v>
      </c>
      <c r="BT63" s="348">
        <f t="shared" si="72"/>
        <v>1529.3780328894097</v>
      </c>
      <c r="BU63" s="348">
        <f t="shared" si="72"/>
        <v>1558.4414463010528</v>
      </c>
      <c r="BV63" s="348">
        <f t="shared" si="72"/>
        <v>1448.3670942055223</v>
      </c>
      <c r="BW63" s="348">
        <f t="shared" si="72"/>
        <v>1536.0884926647796</v>
      </c>
      <c r="BX63" s="348">
        <f t="shared" si="72"/>
        <v>1559.2714881735383</v>
      </c>
      <c r="BY63" s="348">
        <f t="shared" si="72"/>
        <v>1559.2714881735383</v>
      </c>
      <c r="BZ63" s="348">
        <f t="shared" si="72"/>
        <v>1644.5755161697457</v>
      </c>
      <c r="CA63" s="348">
        <f t="shared" si="72"/>
        <v>1712.2995010462093</v>
      </c>
      <c r="CB63" s="348">
        <f t="shared" si="72"/>
        <v>1795.9729333871624</v>
      </c>
      <c r="CC63" s="348">
        <f t="shared" si="72"/>
        <v>1810.3430892006913</v>
      </c>
      <c r="CD63" s="348">
        <f t="shared" si="72"/>
        <v>1811.454365074685</v>
      </c>
      <c r="CE63" s="348">
        <f t="shared" si="72"/>
        <v>1791.2406808487406</v>
      </c>
      <c r="CF63" s="348">
        <f t="shared" si="72"/>
        <v>1737.1881608076631</v>
      </c>
      <c r="CG63" s="348">
        <f t="shared" si="72"/>
        <v>1739.2910987729504</v>
      </c>
      <c r="CH63" s="348">
        <f t="shared" si="72"/>
        <v>1736.2524358386522</v>
      </c>
      <c r="CI63" s="348">
        <f t="shared" si="72"/>
        <v>1782.2457832051405</v>
      </c>
      <c r="CJ63" s="348">
        <f t="shared" si="72"/>
        <v>1770.8875502743583</v>
      </c>
      <c r="CK63" s="656">
        <f t="shared" si="72"/>
        <v>1722.815742319586</v>
      </c>
      <c r="CL63" s="656">
        <f t="shared" si="72"/>
        <v>1748.3868093636399</v>
      </c>
      <c r="CM63" s="656">
        <f t="shared" si="72"/>
        <v>1753.4462258585179</v>
      </c>
      <c r="CN63" s="656">
        <f t="shared" si="72"/>
        <v>1840.3364094210326</v>
      </c>
      <c r="CO63" s="656">
        <f t="shared" si="72"/>
        <v>1766.4710117935006</v>
      </c>
      <c r="CP63" s="656">
        <f t="shared" si="72"/>
        <v>1750.6691833369111</v>
      </c>
      <c r="CQ63" s="656">
        <f t="shared" si="72"/>
        <v>1726.8600480110269</v>
      </c>
      <c r="CR63" s="656">
        <f t="shared" si="72"/>
        <v>1721.2094873449964</v>
      </c>
      <c r="CS63" s="656">
        <f t="shared" si="72"/>
        <v>1563.9167957079549</v>
      </c>
      <c r="CT63" s="656">
        <f t="shared" si="72"/>
        <v>1509.0461064945175</v>
      </c>
      <c r="CU63" s="656">
        <f t="shared" si="72"/>
        <v>1517.5819925815761</v>
      </c>
      <c r="CV63" s="791"/>
      <c r="CW63" s="791"/>
      <c r="CX63" s="791"/>
      <c r="CY63" s="235"/>
    </row>
    <row r="64" spans="3:103" hidden="1" x14ac:dyDescent="0.35">
      <c r="C64" s="651"/>
      <c r="D64" s="36"/>
      <c r="E64" s="36"/>
      <c r="F64" s="36"/>
      <c r="G64" s="36"/>
      <c r="H64" s="36"/>
      <c r="I64" s="36"/>
      <c r="J64" s="36"/>
      <c r="K64" s="36"/>
      <c r="L64" s="36"/>
      <c r="M64" s="36"/>
      <c r="N64" s="36"/>
      <c r="O64" s="36"/>
      <c r="P64" s="36"/>
      <c r="Q64" s="36"/>
      <c r="R64" s="36"/>
      <c r="S64" s="36"/>
      <c r="T64" s="36"/>
      <c r="U64" s="36"/>
      <c r="V64" s="36"/>
      <c r="W64" s="36"/>
      <c r="X64" s="36"/>
      <c r="Y64" s="36"/>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341"/>
      <c r="BC64" s="341"/>
      <c r="BD64" s="341"/>
      <c r="BE64" s="341"/>
      <c r="BF64" s="341"/>
      <c r="BG64" s="341"/>
      <c r="BH64" s="341"/>
      <c r="BI64" s="341"/>
      <c r="BJ64" s="341"/>
      <c r="BK64" s="341"/>
      <c r="BL64" s="341"/>
      <c r="BM64" s="341"/>
      <c r="BN64" s="341"/>
      <c r="BO64" s="341"/>
      <c r="BP64" s="341"/>
      <c r="BQ64" s="341"/>
      <c r="BR64" s="341"/>
      <c r="BS64" s="341"/>
      <c r="BT64" s="341"/>
      <c r="BU64" s="341"/>
      <c r="BV64" s="341"/>
      <c r="BW64" s="341"/>
      <c r="BX64" s="341"/>
      <c r="BY64" s="341"/>
      <c r="BZ64" s="341"/>
      <c r="CA64" s="341"/>
      <c r="CB64" s="341"/>
      <c r="CC64" s="341"/>
      <c r="CD64" s="341"/>
      <c r="CE64" s="341"/>
      <c r="CF64" s="341"/>
      <c r="CG64" s="341"/>
      <c r="CH64" s="341"/>
      <c r="CI64" s="341"/>
      <c r="CJ64" s="341"/>
      <c r="CK64" s="629"/>
      <c r="CL64" s="629"/>
      <c r="CM64" s="629"/>
      <c r="CN64" s="629"/>
      <c r="CO64" s="629"/>
      <c r="CP64" s="629"/>
      <c r="CQ64" s="629"/>
      <c r="CR64" s="629"/>
      <c r="CS64" s="629"/>
      <c r="CT64" s="629"/>
      <c r="CU64" s="629"/>
      <c r="CV64" s="368"/>
      <c r="CW64" s="368"/>
      <c r="CX64" s="368"/>
      <c r="CY64" s="243"/>
    </row>
    <row r="65" spans="3:128" hidden="1" x14ac:dyDescent="0.35">
      <c r="C65" s="657" t="s">
        <v>132</v>
      </c>
      <c r="D65" s="36"/>
      <c r="E65" s="36"/>
      <c r="F65" s="36"/>
      <c r="G65" s="36"/>
      <c r="H65" s="36"/>
      <c r="I65" s="36"/>
      <c r="J65" s="36"/>
      <c r="K65" s="36"/>
      <c r="L65" s="36"/>
      <c r="M65" s="36"/>
      <c r="N65" s="36"/>
      <c r="O65" s="36"/>
      <c r="P65" s="36"/>
      <c r="Q65" s="36"/>
      <c r="R65" s="36"/>
      <c r="S65" s="36"/>
      <c r="T65" s="36"/>
      <c r="U65" s="36"/>
      <c r="V65" s="36"/>
      <c r="W65" s="36"/>
      <c r="X65" s="36"/>
      <c r="Y65" s="36"/>
      <c r="Z65" s="24"/>
      <c r="AA65" s="24"/>
      <c r="AB65" s="24"/>
      <c r="AC65" s="24"/>
      <c r="AD65" s="24"/>
      <c r="AE65" s="24"/>
      <c r="AF65" s="24"/>
      <c r="AG65" s="24"/>
      <c r="AH65" s="24"/>
      <c r="AI65" s="24"/>
      <c r="AJ65" s="24"/>
      <c r="AK65" s="24"/>
      <c r="AL65" s="24"/>
      <c r="AM65" s="24"/>
      <c r="AN65" s="24"/>
      <c r="AO65" s="24"/>
      <c r="AP65" s="24"/>
      <c r="AQ65" s="24"/>
      <c r="AR65" s="24" t="e">
        <f>+(AR34*75%)+(AR28*25%)</f>
        <v>#REF!</v>
      </c>
      <c r="AS65" s="24" t="e">
        <f>+(AS34*75%)+(AS28*25%)</f>
        <v>#REF!</v>
      </c>
      <c r="AT65" s="24" t="e">
        <f>+(AT34*75%)+(AT28*25%)</f>
        <v>#REF!</v>
      </c>
      <c r="AU65" s="24" t="e">
        <f>+(AU34*75%)+(AU28*25%)</f>
        <v>#REF!</v>
      </c>
      <c r="AV65" s="24">
        <v>1826.8035725362943</v>
      </c>
      <c r="AW65" s="24">
        <v>1785.5750348907454</v>
      </c>
      <c r="AX65" s="24" t="e">
        <f>+(AX34*75%)+(AX28*25%)</f>
        <v>#REF!</v>
      </c>
      <c r="AY65" s="24">
        <v>1975.5134937300545</v>
      </c>
      <c r="AZ65" s="24" t="e">
        <f t="shared" ref="AZ65:BK65" si="73">+(AZ34*75%)+(AZ28*25%)</f>
        <v>#REF!</v>
      </c>
      <c r="BA65" s="24" t="e">
        <f t="shared" si="73"/>
        <v>#REF!</v>
      </c>
      <c r="BB65" s="342" t="e">
        <f t="shared" si="73"/>
        <v>#REF!</v>
      </c>
      <c r="BC65" s="342" t="e">
        <f t="shared" si="73"/>
        <v>#REF!</v>
      </c>
      <c r="BD65" s="342" t="e">
        <f t="shared" si="73"/>
        <v>#REF!</v>
      </c>
      <c r="BE65" s="342" t="e">
        <f t="shared" si="73"/>
        <v>#REF!</v>
      </c>
      <c r="BF65" s="342" t="e">
        <f t="shared" si="73"/>
        <v>#REF!</v>
      </c>
      <c r="BG65" s="342" t="e">
        <f t="shared" si="73"/>
        <v>#REF!</v>
      </c>
      <c r="BH65" s="342" t="e">
        <f t="shared" si="73"/>
        <v>#REF!</v>
      </c>
      <c r="BI65" s="342" t="e">
        <f t="shared" si="73"/>
        <v>#REF!</v>
      </c>
      <c r="BJ65" s="342" t="e">
        <f t="shared" si="73"/>
        <v>#REF!</v>
      </c>
      <c r="BK65" s="342" t="e">
        <f t="shared" si="73"/>
        <v>#REF!</v>
      </c>
      <c r="BL65" s="342" t="e">
        <f t="shared" ref="BL65:CU65" si="74">+(BL35*75%)+(BL28*25%)</f>
        <v>#REF!</v>
      </c>
      <c r="BM65" s="342">
        <f t="shared" si="74"/>
        <v>1495.9264943157978</v>
      </c>
      <c r="BN65" s="342">
        <f t="shared" si="74"/>
        <v>1513.0608185422066</v>
      </c>
      <c r="BO65" s="342">
        <f t="shared" si="74"/>
        <v>1543.1310083840783</v>
      </c>
      <c r="BP65" s="342">
        <f t="shared" si="74"/>
        <v>1543.7873092932655</v>
      </c>
      <c r="BQ65" s="342">
        <f t="shared" si="74"/>
        <v>1534.0527299633236</v>
      </c>
      <c r="BR65" s="342">
        <f t="shared" si="74"/>
        <v>1535.2402665056698</v>
      </c>
      <c r="BS65" s="342">
        <f t="shared" si="74"/>
        <v>1536.6232592095139</v>
      </c>
      <c r="BT65" s="342">
        <f t="shared" si="74"/>
        <v>1532.3403857596409</v>
      </c>
      <c r="BU65" s="342">
        <f t="shared" si="74"/>
        <v>1528.6233856406648</v>
      </c>
      <c r="BV65" s="342">
        <f t="shared" si="74"/>
        <v>1530.9204435774616</v>
      </c>
      <c r="BW65" s="342">
        <f t="shared" si="74"/>
        <v>1530.9204435774616</v>
      </c>
      <c r="BX65" s="342">
        <f t="shared" si="74"/>
        <v>1536.4627513497678</v>
      </c>
      <c r="BY65" s="342">
        <f t="shared" si="74"/>
        <v>1536.462751349768</v>
      </c>
      <c r="BZ65" s="342">
        <f t="shared" si="74"/>
        <v>1559.3272003492211</v>
      </c>
      <c r="CA65" s="342">
        <f t="shared" si="74"/>
        <v>1672.5527074591755</v>
      </c>
      <c r="CB65" s="342">
        <f t="shared" si="74"/>
        <v>1763.8720401226592</v>
      </c>
      <c r="CC65" s="342">
        <f t="shared" si="74"/>
        <v>1810.633501055464</v>
      </c>
      <c r="CD65" s="342">
        <f t="shared" si="74"/>
        <v>1803.7484943116858</v>
      </c>
      <c r="CE65" s="342">
        <f t="shared" si="74"/>
        <v>1784.3104023753631</v>
      </c>
      <c r="CF65" s="342">
        <f t="shared" si="74"/>
        <v>1776.3126096782571</v>
      </c>
      <c r="CG65" s="342">
        <f t="shared" si="74"/>
        <v>1769.4703942874094</v>
      </c>
      <c r="CH65" s="342">
        <f t="shared" si="74"/>
        <v>1746.3261778001956</v>
      </c>
      <c r="CI65" s="342">
        <f t="shared" si="74"/>
        <v>1835.9821970189914</v>
      </c>
      <c r="CJ65" s="342">
        <f t="shared" si="74"/>
        <v>1830.3494940752967</v>
      </c>
      <c r="CK65" s="646">
        <f t="shared" si="74"/>
        <v>1861.3114817890482</v>
      </c>
      <c r="CL65" s="646">
        <f t="shared" si="74"/>
        <v>1870.1577359345379</v>
      </c>
      <c r="CM65" s="646">
        <f t="shared" si="74"/>
        <v>1903.1396916161855</v>
      </c>
      <c r="CN65" s="646">
        <f t="shared" si="74"/>
        <v>1947.1328473512172</v>
      </c>
      <c r="CO65" s="646">
        <f t="shared" si="74"/>
        <v>1927.7149057534643</v>
      </c>
      <c r="CP65" s="646">
        <f t="shared" si="74"/>
        <v>1918.3997634329576</v>
      </c>
      <c r="CQ65" s="646">
        <f t="shared" si="74"/>
        <v>1913.4511514579112</v>
      </c>
      <c r="CR65" s="646">
        <f t="shared" si="74"/>
        <v>1906.3809145136856</v>
      </c>
      <c r="CS65" s="646">
        <f t="shared" si="74"/>
        <v>1898.7613631178015</v>
      </c>
      <c r="CT65" s="646">
        <f t="shared" si="74"/>
        <v>1890.308989191378</v>
      </c>
      <c r="CU65" s="646">
        <f t="shared" si="74"/>
        <v>280.59381337061632</v>
      </c>
      <c r="CV65" s="785"/>
      <c r="CW65" s="785"/>
      <c r="CX65" s="785"/>
      <c r="CY65" s="240"/>
    </row>
    <row r="66" spans="3:128" hidden="1" x14ac:dyDescent="0.35">
      <c r="C66" s="642" t="s">
        <v>125</v>
      </c>
      <c r="D66" s="36"/>
      <c r="E66" s="36"/>
      <c r="F66" s="36"/>
      <c r="G66" s="36"/>
      <c r="H66" s="36"/>
      <c r="I66" s="36"/>
      <c r="J66" s="36"/>
      <c r="K66" s="36"/>
      <c r="L66" s="36"/>
      <c r="M66" s="36"/>
      <c r="N66" s="36"/>
      <c r="O66" s="36"/>
      <c r="P66" s="36"/>
      <c r="Q66" s="36"/>
      <c r="R66" s="36"/>
      <c r="S66" s="36"/>
      <c r="T66" s="36"/>
      <c r="U66" s="36"/>
      <c r="V66" s="36"/>
      <c r="W66" s="36"/>
      <c r="X66" s="36"/>
      <c r="Y66" s="36"/>
      <c r="Z66" s="8"/>
      <c r="AA66" s="8"/>
      <c r="AB66" s="8"/>
      <c r="AC66" s="8"/>
      <c r="AD66" s="8"/>
      <c r="AE66" s="8"/>
      <c r="AF66" s="8"/>
      <c r="AG66" s="8"/>
      <c r="AH66" s="8"/>
      <c r="AI66" s="8"/>
      <c r="AJ66" s="8"/>
      <c r="AK66" s="8"/>
      <c r="AL66" s="8"/>
      <c r="AM66" s="8"/>
      <c r="AN66" s="8"/>
      <c r="AO66" s="8"/>
      <c r="AP66" s="8"/>
      <c r="AQ66" s="8"/>
      <c r="AR66" s="8" t="e">
        <f>+AR65*1%</f>
        <v>#REF!</v>
      </c>
      <c r="AS66" s="8" t="e">
        <f>+AS65*1%</f>
        <v>#REF!</v>
      </c>
      <c r="AT66" s="8" t="e">
        <f>+AT65*1%</f>
        <v>#REF!</v>
      </c>
      <c r="AU66" s="8" t="e">
        <f>+AU65*1%</f>
        <v>#REF!</v>
      </c>
      <c r="AV66" s="8">
        <v>18.268035725362942</v>
      </c>
      <c r="AW66" s="8">
        <v>17.855750348907456</v>
      </c>
      <c r="AX66" s="8" t="e">
        <f>+AX65*1%</f>
        <v>#REF!</v>
      </c>
      <c r="AY66" s="8">
        <v>19.755134937300546</v>
      </c>
      <c r="AZ66" s="8" t="e">
        <f t="shared" ref="AZ66:CU66" si="75">+AZ65*1%</f>
        <v>#REF!</v>
      </c>
      <c r="BA66" s="8" t="e">
        <f t="shared" si="75"/>
        <v>#REF!</v>
      </c>
      <c r="BB66" s="334" t="e">
        <f t="shared" si="75"/>
        <v>#REF!</v>
      </c>
      <c r="BC66" s="334" t="e">
        <f t="shared" si="75"/>
        <v>#REF!</v>
      </c>
      <c r="BD66" s="334" t="e">
        <f t="shared" si="75"/>
        <v>#REF!</v>
      </c>
      <c r="BE66" s="334" t="e">
        <f t="shared" si="75"/>
        <v>#REF!</v>
      </c>
      <c r="BF66" s="334" t="e">
        <f t="shared" si="75"/>
        <v>#REF!</v>
      </c>
      <c r="BG66" s="334" t="e">
        <f t="shared" si="75"/>
        <v>#REF!</v>
      </c>
      <c r="BH66" s="334" t="e">
        <f t="shared" si="75"/>
        <v>#REF!</v>
      </c>
      <c r="BI66" s="334" t="e">
        <f t="shared" si="75"/>
        <v>#REF!</v>
      </c>
      <c r="BJ66" s="334" t="e">
        <f t="shared" si="75"/>
        <v>#REF!</v>
      </c>
      <c r="BK66" s="334" t="e">
        <f t="shared" si="75"/>
        <v>#REF!</v>
      </c>
      <c r="BL66" s="334" t="e">
        <f t="shared" si="75"/>
        <v>#REF!</v>
      </c>
      <c r="BM66" s="334">
        <f t="shared" si="75"/>
        <v>14.959264943157978</v>
      </c>
      <c r="BN66" s="334">
        <f t="shared" si="75"/>
        <v>15.130608185422066</v>
      </c>
      <c r="BO66" s="334">
        <f t="shared" si="75"/>
        <v>15.431310083840783</v>
      </c>
      <c r="BP66" s="334">
        <f t="shared" si="75"/>
        <v>15.437873092932655</v>
      </c>
      <c r="BQ66" s="334">
        <f t="shared" si="75"/>
        <v>15.340527299633237</v>
      </c>
      <c r="BR66" s="334">
        <f t="shared" si="75"/>
        <v>15.352402665056697</v>
      </c>
      <c r="BS66" s="334">
        <f t="shared" si="75"/>
        <v>15.366232592095139</v>
      </c>
      <c r="BT66" s="334">
        <f t="shared" si="75"/>
        <v>15.323403857596409</v>
      </c>
      <c r="BU66" s="334">
        <f t="shared" si="75"/>
        <v>15.286233856406648</v>
      </c>
      <c r="BV66" s="334">
        <f t="shared" si="75"/>
        <v>15.309204435774616</v>
      </c>
      <c r="BW66" s="334">
        <f t="shared" si="75"/>
        <v>15.309204435774616</v>
      </c>
      <c r="BX66" s="334">
        <f t="shared" si="75"/>
        <v>15.364627513497679</v>
      </c>
      <c r="BY66" s="334">
        <f t="shared" si="75"/>
        <v>15.36462751349768</v>
      </c>
      <c r="BZ66" s="334">
        <f t="shared" si="75"/>
        <v>15.593272003492212</v>
      </c>
      <c r="CA66" s="334">
        <f t="shared" si="75"/>
        <v>16.725527074591756</v>
      </c>
      <c r="CB66" s="334">
        <f t="shared" si="75"/>
        <v>17.638720401226593</v>
      </c>
      <c r="CC66" s="334">
        <f t="shared" si="75"/>
        <v>18.106335010554641</v>
      </c>
      <c r="CD66" s="334">
        <f t="shared" si="75"/>
        <v>18.037484943116858</v>
      </c>
      <c r="CE66" s="334">
        <f t="shared" si="75"/>
        <v>17.843104023753632</v>
      </c>
      <c r="CF66" s="334">
        <f t="shared" si="75"/>
        <v>17.763126096782571</v>
      </c>
      <c r="CG66" s="334">
        <f t="shared" si="75"/>
        <v>17.694703942874096</v>
      </c>
      <c r="CH66" s="334">
        <f t="shared" si="75"/>
        <v>17.463261778001957</v>
      </c>
      <c r="CI66" s="334">
        <f t="shared" si="75"/>
        <v>18.359821970189916</v>
      </c>
      <c r="CJ66" s="334">
        <f t="shared" si="75"/>
        <v>18.303494940752966</v>
      </c>
      <c r="CK66" s="616">
        <f t="shared" si="75"/>
        <v>18.613114817890484</v>
      </c>
      <c r="CL66" s="616">
        <f t="shared" si="75"/>
        <v>18.701577359345379</v>
      </c>
      <c r="CM66" s="616">
        <f t="shared" si="75"/>
        <v>19.031396916161857</v>
      </c>
      <c r="CN66" s="616">
        <f t="shared" si="75"/>
        <v>19.471328473512173</v>
      </c>
      <c r="CO66" s="616">
        <f t="shared" si="75"/>
        <v>19.277149057534643</v>
      </c>
      <c r="CP66" s="616">
        <f t="shared" si="75"/>
        <v>19.183997634329575</v>
      </c>
      <c r="CQ66" s="616">
        <f t="shared" si="75"/>
        <v>19.134511514579113</v>
      </c>
      <c r="CR66" s="616">
        <f t="shared" si="75"/>
        <v>19.063809145136858</v>
      </c>
      <c r="CS66" s="616">
        <f t="shared" si="75"/>
        <v>18.987613631178014</v>
      </c>
      <c r="CT66" s="616">
        <f t="shared" si="75"/>
        <v>18.90308989191378</v>
      </c>
      <c r="CU66" s="616">
        <f t="shared" si="75"/>
        <v>2.8059381337061633</v>
      </c>
      <c r="CV66" s="779"/>
      <c r="CW66" s="779"/>
      <c r="CX66" s="779"/>
      <c r="CY66" s="235"/>
    </row>
    <row r="67" spans="3:128" hidden="1" x14ac:dyDescent="0.35">
      <c r="C67" s="626" t="s">
        <v>126</v>
      </c>
      <c r="D67" s="36"/>
      <c r="E67" s="36"/>
      <c r="F67" s="36"/>
      <c r="G67" s="36"/>
      <c r="H67" s="36"/>
      <c r="I67" s="36"/>
      <c r="J67" s="36"/>
      <c r="K67" s="36"/>
      <c r="L67" s="36"/>
      <c r="M67" s="36"/>
      <c r="N67" s="36"/>
      <c r="O67" s="36"/>
      <c r="P67" s="36"/>
      <c r="Q67" s="36"/>
      <c r="R67" s="36"/>
      <c r="S67" s="36"/>
      <c r="T67" s="36"/>
      <c r="U67" s="36"/>
      <c r="V67" s="36"/>
      <c r="W67" s="36"/>
      <c r="X67" s="36"/>
      <c r="Y67" s="36"/>
      <c r="Z67" s="95"/>
      <c r="AA67" s="95"/>
      <c r="AB67" s="95"/>
      <c r="AC67" s="95"/>
      <c r="AD67" s="95"/>
      <c r="AE67" s="95"/>
      <c r="AF67" s="95"/>
      <c r="AG67" s="95"/>
      <c r="AH67" s="95"/>
      <c r="AI67" s="95"/>
      <c r="AJ67" s="95"/>
      <c r="AK67" s="95"/>
      <c r="AL67" s="269"/>
      <c r="AM67" s="269"/>
      <c r="AN67" s="269"/>
      <c r="AO67" s="269"/>
      <c r="AP67" s="269"/>
      <c r="AQ67" s="269"/>
      <c r="AR67" s="269" t="e">
        <f t="shared" ref="AR67:AU68" si="76">+AR66+AR65</f>
        <v>#REF!</v>
      </c>
      <c r="AS67" s="269" t="e">
        <f t="shared" si="76"/>
        <v>#REF!</v>
      </c>
      <c r="AT67" s="269" t="e">
        <f t="shared" si="76"/>
        <v>#REF!</v>
      </c>
      <c r="AU67" s="269" t="e">
        <f t="shared" si="76"/>
        <v>#REF!</v>
      </c>
      <c r="AV67" s="269">
        <v>1845.0716082616573</v>
      </c>
      <c r="AW67" s="269">
        <v>1803.4307852396528</v>
      </c>
      <c r="AX67" s="269" t="e">
        <f>+AX66+AX65</f>
        <v>#REF!</v>
      </c>
      <c r="AY67" s="269">
        <v>1995.268628667355</v>
      </c>
      <c r="AZ67" s="269" t="e">
        <f t="shared" ref="AZ67:CU68" si="77">+AZ66+AZ65</f>
        <v>#REF!</v>
      </c>
      <c r="BA67" s="269" t="e">
        <f t="shared" si="77"/>
        <v>#REF!</v>
      </c>
      <c r="BB67" s="349" t="e">
        <f t="shared" si="77"/>
        <v>#REF!</v>
      </c>
      <c r="BC67" s="349" t="e">
        <f t="shared" si="77"/>
        <v>#REF!</v>
      </c>
      <c r="BD67" s="349" t="e">
        <f t="shared" si="77"/>
        <v>#REF!</v>
      </c>
      <c r="BE67" s="349" t="e">
        <f t="shared" si="77"/>
        <v>#REF!</v>
      </c>
      <c r="BF67" s="349" t="e">
        <f t="shared" si="77"/>
        <v>#REF!</v>
      </c>
      <c r="BG67" s="349" t="e">
        <f t="shared" si="77"/>
        <v>#REF!</v>
      </c>
      <c r="BH67" s="349" t="e">
        <f t="shared" si="77"/>
        <v>#REF!</v>
      </c>
      <c r="BI67" s="349" t="e">
        <f t="shared" si="77"/>
        <v>#REF!</v>
      </c>
      <c r="BJ67" s="349" t="e">
        <f t="shared" si="77"/>
        <v>#REF!</v>
      </c>
      <c r="BK67" s="349" t="e">
        <f t="shared" si="77"/>
        <v>#REF!</v>
      </c>
      <c r="BL67" s="349" t="e">
        <f t="shared" si="77"/>
        <v>#REF!</v>
      </c>
      <c r="BM67" s="349">
        <f t="shared" si="77"/>
        <v>1510.8857592589557</v>
      </c>
      <c r="BN67" s="349">
        <f t="shared" si="77"/>
        <v>1528.1914267276286</v>
      </c>
      <c r="BO67" s="349">
        <f t="shared" si="77"/>
        <v>1558.5623184679191</v>
      </c>
      <c r="BP67" s="349">
        <f t="shared" si="77"/>
        <v>1559.2251823861982</v>
      </c>
      <c r="BQ67" s="349">
        <f t="shared" si="77"/>
        <v>1549.3932572629569</v>
      </c>
      <c r="BR67" s="349">
        <f t="shared" si="77"/>
        <v>1550.5926691707264</v>
      </c>
      <c r="BS67" s="349">
        <f t="shared" si="77"/>
        <v>1551.9894918016091</v>
      </c>
      <c r="BT67" s="349">
        <f t="shared" si="77"/>
        <v>1547.6637896172372</v>
      </c>
      <c r="BU67" s="349">
        <f t="shared" si="77"/>
        <v>1543.9096194970714</v>
      </c>
      <c r="BV67" s="349">
        <f t="shared" si="77"/>
        <v>1546.2296480132361</v>
      </c>
      <c r="BW67" s="349">
        <f t="shared" si="77"/>
        <v>1546.2296480132361</v>
      </c>
      <c r="BX67" s="349">
        <f t="shared" si="77"/>
        <v>1551.8273788632655</v>
      </c>
      <c r="BY67" s="349">
        <f t="shared" si="77"/>
        <v>1551.8273788632657</v>
      </c>
      <c r="BZ67" s="349">
        <f t="shared" si="77"/>
        <v>1574.9204723527134</v>
      </c>
      <c r="CA67" s="349">
        <f t="shared" si="77"/>
        <v>1689.2782345337673</v>
      </c>
      <c r="CB67" s="349">
        <f t="shared" si="77"/>
        <v>1781.5107605238859</v>
      </c>
      <c r="CC67" s="349">
        <f t="shared" si="77"/>
        <v>1828.7398360660186</v>
      </c>
      <c r="CD67" s="349">
        <f t="shared" si="77"/>
        <v>1821.7859792548027</v>
      </c>
      <c r="CE67" s="349">
        <f t="shared" si="77"/>
        <v>1802.1535063991166</v>
      </c>
      <c r="CF67" s="349">
        <f t="shared" si="77"/>
        <v>1794.0757357750397</v>
      </c>
      <c r="CG67" s="349">
        <f t="shared" si="77"/>
        <v>1787.1650982302835</v>
      </c>
      <c r="CH67" s="349">
        <f t="shared" si="77"/>
        <v>1763.7894395781975</v>
      </c>
      <c r="CI67" s="349">
        <f t="shared" si="77"/>
        <v>1854.3420189891813</v>
      </c>
      <c r="CJ67" s="349">
        <f t="shared" si="77"/>
        <v>1848.6529890160496</v>
      </c>
      <c r="CK67" s="658">
        <f t="shared" si="77"/>
        <v>1879.9245966069386</v>
      </c>
      <c r="CL67" s="658">
        <f t="shared" si="77"/>
        <v>1888.8593132938831</v>
      </c>
      <c r="CM67" s="658">
        <f t="shared" si="77"/>
        <v>1922.1710885323473</v>
      </c>
      <c r="CN67" s="658">
        <f t="shared" si="77"/>
        <v>1966.6041758247293</v>
      </c>
      <c r="CO67" s="658">
        <f t="shared" si="77"/>
        <v>1946.992054810999</v>
      </c>
      <c r="CP67" s="658">
        <f t="shared" si="77"/>
        <v>1937.5837610672872</v>
      </c>
      <c r="CQ67" s="658">
        <f t="shared" si="77"/>
        <v>1932.5856629724904</v>
      </c>
      <c r="CR67" s="658">
        <f t="shared" si="77"/>
        <v>1925.4447236588226</v>
      </c>
      <c r="CS67" s="658">
        <f t="shared" si="77"/>
        <v>1917.7489767489794</v>
      </c>
      <c r="CT67" s="658">
        <f t="shared" si="77"/>
        <v>1909.2120790832919</v>
      </c>
      <c r="CU67" s="658">
        <f t="shared" si="77"/>
        <v>283.39975150432247</v>
      </c>
      <c r="CV67" s="792"/>
      <c r="CW67" s="792"/>
      <c r="CX67" s="792"/>
      <c r="CY67" s="235"/>
    </row>
    <row r="68" spans="3:128" hidden="1" x14ac:dyDescent="0.35">
      <c r="C68" s="626" t="s">
        <v>126</v>
      </c>
      <c r="D68" s="7">
        <f t="shared" ref="D68:AQ68" si="78">+D67+D66</f>
        <v>0</v>
      </c>
      <c r="E68" s="7">
        <f t="shared" si="78"/>
        <v>0</v>
      </c>
      <c r="F68" s="7">
        <f t="shared" si="78"/>
        <v>0</v>
      </c>
      <c r="G68" s="7">
        <f t="shared" si="78"/>
        <v>0</v>
      </c>
      <c r="H68" s="7">
        <f t="shared" si="78"/>
        <v>0</v>
      </c>
      <c r="I68" s="7">
        <f t="shared" si="78"/>
        <v>0</v>
      </c>
      <c r="J68" s="7">
        <f t="shared" si="78"/>
        <v>0</v>
      </c>
      <c r="K68" s="7">
        <f t="shared" si="78"/>
        <v>0</v>
      </c>
      <c r="L68" s="7">
        <f t="shared" si="78"/>
        <v>0</v>
      </c>
      <c r="M68" s="7">
        <f t="shared" si="78"/>
        <v>0</v>
      </c>
      <c r="N68" s="7">
        <f t="shared" si="78"/>
        <v>0</v>
      </c>
      <c r="O68" s="7">
        <f t="shared" si="78"/>
        <v>0</v>
      </c>
      <c r="P68" s="7">
        <f t="shared" si="78"/>
        <v>0</v>
      </c>
      <c r="Q68" s="7">
        <f t="shared" si="78"/>
        <v>0</v>
      </c>
      <c r="R68" s="7">
        <f t="shared" si="78"/>
        <v>0</v>
      </c>
      <c r="S68" s="7">
        <f t="shared" si="78"/>
        <v>0</v>
      </c>
      <c r="T68" s="7">
        <f t="shared" si="78"/>
        <v>0</v>
      </c>
      <c r="U68" s="7">
        <f t="shared" si="78"/>
        <v>0</v>
      </c>
      <c r="V68" s="27">
        <f t="shared" si="78"/>
        <v>0</v>
      </c>
      <c r="W68" s="27">
        <f t="shared" si="78"/>
        <v>0</v>
      </c>
      <c r="X68" s="27">
        <f t="shared" si="78"/>
        <v>0</v>
      </c>
      <c r="Y68" s="27">
        <f t="shared" si="78"/>
        <v>0</v>
      </c>
      <c r="Z68" s="27">
        <f t="shared" si="78"/>
        <v>0</v>
      </c>
      <c r="AA68" s="27">
        <f t="shared" si="78"/>
        <v>0</v>
      </c>
      <c r="AB68" s="27">
        <f t="shared" si="78"/>
        <v>0</v>
      </c>
      <c r="AC68" s="27">
        <f t="shared" si="78"/>
        <v>0</v>
      </c>
      <c r="AD68" s="27">
        <f t="shared" si="78"/>
        <v>0</v>
      </c>
      <c r="AE68" s="27">
        <f t="shared" si="78"/>
        <v>0</v>
      </c>
      <c r="AF68" s="27">
        <f t="shared" si="78"/>
        <v>0</v>
      </c>
      <c r="AG68" s="27">
        <f t="shared" si="78"/>
        <v>0</v>
      </c>
      <c r="AH68" s="27">
        <f t="shared" si="78"/>
        <v>0</v>
      </c>
      <c r="AI68" s="27">
        <f t="shared" si="78"/>
        <v>0</v>
      </c>
      <c r="AJ68" s="27">
        <f t="shared" si="78"/>
        <v>0</v>
      </c>
      <c r="AK68" s="27">
        <f t="shared" si="78"/>
        <v>0</v>
      </c>
      <c r="AL68" s="27">
        <f t="shared" si="78"/>
        <v>0</v>
      </c>
      <c r="AM68" s="27">
        <f t="shared" si="78"/>
        <v>0</v>
      </c>
      <c r="AN68" s="27">
        <f t="shared" si="78"/>
        <v>0</v>
      </c>
      <c r="AO68" s="27">
        <f t="shared" si="78"/>
        <v>0</v>
      </c>
      <c r="AP68" s="27">
        <f t="shared" si="78"/>
        <v>0</v>
      </c>
      <c r="AQ68" s="27">
        <f t="shared" si="78"/>
        <v>0</v>
      </c>
      <c r="AR68" s="27" t="e">
        <f t="shared" si="76"/>
        <v>#REF!</v>
      </c>
      <c r="AS68" s="27" t="e">
        <f t="shared" si="76"/>
        <v>#REF!</v>
      </c>
      <c r="AT68" s="27" t="e">
        <f t="shared" si="76"/>
        <v>#REF!</v>
      </c>
      <c r="AU68" s="27" t="e">
        <f t="shared" si="76"/>
        <v>#REF!</v>
      </c>
      <c r="AV68" s="27">
        <v>1863.3396439870203</v>
      </c>
      <c r="AW68" s="27">
        <v>1821.2865355885601</v>
      </c>
      <c r="AX68" s="27" t="e">
        <f>+AX67+AX66</f>
        <v>#REF!</v>
      </c>
      <c r="AY68" s="27">
        <v>2015.0237636046554</v>
      </c>
      <c r="AZ68" s="27" t="e">
        <f t="shared" si="77"/>
        <v>#REF!</v>
      </c>
      <c r="BA68" s="27" t="e">
        <f t="shared" si="77"/>
        <v>#REF!</v>
      </c>
      <c r="BB68" s="350" t="e">
        <f t="shared" si="77"/>
        <v>#REF!</v>
      </c>
      <c r="BC68" s="350" t="e">
        <f t="shared" si="77"/>
        <v>#REF!</v>
      </c>
      <c r="BD68" s="350" t="e">
        <f t="shared" si="77"/>
        <v>#REF!</v>
      </c>
      <c r="BE68" s="350" t="e">
        <f t="shared" si="77"/>
        <v>#REF!</v>
      </c>
      <c r="BF68" s="350" t="e">
        <f t="shared" si="77"/>
        <v>#REF!</v>
      </c>
      <c r="BG68" s="350" t="e">
        <f t="shared" si="77"/>
        <v>#REF!</v>
      </c>
      <c r="BH68" s="350" t="e">
        <f t="shared" si="77"/>
        <v>#REF!</v>
      </c>
      <c r="BI68" s="350" t="e">
        <f t="shared" si="77"/>
        <v>#REF!</v>
      </c>
      <c r="BJ68" s="350" t="e">
        <f t="shared" si="77"/>
        <v>#REF!</v>
      </c>
      <c r="BK68" s="350" t="e">
        <f t="shared" si="77"/>
        <v>#REF!</v>
      </c>
      <c r="BL68" s="350" t="e">
        <f t="shared" si="77"/>
        <v>#REF!</v>
      </c>
      <c r="BM68" s="350">
        <f t="shared" si="77"/>
        <v>1525.8450242021136</v>
      </c>
      <c r="BN68" s="350">
        <f t="shared" si="77"/>
        <v>1543.3220349130506</v>
      </c>
      <c r="BO68" s="350">
        <f t="shared" si="77"/>
        <v>1573.9936285517599</v>
      </c>
      <c r="BP68" s="350">
        <f t="shared" si="77"/>
        <v>1574.6630554791309</v>
      </c>
      <c r="BQ68" s="350">
        <f t="shared" si="77"/>
        <v>1564.7337845625902</v>
      </c>
      <c r="BR68" s="350">
        <f t="shared" si="77"/>
        <v>1565.945071835783</v>
      </c>
      <c r="BS68" s="350">
        <f t="shared" si="77"/>
        <v>1567.3557243937043</v>
      </c>
      <c r="BT68" s="350">
        <f t="shared" si="77"/>
        <v>1562.9871934748335</v>
      </c>
      <c r="BU68" s="350">
        <f t="shared" si="77"/>
        <v>1559.195853353478</v>
      </c>
      <c r="BV68" s="350">
        <f t="shared" si="77"/>
        <v>1561.5388524490106</v>
      </c>
      <c r="BW68" s="350">
        <f t="shared" si="77"/>
        <v>1561.5388524490106</v>
      </c>
      <c r="BX68" s="350">
        <f t="shared" si="77"/>
        <v>1567.1920063767632</v>
      </c>
      <c r="BY68" s="350">
        <f t="shared" si="77"/>
        <v>1567.1920063767634</v>
      </c>
      <c r="BZ68" s="350">
        <f t="shared" si="77"/>
        <v>1590.5137443562057</v>
      </c>
      <c r="CA68" s="350">
        <f t="shared" si="77"/>
        <v>1706.0037616083591</v>
      </c>
      <c r="CB68" s="350">
        <f t="shared" si="77"/>
        <v>1799.1494809251126</v>
      </c>
      <c r="CC68" s="350">
        <f t="shared" si="77"/>
        <v>1846.8461710765732</v>
      </c>
      <c r="CD68" s="350">
        <f t="shared" si="77"/>
        <v>1839.8234641979195</v>
      </c>
      <c r="CE68" s="350">
        <f t="shared" si="77"/>
        <v>1819.9966104228702</v>
      </c>
      <c r="CF68" s="350">
        <f t="shared" si="77"/>
        <v>1811.8388618718222</v>
      </c>
      <c r="CG68" s="350">
        <f t="shared" si="77"/>
        <v>1804.8598021731577</v>
      </c>
      <c r="CH68" s="350">
        <f t="shared" si="77"/>
        <v>1781.2527013561994</v>
      </c>
      <c r="CI68" s="350">
        <f t="shared" si="77"/>
        <v>1872.7018409593711</v>
      </c>
      <c r="CJ68" s="350">
        <f t="shared" si="77"/>
        <v>1866.9564839568025</v>
      </c>
      <c r="CK68" s="659">
        <f t="shared" si="77"/>
        <v>1898.537711424829</v>
      </c>
      <c r="CL68" s="659">
        <f t="shared" si="77"/>
        <v>1907.5608906532284</v>
      </c>
      <c r="CM68" s="659">
        <f t="shared" si="77"/>
        <v>1941.2024854485092</v>
      </c>
      <c r="CN68" s="659">
        <f t="shared" si="77"/>
        <v>1986.0755042982414</v>
      </c>
      <c r="CO68" s="659">
        <f t="shared" si="77"/>
        <v>1966.2692038685336</v>
      </c>
      <c r="CP68" s="659">
        <f t="shared" si="77"/>
        <v>1956.7677587016169</v>
      </c>
      <c r="CQ68" s="659">
        <f t="shared" si="77"/>
        <v>1951.7201744870695</v>
      </c>
      <c r="CR68" s="659">
        <f t="shared" si="77"/>
        <v>1944.5085328039595</v>
      </c>
      <c r="CS68" s="659">
        <f t="shared" si="77"/>
        <v>1936.7365903801574</v>
      </c>
      <c r="CT68" s="659">
        <f t="shared" si="77"/>
        <v>1928.1151689752057</v>
      </c>
      <c r="CU68" s="659">
        <f t="shared" si="77"/>
        <v>286.20568963802862</v>
      </c>
      <c r="CV68" s="793"/>
      <c r="CW68" s="793"/>
      <c r="CX68" s="793"/>
      <c r="CY68" s="243"/>
    </row>
    <row r="69" spans="3:128" hidden="1" x14ac:dyDescent="0.35">
      <c r="C69" s="660" t="s">
        <v>133</v>
      </c>
      <c r="D69" s="36"/>
      <c r="E69" s="36"/>
      <c r="F69" s="36"/>
      <c r="G69" s="36"/>
      <c r="H69" s="36"/>
      <c r="I69" s="36"/>
      <c r="J69" s="36"/>
      <c r="K69" s="36"/>
      <c r="L69" s="36"/>
      <c r="M69" s="36"/>
      <c r="N69" s="36"/>
      <c r="O69" s="36"/>
      <c r="P69" s="36"/>
      <c r="Q69" s="36"/>
      <c r="R69" s="36"/>
      <c r="S69" s="36"/>
      <c r="T69" s="36"/>
      <c r="U69" s="36"/>
      <c r="V69" s="36"/>
      <c r="W69" s="36"/>
      <c r="X69" s="36"/>
      <c r="Y69" s="24">
        <f t="shared" ref="Y69:AJ69" si="79">+(Y26*90%)+(Y32*10%)</f>
        <v>1168.6005295042264</v>
      </c>
      <c r="Z69" s="24">
        <f t="shared" si="79"/>
        <v>1059.4333720698792</v>
      </c>
      <c r="AA69" s="24">
        <f t="shared" si="79"/>
        <v>968.47942536443691</v>
      </c>
      <c r="AB69" s="24">
        <f t="shared" si="79"/>
        <v>1026.4414088000001</v>
      </c>
      <c r="AC69" s="24">
        <f t="shared" si="79"/>
        <v>984.45302243974231</v>
      </c>
      <c r="AD69" s="24">
        <f t="shared" si="79"/>
        <v>1004.5084087999999</v>
      </c>
      <c r="AE69" s="24">
        <f t="shared" si="79"/>
        <v>996.77224692513039</v>
      </c>
      <c r="AF69" s="24">
        <f t="shared" si="79"/>
        <v>1001.6719583333332</v>
      </c>
      <c r="AG69" s="24">
        <f t="shared" si="79"/>
        <v>975.52225487585247</v>
      </c>
      <c r="AH69" s="24">
        <f t="shared" si="79"/>
        <v>962.74782493886607</v>
      </c>
      <c r="AI69" s="24">
        <f t="shared" si="79"/>
        <v>964.83617208266469</v>
      </c>
      <c r="AJ69" s="24">
        <f t="shared" si="79"/>
        <v>954.30094663840941</v>
      </c>
      <c r="AK69" s="24" t="e">
        <f t="shared" ref="AK69:AU69" si="80">+(AK28*90%)+(AK32*10%)</f>
        <v>#REF!</v>
      </c>
      <c r="AL69" s="24" t="e">
        <f t="shared" si="80"/>
        <v>#REF!</v>
      </c>
      <c r="AM69" s="24" t="e">
        <f t="shared" si="80"/>
        <v>#REF!</v>
      </c>
      <c r="AN69" s="24" t="e">
        <f t="shared" si="80"/>
        <v>#REF!</v>
      </c>
      <c r="AO69" s="24" t="e">
        <f t="shared" si="80"/>
        <v>#REF!</v>
      </c>
      <c r="AP69" s="24" t="e">
        <f t="shared" si="80"/>
        <v>#REF!</v>
      </c>
      <c r="AQ69" s="24" t="e">
        <f t="shared" si="80"/>
        <v>#REF!</v>
      </c>
      <c r="AR69" s="24" t="e">
        <f t="shared" si="80"/>
        <v>#REF!</v>
      </c>
      <c r="AS69" s="24" t="e">
        <f t="shared" si="80"/>
        <v>#REF!</v>
      </c>
      <c r="AT69" s="24" t="e">
        <f t="shared" si="80"/>
        <v>#REF!</v>
      </c>
      <c r="AU69" s="24" t="e">
        <f t="shared" si="80"/>
        <v>#REF!</v>
      </c>
      <c r="AV69" s="24">
        <v>1796.9358418394554</v>
      </c>
      <c r="AW69" s="24">
        <v>1846.6862141178724</v>
      </c>
      <c r="AX69" s="24" t="e">
        <f>+(AX28*90%)+(AX32*10%)</f>
        <v>#REF!</v>
      </c>
      <c r="AY69" s="24">
        <v>1902.5673029334548</v>
      </c>
      <c r="AZ69" s="24" t="e">
        <f t="shared" ref="AZ69:CU69" si="81">+(AZ28*90%)+(AZ32*10%)</f>
        <v>#REF!</v>
      </c>
      <c r="BA69" s="24" t="e">
        <f t="shared" si="81"/>
        <v>#REF!</v>
      </c>
      <c r="BB69" s="342" t="e">
        <f t="shared" si="81"/>
        <v>#REF!</v>
      </c>
      <c r="BC69" s="342" t="e">
        <f t="shared" si="81"/>
        <v>#REF!</v>
      </c>
      <c r="BD69" s="342" t="e">
        <f t="shared" si="81"/>
        <v>#REF!</v>
      </c>
      <c r="BE69" s="342" t="e">
        <f t="shared" si="81"/>
        <v>#REF!</v>
      </c>
      <c r="BF69" s="342" t="e">
        <f t="shared" si="81"/>
        <v>#REF!</v>
      </c>
      <c r="BG69" s="342" t="e">
        <f t="shared" si="81"/>
        <v>#REF!</v>
      </c>
      <c r="BH69" s="342" t="e">
        <f t="shared" si="81"/>
        <v>#REF!</v>
      </c>
      <c r="BI69" s="342" t="e">
        <f t="shared" si="81"/>
        <v>#REF!</v>
      </c>
      <c r="BJ69" s="342" t="e">
        <f t="shared" si="81"/>
        <v>#REF!</v>
      </c>
      <c r="BK69" s="342" t="e">
        <f t="shared" si="81"/>
        <v>#REF!</v>
      </c>
      <c r="BL69" s="342" t="e">
        <f t="shared" si="81"/>
        <v>#REF!</v>
      </c>
      <c r="BM69" s="342">
        <f t="shared" si="81"/>
        <v>1312.2910507632705</v>
      </c>
      <c r="BN69" s="342">
        <f t="shared" si="81"/>
        <v>1343.5449993851944</v>
      </c>
      <c r="BO69" s="342">
        <f t="shared" si="81"/>
        <v>1347.7115791071512</v>
      </c>
      <c r="BP69" s="342">
        <f t="shared" si="81"/>
        <v>1312.6391146458691</v>
      </c>
      <c r="BQ69" s="342">
        <f t="shared" si="81"/>
        <v>1273.7518148369988</v>
      </c>
      <c r="BR69" s="342">
        <f t="shared" si="81"/>
        <v>1277.0752612281801</v>
      </c>
      <c r="BS69" s="342">
        <f t="shared" si="81"/>
        <v>1285.1122469591146</v>
      </c>
      <c r="BT69" s="342">
        <f t="shared" si="81"/>
        <v>1279.8613516627738</v>
      </c>
      <c r="BU69" s="342">
        <f t="shared" si="81"/>
        <v>1273.7220826506923</v>
      </c>
      <c r="BV69" s="342">
        <f t="shared" si="81"/>
        <v>1259.2757666433861</v>
      </c>
      <c r="BW69" s="342">
        <f t="shared" si="81"/>
        <v>1276.7373202638787</v>
      </c>
      <c r="BX69" s="342">
        <f t="shared" si="81"/>
        <v>1299.0633973152108</v>
      </c>
      <c r="BY69" s="342">
        <f t="shared" si="81"/>
        <v>1303.6521591723119</v>
      </c>
      <c r="BZ69" s="342">
        <f t="shared" si="81"/>
        <v>1389.1215208453832</v>
      </c>
      <c r="CA69" s="342">
        <f t="shared" si="81"/>
        <v>1484.7052012236995</v>
      </c>
      <c r="CB69" s="342">
        <f t="shared" si="81"/>
        <v>1573.4849571221612</v>
      </c>
      <c r="CC69" s="342">
        <f t="shared" si="81"/>
        <v>1543.4890219209815</v>
      </c>
      <c r="CD69" s="342">
        <f t="shared" si="81"/>
        <v>1521.6770549694047</v>
      </c>
      <c r="CE69" s="342">
        <f t="shared" si="81"/>
        <v>1455.4724510254603</v>
      </c>
      <c r="CF69" s="342">
        <f t="shared" si="81"/>
        <v>1419.1760450796564</v>
      </c>
      <c r="CG69" s="342">
        <f t="shared" si="81"/>
        <v>1397.6372999765704</v>
      </c>
      <c r="CH69" s="342">
        <f t="shared" si="81"/>
        <v>1322.9740917849526</v>
      </c>
      <c r="CI69" s="342">
        <f t="shared" si="81"/>
        <v>1323.9979113481177</v>
      </c>
      <c r="CJ69" s="342">
        <f t="shared" si="81"/>
        <v>1303.3868482922876</v>
      </c>
      <c r="CK69" s="646">
        <f t="shared" si="81"/>
        <v>1278.5560964483293</v>
      </c>
      <c r="CL69" s="646">
        <f t="shared" si="81"/>
        <v>1291.9986816822284</v>
      </c>
      <c r="CM69" s="646">
        <f t="shared" si="81"/>
        <v>1307.7880109658813</v>
      </c>
      <c r="CN69" s="646">
        <f t="shared" si="81"/>
        <v>1465.7720862610563</v>
      </c>
      <c r="CO69" s="646">
        <f t="shared" si="81"/>
        <v>1389.007861736854</v>
      </c>
      <c r="CP69" s="646">
        <f t="shared" si="81"/>
        <v>1356.0703313693336</v>
      </c>
      <c r="CQ69" s="646">
        <f t="shared" si="81"/>
        <v>1335.5200927866345</v>
      </c>
      <c r="CR69" s="646">
        <f t="shared" si="81"/>
        <v>1311.7764116609476</v>
      </c>
      <c r="CS69" s="646">
        <f t="shared" si="81"/>
        <v>1278.5081565718424</v>
      </c>
      <c r="CT69" s="646">
        <f t="shared" si="81"/>
        <v>1251.9000417420336</v>
      </c>
      <c r="CU69" s="646">
        <f t="shared" si="81"/>
        <v>1010.1377281342187</v>
      </c>
      <c r="CV69" s="785"/>
      <c r="CW69" s="785"/>
      <c r="CX69" s="785"/>
      <c r="CY69" s="240"/>
    </row>
    <row r="70" spans="3:128" hidden="1" x14ac:dyDescent="0.35">
      <c r="C70" s="642" t="s">
        <v>125</v>
      </c>
      <c r="D70" s="36"/>
      <c r="E70" s="36"/>
      <c r="F70" s="36"/>
      <c r="G70" s="36"/>
      <c r="H70" s="36"/>
      <c r="I70" s="36"/>
      <c r="J70" s="36"/>
      <c r="K70" s="36"/>
      <c r="L70" s="36"/>
      <c r="M70" s="36"/>
      <c r="N70" s="36"/>
      <c r="O70" s="36"/>
      <c r="P70" s="36"/>
      <c r="Q70" s="36"/>
      <c r="R70" s="36"/>
      <c r="S70" s="36"/>
      <c r="T70" s="36"/>
      <c r="U70" s="36"/>
      <c r="V70" s="36"/>
      <c r="W70" s="36"/>
      <c r="X70" s="36"/>
      <c r="Y70" s="8">
        <f t="shared" ref="Y70:AU70" si="82">+Y69*1%</f>
        <v>11.686005295042264</v>
      </c>
      <c r="Z70" s="8">
        <f t="shared" si="82"/>
        <v>10.594333720698792</v>
      </c>
      <c r="AA70" s="8">
        <f t="shared" si="82"/>
        <v>9.6847942536443696</v>
      </c>
      <c r="AB70" s="8">
        <f t="shared" si="82"/>
        <v>10.264414088000001</v>
      </c>
      <c r="AC70" s="8">
        <f t="shared" si="82"/>
        <v>9.844530224397424</v>
      </c>
      <c r="AD70" s="8">
        <f t="shared" si="82"/>
        <v>10.045084087999999</v>
      </c>
      <c r="AE70" s="8">
        <f t="shared" si="82"/>
        <v>9.9677224692513047</v>
      </c>
      <c r="AF70" s="8">
        <f t="shared" si="82"/>
        <v>10.016719583333332</v>
      </c>
      <c r="AG70" s="8">
        <f t="shared" si="82"/>
        <v>9.7552225487585247</v>
      </c>
      <c r="AH70" s="8">
        <f t="shared" si="82"/>
        <v>9.6274782493886608</v>
      </c>
      <c r="AI70" s="8">
        <f t="shared" si="82"/>
        <v>9.6483617208266477</v>
      </c>
      <c r="AJ70" s="8">
        <f t="shared" si="82"/>
        <v>9.5430094663840936</v>
      </c>
      <c r="AK70" s="8" t="e">
        <f t="shared" si="82"/>
        <v>#REF!</v>
      </c>
      <c r="AL70" s="8" t="e">
        <f t="shared" si="82"/>
        <v>#REF!</v>
      </c>
      <c r="AM70" s="8" t="e">
        <f t="shared" si="82"/>
        <v>#REF!</v>
      </c>
      <c r="AN70" s="8" t="e">
        <f t="shared" si="82"/>
        <v>#REF!</v>
      </c>
      <c r="AO70" s="8" t="e">
        <f t="shared" si="82"/>
        <v>#REF!</v>
      </c>
      <c r="AP70" s="8" t="e">
        <f t="shared" si="82"/>
        <v>#REF!</v>
      </c>
      <c r="AQ70" s="8" t="e">
        <f t="shared" si="82"/>
        <v>#REF!</v>
      </c>
      <c r="AR70" s="8" t="e">
        <f t="shared" si="82"/>
        <v>#REF!</v>
      </c>
      <c r="AS70" s="8" t="e">
        <f t="shared" si="82"/>
        <v>#REF!</v>
      </c>
      <c r="AT70" s="8" t="e">
        <f t="shared" si="82"/>
        <v>#REF!</v>
      </c>
      <c r="AU70" s="8" t="e">
        <f t="shared" si="82"/>
        <v>#REF!</v>
      </c>
      <c r="AV70" s="8">
        <v>17.969358418394556</v>
      </c>
      <c r="AW70" s="8">
        <v>18.466862141178723</v>
      </c>
      <c r="AX70" s="8" t="e">
        <f>+AX69*1%</f>
        <v>#REF!</v>
      </c>
      <c r="AY70" s="8">
        <v>19.025673029334548</v>
      </c>
      <c r="AZ70" s="8" t="e">
        <f t="shared" ref="AZ70:CU70" si="83">+AZ69*1%</f>
        <v>#REF!</v>
      </c>
      <c r="BA70" s="8" t="e">
        <f t="shared" si="83"/>
        <v>#REF!</v>
      </c>
      <c r="BB70" s="334" t="e">
        <f t="shared" si="83"/>
        <v>#REF!</v>
      </c>
      <c r="BC70" s="334" t="e">
        <f t="shared" si="83"/>
        <v>#REF!</v>
      </c>
      <c r="BD70" s="334" t="e">
        <f t="shared" si="83"/>
        <v>#REF!</v>
      </c>
      <c r="BE70" s="334" t="e">
        <f t="shared" si="83"/>
        <v>#REF!</v>
      </c>
      <c r="BF70" s="334" t="e">
        <f t="shared" si="83"/>
        <v>#REF!</v>
      </c>
      <c r="BG70" s="334" t="e">
        <f t="shared" si="83"/>
        <v>#REF!</v>
      </c>
      <c r="BH70" s="334" t="e">
        <f t="shared" si="83"/>
        <v>#REF!</v>
      </c>
      <c r="BI70" s="334" t="e">
        <f t="shared" si="83"/>
        <v>#REF!</v>
      </c>
      <c r="BJ70" s="334" t="e">
        <f t="shared" si="83"/>
        <v>#REF!</v>
      </c>
      <c r="BK70" s="334" t="e">
        <f t="shared" si="83"/>
        <v>#REF!</v>
      </c>
      <c r="BL70" s="334" t="e">
        <f t="shared" si="83"/>
        <v>#REF!</v>
      </c>
      <c r="BM70" s="334">
        <f t="shared" si="83"/>
        <v>13.122910507632705</v>
      </c>
      <c r="BN70" s="334">
        <f t="shared" si="83"/>
        <v>13.435449993851945</v>
      </c>
      <c r="BO70" s="334">
        <f t="shared" si="83"/>
        <v>13.477115791071512</v>
      </c>
      <c r="BP70" s="334">
        <f t="shared" si="83"/>
        <v>13.12639114645869</v>
      </c>
      <c r="BQ70" s="334">
        <f t="shared" si="83"/>
        <v>12.737518148369988</v>
      </c>
      <c r="BR70" s="334">
        <f t="shared" si="83"/>
        <v>12.770752612281802</v>
      </c>
      <c r="BS70" s="334">
        <f t="shared" si="83"/>
        <v>12.851122469591147</v>
      </c>
      <c r="BT70" s="334">
        <f t="shared" si="83"/>
        <v>12.798613516627739</v>
      </c>
      <c r="BU70" s="334">
        <f t="shared" si="83"/>
        <v>12.737220826506924</v>
      </c>
      <c r="BV70" s="334">
        <f t="shared" si="83"/>
        <v>12.592757666433862</v>
      </c>
      <c r="BW70" s="334">
        <f t="shared" si="83"/>
        <v>12.767373202638787</v>
      </c>
      <c r="BX70" s="334">
        <f t="shared" si="83"/>
        <v>12.990633973152107</v>
      </c>
      <c r="BY70" s="334">
        <f t="shared" si="83"/>
        <v>13.036521591723119</v>
      </c>
      <c r="BZ70" s="334">
        <f t="shared" si="83"/>
        <v>13.891215208453833</v>
      </c>
      <c r="CA70" s="334">
        <f t="shared" si="83"/>
        <v>14.847052012236995</v>
      </c>
      <c r="CB70" s="334">
        <f t="shared" si="83"/>
        <v>15.734849571221613</v>
      </c>
      <c r="CC70" s="334">
        <f t="shared" si="83"/>
        <v>15.434890219209816</v>
      </c>
      <c r="CD70" s="334">
        <f t="shared" si="83"/>
        <v>15.216770549694047</v>
      </c>
      <c r="CE70" s="334">
        <f t="shared" si="83"/>
        <v>14.554724510254603</v>
      </c>
      <c r="CF70" s="334">
        <f t="shared" si="83"/>
        <v>14.191760450796565</v>
      </c>
      <c r="CG70" s="334">
        <f t="shared" si="83"/>
        <v>13.976372999765704</v>
      </c>
      <c r="CH70" s="334">
        <f t="shared" si="83"/>
        <v>13.229740917849526</v>
      </c>
      <c r="CI70" s="334">
        <f t="shared" si="83"/>
        <v>13.239979113481176</v>
      </c>
      <c r="CJ70" s="334">
        <f t="shared" si="83"/>
        <v>13.033868482922877</v>
      </c>
      <c r="CK70" s="616">
        <f t="shared" si="83"/>
        <v>12.785560964483293</v>
      </c>
      <c r="CL70" s="616">
        <f t="shared" si="83"/>
        <v>12.919986816822284</v>
      </c>
      <c r="CM70" s="616">
        <f t="shared" si="83"/>
        <v>13.077880109658814</v>
      </c>
      <c r="CN70" s="616">
        <f t="shared" si="83"/>
        <v>14.657720862610564</v>
      </c>
      <c r="CO70" s="616">
        <f t="shared" si="83"/>
        <v>13.890078617368541</v>
      </c>
      <c r="CP70" s="616">
        <f t="shared" si="83"/>
        <v>13.560703313693336</v>
      </c>
      <c r="CQ70" s="616">
        <f t="shared" si="83"/>
        <v>13.355200927866345</v>
      </c>
      <c r="CR70" s="616">
        <f t="shared" si="83"/>
        <v>13.117764116609477</v>
      </c>
      <c r="CS70" s="616">
        <f t="shared" si="83"/>
        <v>12.785081565718425</v>
      </c>
      <c r="CT70" s="616">
        <f t="shared" si="83"/>
        <v>12.519000417420337</v>
      </c>
      <c r="CU70" s="616">
        <f t="shared" si="83"/>
        <v>10.101377281342188</v>
      </c>
      <c r="CV70" s="779"/>
      <c r="CW70" s="779"/>
      <c r="CX70" s="779"/>
      <c r="CY70" s="235"/>
    </row>
    <row r="71" spans="3:128" hidden="1" x14ac:dyDescent="0.35">
      <c r="C71" s="626" t="s">
        <v>126</v>
      </c>
      <c r="D71" s="36"/>
      <c r="E71" s="36"/>
      <c r="F71" s="36"/>
      <c r="G71" s="36"/>
      <c r="H71" s="36"/>
      <c r="I71" s="36"/>
      <c r="J71" s="36"/>
      <c r="K71" s="36"/>
      <c r="L71" s="36"/>
      <c r="M71" s="36"/>
      <c r="N71" s="36"/>
      <c r="O71" s="36"/>
      <c r="P71" s="36"/>
      <c r="Q71" s="36"/>
      <c r="R71" s="36"/>
      <c r="S71" s="36"/>
      <c r="T71" s="36"/>
      <c r="U71" s="36"/>
      <c r="V71" s="36"/>
      <c r="W71" s="36"/>
      <c r="X71" s="36"/>
      <c r="Y71" s="70">
        <f t="shared" ref="Y71:AU71" si="84">+Y70+Y69</f>
        <v>1180.2865347992688</v>
      </c>
      <c r="Z71" s="70">
        <f t="shared" si="84"/>
        <v>1070.027705790578</v>
      </c>
      <c r="AA71" s="70">
        <f t="shared" si="84"/>
        <v>978.16421961808123</v>
      </c>
      <c r="AB71" s="70">
        <f t="shared" si="84"/>
        <v>1036.7058228880001</v>
      </c>
      <c r="AC71" s="70">
        <f t="shared" si="84"/>
        <v>994.29755266413974</v>
      </c>
      <c r="AD71" s="70">
        <f t="shared" si="84"/>
        <v>1014.5534928879998</v>
      </c>
      <c r="AE71" s="70">
        <f t="shared" si="84"/>
        <v>1006.7399693943817</v>
      </c>
      <c r="AF71" s="70">
        <f t="shared" si="84"/>
        <v>1011.6886779166666</v>
      </c>
      <c r="AG71" s="70">
        <f t="shared" si="84"/>
        <v>985.27747742461099</v>
      </c>
      <c r="AH71" s="70">
        <f t="shared" si="84"/>
        <v>972.37530318825475</v>
      </c>
      <c r="AI71" s="70">
        <f t="shared" si="84"/>
        <v>974.48453380349133</v>
      </c>
      <c r="AJ71" s="70">
        <f t="shared" si="84"/>
        <v>963.84395610479351</v>
      </c>
      <c r="AK71" s="70" t="e">
        <f t="shared" si="84"/>
        <v>#REF!</v>
      </c>
      <c r="AL71" s="70" t="e">
        <f t="shared" si="84"/>
        <v>#REF!</v>
      </c>
      <c r="AM71" s="70" t="e">
        <f t="shared" si="84"/>
        <v>#REF!</v>
      </c>
      <c r="AN71" s="70" t="e">
        <f t="shared" si="84"/>
        <v>#REF!</v>
      </c>
      <c r="AO71" s="70" t="e">
        <f t="shared" si="84"/>
        <v>#REF!</v>
      </c>
      <c r="AP71" s="70" t="e">
        <f t="shared" si="84"/>
        <v>#REF!</v>
      </c>
      <c r="AQ71" s="70" t="e">
        <f t="shared" si="84"/>
        <v>#REF!</v>
      </c>
      <c r="AR71" s="70" t="e">
        <f t="shared" si="84"/>
        <v>#REF!</v>
      </c>
      <c r="AS71" s="70" t="e">
        <f t="shared" si="84"/>
        <v>#REF!</v>
      </c>
      <c r="AT71" s="70" t="e">
        <f t="shared" si="84"/>
        <v>#REF!</v>
      </c>
      <c r="AU71" s="70" t="e">
        <f t="shared" si="84"/>
        <v>#REF!</v>
      </c>
      <c r="AV71" s="70">
        <v>1814.9052002578499</v>
      </c>
      <c r="AW71" s="70">
        <v>1865.1530762590512</v>
      </c>
      <c r="AX71" s="70" t="e">
        <f>+AX70+AX69</f>
        <v>#REF!</v>
      </c>
      <c r="AY71" s="70">
        <v>1921.5929759627893</v>
      </c>
      <c r="AZ71" s="70" t="e">
        <f t="shared" ref="AZ71:CU71" si="85">+AZ70+AZ69</f>
        <v>#REF!</v>
      </c>
      <c r="BA71" s="70" t="e">
        <f t="shared" si="85"/>
        <v>#REF!</v>
      </c>
      <c r="BB71" s="351" t="e">
        <f t="shared" si="85"/>
        <v>#REF!</v>
      </c>
      <c r="BC71" s="351" t="e">
        <f t="shared" si="85"/>
        <v>#REF!</v>
      </c>
      <c r="BD71" s="351" t="e">
        <f t="shared" si="85"/>
        <v>#REF!</v>
      </c>
      <c r="BE71" s="351" t="e">
        <f t="shared" si="85"/>
        <v>#REF!</v>
      </c>
      <c r="BF71" s="351" t="e">
        <f t="shared" si="85"/>
        <v>#REF!</v>
      </c>
      <c r="BG71" s="351" t="e">
        <f t="shared" si="85"/>
        <v>#REF!</v>
      </c>
      <c r="BH71" s="351" t="e">
        <f t="shared" si="85"/>
        <v>#REF!</v>
      </c>
      <c r="BI71" s="351" t="e">
        <f t="shared" si="85"/>
        <v>#REF!</v>
      </c>
      <c r="BJ71" s="351" t="e">
        <f t="shared" si="85"/>
        <v>#REF!</v>
      </c>
      <c r="BK71" s="351" t="e">
        <f t="shared" si="85"/>
        <v>#REF!</v>
      </c>
      <c r="BL71" s="351" t="e">
        <f t="shared" si="85"/>
        <v>#REF!</v>
      </c>
      <c r="BM71" s="351">
        <f t="shared" si="85"/>
        <v>1325.4139612709032</v>
      </c>
      <c r="BN71" s="351">
        <f t="shared" si="85"/>
        <v>1356.9804493790464</v>
      </c>
      <c r="BO71" s="351">
        <f t="shared" si="85"/>
        <v>1361.1886948982228</v>
      </c>
      <c r="BP71" s="351">
        <f t="shared" si="85"/>
        <v>1325.7655057923278</v>
      </c>
      <c r="BQ71" s="351">
        <f t="shared" si="85"/>
        <v>1286.4893329853689</v>
      </c>
      <c r="BR71" s="351">
        <f t="shared" si="85"/>
        <v>1289.8460138404619</v>
      </c>
      <c r="BS71" s="351">
        <f t="shared" si="85"/>
        <v>1297.9633694287058</v>
      </c>
      <c r="BT71" s="351">
        <f t="shared" si="85"/>
        <v>1292.6599651794015</v>
      </c>
      <c r="BU71" s="351">
        <f t="shared" si="85"/>
        <v>1286.4593034771992</v>
      </c>
      <c r="BV71" s="351">
        <f t="shared" si="85"/>
        <v>1271.86852430982</v>
      </c>
      <c r="BW71" s="351">
        <f t="shared" si="85"/>
        <v>1289.5046934665174</v>
      </c>
      <c r="BX71" s="351">
        <f t="shared" si="85"/>
        <v>1312.0540312883629</v>
      </c>
      <c r="BY71" s="351">
        <f t="shared" si="85"/>
        <v>1316.6886807640351</v>
      </c>
      <c r="BZ71" s="351">
        <f t="shared" si="85"/>
        <v>1403.012736053837</v>
      </c>
      <c r="CA71" s="351">
        <f t="shared" si="85"/>
        <v>1499.5522532359366</v>
      </c>
      <c r="CB71" s="351">
        <f t="shared" si="85"/>
        <v>1589.2198066933827</v>
      </c>
      <c r="CC71" s="351">
        <f t="shared" si="85"/>
        <v>1558.9239121401913</v>
      </c>
      <c r="CD71" s="351">
        <f t="shared" si="85"/>
        <v>1536.8938255190988</v>
      </c>
      <c r="CE71" s="351">
        <f t="shared" si="85"/>
        <v>1470.0271755357148</v>
      </c>
      <c r="CF71" s="351">
        <f t="shared" si="85"/>
        <v>1433.3678055304531</v>
      </c>
      <c r="CG71" s="351">
        <f t="shared" si="85"/>
        <v>1411.6136729763361</v>
      </c>
      <c r="CH71" s="351">
        <f t="shared" si="85"/>
        <v>1336.2038327028022</v>
      </c>
      <c r="CI71" s="351">
        <f t="shared" si="85"/>
        <v>1337.2378904615989</v>
      </c>
      <c r="CJ71" s="351">
        <f t="shared" si="85"/>
        <v>1316.4207167752104</v>
      </c>
      <c r="CK71" s="661">
        <f t="shared" si="85"/>
        <v>1291.3416574128125</v>
      </c>
      <c r="CL71" s="661">
        <f t="shared" si="85"/>
        <v>1304.9186684990507</v>
      </c>
      <c r="CM71" s="661">
        <f t="shared" si="85"/>
        <v>1320.86589107554</v>
      </c>
      <c r="CN71" s="661">
        <f t="shared" si="85"/>
        <v>1480.4298071236669</v>
      </c>
      <c r="CO71" s="661">
        <f t="shared" si="85"/>
        <v>1402.8979403542226</v>
      </c>
      <c r="CP71" s="661">
        <f t="shared" si="85"/>
        <v>1369.6310346830269</v>
      </c>
      <c r="CQ71" s="661">
        <f t="shared" si="85"/>
        <v>1348.8752937145007</v>
      </c>
      <c r="CR71" s="661">
        <f t="shared" si="85"/>
        <v>1324.8941757775572</v>
      </c>
      <c r="CS71" s="661">
        <f t="shared" si="85"/>
        <v>1291.2932381375608</v>
      </c>
      <c r="CT71" s="661">
        <f t="shared" si="85"/>
        <v>1264.419042159454</v>
      </c>
      <c r="CU71" s="661">
        <f t="shared" si="85"/>
        <v>1020.2391054155609</v>
      </c>
      <c r="CV71" s="794"/>
      <c r="CW71" s="794"/>
      <c r="CX71" s="794"/>
    </row>
    <row r="72" spans="3:128" hidden="1" x14ac:dyDescent="0.35">
      <c r="C72" s="648"/>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644"/>
      <c r="CL72" s="644"/>
      <c r="CM72" s="644"/>
      <c r="CN72" s="644"/>
      <c r="CO72" s="644"/>
      <c r="CP72" s="644"/>
      <c r="CQ72" s="644"/>
      <c r="CR72" s="644"/>
      <c r="CS72" s="644"/>
      <c r="CT72" s="644"/>
      <c r="CU72" s="644"/>
      <c r="CY72" s="243"/>
    </row>
    <row r="73" spans="3:128" hidden="1" x14ac:dyDescent="0.35">
      <c r="C73" s="657" t="s">
        <v>134</v>
      </c>
      <c r="D73" s="36"/>
      <c r="E73" s="36"/>
      <c r="F73" s="36"/>
      <c r="G73" s="36"/>
      <c r="H73" s="36"/>
      <c r="I73" s="36"/>
      <c r="J73" s="36"/>
      <c r="K73" s="36"/>
      <c r="L73" s="36"/>
      <c r="M73" s="36"/>
      <c r="N73" s="36"/>
      <c r="O73" s="36"/>
      <c r="P73" s="36"/>
      <c r="Q73" s="36"/>
      <c r="R73" s="36"/>
      <c r="S73" s="36"/>
      <c r="T73" s="36"/>
      <c r="U73" s="36"/>
      <c r="V73" s="36"/>
      <c r="W73" s="36"/>
      <c r="X73" s="36"/>
      <c r="Y73" s="36"/>
      <c r="Z73" s="24">
        <f t="shared" ref="Z73:AJ73" si="86">+(Z26*75%)+(Z34*25%)</f>
        <v>1034.8922313573873</v>
      </c>
      <c r="AA73" s="24">
        <f t="shared" si="86"/>
        <v>967.36378656360807</v>
      </c>
      <c r="AB73" s="24">
        <f t="shared" si="86"/>
        <v>1015.6654394265774</v>
      </c>
      <c r="AC73" s="24">
        <f t="shared" si="86"/>
        <v>992.34334095814938</v>
      </c>
      <c r="AD73" s="24">
        <f t="shared" si="86"/>
        <v>1009.0561629250305</v>
      </c>
      <c r="AE73" s="24">
        <f t="shared" si="86"/>
        <v>1003.8806967685639</v>
      </c>
      <c r="AF73" s="24">
        <f t="shared" si="86"/>
        <v>1007.9637896087327</v>
      </c>
      <c r="AG73" s="24">
        <f t="shared" si="86"/>
        <v>696.73858045209931</v>
      </c>
      <c r="AH73" s="24">
        <f t="shared" si="86"/>
        <v>965.90165011937825</v>
      </c>
      <c r="AI73" s="24">
        <f t="shared" si="86"/>
        <v>974.73873526972625</v>
      </c>
      <c r="AJ73" s="24">
        <f t="shared" si="86"/>
        <v>978.42118385575554</v>
      </c>
      <c r="AK73" s="24" t="e">
        <f t="shared" ref="AK73:AU73" si="87">+(AK28*75%)+(AK34*25%)</f>
        <v>#REF!</v>
      </c>
      <c r="AL73" s="24" t="e">
        <f t="shared" si="87"/>
        <v>#REF!</v>
      </c>
      <c r="AM73" s="24" t="e">
        <f t="shared" si="87"/>
        <v>#REF!</v>
      </c>
      <c r="AN73" s="24" t="e">
        <f t="shared" si="87"/>
        <v>#REF!</v>
      </c>
      <c r="AO73" s="24" t="e">
        <f t="shared" si="87"/>
        <v>#REF!</v>
      </c>
      <c r="AP73" s="24" t="e">
        <f t="shared" si="87"/>
        <v>#REF!</v>
      </c>
      <c r="AQ73" s="24" t="e">
        <f t="shared" si="87"/>
        <v>#REF!</v>
      </c>
      <c r="AR73" s="24" t="e">
        <f t="shared" si="87"/>
        <v>#REF!</v>
      </c>
      <c r="AS73" s="24" t="e">
        <f t="shared" si="87"/>
        <v>#REF!</v>
      </c>
      <c r="AT73" s="24" t="e">
        <f t="shared" si="87"/>
        <v>#REF!</v>
      </c>
      <c r="AU73" s="24" t="e">
        <f t="shared" si="87"/>
        <v>#REF!</v>
      </c>
      <c r="AV73" s="24">
        <v>1796.1366353300853</v>
      </c>
      <c r="AW73" s="24">
        <v>1825.0967702962275</v>
      </c>
      <c r="AX73" s="24" t="e">
        <f>+(AX28*75%)+(AX34*25%)</f>
        <v>#REF!</v>
      </c>
      <c r="AY73" s="24">
        <v>1911.923285597285</v>
      </c>
      <c r="AZ73" s="24" t="e">
        <f>+(AZ28*75%)+(AZ34*25%)</f>
        <v>#REF!</v>
      </c>
      <c r="BA73" s="24" t="e">
        <f>+(BA28*75%)+(BA34*25%)</f>
        <v>#REF!</v>
      </c>
      <c r="BB73" s="342" t="e">
        <f>+(BB28*75%)+(BB34*25%)</f>
        <v>#REF!</v>
      </c>
      <c r="BC73" s="342" t="e">
        <f t="shared" ref="BC73:CU73" si="88">+(BC30*75%)+(BC34*25%)</f>
        <v>#REF!</v>
      </c>
      <c r="BD73" s="342" t="e">
        <f t="shared" si="88"/>
        <v>#REF!</v>
      </c>
      <c r="BE73" s="342" t="e">
        <f t="shared" si="88"/>
        <v>#REF!</v>
      </c>
      <c r="BF73" s="342" t="e">
        <f t="shared" si="88"/>
        <v>#REF!</v>
      </c>
      <c r="BG73" s="342" t="e">
        <f t="shared" si="88"/>
        <v>#REF!</v>
      </c>
      <c r="BH73" s="342" t="e">
        <f t="shared" si="88"/>
        <v>#REF!</v>
      </c>
      <c r="BI73" s="342" t="e">
        <f t="shared" si="88"/>
        <v>#REF!</v>
      </c>
      <c r="BJ73" s="342" t="e">
        <f t="shared" si="88"/>
        <v>#REF!</v>
      </c>
      <c r="BK73" s="342" t="e">
        <f t="shared" si="88"/>
        <v>#REF!</v>
      </c>
      <c r="BL73" s="342" t="e">
        <f t="shared" si="88"/>
        <v>#REF!</v>
      </c>
      <c r="BM73" s="342">
        <f t="shared" si="88"/>
        <v>1355.5270892714141</v>
      </c>
      <c r="BN73" s="342">
        <f t="shared" si="88"/>
        <v>1378.0022170844941</v>
      </c>
      <c r="BO73" s="342">
        <f t="shared" si="88"/>
        <v>1396.3997907567823</v>
      </c>
      <c r="BP73" s="342">
        <f t="shared" si="88"/>
        <v>1374.908283533548</v>
      </c>
      <c r="BQ73" s="342">
        <f t="shared" si="88"/>
        <v>1336.097509991024</v>
      </c>
      <c r="BR73" s="342">
        <f t="shared" si="88"/>
        <v>1337.280906714901</v>
      </c>
      <c r="BS73" s="342">
        <f t="shared" si="88"/>
        <v>1349.0754148191702</v>
      </c>
      <c r="BT73" s="342">
        <f t="shared" si="88"/>
        <v>1361.6454172775557</v>
      </c>
      <c r="BU73" s="342">
        <f t="shared" si="88"/>
        <v>1368.599245461209</v>
      </c>
      <c r="BV73" s="342">
        <f t="shared" si="88"/>
        <v>1318.7011078221633</v>
      </c>
      <c r="BW73" s="342">
        <f t="shared" si="88"/>
        <v>1362.1275427029836</v>
      </c>
      <c r="BX73" s="342">
        <f t="shared" si="88"/>
        <v>1384.6888886974768</v>
      </c>
      <c r="BY73" s="342">
        <f t="shared" si="88"/>
        <v>1384.6888886974768</v>
      </c>
      <c r="BZ73" s="342">
        <f t="shared" si="88"/>
        <v>1472.6475035261888</v>
      </c>
      <c r="CA73" s="342">
        <f t="shared" si="88"/>
        <v>1557.5323476524129</v>
      </c>
      <c r="CB73" s="342">
        <f t="shared" si="88"/>
        <v>1644.0865635323744</v>
      </c>
      <c r="CC73" s="342">
        <f t="shared" si="88"/>
        <v>1630.6745579227986</v>
      </c>
      <c r="CD73" s="342">
        <f t="shared" si="88"/>
        <v>1617.4546810065262</v>
      </c>
      <c r="CE73" s="342">
        <f t="shared" si="88"/>
        <v>1568.5717227646014</v>
      </c>
      <c r="CF73" s="342">
        <f t="shared" si="88"/>
        <v>1525.8174640827276</v>
      </c>
      <c r="CG73" s="342">
        <f t="shared" si="88"/>
        <v>1513.1740916996887</v>
      </c>
      <c r="CH73" s="342">
        <f t="shared" si="88"/>
        <v>1465.3813701439258</v>
      </c>
      <c r="CI73" s="342">
        <f t="shared" si="88"/>
        <v>1483.097995254501</v>
      </c>
      <c r="CJ73" s="342">
        <f t="shared" si="88"/>
        <v>1465.9989151524851</v>
      </c>
      <c r="CK73" s="646">
        <f t="shared" si="88"/>
        <v>1432.6312517024471</v>
      </c>
      <c r="CL73" s="646">
        <f t="shared" si="88"/>
        <v>1450.5270755345455</v>
      </c>
      <c r="CM73" s="646">
        <f t="shared" si="88"/>
        <v>1462.2739025601741</v>
      </c>
      <c r="CN73" s="646">
        <f t="shared" si="88"/>
        <v>1593.275156387919</v>
      </c>
      <c r="CO73" s="646">
        <f t="shared" si="88"/>
        <v>1517.8722446639317</v>
      </c>
      <c r="CP73" s="646">
        <f t="shared" si="88"/>
        <v>1491.4192726681708</v>
      </c>
      <c r="CQ73" s="646">
        <f t="shared" si="88"/>
        <v>1469.7353480617003</v>
      </c>
      <c r="CR73" s="646">
        <f t="shared" si="88"/>
        <v>1452.7975669128375</v>
      </c>
      <c r="CS73" s="646">
        <f t="shared" si="88"/>
        <v>1359.6907949938209</v>
      </c>
      <c r="CT73" s="646">
        <f t="shared" si="88"/>
        <v>1399.61544519022</v>
      </c>
      <c r="CU73" s="646">
        <f t="shared" si="88"/>
        <v>841.78144011184895</v>
      </c>
      <c r="CV73" s="785"/>
      <c r="CW73" s="785"/>
      <c r="CX73" s="785"/>
      <c r="CY73" s="240"/>
    </row>
    <row r="74" spans="3:128" hidden="1" x14ac:dyDescent="0.35">
      <c r="C74" s="642" t="s">
        <v>125</v>
      </c>
      <c r="D74" s="36"/>
      <c r="E74" s="36"/>
      <c r="F74" s="36"/>
      <c r="G74" s="36"/>
      <c r="H74" s="36"/>
      <c r="I74" s="36"/>
      <c r="J74" s="36"/>
      <c r="K74" s="36"/>
      <c r="L74" s="36"/>
      <c r="M74" s="36"/>
      <c r="N74" s="36"/>
      <c r="O74" s="36"/>
      <c r="P74" s="36"/>
      <c r="Q74" s="36"/>
      <c r="R74" s="36"/>
      <c r="S74" s="36"/>
      <c r="T74" s="36"/>
      <c r="U74" s="36"/>
      <c r="V74" s="36"/>
      <c r="W74" s="36"/>
      <c r="X74" s="36"/>
      <c r="Y74" s="36"/>
      <c r="Z74" s="8">
        <f t="shared" ref="Z74:AU74" si="89">+Z73*1%</f>
        <v>10.348922313573874</v>
      </c>
      <c r="AA74" s="8">
        <f t="shared" si="89"/>
        <v>9.6736378656360813</v>
      </c>
      <c r="AB74" s="8">
        <f t="shared" si="89"/>
        <v>10.156654394265775</v>
      </c>
      <c r="AC74" s="8">
        <f t="shared" si="89"/>
        <v>9.9234334095814933</v>
      </c>
      <c r="AD74" s="8">
        <f t="shared" si="89"/>
        <v>10.090561629250306</v>
      </c>
      <c r="AE74" s="8">
        <f t="shared" si="89"/>
        <v>10.038806967685639</v>
      </c>
      <c r="AF74" s="8">
        <f t="shared" si="89"/>
        <v>10.079637896087327</v>
      </c>
      <c r="AG74" s="8">
        <f t="shared" si="89"/>
        <v>6.9673858045209931</v>
      </c>
      <c r="AH74" s="8">
        <f t="shared" si="89"/>
        <v>9.6590165011937827</v>
      </c>
      <c r="AI74" s="8">
        <f t="shared" si="89"/>
        <v>9.7473873526972632</v>
      </c>
      <c r="AJ74" s="8">
        <f t="shared" si="89"/>
        <v>9.7842118385575549</v>
      </c>
      <c r="AK74" s="8" t="e">
        <f t="shared" si="89"/>
        <v>#REF!</v>
      </c>
      <c r="AL74" s="8" t="e">
        <f t="shared" si="89"/>
        <v>#REF!</v>
      </c>
      <c r="AM74" s="8" t="e">
        <f t="shared" si="89"/>
        <v>#REF!</v>
      </c>
      <c r="AN74" s="8" t="e">
        <f t="shared" si="89"/>
        <v>#REF!</v>
      </c>
      <c r="AO74" s="8" t="e">
        <f t="shared" si="89"/>
        <v>#REF!</v>
      </c>
      <c r="AP74" s="8" t="e">
        <f t="shared" si="89"/>
        <v>#REF!</v>
      </c>
      <c r="AQ74" s="8" t="e">
        <f t="shared" si="89"/>
        <v>#REF!</v>
      </c>
      <c r="AR74" s="8" t="e">
        <f t="shared" si="89"/>
        <v>#REF!</v>
      </c>
      <c r="AS74" s="8" t="e">
        <f t="shared" si="89"/>
        <v>#REF!</v>
      </c>
      <c r="AT74" s="8" t="e">
        <f t="shared" si="89"/>
        <v>#REF!</v>
      </c>
      <c r="AU74" s="8" t="e">
        <f t="shared" si="89"/>
        <v>#REF!</v>
      </c>
      <c r="AV74" s="8">
        <v>17.961366353300853</v>
      </c>
      <c r="AW74" s="8">
        <v>18.250967702962274</v>
      </c>
      <c r="AX74" s="8" t="e">
        <f>+AX73*1%</f>
        <v>#REF!</v>
      </c>
      <c r="AY74" s="8">
        <v>19.11923285597285</v>
      </c>
      <c r="AZ74" s="8" t="e">
        <f t="shared" ref="AZ74:CU74" si="90">+AZ73*1%</f>
        <v>#REF!</v>
      </c>
      <c r="BA74" s="8" t="e">
        <f t="shared" si="90"/>
        <v>#REF!</v>
      </c>
      <c r="BB74" s="334" t="e">
        <f t="shared" si="90"/>
        <v>#REF!</v>
      </c>
      <c r="BC74" s="334" t="e">
        <f t="shared" si="90"/>
        <v>#REF!</v>
      </c>
      <c r="BD74" s="334" t="e">
        <f t="shared" si="90"/>
        <v>#REF!</v>
      </c>
      <c r="BE74" s="334" t="e">
        <f t="shared" si="90"/>
        <v>#REF!</v>
      </c>
      <c r="BF74" s="334" t="e">
        <f t="shared" si="90"/>
        <v>#REF!</v>
      </c>
      <c r="BG74" s="334" t="e">
        <f t="shared" si="90"/>
        <v>#REF!</v>
      </c>
      <c r="BH74" s="334" t="e">
        <f t="shared" si="90"/>
        <v>#REF!</v>
      </c>
      <c r="BI74" s="334" t="e">
        <f t="shared" si="90"/>
        <v>#REF!</v>
      </c>
      <c r="BJ74" s="334" t="e">
        <f t="shared" si="90"/>
        <v>#REF!</v>
      </c>
      <c r="BK74" s="334" t="e">
        <f t="shared" si="90"/>
        <v>#REF!</v>
      </c>
      <c r="BL74" s="334" t="e">
        <f t="shared" si="90"/>
        <v>#REF!</v>
      </c>
      <c r="BM74" s="334">
        <f t="shared" si="90"/>
        <v>13.555270892714141</v>
      </c>
      <c r="BN74" s="334">
        <f t="shared" si="90"/>
        <v>13.780022170844941</v>
      </c>
      <c r="BO74" s="334">
        <f t="shared" si="90"/>
        <v>13.963997907567823</v>
      </c>
      <c r="BP74" s="334">
        <f t="shared" si="90"/>
        <v>13.74908283533548</v>
      </c>
      <c r="BQ74" s="334">
        <f t="shared" si="90"/>
        <v>13.36097509991024</v>
      </c>
      <c r="BR74" s="334">
        <f t="shared" si="90"/>
        <v>13.37280906714901</v>
      </c>
      <c r="BS74" s="334">
        <f t="shared" si="90"/>
        <v>13.490754148191701</v>
      </c>
      <c r="BT74" s="334">
        <f t="shared" si="90"/>
        <v>13.616454172775557</v>
      </c>
      <c r="BU74" s="334">
        <f t="shared" si="90"/>
        <v>13.685992454612091</v>
      </c>
      <c r="BV74" s="334">
        <f t="shared" si="90"/>
        <v>13.187011078221634</v>
      </c>
      <c r="BW74" s="334">
        <f t="shared" si="90"/>
        <v>13.621275427029836</v>
      </c>
      <c r="BX74" s="334">
        <f t="shared" si="90"/>
        <v>13.846888886974769</v>
      </c>
      <c r="BY74" s="334">
        <f t="shared" si="90"/>
        <v>13.846888886974769</v>
      </c>
      <c r="BZ74" s="334">
        <f t="shared" si="90"/>
        <v>14.726475035261888</v>
      </c>
      <c r="CA74" s="334">
        <f t="shared" si="90"/>
        <v>15.57532347652413</v>
      </c>
      <c r="CB74" s="334">
        <f t="shared" si="90"/>
        <v>16.440865635323743</v>
      </c>
      <c r="CC74" s="334">
        <f t="shared" si="90"/>
        <v>16.306745579227986</v>
      </c>
      <c r="CD74" s="334">
        <f t="shared" si="90"/>
        <v>16.174546810065262</v>
      </c>
      <c r="CE74" s="334">
        <f t="shared" si="90"/>
        <v>15.685717227646014</v>
      </c>
      <c r="CF74" s="334">
        <f t="shared" si="90"/>
        <v>15.258174640827276</v>
      </c>
      <c r="CG74" s="334">
        <f t="shared" si="90"/>
        <v>15.131740916996888</v>
      </c>
      <c r="CH74" s="334">
        <f t="shared" si="90"/>
        <v>14.653813701439258</v>
      </c>
      <c r="CI74" s="334">
        <f t="shared" si="90"/>
        <v>14.830979952545011</v>
      </c>
      <c r="CJ74" s="334">
        <f t="shared" si="90"/>
        <v>14.659989151524851</v>
      </c>
      <c r="CK74" s="616">
        <f t="shared" si="90"/>
        <v>14.326312517024471</v>
      </c>
      <c r="CL74" s="616">
        <f t="shared" si="90"/>
        <v>14.505270755345455</v>
      </c>
      <c r="CM74" s="616">
        <f t="shared" si="90"/>
        <v>14.62273902560174</v>
      </c>
      <c r="CN74" s="616">
        <f t="shared" si="90"/>
        <v>15.93275156387919</v>
      </c>
      <c r="CO74" s="616">
        <f t="shared" si="90"/>
        <v>15.178722446639318</v>
      </c>
      <c r="CP74" s="616">
        <f t="shared" si="90"/>
        <v>14.914192726681708</v>
      </c>
      <c r="CQ74" s="616">
        <f t="shared" si="90"/>
        <v>14.697353480617004</v>
      </c>
      <c r="CR74" s="616">
        <f t="shared" si="90"/>
        <v>14.527975669128375</v>
      </c>
      <c r="CS74" s="616">
        <f t="shared" si="90"/>
        <v>13.59690794993821</v>
      </c>
      <c r="CT74" s="616">
        <f t="shared" si="90"/>
        <v>13.9961544519022</v>
      </c>
      <c r="CU74" s="616">
        <f t="shared" si="90"/>
        <v>8.4178144011184894</v>
      </c>
      <c r="CV74" s="779"/>
      <c r="CW74" s="779"/>
      <c r="CX74" s="779"/>
      <c r="CY74" s="235"/>
    </row>
    <row r="75" spans="3:128" hidden="1" x14ac:dyDescent="0.35">
      <c r="C75" s="626" t="s">
        <v>126</v>
      </c>
      <c r="D75" s="36"/>
      <c r="E75" s="36"/>
      <c r="F75" s="36"/>
      <c r="G75" s="36"/>
      <c r="H75" s="36"/>
      <c r="I75" s="36"/>
      <c r="J75" s="36"/>
      <c r="K75" s="36"/>
      <c r="L75" s="36"/>
      <c r="M75" s="36"/>
      <c r="N75" s="36"/>
      <c r="O75" s="36"/>
      <c r="P75" s="36"/>
      <c r="Q75" s="36"/>
      <c r="R75" s="36"/>
      <c r="S75" s="36"/>
      <c r="T75" s="36"/>
      <c r="U75" s="36"/>
      <c r="V75" s="36"/>
      <c r="W75" s="36"/>
      <c r="X75" s="36"/>
      <c r="Y75" s="36"/>
      <c r="Z75" s="71">
        <f t="shared" ref="Z75:AU75" si="91">+Z74+Z73</f>
        <v>1045.2411536709612</v>
      </c>
      <c r="AA75" s="71">
        <f t="shared" si="91"/>
        <v>977.0374244292442</v>
      </c>
      <c r="AB75" s="71">
        <f t="shared" si="91"/>
        <v>1025.8220938208433</v>
      </c>
      <c r="AC75" s="71">
        <f t="shared" si="91"/>
        <v>1002.2667743677309</v>
      </c>
      <c r="AD75" s="71">
        <f t="shared" si="91"/>
        <v>1019.1467245542808</v>
      </c>
      <c r="AE75" s="71">
        <f t="shared" si="91"/>
        <v>1013.9195037362496</v>
      </c>
      <c r="AF75" s="71">
        <f t="shared" si="91"/>
        <v>1018.04342750482</v>
      </c>
      <c r="AG75" s="71">
        <f t="shared" si="91"/>
        <v>703.70596625662029</v>
      </c>
      <c r="AH75" s="71">
        <f t="shared" si="91"/>
        <v>975.56066662057208</v>
      </c>
      <c r="AI75" s="71">
        <f t="shared" si="91"/>
        <v>984.48612262242352</v>
      </c>
      <c r="AJ75" s="71">
        <f t="shared" si="91"/>
        <v>988.2053956943131</v>
      </c>
      <c r="AK75" s="71" t="e">
        <f t="shared" si="91"/>
        <v>#REF!</v>
      </c>
      <c r="AL75" s="269" t="e">
        <f t="shared" si="91"/>
        <v>#REF!</v>
      </c>
      <c r="AM75" s="269" t="e">
        <f t="shared" si="91"/>
        <v>#REF!</v>
      </c>
      <c r="AN75" s="269" t="e">
        <f t="shared" si="91"/>
        <v>#REF!</v>
      </c>
      <c r="AO75" s="269" t="e">
        <f t="shared" si="91"/>
        <v>#REF!</v>
      </c>
      <c r="AP75" s="269" t="e">
        <f t="shared" si="91"/>
        <v>#REF!</v>
      </c>
      <c r="AQ75" s="269" t="e">
        <f t="shared" si="91"/>
        <v>#REF!</v>
      </c>
      <c r="AR75" s="269" t="e">
        <f t="shared" si="91"/>
        <v>#REF!</v>
      </c>
      <c r="AS75" s="269" t="e">
        <f t="shared" si="91"/>
        <v>#REF!</v>
      </c>
      <c r="AT75" s="269" t="e">
        <f t="shared" si="91"/>
        <v>#REF!</v>
      </c>
      <c r="AU75" s="269" t="e">
        <f t="shared" si="91"/>
        <v>#REF!</v>
      </c>
      <c r="AV75" s="269">
        <v>1814.0980016833862</v>
      </c>
      <c r="AW75" s="269">
        <v>1843.3477379991898</v>
      </c>
      <c r="AX75" s="269" t="e">
        <f>+AX74+AX73</f>
        <v>#REF!</v>
      </c>
      <c r="AY75" s="269">
        <v>1931.0425184532578</v>
      </c>
      <c r="AZ75" s="269" t="e">
        <f t="shared" ref="AZ75:CU75" si="92">+AZ74+AZ73</f>
        <v>#REF!</v>
      </c>
      <c r="BA75" s="269" t="e">
        <f t="shared" si="92"/>
        <v>#REF!</v>
      </c>
      <c r="BB75" s="349" t="e">
        <f t="shared" si="92"/>
        <v>#REF!</v>
      </c>
      <c r="BC75" s="349" t="e">
        <f t="shared" si="92"/>
        <v>#REF!</v>
      </c>
      <c r="BD75" s="349" t="e">
        <f t="shared" si="92"/>
        <v>#REF!</v>
      </c>
      <c r="BE75" s="349" t="e">
        <f t="shared" si="92"/>
        <v>#REF!</v>
      </c>
      <c r="BF75" s="349" t="e">
        <f t="shared" si="92"/>
        <v>#REF!</v>
      </c>
      <c r="BG75" s="349" t="e">
        <f t="shared" si="92"/>
        <v>#REF!</v>
      </c>
      <c r="BH75" s="349" t="e">
        <f t="shared" si="92"/>
        <v>#REF!</v>
      </c>
      <c r="BI75" s="349" t="e">
        <f t="shared" si="92"/>
        <v>#REF!</v>
      </c>
      <c r="BJ75" s="349" t="e">
        <f t="shared" si="92"/>
        <v>#REF!</v>
      </c>
      <c r="BK75" s="349" t="e">
        <f t="shared" si="92"/>
        <v>#REF!</v>
      </c>
      <c r="BL75" s="349" t="e">
        <f t="shared" si="92"/>
        <v>#REF!</v>
      </c>
      <c r="BM75" s="349">
        <f t="shared" si="92"/>
        <v>1369.0823601641282</v>
      </c>
      <c r="BN75" s="349">
        <f t="shared" si="92"/>
        <v>1391.7822392553389</v>
      </c>
      <c r="BO75" s="349">
        <f t="shared" si="92"/>
        <v>1410.3637886643501</v>
      </c>
      <c r="BP75" s="349">
        <f t="shared" si="92"/>
        <v>1388.6573663688835</v>
      </c>
      <c r="BQ75" s="349">
        <f t="shared" si="92"/>
        <v>1349.4584850909343</v>
      </c>
      <c r="BR75" s="349">
        <f t="shared" si="92"/>
        <v>1350.6537157820501</v>
      </c>
      <c r="BS75" s="349">
        <f t="shared" si="92"/>
        <v>1362.5661689673618</v>
      </c>
      <c r="BT75" s="349">
        <f t="shared" si="92"/>
        <v>1375.2618714503312</v>
      </c>
      <c r="BU75" s="349">
        <f t="shared" si="92"/>
        <v>1382.285237915821</v>
      </c>
      <c r="BV75" s="349">
        <f t="shared" si="92"/>
        <v>1331.8881189003848</v>
      </c>
      <c r="BW75" s="349">
        <f t="shared" si="92"/>
        <v>1375.7488181300134</v>
      </c>
      <c r="BX75" s="349">
        <f t="shared" si="92"/>
        <v>1398.5357775844516</v>
      </c>
      <c r="BY75" s="349">
        <f t="shared" si="92"/>
        <v>1398.5357775844516</v>
      </c>
      <c r="BZ75" s="349">
        <f t="shared" si="92"/>
        <v>1487.3739785614507</v>
      </c>
      <c r="CA75" s="349">
        <f t="shared" si="92"/>
        <v>1573.107671128937</v>
      </c>
      <c r="CB75" s="349">
        <f t="shared" si="92"/>
        <v>1660.5274291676981</v>
      </c>
      <c r="CC75" s="349">
        <f t="shared" si="92"/>
        <v>1646.9813035020265</v>
      </c>
      <c r="CD75" s="349">
        <f t="shared" si="92"/>
        <v>1633.6292278165915</v>
      </c>
      <c r="CE75" s="349">
        <f t="shared" si="92"/>
        <v>1584.2574399922473</v>
      </c>
      <c r="CF75" s="349">
        <f t="shared" si="92"/>
        <v>1541.0756387235549</v>
      </c>
      <c r="CG75" s="349">
        <f t="shared" si="92"/>
        <v>1528.3058326166856</v>
      </c>
      <c r="CH75" s="349">
        <f t="shared" si="92"/>
        <v>1480.0351838453651</v>
      </c>
      <c r="CI75" s="349">
        <f t="shared" si="92"/>
        <v>1497.9289752070461</v>
      </c>
      <c r="CJ75" s="349">
        <f t="shared" si="92"/>
        <v>1480.6589043040099</v>
      </c>
      <c r="CK75" s="658">
        <f t="shared" si="92"/>
        <v>1446.9575642194716</v>
      </c>
      <c r="CL75" s="658">
        <f t="shared" si="92"/>
        <v>1465.0323462898909</v>
      </c>
      <c r="CM75" s="658">
        <f t="shared" si="92"/>
        <v>1476.8966415857758</v>
      </c>
      <c r="CN75" s="658">
        <f t="shared" si="92"/>
        <v>1609.2079079517982</v>
      </c>
      <c r="CO75" s="658">
        <f t="shared" si="92"/>
        <v>1533.050967110571</v>
      </c>
      <c r="CP75" s="658">
        <f t="shared" si="92"/>
        <v>1506.3334653948525</v>
      </c>
      <c r="CQ75" s="658">
        <f t="shared" si="92"/>
        <v>1484.4327015423173</v>
      </c>
      <c r="CR75" s="658">
        <f t="shared" si="92"/>
        <v>1467.3255425819659</v>
      </c>
      <c r="CS75" s="658">
        <f t="shared" si="92"/>
        <v>1373.2877029437591</v>
      </c>
      <c r="CT75" s="658">
        <f t="shared" si="92"/>
        <v>1413.6115996421222</v>
      </c>
      <c r="CU75" s="658">
        <f t="shared" si="92"/>
        <v>850.1992545129674</v>
      </c>
      <c r="CV75" s="792"/>
      <c r="CW75" s="792"/>
      <c r="CX75" s="792"/>
    </row>
    <row r="76" spans="3:128" hidden="1" x14ac:dyDescent="0.35">
      <c r="C76" s="648"/>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644"/>
      <c r="CL76" s="644"/>
      <c r="CM76" s="644"/>
      <c r="CN76" s="644"/>
      <c r="CO76" s="644"/>
      <c r="CP76" s="644"/>
      <c r="CQ76" s="644"/>
      <c r="CR76" s="644"/>
      <c r="CS76" s="644"/>
      <c r="CT76" s="644"/>
      <c r="CU76" s="644"/>
      <c r="CY76" s="243"/>
    </row>
    <row r="77" spans="3:128" hidden="1" x14ac:dyDescent="0.35">
      <c r="C77" s="662" t="s">
        <v>135</v>
      </c>
      <c r="D77" s="36"/>
      <c r="E77" s="36"/>
      <c r="F77" s="36"/>
      <c r="G77" s="36"/>
      <c r="H77" s="36"/>
      <c r="I77" s="36"/>
      <c r="J77" s="36"/>
      <c r="K77" s="36"/>
      <c r="L77" s="36"/>
      <c r="M77" s="36"/>
      <c r="N77" s="36"/>
      <c r="O77" s="36"/>
      <c r="P77" s="36"/>
      <c r="Q77" s="36"/>
      <c r="R77" s="36"/>
      <c r="S77" s="36"/>
      <c r="T77" s="36"/>
      <c r="U77" s="36"/>
      <c r="V77" s="36"/>
      <c r="W77" s="36"/>
      <c r="X77" s="36"/>
      <c r="Y77" s="36"/>
      <c r="Z77" s="24"/>
      <c r="AA77" s="24"/>
      <c r="AB77" s="24"/>
      <c r="AC77" s="24"/>
      <c r="AD77" s="24"/>
      <c r="AE77" s="24"/>
      <c r="AF77" s="24"/>
      <c r="AG77" s="24"/>
      <c r="AH77" s="24"/>
      <c r="AI77" s="24"/>
      <c r="AJ77" s="24"/>
      <c r="AK77" s="24"/>
      <c r="AL77" s="24"/>
      <c r="AM77" s="24"/>
      <c r="AN77" s="24"/>
      <c r="AO77" s="24"/>
      <c r="AP77" s="24"/>
      <c r="AQ77" s="24"/>
      <c r="AR77" s="24"/>
      <c r="AS77" s="24"/>
      <c r="AT77" s="24" t="e">
        <f>+(AT40*75%)+(AT28*25%)</f>
        <v>#REF!</v>
      </c>
      <c r="AU77" s="24" t="e">
        <f>+(AU40*75%)+(AU28*25%)</f>
        <v>#REF!</v>
      </c>
      <c r="AV77" s="24">
        <v>2026.2017594307863</v>
      </c>
      <c r="AW77" s="24">
        <v>2044.7899150887836</v>
      </c>
      <c r="AX77" s="24" t="e">
        <f>+(AX40*75%)+(AX28*25%)</f>
        <v>#REF!</v>
      </c>
      <c r="AY77" s="24">
        <v>2167.3694884991637</v>
      </c>
      <c r="AZ77" s="24" t="e">
        <f>+(AZ40*75%)+(AZ28*25%)</f>
        <v>#REF!</v>
      </c>
      <c r="BA77" s="24" t="e">
        <f>+(BA40*75%)+(BA28*25%)</f>
        <v>#REF!</v>
      </c>
      <c r="BB77" s="342" t="e">
        <f>+(BB40*75%)+(BB28*25%)</f>
        <v>#REF!</v>
      </c>
      <c r="BC77" s="342" t="e">
        <f t="shared" ref="BC77:CU77" si="93">+(BC40*75%)+(BC30*25%)</f>
        <v>#REF!</v>
      </c>
      <c r="BD77" s="342" t="e">
        <f t="shared" si="93"/>
        <v>#REF!</v>
      </c>
      <c r="BE77" s="342" t="e">
        <f t="shared" si="93"/>
        <v>#REF!</v>
      </c>
      <c r="BF77" s="342" t="e">
        <f t="shared" si="93"/>
        <v>#REF!</v>
      </c>
      <c r="BG77" s="342" t="e">
        <f t="shared" si="93"/>
        <v>#REF!</v>
      </c>
      <c r="BH77" s="342" t="e">
        <f t="shared" si="93"/>
        <v>#REF!</v>
      </c>
      <c r="BI77" s="342" t="e">
        <f t="shared" si="93"/>
        <v>#REF!</v>
      </c>
      <c r="BJ77" s="342" t="e">
        <f t="shared" si="93"/>
        <v>#REF!</v>
      </c>
      <c r="BK77" s="342" t="e">
        <f t="shared" si="93"/>
        <v>#REF!</v>
      </c>
      <c r="BL77" s="342" t="e">
        <f t="shared" si="93"/>
        <v>#REF!</v>
      </c>
      <c r="BM77" s="342">
        <f t="shared" si="93"/>
        <v>316.75358440904932</v>
      </c>
      <c r="BN77" s="342">
        <f t="shared" si="93"/>
        <v>326.03020836600433</v>
      </c>
      <c r="BO77" s="342">
        <f t="shared" si="93"/>
        <v>324.74232212869862</v>
      </c>
      <c r="BP77" s="342">
        <f t="shared" si="93"/>
        <v>313.71071314037005</v>
      </c>
      <c r="BQ77" s="342">
        <f t="shared" si="93"/>
        <v>303.97613381042811</v>
      </c>
      <c r="BR77" s="342">
        <f t="shared" si="93"/>
        <v>305.1636703527742</v>
      </c>
      <c r="BS77" s="342">
        <f t="shared" si="93"/>
        <v>306.54666305661868</v>
      </c>
      <c r="BT77" s="342">
        <f t="shared" si="93"/>
        <v>302.26378960674572</v>
      </c>
      <c r="BU77" s="342">
        <f t="shared" si="93"/>
        <v>298.54678948776962</v>
      </c>
      <c r="BV77" s="342">
        <f t="shared" si="93"/>
        <v>300.84384742456626</v>
      </c>
      <c r="BW77" s="342">
        <f t="shared" si="93"/>
        <v>300.84384742456626</v>
      </c>
      <c r="BX77" s="342">
        <f t="shared" si="93"/>
        <v>306.38615519687249</v>
      </c>
      <c r="BY77" s="342">
        <f t="shared" si="93"/>
        <v>306.38615519687249</v>
      </c>
      <c r="BZ77" s="342">
        <f t="shared" si="93"/>
        <v>329.25060419632564</v>
      </c>
      <c r="CA77" s="342">
        <f t="shared" si="93"/>
        <v>354.92966366625353</v>
      </c>
      <c r="CB77" s="342">
        <f t="shared" si="93"/>
        <v>377.49552597728558</v>
      </c>
      <c r="CC77" s="342">
        <f t="shared" si="93"/>
        <v>367.23255391172324</v>
      </c>
      <c r="CD77" s="342">
        <f t="shared" si="93"/>
        <v>360.34754716794509</v>
      </c>
      <c r="CE77" s="342">
        <f t="shared" si="93"/>
        <v>340.90945523162236</v>
      </c>
      <c r="CF77" s="342">
        <f t="shared" si="93"/>
        <v>332.91166253451644</v>
      </c>
      <c r="CG77" s="342">
        <f t="shared" si="93"/>
        <v>326.06944714366858</v>
      </c>
      <c r="CH77" s="342">
        <f t="shared" si="93"/>
        <v>302.92523065645491</v>
      </c>
      <c r="CI77" s="342">
        <f t="shared" si="93"/>
        <v>300.39905128934447</v>
      </c>
      <c r="CJ77" s="342">
        <f t="shared" si="93"/>
        <v>294.66095503308463</v>
      </c>
      <c r="CK77" s="646">
        <f t="shared" si="93"/>
        <v>289.87608567310826</v>
      </c>
      <c r="CL77" s="646">
        <f t="shared" si="93"/>
        <v>292.49452554854992</v>
      </c>
      <c r="CM77" s="646">
        <f t="shared" si="93"/>
        <v>297.1156082458005</v>
      </c>
      <c r="CN77" s="646">
        <f t="shared" si="93"/>
        <v>341.10876398083258</v>
      </c>
      <c r="CO77" s="646">
        <f t="shared" si="93"/>
        <v>321.69082238307954</v>
      </c>
      <c r="CP77" s="646">
        <f t="shared" si="93"/>
        <v>312.37568006257283</v>
      </c>
      <c r="CQ77" s="646">
        <f t="shared" si="93"/>
        <v>307.42706808752661</v>
      </c>
      <c r="CR77" s="646">
        <f t="shared" si="93"/>
        <v>300.35683114330089</v>
      </c>
      <c r="CS77" s="646">
        <f t="shared" si="93"/>
        <v>292.73727974741672</v>
      </c>
      <c r="CT77" s="646">
        <f t="shared" si="93"/>
        <v>284.28490582099334</v>
      </c>
      <c r="CU77" s="646">
        <f t="shared" si="93"/>
        <v>280.59381337061632</v>
      </c>
      <c r="CV77" s="785"/>
      <c r="CW77" s="785"/>
      <c r="CX77" s="785"/>
      <c r="CY77" s="240"/>
    </row>
    <row r="78" spans="3:128" hidden="1" x14ac:dyDescent="0.35">
      <c r="C78" s="642" t="s">
        <v>125</v>
      </c>
      <c r="D78" s="36"/>
      <c r="E78" s="36"/>
      <c r="F78" s="36"/>
      <c r="G78" s="36"/>
      <c r="H78" s="36"/>
      <c r="I78" s="36"/>
      <c r="J78" s="36"/>
      <c r="K78" s="36"/>
      <c r="L78" s="36"/>
      <c r="M78" s="36"/>
      <c r="N78" s="36"/>
      <c r="O78" s="36"/>
      <c r="P78" s="36"/>
      <c r="Q78" s="36"/>
      <c r="R78" s="36"/>
      <c r="S78" s="36"/>
      <c r="T78" s="36"/>
      <c r="U78" s="36"/>
      <c r="V78" s="36"/>
      <c r="W78" s="36"/>
      <c r="X78" s="36"/>
      <c r="Y78" s="36"/>
      <c r="Z78" s="8"/>
      <c r="AA78" s="8"/>
      <c r="AB78" s="8"/>
      <c r="AC78" s="8"/>
      <c r="AD78" s="8"/>
      <c r="AE78" s="8"/>
      <c r="AF78" s="8"/>
      <c r="AG78" s="8"/>
      <c r="AH78" s="8"/>
      <c r="AI78" s="8"/>
      <c r="AJ78" s="8"/>
      <c r="AK78" s="8"/>
      <c r="AL78" s="8"/>
      <c r="AM78" s="8"/>
      <c r="AN78" s="8"/>
      <c r="AO78" s="8"/>
      <c r="AP78" s="8"/>
      <c r="AQ78" s="8"/>
      <c r="AR78" s="8"/>
      <c r="AS78" s="8"/>
      <c r="AT78" s="8" t="e">
        <f>+AT77*1%</f>
        <v>#REF!</v>
      </c>
      <c r="AU78" s="8" t="e">
        <f>+AU77*1%</f>
        <v>#REF!</v>
      </c>
      <c r="AV78" s="8">
        <v>20.262017594307864</v>
      </c>
      <c r="AW78" s="8">
        <v>20.447899150887835</v>
      </c>
      <c r="AX78" s="8" t="e">
        <f>+AX77*1%</f>
        <v>#REF!</v>
      </c>
      <c r="AY78" s="8">
        <v>21.673694884991637</v>
      </c>
      <c r="AZ78" s="8" t="e">
        <f t="shared" ref="AZ78:CU78" si="94">+AZ77*1%</f>
        <v>#REF!</v>
      </c>
      <c r="BA78" s="8" t="e">
        <f t="shared" si="94"/>
        <v>#REF!</v>
      </c>
      <c r="BB78" s="334" t="e">
        <f t="shared" si="94"/>
        <v>#REF!</v>
      </c>
      <c r="BC78" s="334" t="e">
        <f t="shared" si="94"/>
        <v>#REF!</v>
      </c>
      <c r="BD78" s="334" t="e">
        <f t="shared" si="94"/>
        <v>#REF!</v>
      </c>
      <c r="BE78" s="334" t="e">
        <f t="shared" si="94"/>
        <v>#REF!</v>
      </c>
      <c r="BF78" s="334" t="e">
        <f t="shared" si="94"/>
        <v>#REF!</v>
      </c>
      <c r="BG78" s="334" t="e">
        <f t="shared" si="94"/>
        <v>#REF!</v>
      </c>
      <c r="BH78" s="334" t="e">
        <f t="shared" si="94"/>
        <v>#REF!</v>
      </c>
      <c r="BI78" s="334" t="e">
        <f t="shared" si="94"/>
        <v>#REF!</v>
      </c>
      <c r="BJ78" s="334" t="e">
        <f t="shared" si="94"/>
        <v>#REF!</v>
      </c>
      <c r="BK78" s="334" t="e">
        <f t="shared" si="94"/>
        <v>#REF!</v>
      </c>
      <c r="BL78" s="334" t="e">
        <f t="shared" si="94"/>
        <v>#REF!</v>
      </c>
      <c r="BM78" s="334">
        <f t="shared" si="94"/>
        <v>3.1675358440904935</v>
      </c>
      <c r="BN78" s="334">
        <f t="shared" si="94"/>
        <v>3.2603020836600436</v>
      </c>
      <c r="BO78" s="334">
        <f t="shared" si="94"/>
        <v>3.2474232212869865</v>
      </c>
      <c r="BP78" s="334">
        <f t="shared" si="94"/>
        <v>3.1371071314037007</v>
      </c>
      <c r="BQ78" s="334">
        <f t="shared" si="94"/>
        <v>3.039761338104281</v>
      </c>
      <c r="BR78" s="334">
        <f t="shared" si="94"/>
        <v>3.0516367035277421</v>
      </c>
      <c r="BS78" s="334">
        <f t="shared" si="94"/>
        <v>3.0654666305661871</v>
      </c>
      <c r="BT78" s="334">
        <f t="shared" si="94"/>
        <v>3.0226378960674571</v>
      </c>
      <c r="BU78" s="334">
        <f t="shared" si="94"/>
        <v>2.9854678948776963</v>
      </c>
      <c r="BV78" s="334">
        <f t="shared" si="94"/>
        <v>3.0084384742456627</v>
      </c>
      <c r="BW78" s="334">
        <f t="shared" si="94"/>
        <v>3.0084384742456627</v>
      </c>
      <c r="BX78" s="334">
        <f t="shared" si="94"/>
        <v>3.0638615519687251</v>
      </c>
      <c r="BY78" s="334">
        <f t="shared" si="94"/>
        <v>3.0638615519687251</v>
      </c>
      <c r="BZ78" s="334">
        <f t="shared" si="94"/>
        <v>3.2925060419632564</v>
      </c>
      <c r="CA78" s="334">
        <f t="shared" si="94"/>
        <v>3.5492966366625356</v>
      </c>
      <c r="CB78" s="334">
        <f t="shared" si="94"/>
        <v>3.774955259772856</v>
      </c>
      <c r="CC78" s="334">
        <f t="shared" si="94"/>
        <v>3.6723255391172325</v>
      </c>
      <c r="CD78" s="334">
        <f t="shared" si="94"/>
        <v>3.603475471679451</v>
      </c>
      <c r="CE78" s="334">
        <f t="shared" si="94"/>
        <v>3.4090945523162235</v>
      </c>
      <c r="CF78" s="334">
        <f t="shared" si="94"/>
        <v>3.3291166253451645</v>
      </c>
      <c r="CG78" s="334">
        <f t="shared" si="94"/>
        <v>3.2606944714366861</v>
      </c>
      <c r="CH78" s="334">
        <f t="shared" si="94"/>
        <v>3.0292523065645494</v>
      </c>
      <c r="CI78" s="334">
        <f t="shared" si="94"/>
        <v>3.003990512893445</v>
      </c>
      <c r="CJ78" s="334">
        <f t="shared" si="94"/>
        <v>2.9466095503308463</v>
      </c>
      <c r="CK78" s="616">
        <f t="shared" si="94"/>
        <v>2.8987608567310827</v>
      </c>
      <c r="CL78" s="616">
        <f t="shared" si="94"/>
        <v>2.9249452554854991</v>
      </c>
      <c r="CM78" s="616">
        <f t="shared" si="94"/>
        <v>2.971156082458005</v>
      </c>
      <c r="CN78" s="616">
        <f t="shared" si="94"/>
        <v>3.4110876398083256</v>
      </c>
      <c r="CO78" s="616">
        <f t="shared" si="94"/>
        <v>3.2169082238307953</v>
      </c>
      <c r="CP78" s="616">
        <f t="shared" si="94"/>
        <v>3.1237568006257281</v>
      </c>
      <c r="CQ78" s="616">
        <f t="shared" si="94"/>
        <v>3.0742706808752662</v>
      </c>
      <c r="CR78" s="616">
        <f t="shared" si="94"/>
        <v>3.0035683114330092</v>
      </c>
      <c r="CS78" s="616">
        <f t="shared" si="94"/>
        <v>2.9273727974741672</v>
      </c>
      <c r="CT78" s="616">
        <f t="shared" si="94"/>
        <v>2.8428490582099335</v>
      </c>
      <c r="CU78" s="616">
        <f t="shared" si="94"/>
        <v>2.8059381337061633</v>
      </c>
      <c r="CV78" s="779"/>
      <c r="CW78" s="779"/>
      <c r="CX78" s="779"/>
      <c r="CY78" s="235"/>
    </row>
    <row r="79" spans="3:128" ht="15" hidden="1" thickBot="1" x14ac:dyDescent="0.4">
      <c r="C79" s="663" t="s">
        <v>126</v>
      </c>
      <c r="D79" s="632"/>
      <c r="E79" s="632"/>
      <c r="F79" s="632"/>
      <c r="G79" s="632"/>
      <c r="H79" s="632"/>
      <c r="I79" s="632"/>
      <c r="J79" s="632"/>
      <c r="K79" s="632"/>
      <c r="L79" s="632"/>
      <c r="M79" s="632"/>
      <c r="N79" s="632"/>
      <c r="O79" s="632"/>
      <c r="P79" s="632"/>
      <c r="Q79" s="632"/>
      <c r="R79" s="632"/>
      <c r="S79" s="632"/>
      <c r="T79" s="632"/>
      <c r="U79" s="632"/>
      <c r="V79" s="632"/>
      <c r="W79" s="632"/>
      <c r="X79" s="632"/>
      <c r="Y79" s="632"/>
      <c r="Z79" s="664"/>
      <c r="AA79" s="664"/>
      <c r="AB79" s="664"/>
      <c r="AC79" s="664"/>
      <c r="AD79" s="664"/>
      <c r="AE79" s="664"/>
      <c r="AF79" s="664"/>
      <c r="AG79" s="664"/>
      <c r="AH79" s="664"/>
      <c r="AI79" s="664"/>
      <c r="AJ79" s="664"/>
      <c r="AK79" s="664"/>
      <c r="AL79" s="665"/>
      <c r="AM79" s="665"/>
      <c r="AN79" s="665"/>
      <c r="AO79" s="665"/>
      <c r="AP79" s="665"/>
      <c r="AQ79" s="665"/>
      <c r="AR79" s="665"/>
      <c r="AS79" s="665"/>
      <c r="AT79" s="665" t="e">
        <f>+AT78+AT77</f>
        <v>#REF!</v>
      </c>
      <c r="AU79" s="665" t="e">
        <f>+AU78+AU77</f>
        <v>#REF!</v>
      </c>
      <c r="AV79" s="665">
        <v>2046.4637770250943</v>
      </c>
      <c r="AW79" s="665">
        <v>2065.2378142396715</v>
      </c>
      <c r="AX79" s="665" t="e">
        <f>+AX78+AX77</f>
        <v>#REF!</v>
      </c>
      <c r="AY79" s="665">
        <v>2189.0431833841553</v>
      </c>
      <c r="AZ79" s="665" t="e">
        <f t="shared" ref="AZ79:BT79" si="95">+AZ78+AZ77</f>
        <v>#REF!</v>
      </c>
      <c r="BA79" s="665" t="e">
        <f t="shared" si="95"/>
        <v>#REF!</v>
      </c>
      <c r="BB79" s="666" t="e">
        <f t="shared" si="95"/>
        <v>#REF!</v>
      </c>
      <c r="BC79" s="666" t="e">
        <f t="shared" si="95"/>
        <v>#REF!</v>
      </c>
      <c r="BD79" s="666" t="e">
        <f t="shared" si="95"/>
        <v>#REF!</v>
      </c>
      <c r="BE79" s="666" t="e">
        <f t="shared" si="95"/>
        <v>#REF!</v>
      </c>
      <c r="BF79" s="666" t="e">
        <f t="shared" si="95"/>
        <v>#REF!</v>
      </c>
      <c r="BG79" s="666" t="e">
        <f t="shared" si="95"/>
        <v>#REF!</v>
      </c>
      <c r="BH79" s="666" t="e">
        <f t="shared" si="95"/>
        <v>#REF!</v>
      </c>
      <c r="BI79" s="666" t="e">
        <f t="shared" si="95"/>
        <v>#REF!</v>
      </c>
      <c r="BJ79" s="666" t="e">
        <f t="shared" si="95"/>
        <v>#REF!</v>
      </c>
      <c r="BK79" s="666" t="e">
        <f t="shared" si="95"/>
        <v>#REF!</v>
      </c>
      <c r="BL79" s="666" t="e">
        <f t="shared" si="95"/>
        <v>#REF!</v>
      </c>
      <c r="BM79" s="666">
        <f t="shared" si="95"/>
        <v>319.9211202531398</v>
      </c>
      <c r="BN79" s="666">
        <f t="shared" si="95"/>
        <v>329.2905104496644</v>
      </c>
      <c r="BO79" s="666">
        <f t="shared" si="95"/>
        <v>327.98974534998558</v>
      </c>
      <c r="BP79" s="666">
        <f t="shared" si="95"/>
        <v>316.84782027177374</v>
      </c>
      <c r="BQ79" s="666">
        <f t="shared" si="95"/>
        <v>307.01589514853237</v>
      </c>
      <c r="BR79" s="666">
        <f t="shared" si="95"/>
        <v>308.21530705630192</v>
      </c>
      <c r="BS79" s="666">
        <f t="shared" si="95"/>
        <v>309.61212968718485</v>
      </c>
      <c r="BT79" s="666">
        <f t="shared" si="95"/>
        <v>305.28642750281318</v>
      </c>
      <c r="BU79" s="666">
        <f t="shared" ref="BU79:CU79" si="96">+BU49+BU50</f>
        <v>1787.9639525178027</v>
      </c>
      <c r="BV79" s="666">
        <f t="shared" si="96"/>
        <v>1701.9791106617865</v>
      </c>
      <c r="BW79" s="666">
        <f t="shared" si="96"/>
        <v>1735.7341338490824</v>
      </c>
      <c r="BX79" s="667">
        <f t="shared" si="96"/>
        <v>1761.7137919822053</v>
      </c>
      <c r="BY79" s="667">
        <f t="shared" si="96"/>
        <v>1829.4646702603907</v>
      </c>
      <c r="BZ79" s="667">
        <f t="shared" si="96"/>
        <v>1804.7277714150455</v>
      </c>
      <c r="CA79" s="667">
        <f t="shared" si="96"/>
        <v>1899.9163285632485</v>
      </c>
      <c r="CB79" s="667">
        <f t="shared" si="96"/>
        <v>1983.1760422150389</v>
      </c>
      <c r="CC79" s="667">
        <f t="shared" si="96"/>
        <v>2028.1077145404035</v>
      </c>
      <c r="CD79" s="667">
        <f t="shared" si="96"/>
        <v>2057.0309537810413</v>
      </c>
      <c r="CE79" s="667">
        <f t="shared" si="96"/>
        <v>2063.3434620357198</v>
      </c>
      <c r="CF79" s="667">
        <f t="shared" si="96"/>
        <v>2016.645373309522</v>
      </c>
      <c r="CG79" s="667">
        <f t="shared" si="96"/>
        <v>2023.7494675724436</v>
      </c>
      <c r="CH79" s="667">
        <f t="shared" si="96"/>
        <v>2064.3206274951649</v>
      </c>
      <c r="CI79" s="667">
        <f t="shared" si="96"/>
        <v>2129.3425925598299</v>
      </c>
      <c r="CJ79" s="667">
        <f t="shared" si="96"/>
        <v>2123.8455705469114</v>
      </c>
      <c r="CK79" s="668">
        <f t="shared" si="96"/>
        <v>2039.3552297752262</v>
      </c>
      <c r="CL79" s="668">
        <f t="shared" si="96"/>
        <v>2039.4648962100478</v>
      </c>
      <c r="CM79" s="668">
        <f t="shared" si="96"/>
        <v>2020.9689193783026</v>
      </c>
      <c r="CN79" s="668">
        <f t="shared" si="96"/>
        <v>1976.9957619732129</v>
      </c>
      <c r="CO79" s="668">
        <f t="shared" si="96"/>
        <v>1820.4646742078778</v>
      </c>
      <c r="CP79" s="668">
        <f t="shared" si="96"/>
        <v>1810.8505778735621</v>
      </c>
      <c r="CQ79" s="668">
        <f t="shared" si="96"/>
        <v>1794.103304032071</v>
      </c>
      <c r="CR79" s="668">
        <f t="shared" si="96"/>
        <v>1781.2879852948258</v>
      </c>
      <c r="CS79" s="668">
        <f t="shared" si="96"/>
        <v>1754.5458884721506</v>
      </c>
      <c r="CT79" s="668">
        <f t="shared" si="96"/>
        <v>1765.0636499833699</v>
      </c>
      <c r="CU79" s="668">
        <f t="shared" si="96"/>
        <v>1785.3234858637188</v>
      </c>
      <c r="CV79" s="795"/>
      <c r="CW79" s="795"/>
      <c r="CX79" s="795"/>
      <c r="CZ79" s="681"/>
      <c r="DX79" s="497"/>
    </row>
    <row r="80" spans="3:128" x14ac:dyDescent="0.35">
      <c r="CZ80" s="682"/>
    </row>
    <row r="81" spans="74:104" x14ac:dyDescent="0.35">
      <c r="BV81" s="492"/>
      <c r="CZ81" s="682"/>
    </row>
  </sheetData>
  <mergeCells count="6">
    <mergeCell ref="C11:C12"/>
    <mergeCell ref="CZ14:EI14"/>
    <mergeCell ref="B15:B16"/>
    <mergeCell ref="C15:C16"/>
    <mergeCell ref="C31:CK31"/>
    <mergeCell ref="CV13:CW13"/>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EL81"/>
  <sheetViews>
    <sheetView showGridLines="0" tabSelected="1" topLeftCell="A10" zoomScaleNormal="100" workbookViewId="0">
      <pane xSplit="4" ySplit="5" topLeftCell="CE15" activePane="bottomRight" state="frozen"/>
      <selection pane="topRight" activeCell="C10" sqref="C10"/>
      <selection pane="bottomLeft" activeCell="A16" sqref="A16"/>
      <selection pane="bottomRight" activeCell="B14" sqref="B14:B28"/>
    </sheetView>
  </sheetViews>
  <sheetFormatPr defaultColWidth="10.54296875" defaultRowHeight="14.5" x14ac:dyDescent="0.35"/>
  <cols>
    <col min="2" max="2" width="36.36328125" bestFit="1" customWidth="1"/>
    <col min="3" max="3" width="31.6328125" customWidth="1"/>
    <col min="4" max="4" width="57.7265625" customWidth="1"/>
    <col min="5" max="6" width="14" customWidth="1"/>
    <col min="7" max="8" width="11.453125" customWidth="1"/>
    <col min="9" max="13" width="10.81640625" customWidth="1"/>
    <col min="14" max="14" width="12" customWidth="1"/>
    <col min="15" max="26" width="10.81640625" customWidth="1"/>
    <col min="27" max="27" width="11" customWidth="1"/>
    <col min="28" max="29" width="10.81640625" customWidth="1"/>
    <col min="30" max="30" width="8.453125" customWidth="1"/>
    <col min="31" max="33" width="12.1796875" customWidth="1"/>
    <col min="34" max="38" width="10.81640625" customWidth="1"/>
    <col min="39" max="43" width="11.54296875" customWidth="1"/>
    <col min="44" max="53" width="11.453125" customWidth="1"/>
    <col min="54" max="54" width="14.453125" customWidth="1"/>
    <col min="55" max="55" width="10.453125" customWidth="1"/>
    <col min="56" max="57" width="11.54296875" customWidth="1"/>
    <col min="58" max="59" width="14.1796875" customWidth="1"/>
    <col min="60" max="69" width="13" customWidth="1"/>
    <col min="70" max="70" width="14.26953125" customWidth="1"/>
    <col min="71" max="71" width="10.81640625" customWidth="1"/>
    <col min="72" max="72" width="24.81640625" customWidth="1"/>
    <col min="73" max="73" width="25.1796875" customWidth="1"/>
    <col min="74" max="74" width="13" customWidth="1"/>
    <col min="75" max="100" width="9.7265625" customWidth="1"/>
    <col min="101" max="101" width="2.1796875" customWidth="1"/>
    <col min="102" max="102" width="15.453125" bestFit="1" customWidth="1"/>
    <col min="103" max="103" width="12.54296875" hidden="1" customWidth="1"/>
    <col min="104" max="105" width="10.54296875" hidden="1" customWidth="1"/>
    <col min="106" max="108" width="11.1796875" hidden="1" customWidth="1"/>
    <col min="109" max="117" width="10.54296875" hidden="1" customWidth="1"/>
    <col min="118" max="119" width="11.453125" hidden="1" customWidth="1"/>
    <col min="120" max="120" width="13.54296875" hidden="1" customWidth="1"/>
    <col min="121" max="121" width="13.1796875" hidden="1" customWidth="1"/>
    <col min="122" max="122" width="11.1796875" hidden="1" customWidth="1"/>
    <col min="123" max="123" width="6.81640625" hidden="1" customWidth="1"/>
    <col min="124" max="124" width="7.453125" hidden="1" customWidth="1"/>
    <col min="125" max="125" width="9.54296875" hidden="1" customWidth="1"/>
    <col min="126" max="126" width="12.1796875" hidden="1" customWidth="1"/>
    <col min="127" max="127" width="9.26953125" hidden="1" customWidth="1"/>
    <col min="128" max="129" width="8.81640625" hidden="1" customWidth="1"/>
    <col min="130" max="130" width="10.26953125" style="88" hidden="1" customWidth="1"/>
    <col min="131" max="131" width="11.453125" style="88" hidden="1" customWidth="1"/>
    <col min="132" max="132" width="10" style="88" hidden="1" customWidth="1"/>
    <col min="133" max="134" width="12.1796875" style="88" hidden="1" customWidth="1"/>
    <col min="135" max="136" width="9" style="88" hidden="1" customWidth="1"/>
    <col min="137" max="137" width="9" style="88" bestFit="1" customWidth="1"/>
    <col min="138" max="138" width="12.26953125" bestFit="1" customWidth="1"/>
    <col min="139" max="139" width="15.54296875" bestFit="1" customWidth="1"/>
    <col min="140" max="140" width="16.54296875" bestFit="1" customWidth="1"/>
    <col min="142" max="142" width="15.54296875" bestFit="1" customWidth="1"/>
  </cols>
  <sheetData>
    <row r="1" spans="2:137" x14ac:dyDescent="0.35">
      <c r="D1" s="17" t="s">
        <v>0</v>
      </c>
    </row>
    <row r="10" spans="2:137" hidden="1" x14ac:dyDescent="0.35"/>
    <row r="11" spans="2:137" x14ac:dyDescent="0.35">
      <c r="D11" s="811" t="s">
        <v>518</v>
      </c>
    </row>
    <row r="12" spans="2:137" ht="21" customHeight="1" x14ac:dyDescent="0.35">
      <c r="D12" s="811"/>
      <c r="CQ12" s="122">
        <v>137.45454545454547</v>
      </c>
      <c r="CR12" s="122">
        <v>76.363636363636374</v>
      </c>
      <c r="CS12" s="122">
        <v>65.136363636363626</v>
      </c>
      <c r="CT12" s="122">
        <v>39.954545454545467</v>
      </c>
      <c r="CU12" s="122">
        <v>6.5909090909090935</v>
      </c>
      <c r="CX12" s="143" t="s">
        <v>594</v>
      </c>
    </row>
    <row r="13" spans="2:137" ht="15" thickBot="1" x14ac:dyDescent="0.4">
      <c r="AD13" s="13"/>
      <c r="AE13" s="13"/>
      <c r="AF13" s="13" t="s">
        <v>1</v>
      </c>
      <c r="AG13" s="13"/>
      <c r="CX13" s="143"/>
    </row>
    <row r="14" spans="2:137" x14ac:dyDescent="0.35">
      <c r="B14" s="753" t="s">
        <v>530</v>
      </c>
      <c r="D14" s="605" t="s">
        <v>2</v>
      </c>
      <c r="E14" s="606" t="s">
        <v>3</v>
      </c>
      <c r="F14" s="606" t="s">
        <v>4</v>
      </c>
      <c r="G14" s="606" t="s">
        <v>5</v>
      </c>
      <c r="H14" s="606" t="s">
        <v>6</v>
      </c>
      <c r="I14" s="606" t="s">
        <v>7</v>
      </c>
      <c r="J14" s="606" t="s">
        <v>8</v>
      </c>
      <c r="K14" s="606" t="s">
        <v>9</v>
      </c>
      <c r="L14" s="606" t="s">
        <v>10</v>
      </c>
      <c r="M14" s="606" t="s">
        <v>11</v>
      </c>
      <c r="N14" s="606" t="s">
        <v>12</v>
      </c>
      <c r="O14" s="606" t="s">
        <v>13</v>
      </c>
      <c r="P14" s="606" t="s">
        <v>14</v>
      </c>
      <c r="Q14" s="606" t="s">
        <v>15</v>
      </c>
      <c r="R14" s="606" t="s">
        <v>16</v>
      </c>
      <c r="S14" s="606" t="s">
        <v>17</v>
      </c>
      <c r="T14" s="606" t="s">
        <v>18</v>
      </c>
      <c r="U14" s="606" t="s">
        <v>19</v>
      </c>
      <c r="V14" s="606" t="s">
        <v>20</v>
      </c>
      <c r="W14" s="606" t="s">
        <v>21</v>
      </c>
      <c r="X14" s="606" t="s">
        <v>22</v>
      </c>
      <c r="Y14" s="606" t="s">
        <v>23</v>
      </c>
      <c r="Z14" s="606" t="s">
        <v>24</v>
      </c>
      <c r="AA14" s="606" t="s">
        <v>25</v>
      </c>
      <c r="AB14" s="606" t="s">
        <v>26</v>
      </c>
      <c r="AC14" s="606" t="s">
        <v>26</v>
      </c>
      <c r="AD14" s="606" t="s">
        <v>27</v>
      </c>
      <c r="AE14" s="606" t="s">
        <v>27</v>
      </c>
      <c r="AF14" s="606" t="s">
        <v>28</v>
      </c>
      <c r="AG14" s="606" t="s">
        <v>28</v>
      </c>
      <c r="AH14" s="606" t="s">
        <v>29</v>
      </c>
      <c r="AI14" s="606" t="s">
        <v>30</v>
      </c>
      <c r="AJ14" s="606" t="s">
        <v>19</v>
      </c>
      <c r="AK14" s="606" t="s">
        <v>20</v>
      </c>
      <c r="AL14" s="606" t="s">
        <v>31</v>
      </c>
      <c r="AM14" s="606" t="s">
        <v>32</v>
      </c>
      <c r="AN14" s="606" t="s">
        <v>33</v>
      </c>
      <c r="AO14" s="607" t="s">
        <v>34</v>
      </c>
      <c r="AP14" s="607" t="s">
        <v>35</v>
      </c>
      <c r="AQ14" s="607" t="s">
        <v>36</v>
      </c>
      <c r="AR14" s="607" t="s">
        <v>37</v>
      </c>
      <c r="AS14" s="607" t="s">
        <v>38</v>
      </c>
      <c r="AT14" s="607" t="s">
        <v>39</v>
      </c>
      <c r="AU14" s="607" t="s">
        <v>40</v>
      </c>
      <c r="AV14" s="607" t="s">
        <v>41</v>
      </c>
      <c r="AW14" s="607" t="s">
        <v>42</v>
      </c>
      <c r="AX14" s="607" t="s">
        <v>43</v>
      </c>
      <c r="AY14" s="607" t="s">
        <v>44</v>
      </c>
      <c r="AZ14" s="607" t="s">
        <v>45</v>
      </c>
      <c r="BA14" s="607" t="s">
        <v>46</v>
      </c>
      <c r="BB14" s="607" t="s">
        <v>47</v>
      </c>
      <c r="BC14" s="608" t="s">
        <v>48</v>
      </c>
      <c r="BD14" s="608" t="s">
        <v>49</v>
      </c>
      <c r="BE14" s="608" t="s">
        <v>50</v>
      </c>
      <c r="BF14" s="608" t="s">
        <v>51</v>
      </c>
      <c r="BG14" s="608" t="s">
        <v>52</v>
      </c>
      <c r="BH14" s="608" t="s">
        <v>53</v>
      </c>
      <c r="BI14" s="607" t="s">
        <v>54</v>
      </c>
      <c r="BJ14" s="607" t="s">
        <v>55</v>
      </c>
      <c r="BK14" s="607" t="s">
        <v>56</v>
      </c>
      <c r="BL14" s="607" t="s">
        <v>57</v>
      </c>
      <c r="BM14" s="607" t="s">
        <v>58</v>
      </c>
      <c r="BN14" s="607" t="s">
        <v>59</v>
      </c>
      <c r="BO14" s="607" t="s">
        <v>60</v>
      </c>
      <c r="BP14" s="607" t="s">
        <v>61</v>
      </c>
      <c r="BQ14" s="607" t="s">
        <v>62</v>
      </c>
      <c r="BR14" s="606" t="s">
        <v>63</v>
      </c>
      <c r="BS14" s="606" t="s">
        <v>64</v>
      </c>
      <c r="BT14" s="606" t="s">
        <v>65</v>
      </c>
      <c r="BU14" s="606" t="s">
        <v>66</v>
      </c>
      <c r="BV14" s="606" t="s">
        <v>67</v>
      </c>
      <c r="BW14" s="606" t="s">
        <v>68</v>
      </c>
      <c r="BX14" s="606" t="s">
        <v>69</v>
      </c>
      <c r="BY14" s="606" t="s">
        <v>70</v>
      </c>
      <c r="BZ14" s="606" t="s">
        <v>71</v>
      </c>
      <c r="CA14" s="606" t="s">
        <v>72</v>
      </c>
      <c r="CB14" s="606" t="s">
        <v>73</v>
      </c>
      <c r="CC14" s="606" t="s">
        <v>74</v>
      </c>
      <c r="CD14" s="609" t="s">
        <v>75</v>
      </c>
      <c r="CE14" s="609" t="s">
        <v>440</v>
      </c>
      <c r="CF14" s="609" t="s">
        <v>441</v>
      </c>
      <c r="CG14" s="609" t="s">
        <v>442</v>
      </c>
      <c r="CH14" s="609" t="s">
        <v>443</v>
      </c>
      <c r="CI14" s="609" t="s">
        <v>445</v>
      </c>
      <c r="CJ14" s="609" t="s">
        <v>447</v>
      </c>
      <c r="CK14" s="609" t="s">
        <v>449</v>
      </c>
      <c r="CL14" s="610" t="s">
        <v>450</v>
      </c>
      <c r="CM14" s="610" t="s">
        <v>479</v>
      </c>
      <c r="CN14" s="610" t="s">
        <v>482</v>
      </c>
      <c r="CO14" s="610" t="s">
        <v>486</v>
      </c>
      <c r="CP14" s="610" t="s">
        <v>487</v>
      </c>
      <c r="CQ14" s="610" t="s">
        <v>502</v>
      </c>
      <c r="CR14" s="610" t="s">
        <v>504</v>
      </c>
      <c r="CS14" s="610" t="s">
        <v>506</v>
      </c>
      <c r="CT14" s="610" t="s">
        <v>508</v>
      </c>
      <c r="CU14" s="610" t="s">
        <v>512</v>
      </c>
      <c r="CV14" s="610" t="s">
        <v>516</v>
      </c>
      <c r="CW14" s="236"/>
      <c r="CX14" s="812" t="s">
        <v>76</v>
      </c>
      <c r="CY14" s="813"/>
      <c r="CZ14" s="813"/>
      <c r="DA14" s="813"/>
      <c r="DB14" s="813"/>
      <c r="DC14" s="813"/>
      <c r="DD14" s="813"/>
      <c r="DE14" s="813"/>
      <c r="DF14" s="813"/>
      <c r="DG14" s="813"/>
      <c r="DH14" s="813"/>
      <c r="DI14" s="813"/>
      <c r="DJ14" s="813"/>
      <c r="DK14" s="813"/>
      <c r="DL14" s="813"/>
      <c r="DM14" s="813"/>
      <c r="DN14" s="813"/>
      <c r="DO14" s="813"/>
      <c r="DP14" s="813"/>
      <c r="DQ14" s="813"/>
      <c r="DR14" s="813"/>
      <c r="DS14" s="813"/>
      <c r="DT14" s="813"/>
      <c r="DU14" s="813"/>
      <c r="DV14" s="813"/>
      <c r="DW14" s="813"/>
      <c r="DX14" s="813"/>
      <c r="DY14" s="813"/>
      <c r="DZ14" s="813"/>
      <c r="EA14" s="813"/>
      <c r="EB14" s="813"/>
      <c r="EC14" s="813"/>
      <c r="ED14" s="813"/>
      <c r="EE14" s="813"/>
      <c r="EF14" s="813"/>
      <c r="EG14" s="813"/>
    </row>
    <row r="15" spans="2:137" x14ac:dyDescent="0.35">
      <c r="B15" s="818" t="s">
        <v>519</v>
      </c>
      <c r="D15" s="815" t="s">
        <v>448</v>
      </c>
      <c r="E15" s="9" t="s">
        <v>78</v>
      </c>
      <c r="F15" s="9" t="s">
        <v>79</v>
      </c>
      <c r="G15" s="9" t="s">
        <v>3</v>
      </c>
      <c r="H15" s="9" t="s">
        <v>80</v>
      </c>
      <c r="I15" s="9" t="s">
        <v>5</v>
      </c>
      <c r="J15" s="9" t="s">
        <v>6</v>
      </c>
      <c r="K15" s="9" t="s">
        <v>7</v>
      </c>
      <c r="L15" s="9" t="s">
        <v>8</v>
      </c>
      <c r="M15" s="9" t="s">
        <v>81</v>
      </c>
      <c r="N15" s="9" t="s">
        <v>10</v>
      </c>
      <c r="O15" s="9" t="s">
        <v>11</v>
      </c>
      <c r="P15" s="9" t="s">
        <v>12</v>
      </c>
      <c r="Q15" s="9" t="s">
        <v>13</v>
      </c>
      <c r="R15" s="9" t="s">
        <v>14</v>
      </c>
      <c r="S15" s="9" t="s">
        <v>15</v>
      </c>
      <c r="T15" s="9" t="s">
        <v>16</v>
      </c>
      <c r="U15" s="9" t="s">
        <v>17</v>
      </c>
      <c r="V15" s="9" t="s">
        <v>18</v>
      </c>
      <c r="W15" s="9" t="s">
        <v>82</v>
      </c>
      <c r="X15" s="9" t="s">
        <v>83</v>
      </c>
      <c r="Y15" s="9" t="s">
        <v>84</v>
      </c>
      <c r="Z15" s="9" t="s">
        <v>22</v>
      </c>
      <c r="AA15" s="9" t="s">
        <v>23</v>
      </c>
      <c r="AB15" s="9" t="s">
        <v>24</v>
      </c>
      <c r="AC15" s="9" t="s">
        <v>24</v>
      </c>
      <c r="AD15" s="9" t="s">
        <v>25</v>
      </c>
      <c r="AE15" s="9" t="s">
        <v>25</v>
      </c>
      <c r="AF15" s="9" t="s">
        <v>26</v>
      </c>
      <c r="AG15" s="9" t="s">
        <v>26</v>
      </c>
      <c r="AH15" s="9" t="s">
        <v>27</v>
      </c>
      <c r="AI15" s="9" t="s">
        <v>28</v>
      </c>
      <c r="AJ15" s="9" t="s">
        <v>29</v>
      </c>
      <c r="AK15" s="9" t="s">
        <v>30</v>
      </c>
      <c r="AL15" s="9" t="s">
        <v>19</v>
      </c>
      <c r="AM15" s="9" t="s">
        <v>20</v>
      </c>
      <c r="AN15" s="9" t="s">
        <v>85</v>
      </c>
      <c r="AO15" s="218">
        <v>44228</v>
      </c>
      <c r="AP15" s="218">
        <v>44256</v>
      </c>
      <c r="AQ15" s="218">
        <v>44287</v>
      </c>
      <c r="AR15" s="218">
        <v>44317</v>
      </c>
      <c r="AS15" s="218">
        <v>44348</v>
      </c>
      <c r="AT15" s="218">
        <v>44378</v>
      </c>
      <c r="AU15" s="218">
        <v>44409</v>
      </c>
      <c r="AV15" s="218">
        <v>44440</v>
      </c>
      <c r="AW15" s="218">
        <v>44440</v>
      </c>
      <c r="AX15" s="218">
        <v>44501</v>
      </c>
      <c r="AY15" s="218">
        <v>44531</v>
      </c>
      <c r="AZ15" s="218">
        <v>44562</v>
      </c>
      <c r="BA15" s="218">
        <v>44593</v>
      </c>
      <c r="BB15" s="218">
        <v>44621</v>
      </c>
      <c r="BC15" s="332">
        <v>44652</v>
      </c>
      <c r="BD15" s="332">
        <v>44682</v>
      </c>
      <c r="BE15" s="332">
        <v>44713</v>
      </c>
      <c r="BF15" s="332">
        <v>44743</v>
      </c>
      <c r="BG15" s="332">
        <v>44774</v>
      </c>
      <c r="BH15" s="332">
        <v>44805</v>
      </c>
      <c r="BI15" s="332">
        <v>44835</v>
      </c>
      <c r="BJ15" s="332">
        <v>44866</v>
      </c>
      <c r="BK15" s="332">
        <v>44896</v>
      </c>
      <c r="BL15" s="332">
        <v>44927</v>
      </c>
      <c r="BM15" s="332">
        <v>44958</v>
      </c>
      <c r="BN15" s="373">
        <v>44986</v>
      </c>
      <c r="BO15" s="392">
        <v>45017</v>
      </c>
      <c r="BP15" s="392">
        <v>45047</v>
      </c>
      <c r="BQ15" s="424">
        <v>45078</v>
      </c>
      <c r="BR15" s="392">
        <v>45108</v>
      </c>
      <c r="BS15" s="392">
        <v>45139</v>
      </c>
      <c r="BT15" s="392">
        <v>45170</v>
      </c>
      <c r="BU15" s="392">
        <v>45200</v>
      </c>
      <c r="BV15" s="392">
        <v>45231</v>
      </c>
      <c r="BW15" s="392">
        <v>45261</v>
      </c>
      <c r="BX15" s="392">
        <v>44927</v>
      </c>
      <c r="BY15" s="392">
        <v>44958</v>
      </c>
      <c r="BZ15" s="392">
        <v>44986</v>
      </c>
      <c r="CA15" s="392">
        <v>45017</v>
      </c>
      <c r="CB15" s="392">
        <v>45047</v>
      </c>
      <c r="CC15" s="392">
        <v>45078</v>
      </c>
      <c r="CD15" s="392">
        <v>45108</v>
      </c>
      <c r="CE15" s="392">
        <v>45139</v>
      </c>
      <c r="CF15" s="392">
        <v>45536</v>
      </c>
      <c r="CG15" s="392">
        <v>45566</v>
      </c>
      <c r="CH15" s="392">
        <v>45597</v>
      </c>
      <c r="CI15" s="392">
        <v>45627</v>
      </c>
      <c r="CJ15" s="392">
        <v>45658</v>
      </c>
      <c r="CK15" s="392">
        <v>45689</v>
      </c>
      <c r="CL15" s="611">
        <v>45717</v>
      </c>
      <c r="CM15" s="611">
        <v>45748</v>
      </c>
      <c r="CN15" s="611">
        <v>45778</v>
      </c>
      <c r="CO15" s="611">
        <v>45809</v>
      </c>
      <c r="CP15" s="611">
        <v>45839</v>
      </c>
      <c r="CQ15" s="611">
        <v>45870</v>
      </c>
      <c r="CR15" s="611">
        <v>45901</v>
      </c>
      <c r="CS15" s="611">
        <v>45931</v>
      </c>
      <c r="CT15" s="611">
        <v>45962</v>
      </c>
      <c r="CU15" s="611">
        <v>45992</v>
      </c>
      <c r="CV15" s="611">
        <v>46023</v>
      </c>
      <c r="CW15" s="237"/>
      <c r="CX15" s="15" t="s">
        <v>86</v>
      </c>
      <c r="CY15" s="15" t="s">
        <v>87</v>
      </c>
      <c r="CZ15" s="15" t="s">
        <v>88</v>
      </c>
      <c r="DA15" s="15" t="s">
        <v>89</v>
      </c>
      <c r="DB15" s="15" t="s">
        <v>90</v>
      </c>
      <c r="DC15" s="15" t="s">
        <v>91</v>
      </c>
      <c r="DD15" s="15" t="s">
        <v>92</v>
      </c>
      <c r="DE15" s="15" t="s">
        <v>93</v>
      </c>
      <c r="DF15" s="15" t="s">
        <v>94</v>
      </c>
      <c r="DG15" s="15" t="s">
        <v>95</v>
      </c>
      <c r="DH15" s="15" t="s">
        <v>96</v>
      </c>
      <c r="DI15" s="15" t="s">
        <v>97</v>
      </c>
      <c r="DJ15" s="15" t="s">
        <v>98</v>
      </c>
      <c r="DK15" s="15" t="s">
        <v>87</v>
      </c>
      <c r="DL15" s="15" t="s">
        <v>88</v>
      </c>
      <c r="DM15" s="15" t="s">
        <v>89</v>
      </c>
      <c r="DN15" s="15" t="s">
        <v>90</v>
      </c>
      <c r="DO15" s="15" t="s">
        <v>91</v>
      </c>
      <c r="DP15" s="15" t="s">
        <v>92</v>
      </c>
      <c r="DQ15" s="15" t="s">
        <v>93</v>
      </c>
      <c r="DR15" s="15" t="s">
        <v>94</v>
      </c>
      <c r="DS15" s="15" t="s">
        <v>380</v>
      </c>
      <c r="DT15" s="15" t="s">
        <v>96</v>
      </c>
      <c r="DU15" s="15" t="s">
        <v>97</v>
      </c>
      <c r="DV15" s="15" t="s">
        <v>98</v>
      </c>
      <c r="DW15" s="15" t="s">
        <v>87</v>
      </c>
      <c r="DX15" s="15" t="s">
        <v>88</v>
      </c>
      <c r="DY15" s="15" t="s">
        <v>89</v>
      </c>
      <c r="DZ15" s="15" t="s">
        <v>90</v>
      </c>
      <c r="EA15" s="15" t="s">
        <v>488</v>
      </c>
      <c r="EB15" s="15" t="s">
        <v>92</v>
      </c>
      <c r="EC15" s="15" t="s">
        <v>93</v>
      </c>
      <c r="ED15" s="15" t="s">
        <v>94</v>
      </c>
      <c r="EE15" s="15" t="s">
        <v>380</v>
      </c>
      <c r="EF15" s="15" t="s">
        <v>96</v>
      </c>
      <c r="EG15" s="15" t="s">
        <v>97</v>
      </c>
    </row>
    <row r="16" spans="2:137" x14ac:dyDescent="0.35">
      <c r="B16" s="818"/>
      <c r="D16" s="815"/>
      <c r="E16" s="5">
        <v>1330</v>
      </c>
      <c r="F16" s="5">
        <v>1280</v>
      </c>
      <c r="G16" s="5">
        <v>1279.380005</v>
      </c>
      <c r="H16" s="5">
        <v>1275.5</v>
      </c>
      <c r="I16" s="5">
        <v>1330</v>
      </c>
      <c r="J16" s="5">
        <v>1266.25</v>
      </c>
      <c r="K16" s="5">
        <v>1125</v>
      </c>
      <c r="L16" s="5">
        <v>1058.130005</v>
      </c>
      <c r="M16" s="5">
        <v>1035</v>
      </c>
      <c r="N16" s="5">
        <v>1077.5</v>
      </c>
      <c r="O16" s="5">
        <v>1096.25</v>
      </c>
      <c r="P16" s="5">
        <v>1101.25</v>
      </c>
      <c r="Q16" s="5">
        <v>1004.5</v>
      </c>
      <c r="R16" s="5">
        <v>926.25</v>
      </c>
      <c r="S16" s="5">
        <v>966.88000499999998</v>
      </c>
      <c r="T16" s="5">
        <v>889</v>
      </c>
      <c r="U16" s="5">
        <v>868.75</v>
      </c>
      <c r="V16" s="5">
        <v>840</v>
      </c>
      <c r="W16" s="5">
        <v>818.75</v>
      </c>
      <c r="X16" s="5">
        <v>824.38000499999998</v>
      </c>
      <c r="Y16" s="5">
        <v>840</v>
      </c>
      <c r="Z16" s="5">
        <v>840</v>
      </c>
      <c r="AA16" s="5">
        <v>736.88000499999998</v>
      </c>
      <c r="AB16" s="5">
        <v>655</v>
      </c>
      <c r="AC16" s="5">
        <v>707.17945636689831</v>
      </c>
      <c r="AD16" s="5">
        <v>669.38000499999998</v>
      </c>
      <c r="AE16" s="5">
        <v>687.43458311273355</v>
      </c>
      <c r="AF16" s="5">
        <v>678.13000499999998</v>
      </c>
      <c r="AG16" s="5">
        <v>682.5409009438722</v>
      </c>
      <c r="AH16" s="5">
        <v>659</v>
      </c>
      <c r="AI16" s="5">
        <v>647.5</v>
      </c>
      <c r="AJ16" s="5">
        <v>649.38000499999998</v>
      </c>
      <c r="AK16" s="5">
        <v>641.5</v>
      </c>
      <c r="AL16" s="5">
        <v>648.13</v>
      </c>
      <c r="AM16" s="5">
        <v>713</v>
      </c>
      <c r="AN16" s="5">
        <v>789.38</v>
      </c>
      <c r="AO16" s="5">
        <v>880.63</v>
      </c>
      <c r="AP16" s="5">
        <v>1018.75</v>
      </c>
      <c r="AQ16" s="5">
        <v>960</v>
      </c>
      <c r="AR16" s="5">
        <v>932.5</v>
      </c>
      <c r="AS16" s="5">
        <v>920</v>
      </c>
      <c r="AT16" s="5">
        <v>960</v>
      </c>
      <c r="AU16" s="5">
        <v>966.25</v>
      </c>
      <c r="AV16" s="5">
        <v>953</v>
      </c>
      <c r="AW16" s="5">
        <v>1111.8800000000001</v>
      </c>
      <c r="AX16" s="5">
        <v>1124.3800000000001</v>
      </c>
      <c r="AY16" s="5">
        <v>1026.5</v>
      </c>
      <c r="AZ16" s="5">
        <v>1144</v>
      </c>
      <c r="BA16" s="5">
        <v>1138</v>
      </c>
      <c r="BB16" s="5">
        <v>1139</v>
      </c>
      <c r="BC16" s="333">
        <v>1199</v>
      </c>
      <c r="BD16" s="333">
        <v>1216.25</v>
      </c>
      <c r="BE16" s="333">
        <v>1235</v>
      </c>
      <c r="BF16" s="333">
        <v>1125</v>
      </c>
      <c r="BG16" s="333">
        <v>1096.25</v>
      </c>
      <c r="BH16" s="333">
        <v>1048</v>
      </c>
      <c r="BI16" s="333">
        <v>975.63</v>
      </c>
      <c r="BJ16" s="333">
        <v>897.5</v>
      </c>
      <c r="BK16" s="333">
        <v>890</v>
      </c>
      <c r="BL16" s="333">
        <v>941.88</v>
      </c>
      <c r="BM16" s="333">
        <v>965</v>
      </c>
      <c r="BN16" s="374">
        <v>980</v>
      </c>
      <c r="BO16" s="333">
        <v>1018.75</v>
      </c>
      <c r="BP16" s="333">
        <v>938.13</v>
      </c>
      <c r="BQ16" s="374">
        <v>882</v>
      </c>
      <c r="BR16" s="333">
        <v>878.75</v>
      </c>
      <c r="BS16" s="333">
        <v>889</v>
      </c>
      <c r="BT16" s="333">
        <v>898.75</v>
      </c>
      <c r="BU16" s="333">
        <v>880</v>
      </c>
      <c r="BV16" s="333">
        <v>865</v>
      </c>
      <c r="BW16" s="333">
        <v>863.13</v>
      </c>
      <c r="BX16" s="333">
        <v>889.38</v>
      </c>
      <c r="BY16" s="333">
        <v>906.5</v>
      </c>
      <c r="BZ16" s="333">
        <v>906.5</v>
      </c>
      <c r="CA16" s="333">
        <v>898.13</v>
      </c>
      <c r="CB16" s="333">
        <v>885</v>
      </c>
      <c r="CC16" s="333">
        <v>885.63</v>
      </c>
      <c r="CD16" s="333">
        <v>896.25</v>
      </c>
      <c r="CE16" s="333">
        <v>874</v>
      </c>
      <c r="CF16" s="333">
        <v>815</v>
      </c>
      <c r="CG16" s="333">
        <v>842</v>
      </c>
      <c r="CH16" s="333">
        <v>802.5</v>
      </c>
      <c r="CI16" s="333">
        <v>791.25</v>
      </c>
      <c r="CJ16" s="333">
        <v>799.5</v>
      </c>
      <c r="CK16" s="333">
        <v>803.125</v>
      </c>
      <c r="CL16" s="612">
        <v>786.25</v>
      </c>
      <c r="CM16" s="612">
        <v>745.625</v>
      </c>
      <c r="CN16" s="612">
        <v>775</v>
      </c>
      <c r="CO16" s="612">
        <v>793.125</v>
      </c>
      <c r="CP16" s="612">
        <v>781.875</v>
      </c>
      <c r="CQ16" s="612">
        <f>+'ICIS -1'!C16</f>
        <v>774</v>
      </c>
      <c r="CR16" s="612">
        <f>+'ICIS -1'!C17</f>
        <v>765</v>
      </c>
      <c r="CS16" s="612">
        <f>+'ICIS -1'!C18</f>
        <v>752</v>
      </c>
      <c r="CT16" s="612">
        <f>+'ICIS -1'!C19</f>
        <v>748.75</v>
      </c>
      <c r="CU16" s="612">
        <f>+'ICIS -1'!C20</f>
        <v>756.25</v>
      </c>
      <c r="CV16" s="612">
        <f>+'ICIS -1'!C21</f>
        <v>821.07500000000005</v>
      </c>
      <c r="CW16" s="238"/>
      <c r="CX16" s="284" t="s">
        <v>99</v>
      </c>
      <c r="CY16" s="321">
        <v>327.54748224999997</v>
      </c>
      <c r="CZ16" s="321">
        <v>455.56748225000001</v>
      </c>
      <c r="DA16" s="390">
        <v>551.38748224999995</v>
      </c>
      <c r="DB16" s="390">
        <v>361.38748224999995</v>
      </c>
      <c r="DC16" s="390">
        <v>321.64400110000008</v>
      </c>
      <c r="DD16" s="390">
        <v>392.25651885000013</v>
      </c>
      <c r="DE16" s="390">
        <v>392.25651885000013</v>
      </c>
      <c r="DF16" s="390">
        <f t="shared" ref="DF16:DH16" si="0">+DE19</f>
        <v>350.06179212500001</v>
      </c>
      <c r="DG16" s="390">
        <f t="shared" si="0"/>
        <v>316.06179212500001</v>
      </c>
      <c r="DH16" s="390">
        <f t="shared" si="0"/>
        <v>350.84056365000004</v>
      </c>
      <c r="DI16" s="390">
        <f>+DG19</f>
        <v>350.84056365000004</v>
      </c>
      <c r="DJ16" s="390">
        <f t="shared" ref="DJ16:EA16" si="1">+DI19</f>
        <v>379.54056365000002</v>
      </c>
      <c r="DK16" s="390">
        <f t="shared" si="1"/>
        <v>307.54056364999997</v>
      </c>
      <c r="DL16" s="390">
        <f t="shared" si="1"/>
        <v>307.52056364999999</v>
      </c>
      <c r="DM16" s="390">
        <f t="shared" si="1"/>
        <v>236.82840522499998</v>
      </c>
      <c r="DN16" s="390">
        <f t="shared" si="1"/>
        <v>139.47840522499996</v>
      </c>
      <c r="DO16" s="390">
        <f t="shared" si="1"/>
        <v>217.93712222500017</v>
      </c>
      <c r="DP16" s="390">
        <f t="shared" si="1"/>
        <v>120.58712222500014</v>
      </c>
      <c r="DQ16" s="390">
        <f t="shared" si="1"/>
        <v>317.58712222500014</v>
      </c>
      <c r="DR16" s="390">
        <f t="shared" si="1"/>
        <v>297.58712222500014</v>
      </c>
      <c r="DS16" s="390">
        <f t="shared" si="1"/>
        <v>388.18893395000015</v>
      </c>
      <c r="DT16" s="390">
        <f t="shared" si="1"/>
        <v>178.18893395000015</v>
      </c>
      <c r="DU16" s="390">
        <f t="shared" si="1"/>
        <v>527.24840017500014</v>
      </c>
      <c r="DV16" s="390">
        <f t="shared" si="1"/>
        <v>551.95840017500018</v>
      </c>
      <c r="DW16" s="390">
        <f t="shared" si="1"/>
        <v>566.95840017500018</v>
      </c>
      <c r="DX16" s="390">
        <f t="shared" si="1"/>
        <v>548.95840017500018</v>
      </c>
      <c r="DY16" s="390">
        <f t="shared" si="1"/>
        <v>448.95840017500018</v>
      </c>
      <c r="DZ16" s="708">
        <f t="shared" si="1"/>
        <v>299.95840017500018</v>
      </c>
      <c r="EA16" s="708">
        <f t="shared" si="1"/>
        <v>400.95840017500018</v>
      </c>
      <c r="EB16" s="708">
        <f t="shared" ref="EB16:EG16" si="2">+EA19</f>
        <v>600.95840017500018</v>
      </c>
      <c r="EC16" s="708">
        <f t="shared" si="2"/>
        <v>800.95840017500018</v>
      </c>
      <c r="ED16" s="708">
        <f t="shared" si="2"/>
        <v>751.95840017500018</v>
      </c>
      <c r="EE16" s="708">
        <f t="shared" si="2"/>
        <v>602.95840017500018</v>
      </c>
      <c r="EF16" s="708">
        <f t="shared" si="2"/>
        <v>453.95840017500018</v>
      </c>
      <c r="EG16" s="708">
        <f t="shared" si="2"/>
        <v>304.95840017500018</v>
      </c>
    </row>
    <row r="17" spans="2:142" x14ac:dyDescent="0.35">
      <c r="B17" s="754" t="s">
        <v>100</v>
      </c>
      <c r="D17" s="613" t="s">
        <v>100</v>
      </c>
      <c r="E17" s="363">
        <f t="shared" ref="E17:J17" si="3">+E16*4.5%/365*210</f>
        <v>34.434246575342463</v>
      </c>
      <c r="F17" s="363">
        <f t="shared" si="3"/>
        <v>33.139726027397259</v>
      </c>
      <c r="G17" s="363">
        <f t="shared" si="3"/>
        <v>33.1236741020548</v>
      </c>
      <c r="H17" s="363">
        <f t="shared" si="3"/>
        <v>33.023219178082194</v>
      </c>
      <c r="I17" s="363">
        <f t="shared" si="3"/>
        <v>34.434246575342463</v>
      </c>
      <c r="J17" s="363">
        <f t="shared" si="3"/>
        <v>32.783732876712328</v>
      </c>
      <c r="K17" s="364">
        <f>+K16*4.5%/365*210</f>
        <v>29.126712328767123</v>
      </c>
      <c r="L17" s="365">
        <f t="shared" ref="L17:R17" si="4">+L16*(4.5%+1.59%)/365*210</f>
        <v>37.075135983410952</v>
      </c>
      <c r="M17" s="365">
        <f t="shared" si="4"/>
        <v>36.264698630136984</v>
      </c>
      <c r="N17" s="365">
        <f t="shared" si="4"/>
        <v>37.753828767123281</v>
      </c>
      <c r="O17" s="365">
        <f t="shared" si="4"/>
        <v>38.410797945205474</v>
      </c>
      <c r="P17" s="365">
        <f t="shared" si="4"/>
        <v>38.585989726027393</v>
      </c>
      <c r="Q17" s="365">
        <f t="shared" si="4"/>
        <v>35.196028767123288</v>
      </c>
      <c r="R17" s="365">
        <f t="shared" si="4"/>
        <v>32.45427739726027</v>
      </c>
      <c r="S17" s="365">
        <f>+S16*(4.5%+1.59%)/365*210</f>
        <v>33.877885983410955</v>
      </c>
      <c r="T17" s="365">
        <f>+T16*(4.5%+1.59%)/365*210</f>
        <v>31.149098630136983</v>
      </c>
      <c r="U17" s="365">
        <f>+U16*(4.5%+1.59%)/365*210</f>
        <v>30.439571917808216</v>
      </c>
      <c r="V17" s="365">
        <f>+V16*(4.5%+1.59%)/365*210</f>
        <v>29.432219178082192</v>
      </c>
      <c r="W17" s="365">
        <f t="shared" ref="W17:AB17" si="5">+W16*(4.5%+1.59%+1.9%)/365*210</f>
        <v>37.637825342465753</v>
      </c>
      <c r="X17" s="365">
        <f t="shared" si="5"/>
        <v>37.896635901082192</v>
      </c>
      <c r="Y17" s="365">
        <f t="shared" si="5"/>
        <v>38.614684931506851</v>
      </c>
      <c r="Z17" s="365">
        <f t="shared" si="5"/>
        <v>38.614684931506851</v>
      </c>
      <c r="AA17" s="365">
        <f t="shared" si="5"/>
        <v>33.874272887383562</v>
      </c>
      <c r="AB17" s="365">
        <f t="shared" si="5"/>
        <v>30.110260273972603</v>
      </c>
      <c r="AC17" s="365">
        <f t="shared" ref="AC17:AI17" si="6">+AC16*(4.5%+1.59%+1.9%)/365*210</f>
        <v>32.50894273528818</v>
      </c>
      <c r="AD17" s="365">
        <f t="shared" si="6"/>
        <v>30.771307133958903</v>
      </c>
      <c r="AE17" s="365">
        <f t="shared" si="6"/>
        <v>31.601273616571387</v>
      </c>
      <c r="AF17" s="365">
        <f t="shared" si="6"/>
        <v>31.173543435328764</v>
      </c>
      <c r="AG17" s="365">
        <f t="shared" si="6"/>
        <v>31.376311717636248</v>
      </c>
      <c r="AH17" s="365">
        <f t="shared" si="6"/>
        <v>30.294139726027396</v>
      </c>
      <c r="AI17" s="365">
        <f t="shared" si="6"/>
        <v>29.765486301369862</v>
      </c>
      <c r="AJ17" s="365">
        <v>29.851909873684932</v>
      </c>
      <c r="AK17" s="365">
        <v>29.489667123287674</v>
      </c>
      <c r="AL17" s="365">
        <v>29.794447315068489</v>
      </c>
      <c r="AM17" s="365">
        <v>32.776512328767126</v>
      </c>
      <c r="AN17" s="365">
        <v>36.287690465753421</v>
      </c>
      <c r="AO17" s="365">
        <v>40.48244046575342</v>
      </c>
      <c r="AP17" s="365">
        <v>46.831797945205473</v>
      </c>
      <c r="AQ17" s="365">
        <v>44.131068493150686</v>
      </c>
      <c r="AR17" s="366">
        <v>24.529983899042968</v>
      </c>
      <c r="AS17" s="366">
        <v>24.529983899042968</v>
      </c>
      <c r="AT17" s="366">
        <v>25.253388249953083</v>
      </c>
      <c r="AU17" s="366">
        <v>25.253388249953083</v>
      </c>
      <c r="AV17" s="366">
        <v>25.069248960630514</v>
      </c>
      <c r="AW17" s="366">
        <v>18.010317534904111</v>
      </c>
      <c r="AX17" s="366">
        <v>20.07341751780822</v>
      </c>
      <c r="AY17" s="366">
        <v>27.002711498517542</v>
      </c>
      <c r="AZ17" s="366">
        <v>20</v>
      </c>
      <c r="BA17" s="366">
        <v>20</v>
      </c>
      <c r="BB17" s="366">
        <v>20</v>
      </c>
      <c r="BC17" s="367">
        <v>21</v>
      </c>
      <c r="BD17" s="367">
        <v>31.994201519797333</v>
      </c>
      <c r="BE17" s="367">
        <v>32.487431759054232</v>
      </c>
      <c r="BF17" s="367">
        <v>29.593814355413777</v>
      </c>
      <c r="BG17" s="367">
        <v>28.837527988553198</v>
      </c>
      <c r="BH17" s="367">
        <v>27.568282172865452</v>
      </c>
      <c r="BI17" s="367">
        <v>25.664544977397632</v>
      </c>
      <c r="BJ17" s="367">
        <v>41.035190095890407</v>
      </c>
      <c r="BK17" s="367">
        <v>40.69227764383561</v>
      </c>
      <c r="BL17" s="367">
        <v>48.654829475985053</v>
      </c>
      <c r="BM17" s="367">
        <v>49.337827950186799</v>
      </c>
      <c r="BN17" s="375">
        <v>49.255312610367675</v>
      </c>
      <c r="BO17" s="367">
        <v>52.190236074097129</v>
      </c>
      <c r="BP17" s="367">
        <v>49.095803810689915</v>
      </c>
      <c r="BQ17" s="375">
        <v>45.969807383312578</v>
      </c>
      <c r="BR17" s="367">
        <v>45.510666469240348</v>
      </c>
      <c r="BS17" s="367">
        <v>47.311117918804491</v>
      </c>
      <c r="BT17" s="367">
        <v>47.547394928518067</v>
      </c>
      <c r="BU17" s="367">
        <v>45.827422111083443</v>
      </c>
      <c r="BV17" s="367">
        <f>+(BV16+BV19+BV18)*SOFR!$F$3</f>
        <v>35.374018992777088</v>
      </c>
      <c r="BW17" s="367">
        <f>+(BW16+BW19+BW18)*SOFR!$F$3</f>
        <v>35.877641011920296</v>
      </c>
      <c r="BX17" s="367">
        <f>+(BX16+BX19+BX18)*SOFR!$F$3</f>
        <v>36.795528142057286</v>
      </c>
      <c r="BY17" s="367">
        <f>+(BY16+BY19+BY18)*SOFR!$F$3</f>
        <v>37.497477357907854</v>
      </c>
      <c r="BZ17" s="367">
        <f>+(BZ16+BZ19+BZ18)*SOFR!$F$3</f>
        <v>37.497477357907854</v>
      </c>
      <c r="CA17" s="367">
        <v>52.325207960951424</v>
      </c>
      <c r="CB17" s="367">
        <v>56.881264442092153</v>
      </c>
      <c r="CC17" s="367">
        <v>58.271839527825641</v>
      </c>
      <c r="CD17" s="367">
        <v>54.343859257658771</v>
      </c>
      <c r="CE17" s="367">
        <v>54.263773356911578</v>
      </c>
      <c r="CF17" s="367">
        <v>48.211712249813203</v>
      </c>
      <c r="CG17" s="367">
        <v>49.199100443835611</v>
      </c>
      <c r="CH17" s="367">
        <f>+(CH16+CH19+CH18)*SOFR!$F$3</f>
        <v>35.531371072229142</v>
      </c>
      <c r="CI17" s="367">
        <f>+(CI16+CI19+CI18)*SOFR!$F$3</f>
        <v>35.137990873599001</v>
      </c>
      <c r="CJ17" s="367">
        <f>+(CJ16+CJ19+CJ18)*SOFR!$F$3</f>
        <v>35.168984465006226</v>
      </c>
      <c r="CK17" s="367">
        <f>+(CK16+CK19+CK18)*SOFR!$F$3</f>
        <v>33.755597226089662</v>
      </c>
      <c r="CL17" s="614">
        <f>+(CL16+CL19+CL18)*SOFR!$F$3</f>
        <v>33.349899061643839</v>
      </c>
      <c r="CM17" s="614">
        <f>+(CM16+CM19+CM18)*SOFR!$F$3</f>
        <v>31.182334431818184</v>
      </c>
      <c r="CN17" s="614">
        <f>+(CN16+CN19+CN18)*SOFR!$F$3</f>
        <v>32.293732831382314</v>
      </c>
      <c r="CO17" s="614">
        <f>+(CO16+CO19+CO18)*SOFR!$F$3</f>
        <v>40.327828019364887</v>
      </c>
      <c r="CP17" s="614">
        <f>+(CP16+CP19+CP18)*SOFR!$F$3</f>
        <v>36.432966699190537</v>
      </c>
      <c r="CQ17" s="614">
        <f>+(CQ16+CQ19+CQ18)*SOFR!$F$3</f>
        <v>35.819055177085936</v>
      </c>
      <c r="CR17" s="614">
        <f>+(CR16+CR19+CR18)*SOFR!$F$3</f>
        <v>34.948055787795766</v>
      </c>
      <c r="CS17" s="614">
        <f>+(CS16+CS19+CS18)*SOFR!$F$3</f>
        <v>32.35730942914072</v>
      </c>
      <c r="CT17" s="614">
        <f>+(CT16+CT19+CT18)*SOFR!$F$3</f>
        <v>31.851080769489414</v>
      </c>
      <c r="CU17" s="614">
        <f>+(CU16+CU19+CU18)*SOFR!$F$3</f>
        <v>31.232798356288917</v>
      </c>
      <c r="CV17" s="614">
        <f>+(CV16+CV19+CV18)*SOFR!$F$3</f>
        <v>32.332911909750941</v>
      </c>
      <c r="CW17" s="383"/>
      <c r="CX17" s="284" t="s">
        <v>101</v>
      </c>
      <c r="CY17" s="36">
        <v>467</v>
      </c>
      <c r="CZ17" s="321">
        <v>396</v>
      </c>
      <c r="DA17" s="390">
        <v>113</v>
      </c>
      <c r="DB17" s="390">
        <v>260</v>
      </c>
      <c r="DC17" s="390">
        <v>370.61251775000005</v>
      </c>
      <c r="DD17" s="390">
        <v>313</v>
      </c>
      <c r="DE17" s="390">
        <v>313</v>
      </c>
      <c r="DF17" s="390">
        <v>313</v>
      </c>
      <c r="DG17" s="390">
        <v>313</v>
      </c>
      <c r="DH17" s="390">
        <v>313</v>
      </c>
      <c r="DI17" s="390">
        <v>313</v>
      </c>
      <c r="DJ17" s="390">
        <v>200</v>
      </c>
      <c r="DK17" s="390">
        <v>300</v>
      </c>
      <c r="DL17" s="390">
        <v>300</v>
      </c>
      <c r="DM17" s="390">
        <v>300</v>
      </c>
      <c r="DN17" s="390">
        <v>500</v>
      </c>
      <c r="DO17" s="390">
        <v>300</v>
      </c>
      <c r="DP17" s="390">
        <v>550</v>
      </c>
      <c r="DQ17" s="390">
        <v>300</v>
      </c>
      <c r="DR17" s="390">
        <v>400</v>
      </c>
      <c r="DS17" s="390">
        <v>100</v>
      </c>
      <c r="DT17" s="390">
        <f>455+160</f>
        <v>615</v>
      </c>
      <c r="DU17" s="390">
        <f>330+23</f>
        <v>353</v>
      </c>
      <c r="DV17" s="390">
        <f>330+23</f>
        <v>353</v>
      </c>
      <c r="DW17" s="390">
        <f>330+23</f>
        <v>353</v>
      </c>
      <c r="DX17" s="390">
        <v>250</v>
      </c>
      <c r="DY17" s="390">
        <v>200</v>
      </c>
      <c r="DZ17" s="708">
        <v>450</v>
      </c>
      <c r="EA17" s="708">
        <v>500</v>
      </c>
      <c r="EB17" s="708">
        <v>500</v>
      </c>
      <c r="EC17" s="708">
        <v>300</v>
      </c>
      <c r="ED17" s="708">
        <v>200</v>
      </c>
      <c r="EE17" s="708">
        <v>200</v>
      </c>
      <c r="EF17" s="708">
        <v>200</v>
      </c>
      <c r="EG17" s="708">
        <v>200</v>
      </c>
      <c r="EH17" s="393"/>
      <c r="EJ17" s="497"/>
    </row>
    <row r="18" spans="2:142" x14ac:dyDescent="0.35">
      <c r="B18" s="753" t="s">
        <v>520</v>
      </c>
      <c r="D18" s="615" t="s">
        <v>102</v>
      </c>
      <c r="E18" s="4">
        <v>90</v>
      </c>
      <c r="F18" s="4">
        <v>90</v>
      </c>
      <c r="G18" s="4">
        <v>90</v>
      </c>
      <c r="H18" s="4">
        <v>90</v>
      </c>
      <c r="I18" s="4">
        <v>90</v>
      </c>
      <c r="J18" s="4">
        <v>90</v>
      </c>
      <c r="K18" s="4">
        <v>90</v>
      </c>
      <c r="L18" s="8">
        <v>90</v>
      </c>
      <c r="M18" s="8">
        <v>90</v>
      </c>
      <c r="N18" s="8">
        <v>90</v>
      </c>
      <c r="O18" s="8">
        <v>90</v>
      </c>
      <c r="P18" s="8">
        <v>90</v>
      </c>
      <c r="Q18" s="8">
        <v>90</v>
      </c>
      <c r="R18" s="8">
        <v>90</v>
      </c>
      <c r="S18" s="8">
        <v>90</v>
      </c>
      <c r="T18" s="8">
        <v>90</v>
      </c>
      <c r="U18" s="8">
        <v>90</v>
      </c>
      <c r="V18" s="8">
        <v>91</v>
      </c>
      <c r="W18" s="8">
        <f>+V18*(1+1.9%)</f>
        <v>92.728999999999985</v>
      </c>
      <c r="X18" s="8">
        <f>+W18*(1+1.9%)</f>
        <v>94.490850999999978</v>
      </c>
      <c r="Y18" s="8">
        <f>+X18*(1+1.9%)</f>
        <v>96.28617716899997</v>
      </c>
      <c r="Z18" s="8">
        <f t="shared" ref="Z18:AK18" si="7">+Y18</f>
        <v>96.28617716899997</v>
      </c>
      <c r="AA18" s="8">
        <f t="shared" si="7"/>
        <v>96.28617716899997</v>
      </c>
      <c r="AB18" s="8">
        <f t="shared" si="7"/>
        <v>96.28617716899997</v>
      </c>
      <c r="AC18" s="8">
        <f t="shared" si="7"/>
        <v>96.28617716899997</v>
      </c>
      <c r="AD18" s="8">
        <f t="shared" si="7"/>
        <v>96.28617716899997</v>
      </c>
      <c r="AE18" s="8">
        <f t="shared" si="7"/>
        <v>96.28617716899997</v>
      </c>
      <c r="AF18" s="8">
        <f t="shared" si="7"/>
        <v>96.28617716899997</v>
      </c>
      <c r="AG18" s="8">
        <f t="shared" si="7"/>
        <v>96.28617716899997</v>
      </c>
      <c r="AH18" s="8">
        <f t="shared" si="7"/>
        <v>96.28617716899997</v>
      </c>
      <c r="AI18" s="8">
        <f t="shared" si="7"/>
        <v>96.28617716899997</v>
      </c>
      <c r="AJ18" s="8">
        <f t="shared" si="7"/>
        <v>96.28617716899997</v>
      </c>
      <c r="AK18" s="8">
        <f t="shared" si="7"/>
        <v>96.28617716899997</v>
      </c>
      <c r="AL18" s="8">
        <f t="shared" ref="AL18:AQ18" si="8">+AK18</f>
        <v>96.28617716899997</v>
      </c>
      <c r="AM18" s="8">
        <f t="shared" si="8"/>
        <v>96.28617716899997</v>
      </c>
      <c r="AN18" s="8">
        <f t="shared" si="8"/>
        <v>96.28617716899997</v>
      </c>
      <c r="AO18" s="8">
        <f t="shared" si="8"/>
        <v>96.28617716899997</v>
      </c>
      <c r="AP18" s="8">
        <f t="shared" si="8"/>
        <v>96.28617716899997</v>
      </c>
      <c r="AQ18" s="8">
        <f t="shared" si="8"/>
        <v>96.28617716899997</v>
      </c>
      <c r="AR18" s="8">
        <v>96.28617716899997</v>
      </c>
      <c r="AS18" s="8">
        <v>96.28617716899997</v>
      </c>
      <c r="AT18" s="8">
        <v>96.28617716899997</v>
      </c>
      <c r="AU18" s="8">
        <v>96.28617716899997</v>
      </c>
      <c r="AV18" s="8">
        <v>96.28617716899997</v>
      </c>
      <c r="AW18" s="8">
        <v>96.28617716899997</v>
      </c>
      <c r="AX18" s="8">
        <v>96.28617716899997</v>
      </c>
      <c r="AY18" s="8">
        <v>97.286177168999998</v>
      </c>
      <c r="AZ18" s="8">
        <v>97.286177168999998</v>
      </c>
      <c r="BA18" s="8">
        <v>97.286177168999998</v>
      </c>
      <c r="BB18" s="8">
        <v>97.286177168999998</v>
      </c>
      <c r="BC18" s="334">
        <v>97.286177168999998</v>
      </c>
      <c r="BD18" s="334">
        <v>97.286177168999998</v>
      </c>
      <c r="BE18" s="334">
        <v>97.286177168999998</v>
      </c>
      <c r="BF18" s="334">
        <v>97.286177168999998</v>
      </c>
      <c r="BG18" s="334">
        <v>97.286177168999998</v>
      </c>
      <c r="BH18" s="334">
        <v>97.286177168999998</v>
      </c>
      <c r="BI18" s="334">
        <v>97.286177168999998</v>
      </c>
      <c r="BJ18" s="334">
        <v>97.286177168999998</v>
      </c>
      <c r="BK18" s="334">
        <v>97.286177168999998</v>
      </c>
      <c r="BL18" s="334">
        <v>97.286177168999998</v>
      </c>
      <c r="BM18" s="334">
        <v>97.286177168999998</v>
      </c>
      <c r="BN18" s="376">
        <v>97.286177168999998</v>
      </c>
      <c r="BO18" s="334">
        <v>97.286177168999998</v>
      </c>
      <c r="BP18" s="334">
        <v>97.286177168999998</v>
      </c>
      <c r="BQ18" s="376">
        <v>97.286177168999998</v>
      </c>
      <c r="BR18" s="334">
        <v>97.286177168999998</v>
      </c>
      <c r="BS18" s="334">
        <v>97.286177168999998</v>
      </c>
      <c r="BT18" s="334">
        <v>97.286177168999998</v>
      </c>
      <c r="BU18" s="334">
        <v>97.286177168999998</v>
      </c>
      <c r="BV18" s="334">
        <v>97.286177168999998</v>
      </c>
      <c r="BW18" s="334">
        <v>97.286177168999998</v>
      </c>
      <c r="BX18" s="334">
        <v>97.286177168999998</v>
      </c>
      <c r="BY18" s="334">
        <v>97.286177168999998</v>
      </c>
      <c r="BZ18" s="334">
        <v>97.286177168999998</v>
      </c>
      <c r="CA18" s="334">
        <v>97.286177168999998</v>
      </c>
      <c r="CB18" s="334">
        <v>97.286177168999998</v>
      </c>
      <c r="CC18" s="334">
        <v>97.286177168999998</v>
      </c>
      <c r="CD18" s="334">
        <v>97.286177168999998</v>
      </c>
      <c r="CE18" s="334">
        <v>97.286177168999998</v>
      </c>
      <c r="CF18" s="334">
        <v>97.286177168999998</v>
      </c>
      <c r="CG18" s="334">
        <v>97.286177168999998</v>
      </c>
      <c r="CH18" s="334">
        <v>97.286177168999998</v>
      </c>
      <c r="CI18" s="334">
        <v>97.286177168999998</v>
      </c>
      <c r="CJ18" s="334">
        <v>97.286177168999998</v>
      </c>
      <c r="CK18" s="334">
        <v>97.286177168999998</v>
      </c>
      <c r="CL18" s="616">
        <v>97.286177168999998</v>
      </c>
      <c r="CM18" s="616">
        <v>97.286177168999998</v>
      </c>
      <c r="CN18" s="616">
        <v>97.286177168999998</v>
      </c>
      <c r="CO18" s="616">
        <v>97.286177168999998</v>
      </c>
      <c r="CP18" s="616">
        <v>97.286177168999998</v>
      </c>
      <c r="CQ18" s="616">
        <v>97.286177168999998</v>
      </c>
      <c r="CR18" s="616">
        <v>97.286177168999998</v>
      </c>
      <c r="CS18" s="616">
        <v>97.286177168999998</v>
      </c>
      <c r="CT18" s="616">
        <v>97.286177168999998</v>
      </c>
      <c r="CU18" s="616">
        <v>97.286177168999998</v>
      </c>
      <c r="CV18" s="616">
        <v>97.286177168999998</v>
      </c>
      <c r="CW18" s="240"/>
      <c r="CX18" s="284" t="s">
        <v>103</v>
      </c>
      <c r="CY18" s="300">
        <v>338.98</v>
      </c>
      <c r="CZ18" s="321">
        <v>300.18</v>
      </c>
      <c r="DA18" s="390">
        <v>303</v>
      </c>
      <c r="DB18" s="390">
        <v>299.74348114999987</v>
      </c>
      <c r="DC18" s="390">
        <v>300</v>
      </c>
      <c r="DD18" s="390">
        <v>313</v>
      </c>
      <c r="DE18" s="390">
        <v>355.19472672500012</v>
      </c>
      <c r="DF18" s="390">
        <v>347</v>
      </c>
      <c r="DG18" s="390">
        <v>278.22122847499998</v>
      </c>
      <c r="DH18" s="390">
        <v>244</v>
      </c>
      <c r="DI18" s="390">
        <v>284.3</v>
      </c>
      <c r="DJ18" s="390">
        <v>272</v>
      </c>
      <c r="DK18" s="390">
        <v>300.02</v>
      </c>
      <c r="DL18" s="390">
        <v>370.692158425</v>
      </c>
      <c r="DM18" s="390">
        <v>397.35</v>
      </c>
      <c r="DN18" s="390">
        <v>421.54128299999979</v>
      </c>
      <c r="DO18" s="390">
        <v>397.35</v>
      </c>
      <c r="DP18" s="390">
        <v>353</v>
      </c>
      <c r="DQ18" s="390">
        <v>320</v>
      </c>
      <c r="DR18" s="390">
        <v>309.398188275</v>
      </c>
      <c r="DS18" s="390">
        <v>310</v>
      </c>
      <c r="DT18" s="390">
        <v>265.94053377500001</v>
      </c>
      <c r="DU18" s="390">
        <v>328.29</v>
      </c>
      <c r="DV18" s="390">
        <v>338</v>
      </c>
      <c r="DW18" s="390">
        <v>371</v>
      </c>
      <c r="DX18" s="390">
        <v>350</v>
      </c>
      <c r="DY18" s="390">
        <v>349</v>
      </c>
      <c r="DZ18" s="708">
        <v>349</v>
      </c>
      <c r="EA18" s="708">
        <v>300</v>
      </c>
      <c r="EB18" s="708">
        <v>300</v>
      </c>
      <c r="EC18" s="708">
        <v>349</v>
      </c>
      <c r="ED18" s="708">
        <v>349</v>
      </c>
      <c r="EE18" s="708">
        <v>349</v>
      </c>
      <c r="EF18" s="708">
        <v>349</v>
      </c>
      <c r="EG18" s="708">
        <v>349</v>
      </c>
      <c r="EH18" s="21"/>
    </row>
    <row r="19" spans="2:142" x14ac:dyDescent="0.35">
      <c r="B19" s="753" t="s">
        <v>521</v>
      </c>
      <c r="D19" s="615" t="s">
        <v>104</v>
      </c>
      <c r="E19" s="4"/>
      <c r="F19" s="4"/>
      <c r="G19" s="4"/>
      <c r="H19" s="4"/>
      <c r="I19" s="4"/>
      <c r="J19" s="4"/>
      <c r="K19" s="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f>+Drewry!B3-'Fórmula Marzo 26'!AR18</f>
        <v>253.71382283100002</v>
      </c>
      <c r="AS19" s="8">
        <f>+Drewry!C3-'Fórmula Marzo 26'!AS18</f>
        <v>290.07745919463639</v>
      </c>
      <c r="AT19" s="8">
        <f>+Drewry!D3-'Fórmula Marzo 26'!AT18</f>
        <v>398.71382283100002</v>
      </c>
      <c r="AU19" s="8">
        <f>+Drewry!E3-'Fórmula Marzo 26'!AU18</f>
        <v>442.35018646736364</v>
      </c>
      <c r="AV19" s="8">
        <f>+Drewry!F3-'Fórmula Marzo 26'!AV18</f>
        <v>480.98655010372727</v>
      </c>
      <c r="AW19" s="8">
        <v>480.98655010372727</v>
      </c>
      <c r="AX19" s="8">
        <v>480.98655010372727</v>
      </c>
      <c r="AY19" s="8">
        <f>+Drewry!I3-'Fórmula Marzo 26'!AY18</f>
        <v>479.98655010372727</v>
      </c>
      <c r="AZ19" s="8">
        <v>480</v>
      </c>
      <c r="BA19" s="8">
        <v>480</v>
      </c>
      <c r="BB19" s="8">
        <v>452</v>
      </c>
      <c r="BC19" s="334">
        <v>383</v>
      </c>
      <c r="BD19" s="334">
        <f>+Drewry!N3-'Fórmula Marzo 26'!BD18</f>
        <v>383.62291374009095</v>
      </c>
      <c r="BE19" s="334">
        <f>+Drewry!O3-'Fórmula Marzo 26'!BE18</f>
        <v>399.07745919463639</v>
      </c>
      <c r="BF19" s="334">
        <f>+Drewry!P3-'Fórmula Marzo 26'!BF18</f>
        <v>399.07745919463639</v>
      </c>
      <c r="BG19" s="334">
        <f>+Drewry!Q3-'Fórmula Marzo 26'!BG18</f>
        <v>386.35018646736364</v>
      </c>
      <c r="BH19" s="334">
        <f>+Drewry!R3-'Fórmula Marzo 26'!BH18</f>
        <v>309.53200464918183</v>
      </c>
      <c r="BI19" s="334">
        <f>+Drewry!S3-'Fórmula Marzo 26'!BI18</f>
        <v>178.62291374009095</v>
      </c>
      <c r="BJ19" s="334">
        <f>+Drewry!T3-'Fórmula Marzo 26'!BJ18</f>
        <v>123.16836828554547</v>
      </c>
      <c r="BK19" s="334">
        <f>+Drewry!U3-'Fórmula Marzo 26'!BK18</f>
        <v>123.16836828554547</v>
      </c>
      <c r="BL19" s="334">
        <f>+IF(Drewry!V3-'Fórmula Marzo 26'!BL18&lt;0,0,Drewry!V3-'Fórmula Marzo 26'!BL18)</f>
        <v>24.986550103727268</v>
      </c>
      <c r="BM19" s="334">
        <f>+IF(Drewry!W3-'Fórmula Marzo 26'!BM18&lt;0,0,Drewry!W3-'Fórmula Marzo 26'!BM18)</f>
        <v>16.804731921909095</v>
      </c>
      <c r="BN19" s="376">
        <f>+IF(Drewry!X3-'Fórmula Marzo 26'!BN18&lt;0,0,Drewry!X3-'Fórmula Marzo 26'!BN18)</f>
        <v>0</v>
      </c>
      <c r="BO19" s="334">
        <f>+IF(Drewry!Y3-'Fórmula Marzo 26'!BO18&lt;0,0,Drewry!Y3-'Fórmula Marzo 26'!BO18)</f>
        <v>25.441095558272735</v>
      </c>
      <c r="BP19" s="334">
        <f>+IF(Drewry!Z3-'Fórmula Marzo 26'!BP18&lt;0,0,Drewry!Z3-'Fórmula Marzo 26'!BP18)</f>
        <v>46.032004649181815</v>
      </c>
      <c r="BQ19" s="376">
        <f>+IF(Drewry!AA3-'Fórmula Marzo 26'!BQ18&lt;0,0,Drewry!AA3-'Fórmula Marzo 26'!BQ18)</f>
        <v>33.304731921909095</v>
      </c>
      <c r="BR19" s="334">
        <f>+IF(Drewry!AB3-'Fórmula Marzo 26'!BR18&lt;0,0,Drewry!AB3-'Fórmula Marzo 26'!BR18)</f>
        <v>26.441095558272735</v>
      </c>
      <c r="BS19" s="334">
        <f>+IF(Drewry!AC3-'Fórmula Marzo 26'!BS18&lt;0,0,Drewry!AC3-'Fórmula Marzo 26'!BS18)</f>
        <v>55.850186467363628</v>
      </c>
      <c r="BT19" s="334">
        <f>+IF(Drewry!AD3-'Fórmula Marzo 26'!BT18&lt;0,0,Drewry!AD3-'Fórmula Marzo 26'!BT18)</f>
        <v>51.304731921909095</v>
      </c>
      <c r="BU19" s="334">
        <f>+IF(Drewry!AE3-'Fórmula Marzo 26'!BU18&lt;0,0,Drewry!AE3-'Fórmula Marzo 26'!BU18)</f>
        <v>32.168368285545469</v>
      </c>
      <c r="BV19" s="334">
        <f>+IF(Drewry!AF3-'Fórmula Marzo 26'!BV18&lt;0,0,Drewry!AF3-'Fórmula Marzo 26'!BV18)</f>
        <v>49.350186467363628</v>
      </c>
      <c r="BW19" s="334">
        <f>+IF(Drewry!AG3-'Fórmula Marzo 26'!BW18&lt;0,0,Drewry!AG3-'Fórmula Marzo 26'!BW18)</f>
        <v>65.622913740090908</v>
      </c>
      <c r="BX19" s="334">
        <f>+IF(Drewry!AG3-'Fórmula Marzo 26'!BX18&lt;0,0,Drewry!AG3-'Fórmula Marzo 26'!BX18)</f>
        <v>65.622913740090908</v>
      </c>
      <c r="BY19" s="334">
        <f>+IF(Drewry!AI3-'Fórmula Marzo 26'!BY18&lt;0,0,Drewry!AI3-'Fórmula Marzo 26'!BY18)</f>
        <v>68.577459194636376</v>
      </c>
      <c r="BZ19" s="334">
        <f>+IF(Drewry!AI3-'Fórmula Marzo 26'!BZ18&lt;0,0,Drewry!AI3-'Fórmula Marzo 26'!BZ18)</f>
        <v>68.577459194636376</v>
      </c>
      <c r="CA19" s="334">
        <f>+IF(Drewry!AK3-'Fórmula Marzo 26'!CA18&lt;0,0,Drewry!AK3-'Fórmula Marzo 26'!CA18)</f>
        <v>177.66836828554545</v>
      </c>
      <c r="CB19" s="334">
        <f>+IF(Drewry!AL3-'Fórmula Marzo 26'!CB18&lt;0,0,Drewry!AL3-'Fórmula Marzo 26'!CB18)</f>
        <v>292.94109555827276</v>
      </c>
      <c r="CC19" s="334">
        <f>+IF(Drewry!AM3-'Fórmula Marzo 26'!CC18&lt;0,0,Drewry!AM3-'Fórmula Marzo 26'!CC18)</f>
        <v>323.48655010372727</v>
      </c>
      <c r="CD19" s="334">
        <f>+IF(Drewry!AN3-'Fórmula Marzo 26'!CD18&lt;0,0,Drewry!AN3-'Fórmula Marzo 26'!CD18)</f>
        <v>224.80473192190908</v>
      </c>
      <c r="CE19" s="334">
        <f>+IF(Drewry!AO3-'Fórmula Marzo 26'!CE18&lt;0,0,Drewry!AO3-'Fórmula Marzo 26'!CE18)</f>
        <v>245.25927737645458</v>
      </c>
      <c r="CF19" s="334">
        <f>+IF(Drewry!AP3-'Fórmula Marzo 26'!CF18&lt;0,0,Drewry!AP3-'Fórmula Marzo 26'!CF18)</f>
        <v>168.57745919463639</v>
      </c>
      <c r="CG19" s="334">
        <f>+IF(Drewry!AQ3-'Fórmula Marzo 26'!CG18&lt;0,0,Drewry!AQ3-'Fórmula Marzo 26'!CG18)</f>
        <v>163.71382283100002</v>
      </c>
      <c r="CH19" s="334">
        <f>+IF(Drewry!AR3-'Fórmula Marzo 26'!CH18&lt;0,0,Drewry!AR3-'Fórmula Marzo 26'!CH18)</f>
        <v>116.35018646736363</v>
      </c>
      <c r="CI19" s="334">
        <f>+IF(Drewry!AS3-'Fórmula Marzo 26'!CI18&lt;0,0,Drewry!AS3-'Fórmula Marzo 26'!CI18)</f>
        <v>116.35018646736363</v>
      </c>
      <c r="CJ19" s="334">
        <f>+IF(Drewry!AT3-'Fórmula Marzo 26'!CJ18&lt;0,0,Drewry!AT3-'Fórmula Marzo 26'!CJ18)</f>
        <v>108.98655010372728</v>
      </c>
      <c r="CK19" s="334">
        <f>+IF(Drewry!AU3-'Fórmula Marzo 26'!CK18&lt;0,0,Drewry!AU3-'Fórmula Marzo 26'!CK18)</f>
        <v>64.941095558272721</v>
      </c>
      <c r="CL19" s="616">
        <f>+IF(Drewry!AV3-'Fórmula Marzo 26'!CL18&lt;0,0,Drewry!AV3-'Fórmula Marzo 26'!CL18)</f>
        <v>70.213822831000002</v>
      </c>
      <c r="CM19" s="616">
        <f>+IF(Drewry!AW3-'Fórmula Marzo 26'!CM18&lt;0,0,Drewry!AW3-'Fórmula Marzo 26'!CM18)</f>
        <v>48.850186467363628</v>
      </c>
      <c r="CN19" s="616">
        <f>+IF(Drewry!AX3-'Fórmula Marzo 26'!CN18&lt;0,0,Drewry!AX3-'Fórmula Marzo 26'!CN18)</f>
        <v>51.259277376454534</v>
      </c>
      <c r="CO19" s="616">
        <f>+IF(Drewry!AY3-'Fórmula Marzo 26'!CO18&lt;0,0,Drewry!AY3-'Fórmula Marzo 26'!CO18)</f>
        <v>262.8956410128182</v>
      </c>
      <c r="CP19" s="616">
        <f>+IF(Drewry!AZ3-'Fórmula Marzo 26'!CP18&lt;0,0,Drewry!AZ3-'Fórmula Marzo 26'!CP18)</f>
        <v>162.75927737645458</v>
      </c>
      <c r="CQ19" s="616">
        <f>+IF(Drewry!BA3-'Fórmula Marzo 26'!CQ18&lt;0,0,Drewry!BA3-'Fórmula Marzo 26'!CQ18)</f>
        <v>153.07745919463639</v>
      </c>
      <c r="CR19" s="616">
        <f>+IF(Drewry!BB3-'Fórmula Marzo 26'!CR18&lt;0,0,Drewry!BB3-'Fórmula Marzo 26'!CR18)</f>
        <v>137.16836828554545</v>
      </c>
      <c r="CS19" s="616">
        <f>+IF(Drewry!BC3-'Fórmula Marzo 26'!CS18&lt;0,0,Drewry!BC3-'Fórmula Marzo 26'!CS18)</f>
        <v>76.077459194636376</v>
      </c>
      <c r="CT19" s="616">
        <f>+IF(Drewry!BD3-'Fórmula Marzo 26'!CT18&lt;0,0,Drewry!BD3-'Fórmula Marzo 26'!CT18)</f>
        <v>64.850186467363628</v>
      </c>
      <c r="CU19" s="616">
        <f>+IF(Drewry!BE3-'Fórmula Marzo 26'!CU18&lt;0,0,Drewry!BE3-'Fórmula Marzo 26'!CU18)</f>
        <v>39.668368285545469</v>
      </c>
      <c r="CV19" s="616">
        <f>+IF(Drewry!BF3-'Fórmula Marzo 26'!CV18&lt;0,0,Drewry!BF3-'Fórmula Marzo 26'!CV18)</f>
        <v>6.3047319219090951</v>
      </c>
      <c r="CW19" s="240"/>
      <c r="CX19" s="284" t="s">
        <v>105</v>
      </c>
      <c r="CY19" s="321">
        <v>455.56748225000001</v>
      </c>
      <c r="CZ19" s="321">
        <v>551.38748224999995</v>
      </c>
      <c r="DA19" s="390">
        <v>361.38748224999995</v>
      </c>
      <c r="DB19" s="390">
        <v>321.64400110000008</v>
      </c>
      <c r="DC19" s="390">
        <v>392.25651885000013</v>
      </c>
      <c r="DD19" s="390">
        <v>392.25651885000013</v>
      </c>
      <c r="DE19" s="390">
        <v>350.06179212500001</v>
      </c>
      <c r="DF19" s="390">
        <f t="shared" ref="DF19" si="9">+(DF16+DF17-DF18)</f>
        <v>316.06179212500001</v>
      </c>
      <c r="DG19" s="390">
        <f t="shared" ref="DG19:DH19" si="10">+(DG16+DG17-DG18)</f>
        <v>350.84056365000004</v>
      </c>
      <c r="DH19" s="390">
        <f t="shared" si="10"/>
        <v>419.84056365000004</v>
      </c>
      <c r="DI19" s="390">
        <f t="shared" ref="DI19:DJ19" si="11">+(DI16+DI17-DI18)</f>
        <v>379.54056365000002</v>
      </c>
      <c r="DJ19" s="390">
        <f t="shared" si="11"/>
        <v>307.54056364999997</v>
      </c>
      <c r="DK19" s="390">
        <f t="shared" ref="DK19:DL19" si="12">+(DK16+DK17-DK18)</f>
        <v>307.52056364999999</v>
      </c>
      <c r="DL19" s="390">
        <f t="shared" si="12"/>
        <v>236.82840522499998</v>
      </c>
      <c r="DM19" s="390">
        <f t="shared" ref="DM19:DN19" si="13">+(DM16+DM17-DM18)</f>
        <v>139.47840522499996</v>
      </c>
      <c r="DN19" s="390">
        <f t="shared" si="13"/>
        <v>217.93712222500017</v>
      </c>
      <c r="DO19" s="390">
        <f t="shared" ref="DO19:DP19" si="14">+(DO16+DO17-DO18)</f>
        <v>120.58712222500014</v>
      </c>
      <c r="DP19" s="390">
        <f t="shared" si="14"/>
        <v>317.58712222500014</v>
      </c>
      <c r="DQ19" s="390">
        <f t="shared" ref="DQ19:DR19" si="15">+(DQ16+DQ17-DQ18)</f>
        <v>297.58712222500014</v>
      </c>
      <c r="DR19" s="390">
        <f t="shared" si="15"/>
        <v>388.18893395000015</v>
      </c>
      <c r="DS19" s="390">
        <f t="shared" ref="DS19:DT19" si="16">+(DS16+DS17-DS18)</f>
        <v>178.18893395000015</v>
      </c>
      <c r="DT19" s="390">
        <f t="shared" si="16"/>
        <v>527.24840017500014</v>
      </c>
      <c r="DU19" s="390">
        <f t="shared" ref="DU19:DV19" si="17">+(DU16+DU17-DU18)</f>
        <v>551.95840017500018</v>
      </c>
      <c r="DV19" s="390">
        <f t="shared" si="17"/>
        <v>566.95840017500018</v>
      </c>
      <c r="DW19" s="390">
        <f t="shared" ref="DW19:DX19" si="18">+(DW16+DW17-DW18)</f>
        <v>548.95840017500018</v>
      </c>
      <c r="DX19" s="390">
        <f t="shared" si="18"/>
        <v>448.95840017500018</v>
      </c>
      <c r="DY19" s="390">
        <f t="shared" ref="DY19:DZ19" si="19">+(DY16+DY17-DY18)</f>
        <v>299.95840017500018</v>
      </c>
      <c r="DZ19" s="708">
        <f t="shared" si="19"/>
        <v>400.95840017500018</v>
      </c>
      <c r="EA19" s="708">
        <f t="shared" ref="EA19:EB19" si="20">+(EA16+EA17-EA18)</f>
        <v>600.95840017500018</v>
      </c>
      <c r="EB19" s="708">
        <f t="shared" si="20"/>
        <v>800.95840017500018</v>
      </c>
      <c r="EC19" s="708">
        <f t="shared" ref="EC19:ED19" si="21">+(EC16+EC17-EC18)</f>
        <v>751.95840017500018</v>
      </c>
      <c r="ED19" s="708">
        <f t="shared" si="21"/>
        <v>602.95840017500018</v>
      </c>
      <c r="EE19" s="708">
        <f t="shared" ref="EE19:EF19" si="22">+(EE16+EE17-EE18)</f>
        <v>453.95840017500018</v>
      </c>
      <c r="EF19" s="708">
        <f t="shared" si="22"/>
        <v>304.95840017500018</v>
      </c>
      <c r="EG19" s="708">
        <f t="shared" ref="EG19" si="23">+(EG16+EG17-EG18)</f>
        <v>155.95840017500018</v>
      </c>
      <c r="EH19" s="393"/>
      <c r="EI19" s="393"/>
      <c r="EJ19" s="393"/>
      <c r="EK19" s="393"/>
    </row>
    <row r="20" spans="2:142" x14ac:dyDescent="0.35">
      <c r="B20" s="753" t="s">
        <v>522</v>
      </c>
      <c r="D20" s="617" t="s">
        <v>106</v>
      </c>
      <c r="E20" s="4">
        <f t="shared" ref="E20:AQ20" si="24">SUM(E16:E18)</f>
        <v>1454.4342465753425</v>
      </c>
      <c r="F20" s="4">
        <f t="shared" si="24"/>
        <v>1403.1397260273973</v>
      </c>
      <c r="G20" s="4">
        <f t="shared" si="24"/>
        <v>1402.5036791020548</v>
      </c>
      <c r="H20" s="4">
        <f t="shared" si="24"/>
        <v>1398.5232191780822</v>
      </c>
      <c r="I20" s="4">
        <f t="shared" si="24"/>
        <v>1454.4342465753425</v>
      </c>
      <c r="J20" s="4">
        <f t="shared" si="24"/>
        <v>1389.0337328767123</v>
      </c>
      <c r="K20" s="4">
        <f t="shared" si="24"/>
        <v>1244.1267123287671</v>
      </c>
      <c r="L20" s="4">
        <f t="shared" si="24"/>
        <v>1185.205140983411</v>
      </c>
      <c r="M20" s="4">
        <f t="shared" si="24"/>
        <v>1161.264698630137</v>
      </c>
      <c r="N20" s="4">
        <f t="shared" si="24"/>
        <v>1205.2538287671232</v>
      </c>
      <c r="O20" s="4">
        <f t="shared" si="24"/>
        <v>1224.6607979452056</v>
      </c>
      <c r="P20" s="4">
        <f t="shared" si="24"/>
        <v>1229.8359897260275</v>
      </c>
      <c r="Q20" s="4">
        <f t="shared" si="24"/>
        <v>1129.6960287671234</v>
      </c>
      <c r="R20" s="4">
        <f t="shared" si="24"/>
        <v>1048.7042773972603</v>
      </c>
      <c r="S20" s="4">
        <f t="shared" si="24"/>
        <v>1090.757890983411</v>
      </c>
      <c r="T20" s="4">
        <f t="shared" si="24"/>
        <v>1010.149098630137</v>
      </c>
      <c r="U20" s="4">
        <f t="shared" si="24"/>
        <v>989.18957191780817</v>
      </c>
      <c r="V20" s="4">
        <f t="shared" si="24"/>
        <v>960.43221917808216</v>
      </c>
      <c r="W20" s="4">
        <f t="shared" si="24"/>
        <v>949.11682534246575</v>
      </c>
      <c r="X20" s="4">
        <f t="shared" si="24"/>
        <v>956.76749190108217</v>
      </c>
      <c r="Y20" s="4">
        <f t="shared" si="24"/>
        <v>974.90086210050686</v>
      </c>
      <c r="Z20" s="4">
        <f t="shared" si="24"/>
        <v>974.90086210050686</v>
      </c>
      <c r="AA20" s="4">
        <f t="shared" si="24"/>
        <v>867.04045505638351</v>
      </c>
      <c r="AB20" s="4">
        <f t="shared" si="24"/>
        <v>781.39643744297257</v>
      </c>
      <c r="AC20" s="4">
        <f t="shared" si="24"/>
        <v>835.97457627118649</v>
      </c>
      <c r="AD20" s="4">
        <f t="shared" si="24"/>
        <v>796.43748930295885</v>
      </c>
      <c r="AE20" s="4">
        <f t="shared" si="24"/>
        <v>815.32203389830488</v>
      </c>
      <c r="AF20" s="4">
        <f t="shared" si="24"/>
        <v>805.58972560432869</v>
      </c>
      <c r="AG20" s="4">
        <f t="shared" si="24"/>
        <v>810.2033898305084</v>
      </c>
      <c r="AH20" s="4">
        <f t="shared" si="24"/>
        <v>785.58031689502741</v>
      </c>
      <c r="AI20" s="4">
        <f t="shared" si="24"/>
        <v>773.55166347036982</v>
      </c>
      <c r="AJ20" s="4">
        <f t="shared" si="24"/>
        <v>775.51809204268488</v>
      </c>
      <c r="AK20" s="4">
        <f t="shared" si="24"/>
        <v>767.27584429228762</v>
      </c>
      <c r="AL20" s="4">
        <f t="shared" si="24"/>
        <v>774.21062448406849</v>
      </c>
      <c r="AM20" s="4">
        <f t="shared" si="24"/>
        <v>842.06268949776711</v>
      </c>
      <c r="AN20" s="4">
        <f t="shared" si="24"/>
        <v>921.95386763475335</v>
      </c>
      <c r="AO20" s="4">
        <f t="shared" si="24"/>
        <v>1017.3986176347534</v>
      </c>
      <c r="AP20" s="4">
        <f t="shared" si="24"/>
        <v>1161.8679751142054</v>
      </c>
      <c r="AQ20" s="4">
        <f t="shared" si="24"/>
        <v>1100.4172456621507</v>
      </c>
      <c r="AR20" s="4">
        <f>SUM(AR16:AR19)</f>
        <v>1307.0299838990429</v>
      </c>
      <c r="AS20" s="4">
        <f>SUM(AS16:AS19)</f>
        <v>1330.8936202626792</v>
      </c>
      <c r="AT20" s="4">
        <f>SUM(AT16:AT19)</f>
        <v>1480.2533882499531</v>
      </c>
      <c r="AU20" s="4">
        <f>SUM(AU16:AU19)</f>
        <v>1530.1397518863168</v>
      </c>
      <c r="AV20" s="4">
        <f>SUM(AV16:AV19)</f>
        <v>1555.3419762333576</v>
      </c>
      <c r="AW20" s="4">
        <v>1707.1630448076314</v>
      </c>
      <c r="AX20" s="4">
        <v>1721.7261447905355</v>
      </c>
      <c r="AY20" s="4">
        <f>SUM(AY16:AY19)</f>
        <v>1630.7754387712448</v>
      </c>
      <c r="AZ20" s="4">
        <v>1741</v>
      </c>
      <c r="BA20" s="4">
        <v>1736</v>
      </c>
      <c r="BB20" s="4">
        <v>1709</v>
      </c>
      <c r="BC20" s="335">
        <v>1701</v>
      </c>
      <c r="BD20" s="335">
        <f t="shared" ref="BD20:BI20" si="25">SUM(BD16:BD19)</f>
        <v>1729.1532924288883</v>
      </c>
      <c r="BE20" s="335">
        <f t="shared" si="25"/>
        <v>1763.8510681226908</v>
      </c>
      <c r="BF20" s="335">
        <f t="shared" si="25"/>
        <v>1650.95745071905</v>
      </c>
      <c r="BG20" s="335">
        <f t="shared" si="25"/>
        <v>1608.7238916249166</v>
      </c>
      <c r="BH20" s="335">
        <f t="shared" si="25"/>
        <v>1482.3864639910473</v>
      </c>
      <c r="BI20" s="335">
        <f t="shared" si="25"/>
        <v>1277.2036358864887</v>
      </c>
      <c r="BJ20" s="335">
        <f t="shared" ref="BJ20:BK20" si="26">SUM(BJ16:BJ19)</f>
        <v>1158.9897355504359</v>
      </c>
      <c r="BK20" s="335">
        <f t="shared" si="26"/>
        <v>1151.1468230983812</v>
      </c>
      <c r="BL20" s="335">
        <f t="shared" ref="BL20:BM20" si="27">SUM(BL16:BL19)</f>
        <v>1112.8075567487124</v>
      </c>
      <c r="BM20" s="335">
        <f t="shared" si="27"/>
        <v>1128.4287370410959</v>
      </c>
      <c r="BN20" s="377">
        <f t="shared" ref="BN20:BO20" si="28">SUM(BN16:BN19)</f>
        <v>1126.5414897793676</v>
      </c>
      <c r="BO20" s="335">
        <f t="shared" si="28"/>
        <v>1193.6675088013699</v>
      </c>
      <c r="BP20" s="335">
        <f t="shared" ref="BP20:BQ20" si="29">SUM(BP16:BP19)</f>
        <v>1130.5439856288717</v>
      </c>
      <c r="BQ20" s="377">
        <f t="shared" si="29"/>
        <v>1058.5607164742216</v>
      </c>
      <c r="BR20" s="335">
        <f t="shared" ref="BR20:BS20" si="30">SUM(BR16:BR19)</f>
        <v>1047.987939196513</v>
      </c>
      <c r="BS20" s="335">
        <f t="shared" si="30"/>
        <v>1089.447481555168</v>
      </c>
      <c r="BT20" s="335">
        <f t="shared" ref="BT20:BU20" si="31">SUM(BT16:BT19)</f>
        <v>1094.8883040194271</v>
      </c>
      <c r="BU20" s="335">
        <f t="shared" si="31"/>
        <v>1055.281967565629</v>
      </c>
      <c r="BV20" s="335">
        <f t="shared" ref="BV20:BW20" si="32">SUM(BV16:BV19)</f>
        <v>1047.0103826291406</v>
      </c>
      <c r="BW20" s="335">
        <f t="shared" si="32"/>
        <v>1061.9167319210112</v>
      </c>
      <c r="BX20" s="335">
        <f t="shared" ref="BX20:BY20" si="33">SUM(BX16:BX19)</f>
        <v>1089.0846190511481</v>
      </c>
      <c r="BY20" s="335">
        <f t="shared" si="33"/>
        <v>1109.8611137215441</v>
      </c>
      <c r="BZ20" s="335">
        <f t="shared" ref="BZ20:CA20" si="34">SUM(BZ16:BZ19)</f>
        <v>1109.8611137215441</v>
      </c>
      <c r="CA20" s="335">
        <f t="shared" si="34"/>
        <v>1225.4097534154969</v>
      </c>
      <c r="CB20" s="335">
        <f t="shared" ref="CB20:CC20" si="35">SUM(CB16:CB19)</f>
        <v>1332.108537169365</v>
      </c>
      <c r="CC20" s="335">
        <f t="shared" si="35"/>
        <v>1364.6745668005528</v>
      </c>
      <c r="CD20" s="335">
        <f t="shared" ref="CD20:CE20" si="36">SUM(CD16:CD19)</f>
        <v>1272.6847683485678</v>
      </c>
      <c r="CE20" s="335">
        <f t="shared" si="36"/>
        <v>1270.809227902366</v>
      </c>
      <c r="CF20" s="335">
        <f t="shared" ref="CF20:CG20" si="37">SUM(CF16:CF19)</f>
        <v>1129.0753486134495</v>
      </c>
      <c r="CG20" s="335">
        <f t="shared" si="37"/>
        <v>1152.1991004438355</v>
      </c>
      <c r="CH20" s="335">
        <f t="shared" ref="CH20:CI20" si="38">SUM(CH16:CH19)</f>
        <v>1051.6677347085927</v>
      </c>
      <c r="CI20" s="335">
        <f t="shared" si="38"/>
        <v>1040.0243545099627</v>
      </c>
      <c r="CJ20" s="335">
        <f t="shared" ref="CJ20:CK20" si="39">SUM(CJ16:CJ19)</f>
        <v>1040.9417117377336</v>
      </c>
      <c r="CK20" s="335">
        <f t="shared" si="39"/>
        <v>999.10786995336241</v>
      </c>
      <c r="CL20" s="618">
        <f t="shared" ref="CL20:CM20" si="40">SUM(CL16:CL19)</f>
        <v>987.09989906164378</v>
      </c>
      <c r="CM20" s="618">
        <f t="shared" si="40"/>
        <v>922.94369806818179</v>
      </c>
      <c r="CN20" s="618">
        <f t="shared" ref="CN20:CO20" si="41">SUM(CN16:CN19)</f>
        <v>955.83918737683678</v>
      </c>
      <c r="CO20" s="618">
        <f t="shared" si="41"/>
        <v>1193.6346462011832</v>
      </c>
      <c r="CP20" s="618">
        <f t="shared" ref="CP20:CQ20" si="42">SUM(CP16:CP19)</f>
        <v>1078.353421244645</v>
      </c>
      <c r="CQ20" s="618">
        <f t="shared" si="42"/>
        <v>1060.1826915407223</v>
      </c>
      <c r="CR20" s="618">
        <f t="shared" ref="CR20:CS20" si="43">SUM(CR16:CR19)</f>
        <v>1034.4026012423412</v>
      </c>
      <c r="CS20" s="618">
        <f t="shared" si="43"/>
        <v>957.72094579277712</v>
      </c>
      <c r="CT20" s="618">
        <f t="shared" ref="CT20:CU20" si="44">SUM(CT16:CT19)</f>
        <v>942.73744440585301</v>
      </c>
      <c r="CU20" s="618">
        <f t="shared" si="44"/>
        <v>924.43734381083436</v>
      </c>
      <c r="CV20" s="618">
        <f t="shared" ref="CV20" si="45">SUM(CV16:CV19)</f>
        <v>956.99882100066009</v>
      </c>
      <c r="CW20" s="241"/>
      <c r="CX20" s="284"/>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709"/>
      <c r="EA20" s="709"/>
      <c r="EB20" s="709"/>
      <c r="EC20" s="709"/>
      <c r="ED20" s="709"/>
      <c r="EE20" s="709"/>
      <c r="EF20" s="709"/>
      <c r="EG20" s="709"/>
    </row>
    <row r="21" spans="2:142" x14ac:dyDescent="0.35">
      <c r="B21" s="753" t="s">
        <v>523</v>
      </c>
      <c r="D21" s="748" t="s">
        <v>107</v>
      </c>
      <c r="E21" s="749"/>
      <c r="F21" s="749"/>
      <c r="G21" s="749"/>
      <c r="H21" s="749"/>
      <c r="I21" s="749"/>
      <c r="J21" s="749"/>
      <c r="K21" s="749"/>
      <c r="L21" s="749"/>
      <c r="M21" s="749"/>
      <c r="N21" s="749"/>
      <c r="O21" s="749"/>
      <c r="P21" s="749"/>
      <c r="Q21" s="749"/>
      <c r="R21" s="749"/>
      <c r="S21" s="749"/>
      <c r="T21" s="749"/>
      <c r="U21" s="749"/>
      <c r="V21" s="749"/>
      <c r="W21" s="749"/>
      <c r="X21" s="749"/>
      <c r="Y21" s="749"/>
      <c r="Z21" s="749"/>
      <c r="AA21" s="749"/>
      <c r="AB21" s="749"/>
      <c r="AC21" s="749"/>
      <c r="AD21" s="749"/>
      <c r="AE21" s="749"/>
      <c r="AF21" s="749"/>
      <c r="AG21" s="749"/>
      <c r="AH21" s="749"/>
      <c r="AI21" s="749"/>
      <c r="AJ21" s="749"/>
      <c r="AK21" s="749"/>
      <c r="AL21" s="749"/>
      <c r="AM21" s="749"/>
      <c r="AN21" s="749"/>
      <c r="AO21" s="749"/>
      <c r="AP21" s="749"/>
      <c r="AQ21" s="749"/>
      <c r="AR21" s="749">
        <f>+SUM(AR16:AR18)</f>
        <v>1053.3161610680429</v>
      </c>
      <c r="AS21" s="749">
        <f>+SUM(AS16:AS18)</f>
        <v>1040.8161610680429</v>
      </c>
      <c r="AT21" s="749">
        <f>+SUM(AT16:AT18)</f>
        <v>1081.5395654189531</v>
      </c>
      <c r="AU21" s="749">
        <f>+SUM(AU16:AU18)</f>
        <v>1087.7895654189531</v>
      </c>
      <c r="AV21" s="749">
        <f>+SUM(AV16:AV18)</f>
        <v>1074.3554261296304</v>
      </c>
      <c r="AW21" s="749">
        <v>1226.1764947039042</v>
      </c>
      <c r="AX21" s="749">
        <v>1240.7395946868082</v>
      </c>
      <c r="AY21" s="749">
        <f>+SUM(AY16:AY18)</f>
        <v>1150.7888886675175</v>
      </c>
      <c r="AZ21" s="749">
        <v>1261</v>
      </c>
      <c r="BA21" s="749">
        <v>1256</v>
      </c>
      <c r="BB21" s="749">
        <v>1257</v>
      </c>
      <c r="BC21" s="750">
        <v>1317</v>
      </c>
      <c r="BD21" s="750">
        <f t="shared" ref="BD21:BI21" si="46">+SUM(BD16:BD18)</f>
        <v>1345.5303786887973</v>
      </c>
      <c r="BE21" s="750">
        <f t="shared" si="46"/>
        <v>1364.7736089280543</v>
      </c>
      <c r="BF21" s="750">
        <f t="shared" si="46"/>
        <v>1251.8799915244138</v>
      </c>
      <c r="BG21" s="750">
        <f t="shared" si="46"/>
        <v>1222.3737051575531</v>
      </c>
      <c r="BH21" s="750">
        <f t="shared" si="46"/>
        <v>1172.8544593418655</v>
      </c>
      <c r="BI21" s="750">
        <f t="shared" si="46"/>
        <v>1098.5807221463976</v>
      </c>
      <c r="BJ21" s="750">
        <f t="shared" ref="BJ21:BK21" si="47">+SUM(BJ16:BJ18)</f>
        <v>1035.8213672648903</v>
      </c>
      <c r="BK21" s="750">
        <f t="shared" si="47"/>
        <v>1027.9784548128357</v>
      </c>
      <c r="BL21" s="750">
        <f t="shared" ref="BL21:BM21" si="48">+SUM(BL16:BL18)</f>
        <v>1087.8210066449851</v>
      </c>
      <c r="BM21" s="750">
        <f t="shared" si="48"/>
        <v>1111.6240051191869</v>
      </c>
      <c r="BN21" s="751">
        <f t="shared" ref="BN21:BO21" si="49">+SUM(BN16:BN18)</f>
        <v>1126.5414897793676</v>
      </c>
      <c r="BO21" s="750">
        <f t="shared" si="49"/>
        <v>1168.2264132430971</v>
      </c>
      <c r="BP21" s="750">
        <f t="shared" ref="BP21:BQ21" si="50">+SUM(BP16:BP18)</f>
        <v>1084.51198097969</v>
      </c>
      <c r="BQ21" s="751">
        <f t="shared" si="50"/>
        <v>1025.2559845523126</v>
      </c>
      <c r="BR21" s="750">
        <f t="shared" ref="BR21:BS21" si="51">+SUM(BR16:BR18)</f>
        <v>1021.5468436382404</v>
      </c>
      <c r="BS21" s="750">
        <f t="shared" si="51"/>
        <v>1033.5972950878045</v>
      </c>
      <c r="BT21" s="750">
        <f t="shared" ref="BT21:BU21" si="52">+SUM(BT16:BT18)</f>
        <v>1043.5835720975181</v>
      </c>
      <c r="BU21" s="750">
        <f t="shared" si="52"/>
        <v>1023.1135992800835</v>
      </c>
      <c r="BV21" s="750">
        <f t="shared" ref="BV21:BW21" si="53">+SUM(BV16:BV18)</f>
        <v>997.66019616177709</v>
      </c>
      <c r="BW21" s="750">
        <f t="shared" si="53"/>
        <v>996.29381818092031</v>
      </c>
      <c r="BX21" s="750">
        <f t="shared" ref="BX21:BY21" si="54">+SUM(BX16:BX18)</f>
        <v>1023.4617053110572</v>
      </c>
      <c r="BY21" s="750">
        <f t="shared" si="54"/>
        <v>1041.2836545269079</v>
      </c>
      <c r="BZ21" s="750">
        <f t="shared" ref="BZ21:CA21" si="55">+SUM(BZ16:BZ18)</f>
        <v>1041.2836545269079</v>
      </c>
      <c r="CA21" s="750">
        <f t="shared" si="55"/>
        <v>1047.7413851299514</v>
      </c>
      <c r="CB21" s="750">
        <f t="shared" ref="CB21:CC21" si="56">+SUM(CB16:CB18)</f>
        <v>1039.1674416110923</v>
      </c>
      <c r="CC21" s="750">
        <f t="shared" si="56"/>
        <v>1041.1880166968256</v>
      </c>
      <c r="CD21" s="750">
        <f t="shared" ref="CD21:CE21" si="57">+SUM(CD16:CD18)</f>
        <v>1047.8800364266588</v>
      </c>
      <c r="CE21" s="750">
        <f t="shared" si="57"/>
        <v>1025.5499505259115</v>
      </c>
      <c r="CF21" s="750">
        <f t="shared" ref="CF21:CG21" si="58">+SUM(CF16:CF18)</f>
        <v>960.4978894188132</v>
      </c>
      <c r="CG21" s="750">
        <f t="shared" si="58"/>
        <v>988.4852776128356</v>
      </c>
      <c r="CH21" s="750">
        <f t="shared" ref="CH21:CI21" si="59">+SUM(CH16:CH18)</f>
        <v>935.31754824122913</v>
      </c>
      <c r="CI21" s="750">
        <f t="shared" si="59"/>
        <v>923.67416804259904</v>
      </c>
      <c r="CJ21" s="750">
        <f t="shared" ref="CJ21:CK21" si="60">+SUM(CJ16:CJ18)</f>
        <v>931.95516163400623</v>
      </c>
      <c r="CK21" s="750">
        <f t="shared" si="60"/>
        <v>934.16677439508965</v>
      </c>
      <c r="CL21" s="752">
        <f t="shared" ref="CL21:CM21" si="61">+SUM(CL16:CL18)</f>
        <v>916.88607623064377</v>
      </c>
      <c r="CM21" s="752">
        <f t="shared" si="61"/>
        <v>874.09351160081815</v>
      </c>
      <c r="CN21" s="752">
        <f t="shared" ref="CN21:CO21" si="62">+SUM(CN16:CN18)</f>
        <v>904.57991000038226</v>
      </c>
      <c r="CO21" s="752">
        <f t="shared" si="62"/>
        <v>930.7390051883649</v>
      </c>
      <c r="CP21" s="752">
        <f t="shared" ref="CP21:CQ21" si="63">+SUM(CP16:CP18)</f>
        <v>915.59414386819049</v>
      </c>
      <c r="CQ21" s="752">
        <f t="shared" si="63"/>
        <v>907.10523234608593</v>
      </c>
      <c r="CR21" s="752">
        <f t="shared" ref="CR21:CS21" si="64">+SUM(CR16:CR18)</f>
        <v>897.23423295679572</v>
      </c>
      <c r="CS21" s="752">
        <f t="shared" si="64"/>
        <v>881.64348659814073</v>
      </c>
      <c r="CT21" s="752">
        <f t="shared" ref="CT21:CU21" si="65">+SUM(CT16:CT18)</f>
        <v>877.88725793848937</v>
      </c>
      <c r="CU21" s="752">
        <f t="shared" si="65"/>
        <v>884.76897552528885</v>
      </c>
      <c r="CV21" s="752">
        <f t="shared" ref="CV21" si="66">+SUM(CV16:CV18)</f>
        <v>950.69408907875095</v>
      </c>
      <c r="CW21" s="241"/>
      <c r="CX21" s="284" t="s">
        <v>108</v>
      </c>
      <c r="CY21" s="370">
        <v>1258.491866707127</v>
      </c>
      <c r="CZ21" s="370">
        <v>1267.0143376361973</v>
      </c>
      <c r="DA21" s="370">
        <v>1304.1208334640173</v>
      </c>
      <c r="DB21" s="370">
        <v>1298.9692885147945</v>
      </c>
      <c r="DC21" s="370">
        <v>1254.8428525614802</v>
      </c>
      <c r="DD21" s="370">
        <v>1215.9045352417124</v>
      </c>
      <c r="DE21" s="370">
        <v>1220.6546814110968</v>
      </c>
      <c r="DF21" s="370">
        <f t="shared" ref="DF21:DH21" si="67">+DE24</f>
        <v>1226.1866522264747</v>
      </c>
      <c r="DG21" s="370">
        <f t="shared" si="67"/>
        <v>1209.0551584269829</v>
      </c>
      <c r="DH21" s="370">
        <f t="shared" si="67"/>
        <v>1194.1871579510785</v>
      </c>
      <c r="DI21" s="370">
        <f>+DG24</f>
        <v>1194.1871579510785</v>
      </c>
      <c r="DJ21" s="370">
        <f>+DH24</f>
        <v>1203.3753896982651</v>
      </c>
      <c r="DK21" s="370">
        <f t="shared" ref="DK21:EA21" si="68">+DJ24</f>
        <v>1225.54462078749</v>
      </c>
      <c r="DL21" s="370">
        <f t="shared" si="68"/>
        <v>1246.3188446831111</v>
      </c>
      <c r="DM21" s="370">
        <f t="shared" si="68"/>
        <v>1317.0024167853026</v>
      </c>
      <c r="DN21" s="370">
        <f t="shared" si="68"/>
        <v>1419.7186546650141</v>
      </c>
      <c r="DO21" s="370">
        <f t="shared" si="68"/>
        <v>1509.9821039091423</v>
      </c>
      <c r="DP21" s="370">
        <f t="shared" si="68"/>
        <v>1468.930215646893</v>
      </c>
      <c r="DQ21" s="370">
        <f t="shared" si="68"/>
        <v>1441.3901886717804</v>
      </c>
      <c r="DR21" s="370">
        <f t="shared" si="68"/>
        <v>1363.6378209264894</v>
      </c>
      <c r="DS21" s="370">
        <f t="shared" si="68"/>
        <v>1331.6466501380658</v>
      </c>
      <c r="DT21" s="370">
        <f t="shared" si="68"/>
        <v>1304.2777885746743</v>
      </c>
      <c r="DU21" s="370">
        <f t="shared" si="68"/>
        <v>1211.7009226258197</v>
      </c>
      <c r="DV21" s="370">
        <f t="shared" si="68"/>
        <v>1201.5962051573779</v>
      </c>
      <c r="DW21" s="370">
        <f t="shared" si="68"/>
        <v>1178.6438201323385</v>
      </c>
      <c r="DX21" s="370">
        <f t="shared" si="68"/>
        <v>1159.5043426924331</v>
      </c>
      <c r="DY21" s="370">
        <f t="shared" si="68"/>
        <v>1169.9781021941997</v>
      </c>
      <c r="DZ21" s="710">
        <f t="shared" si="68"/>
        <v>1188.462432983202</v>
      </c>
      <c r="EA21" s="710">
        <f t="shared" si="68"/>
        <v>1364.4350559233303</v>
      </c>
      <c r="EB21" s="710">
        <f t="shared" ref="EB21:EG21" si="69">+EA24</f>
        <v>1286.7632895323181</v>
      </c>
      <c r="EC21" s="710">
        <f t="shared" si="69"/>
        <v>1249.5027202502913</v>
      </c>
      <c r="ED21" s="710">
        <f t="shared" si="69"/>
        <v>1229.7082723501064</v>
      </c>
      <c r="EE21" s="710">
        <f t="shared" si="69"/>
        <v>1201.4273245732036</v>
      </c>
      <c r="EF21" s="710">
        <f t="shared" si="69"/>
        <v>1170.9491189896669</v>
      </c>
      <c r="EG21" s="710">
        <f t="shared" si="69"/>
        <v>1137.1396232839734</v>
      </c>
    </row>
    <row r="22" spans="2:142" x14ac:dyDescent="0.35">
      <c r="B22" s="753" t="s">
        <v>524</v>
      </c>
      <c r="D22" s="617" t="s">
        <v>109</v>
      </c>
      <c r="E22" s="4">
        <f t="shared" ref="E22:AT22" si="70">+E20*0.1</f>
        <v>145.44342465753425</v>
      </c>
      <c r="F22" s="4">
        <f t="shared" si="70"/>
        <v>140.31397260273974</v>
      </c>
      <c r="G22" s="4">
        <f t="shared" si="70"/>
        <v>140.25036791020548</v>
      </c>
      <c r="H22" s="4">
        <f t="shared" si="70"/>
        <v>139.85232191780821</v>
      </c>
      <c r="I22" s="4">
        <f t="shared" si="70"/>
        <v>145.44342465753425</v>
      </c>
      <c r="J22" s="4">
        <f t="shared" si="70"/>
        <v>138.90337328767123</v>
      </c>
      <c r="K22" s="4">
        <f t="shared" si="70"/>
        <v>124.41267123287672</v>
      </c>
      <c r="L22" s="4">
        <f t="shared" si="70"/>
        <v>118.5205140983411</v>
      </c>
      <c r="M22" s="4">
        <f t="shared" si="70"/>
        <v>116.12646986301371</v>
      </c>
      <c r="N22" s="4">
        <f t="shared" si="70"/>
        <v>120.52538287671233</v>
      </c>
      <c r="O22" s="4">
        <f t="shared" si="70"/>
        <v>122.46607979452057</v>
      </c>
      <c r="P22" s="4">
        <f t="shared" si="70"/>
        <v>122.98359897260275</v>
      </c>
      <c r="Q22" s="4">
        <f t="shared" si="70"/>
        <v>112.96960287671234</v>
      </c>
      <c r="R22" s="4">
        <f t="shared" si="70"/>
        <v>104.87042773972604</v>
      </c>
      <c r="S22" s="4">
        <f t="shared" si="70"/>
        <v>109.0757890983411</v>
      </c>
      <c r="T22" s="4">
        <f t="shared" si="70"/>
        <v>101.01490986301371</v>
      </c>
      <c r="U22" s="4">
        <f t="shared" si="70"/>
        <v>98.918957191780819</v>
      </c>
      <c r="V22" s="4">
        <f t="shared" si="70"/>
        <v>96.043221917808225</v>
      </c>
      <c r="W22" s="4">
        <f t="shared" si="70"/>
        <v>94.91168253424658</v>
      </c>
      <c r="X22" s="4">
        <f t="shared" si="70"/>
        <v>95.676749190108225</v>
      </c>
      <c r="Y22" s="4">
        <f t="shared" si="70"/>
        <v>97.490086210050691</v>
      </c>
      <c r="Z22" s="4">
        <f t="shared" si="70"/>
        <v>97.490086210050691</v>
      </c>
      <c r="AA22" s="4">
        <f t="shared" si="70"/>
        <v>86.704045505638362</v>
      </c>
      <c r="AB22" s="4">
        <f t="shared" si="70"/>
        <v>78.13964374429726</v>
      </c>
      <c r="AC22" s="4">
        <f t="shared" si="70"/>
        <v>83.597457627118658</v>
      </c>
      <c r="AD22" s="4">
        <f t="shared" si="70"/>
        <v>79.643748930295885</v>
      </c>
      <c r="AE22" s="4">
        <f t="shared" si="70"/>
        <v>81.532203389830499</v>
      </c>
      <c r="AF22" s="4">
        <f t="shared" si="70"/>
        <v>80.558972560432878</v>
      </c>
      <c r="AG22" s="4">
        <f t="shared" si="70"/>
        <v>81.020338983050848</v>
      </c>
      <c r="AH22" s="4">
        <f t="shared" si="70"/>
        <v>78.558031689502741</v>
      </c>
      <c r="AI22" s="4">
        <f t="shared" si="70"/>
        <v>77.355166347036985</v>
      </c>
      <c r="AJ22" s="4">
        <f t="shared" si="70"/>
        <v>77.551809204268494</v>
      </c>
      <c r="AK22" s="4">
        <f t="shared" si="70"/>
        <v>76.72758442922877</v>
      </c>
      <c r="AL22" s="4">
        <f t="shared" si="70"/>
        <v>77.421062448406857</v>
      </c>
      <c r="AM22" s="4">
        <f t="shared" si="70"/>
        <v>84.206268949776714</v>
      </c>
      <c r="AN22" s="4">
        <f t="shared" si="70"/>
        <v>92.195386763475341</v>
      </c>
      <c r="AO22" s="4">
        <f t="shared" si="70"/>
        <v>101.73986176347535</v>
      </c>
      <c r="AP22" s="4">
        <f t="shared" si="70"/>
        <v>116.18679751142054</v>
      </c>
      <c r="AQ22" s="4">
        <f t="shared" si="70"/>
        <v>110.04172456621507</v>
      </c>
      <c r="AR22" s="4">
        <f t="shared" si="70"/>
        <v>130.70299838990431</v>
      </c>
      <c r="AS22" s="4">
        <f t="shared" si="70"/>
        <v>133.08936202626793</v>
      </c>
      <c r="AT22" s="4">
        <f t="shared" si="70"/>
        <v>148.02533882499532</v>
      </c>
      <c r="AU22" s="4">
        <f>+AU20*0.05</f>
        <v>76.506987594315845</v>
      </c>
      <c r="AV22" s="4">
        <f>+AV20*0.05</f>
        <v>77.767098811667893</v>
      </c>
      <c r="AW22" s="4">
        <v>85.358152240381571</v>
      </c>
      <c r="AX22" s="4">
        <v>86.086307239526775</v>
      </c>
      <c r="AY22" s="4">
        <f>+AY20*0.05</f>
        <v>81.538771938562249</v>
      </c>
      <c r="AZ22" s="4">
        <v>87.033091130292661</v>
      </c>
      <c r="BA22" s="4">
        <f t="shared" ref="BA22:BF22" si="71">+BA20*0.05</f>
        <v>86.800000000000011</v>
      </c>
      <c r="BB22" s="4">
        <f t="shared" si="71"/>
        <v>85.45</v>
      </c>
      <c r="BC22" s="335">
        <f t="shared" si="71"/>
        <v>85.050000000000011</v>
      </c>
      <c r="BD22" s="335">
        <f t="shared" si="71"/>
        <v>86.457664621444422</v>
      </c>
      <c r="BE22" s="335">
        <f t="shared" si="71"/>
        <v>88.19255340613455</v>
      </c>
      <c r="BF22" s="335">
        <f t="shared" si="71"/>
        <v>82.547872535952507</v>
      </c>
      <c r="BG22" s="335">
        <f t="shared" ref="BG22:BH22" si="72">+BG20*0.05</f>
        <v>80.436194581245843</v>
      </c>
      <c r="BH22" s="335">
        <f t="shared" si="72"/>
        <v>74.119323199552369</v>
      </c>
      <c r="BI22" s="335">
        <f t="shared" ref="BI22:BJ22" si="73">+BI20*0.05</f>
        <v>63.860181794324433</v>
      </c>
      <c r="BJ22" s="335">
        <f t="shared" si="73"/>
        <v>57.949486777521798</v>
      </c>
      <c r="BK22" s="335">
        <f t="shared" ref="BK22:BL22" si="74">+BK20*0.05</f>
        <v>57.557341154919065</v>
      </c>
      <c r="BL22" s="335">
        <f t="shared" si="74"/>
        <v>55.640377837435622</v>
      </c>
      <c r="BM22" s="335">
        <f t="shared" ref="BM22:BN22" si="75">+BM20*0.05</f>
        <v>56.421436852054796</v>
      </c>
      <c r="BN22" s="377">
        <f t="shared" si="75"/>
        <v>56.327074488968378</v>
      </c>
      <c r="BO22" s="335">
        <f t="shared" ref="BO22:BP22" si="76">+BO20*0.05</f>
        <v>59.683375440068495</v>
      </c>
      <c r="BP22" s="335">
        <f t="shared" si="76"/>
        <v>56.527199281443586</v>
      </c>
      <c r="BQ22" s="377">
        <f t="shared" ref="BQ22:BR22" si="77">+BQ20*0.05</f>
        <v>52.928035823711085</v>
      </c>
      <c r="BR22" s="335">
        <f t="shared" si="77"/>
        <v>52.399396959825651</v>
      </c>
      <c r="BS22" s="335">
        <f t="shared" ref="BS22:BT22" si="78">+BS20*0.05</f>
        <v>54.472374077758403</v>
      </c>
      <c r="BT22" s="335">
        <f t="shared" si="78"/>
        <v>54.74441520097136</v>
      </c>
      <c r="BU22" s="335">
        <f t="shared" ref="BU22:BV22" si="79">+BU20*0.05</f>
        <v>52.764098378281453</v>
      </c>
      <c r="BV22" s="335">
        <f t="shared" si="79"/>
        <v>52.350519131457034</v>
      </c>
      <c r="BW22" s="335">
        <f t="shared" ref="BW22:BY22" si="80">+BW20*0.05</f>
        <v>53.09583659605056</v>
      </c>
      <c r="BX22" s="335">
        <f t="shared" ref="BX22" si="81">+BX20*0.05</f>
        <v>54.45423095255741</v>
      </c>
      <c r="BY22" s="335">
        <f t="shared" si="80"/>
        <v>55.493055686077213</v>
      </c>
      <c r="BZ22" s="335">
        <f t="shared" ref="BZ22:CA22" si="82">+BZ20*0.05</f>
        <v>55.493055686077213</v>
      </c>
      <c r="CA22" s="335">
        <f t="shared" si="82"/>
        <v>61.270487670774848</v>
      </c>
      <c r="CB22" s="335">
        <f t="shared" ref="CB22:CC22" si="83">+CB20*0.05</f>
        <v>66.605426858468249</v>
      </c>
      <c r="CC22" s="335">
        <f t="shared" si="83"/>
        <v>68.233728340027639</v>
      </c>
      <c r="CD22" s="335">
        <f t="shared" ref="CD22:CE22" si="84">+CD20*0.05</f>
        <v>63.634238417428392</v>
      </c>
      <c r="CE22" s="335">
        <f t="shared" si="84"/>
        <v>63.540461395118307</v>
      </c>
      <c r="CF22" s="335">
        <f t="shared" ref="CF22:CG22" si="85">+CF20*0.05</f>
        <v>56.453767430672478</v>
      </c>
      <c r="CG22" s="335">
        <f t="shared" si="85"/>
        <v>57.609955022191777</v>
      </c>
      <c r="CH22" s="335">
        <f t="shared" ref="CH22:CI22" si="86">+CH20*0.05</f>
        <v>52.583386735429634</v>
      </c>
      <c r="CI22" s="335">
        <f t="shared" si="86"/>
        <v>52.001217725498137</v>
      </c>
      <c r="CJ22" s="335">
        <f t="shared" ref="CJ22:CK22" si="87">+CJ20*0.05</f>
        <v>52.047085586886681</v>
      </c>
      <c r="CK22" s="335">
        <f t="shared" si="87"/>
        <v>49.955393497668126</v>
      </c>
      <c r="CL22" s="618">
        <f t="shared" ref="CL22:CM22" si="88">+CL20*0.05</f>
        <v>49.354994953082191</v>
      </c>
      <c r="CM22" s="618">
        <f t="shared" si="88"/>
        <v>46.147184903409091</v>
      </c>
      <c r="CN22" s="618">
        <f t="shared" ref="CN22:CO22" si="89">+CN20*0.05</f>
        <v>47.791959368841844</v>
      </c>
      <c r="CO22" s="618">
        <f t="shared" si="89"/>
        <v>59.681732310059161</v>
      </c>
      <c r="CP22" s="618">
        <f t="shared" ref="CP22:CQ22" si="90">+CP20*0.05</f>
        <v>53.917671062232252</v>
      </c>
      <c r="CQ22" s="618">
        <f t="shared" si="90"/>
        <v>53.009134577036122</v>
      </c>
      <c r="CR22" s="618">
        <f t="shared" ref="CR22:CS22" si="91">+CR20*0.05</f>
        <v>51.720130062117065</v>
      </c>
      <c r="CS22" s="618">
        <f t="shared" si="91"/>
        <v>47.88604728963886</v>
      </c>
      <c r="CT22" s="618">
        <f t="shared" ref="CT22:CU22" si="92">+CT20*0.05</f>
        <v>47.136872220292652</v>
      </c>
      <c r="CU22" s="618">
        <f t="shared" si="92"/>
        <v>46.221867190541722</v>
      </c>
      <c r="CV22" s="618">
        <f t="shared" ref="CV22" si="93">+CV20*0.05</f>
        <v>47.84994105003301</v>
      </c>
      <c r="CW22" s="241"/>
      <c r="CX22" s="284" t="s">
        <v>110</v>
      </c>
      <c r="CY22" s="370">
        <v>1272.9918834506852</v>
      </c>
      <c r="CZ22" s="370">
        <v>1346.8089973008859</v>
      </c>
      <c r="DA22" s="370">
        <v>1273.8321433886906</v>
      </c>
      <c r="DB22" s="370">
        <v>1193.5092310621178</v>
      </c>
      <c r="DC22" s="395">
        <v>1182.1110836473979</v>
      </c>
      <c r="DD22" s="395">
        <v>1226.6076392399507</v>
      </c>
      <c r="DE22" s="395">
        <v>1233.1194049881999</v>
      </c>
      <c r="DF22" s="395">
        <f t="shared" ref="DF22:EG22" si="94">+BU26</f>
        <v>1189.8951538863171</v>
      </c>
      <c r="DG22" s="395">
        <f t="shared" si="94"/>
        <v>1179.1737174535399</v>
      </c>
      <c r="DH22" s="395">
        <f t="shared" si="94"/>
        <v>1213.6744453057081</v>
      </c>
      <c r="DI22" s="395">
        <f t="shared" si="94"/>
        <v>1244.3741577627632</v>
      </c>
      <c r="DJ22" s="395">
        <f t="shared" si="94"/>
        <v>1267.6152331039468</v>
      </c>
      <c r="DK22" s="395">
        <f t="shared" si="94"/>
        <v>1267.6152331039468</v>
      </c>
      <c r="DL22" s="395">
        <f t="shared" si="94"/>
        <v>1389.4579232308406</v>
      </c>
      <c r="DM22" s="395">
        <f t="shared" si="94"/>
        <v>1500.8057306908936</v>
      </c>
      <c r="DN22" s="395">
        <f t="shared" si="94"/>
        <v>1535.1617078104994</v>
      </c>
      <c r="DO22" s="395">
        <f t="shared" si="94"/>
        <v>1439.1077810143017</v>
      </c>
      <c r="DP22" s="395">
        <f t="shared" si="94"/>
        <v>1435.35205667373</v>
      </c>
      <c r="DQ22" s="395">
        <f t="shared" si="94"/>
        <v>1281.3273185317998</v>
      </c>
      <c r="DR22" s="395">
        <f t="shared" si="94"/>
        <v>1307.846249009227</v>
      </c>
      <c r="DS22" s="395">
        <f t="shared" si="94"/>
        <v>1198.0348966374936</v>
      </c>
      <c r="DT22" s="395">
        <f t="shared" si="94"/>
        <v>1184.8778770130416</v>
      </c>
      <c r="DU22" s="395">
        <f t="shared" si="94"/>
        <v>1186.5035815895135</v>
      </c>
      <c r="DV22" s="370">
        <f t="shared" si="94"/>
        <v>1142.7549767368105</v>
      </c>
      <c r="DW22" s="370">
        <f t="shared" si="94"/>
        <v>1128.7641514473505</v>
      </c>
      <c r="DX22" s="370">
        <f t="shared" si="94"/>
        <v>1192.9767352338292</v>
      </c>
      <c r="DY22" s="370">
        <f t="shared" si="94"/>
        <v>1229.9559108798821</v>
      </c>
      <c r="DZ22" s="710">
        <f t="shared" si="94"/>
        <v>1481.7338702604845</v>
      </c>
      <c r="EA22" s="710">
        <f t="shared" si="94"/>
        <v>1224.4769951505054</v>
      </c>
      <c r="EB22" s="710">
        <f t="shared" si="94"/>
        <v>1204.7186160396182</v>
      </c>
      <c r="EC22" s="710">
        <f t="shared" si="94"/>
        <v>1176.8598412751749</v>
      </c>
      <c r="ED22" s="710">
        <f t="shared" si="94"/>
        <v>1095.0968433444402</v>
      </c>
      <c r="EE22" s="710">
        <f t="shared" si="94"/>
        <v>1079.0636685953975</v>
      </c>
      <c r="EF22" s="710">
        <f t="shared" si="94"/>
        <v>1060.399100377572</v>
      </c>
      <c r="EG22" s="710">
        <f t="shared" si="94"/>
        <v>1099.862660511166</v>
      </c>
      <c r="EH22" s="257"/>
    </row>
    <row r="23" spans="2:142" x14ac:dyDescent="0.35">
      <c r="B23" s="753" t="s">
        <v>525</v>
      </c>
      <c r="D23" s="619" t="s">
        <v>111</v>
      </c>
      <c r="E23" s="5">
        <f t="shared" ref="E23:AQ23" si="95">+E20*8%</f>
        <v>116.3547397260274</v>
      </c>
      <c r="F23" s="5">
        <f t="shared" si="95"/>
        <v>112.25117808219179</v>
      </c>
      <c r="G23" s="5">
        <f t="shared" si="95"/>
        <v>112.20029432816439</v>
      </c>
      <c r="H23" s="5">
        <f t="shared" si="95"/>
        <v>111.88185753424658</v>
      </c>
      <c r="I23" s="5">
        <f t="shared" si="95"/>
        <v>116.3547397260274</v>
      </c>
      <c r="J23" s="5">
        <f t="shared" si="95"/>
        <v>111.12269863013698</v>
      </c>
      <c r="K23" s="5">
        <f t="shared" si="95"/>
        <v>99.530136986301372</v>
      </c>
      <c r="L23" s="5">
        <f t="shared" si="95"/>
        <v>94.816411278672874</v>
      </c>
      <c r="M23" s="5">
        <f t="shared" si="95"/>
        <v>92.901175890410954</v>
      </c>
      <c r="N23" s="5">
        <f t="shared" si="95"/>
        <v>96.420306301369862</v>
      </c>
      <c r="O23" s="5">
        <f t="shared" si="95"/>
        <v>97.972863835616451</v>
      </c>
      <c r="P23" s="5">
        <f t="shared" si="95"/>
        <v>98.386879178082197</v>
      </c>
      <c r="Q23" s="5">
        <f t="shared" si="95"/>
        <v>90.375682301369878</v>
      </c>
      <c r="R23" s="5">
        <f t="shared" si="95"/>
        <v>83.896342191780818</v>
      </c>
      <c r="S23" s="5">
        <f t="shared" si="95"/>
        <v>87.260631278672889</v>
      </c>
      <c r="T23" s="5">
        <f t="shared" si="95"/>
        <v>80.811927890410956</v>
      </c>
      <c r="U23" s="5">
        <f t="shared" si="95"/>
        <v>79.135165753424658</v>
      </c>
      <c r="V23" s="5">
        <f t="shared" si="95"/>
        <v>76.834577534246577</v>
      </c>
      <c r="W23" s="5">
        <f t="shared" si="95"/>
        <v>75.929346027397258</v>
      </c>
      <c r="X23" s="5">
        <f t="shared" si="95"/>
        <v>76.541399352086572</v>
      </c>
      <c r="Y23" s="5">
        <f t="shared" si="95"/>
        <v>77.992068968040556</v>
      </c>
      <c r="Z23" s="5">
        <f t="shared" si="95"/>
        <v>77.992068968040556</v>
      </c>
      <c r="AA23" s="5">
        <f t="shared" si="95"/>
        <v>69.363236404510687</v>
      </c>
      <c r="AB23" s="5">
        <f t="shared" si="95"/>
        <v>62.511714995437806</v>
      </c>
      <c r="AC23" s="5">
        <f t="shared" si="95"/>
        <v>66.877966101694923</v>
      </c>
      <c r="AD23" s="5">
        <f t="shared" si="95"/>
        <v>63.714999144236707</v>
      </c>
      <c r="AE23" s="5">
        <f t="shared" si="95"/>
        <v>65.225762711864391</v>
      </c>
      <c r="AF23" s="5">
        <f t="shared" si="95"/>
        <v>64.447178048346302</v>
      </c>
      <c r="AG23" s="5">
        <f t="shared" si="95"/>
        <v>64.816271186440673</v>
      </c>
      <c r="AH23" s="5">
        <f t="shared" si="95"/>
        <v>62.846425351602193</v>
      </c>
      <c r="AI23" s="5">
        <f t="shared" si="95"/>
        <v>61.884133077629585</v>
      </c>
      <c r="AJ23" s="5">
        <f t="shared" si="95"/>
        <v>62.04144736341479</v>
      </c>
      <c r="AK23" s="5">
        <f t="shared" si="95"/>
        <v>61.382067543383009</v>
      </c>
      <c r="AL23" s="5">
        <f t="shared" si="95"/>
        <v>61.936849958725482</v>
      </c>
      <c r="AM23" s="5">
        <f t="shared" si="95"/>
        <v>67.365015159821368</v>
      </c>
      <c r="AN23" s="5">
        <f t="shared" si="95"/>
        <v>73.756309410780275</v>
      </c>
      <c r="AO23" s="5">
        <f t="shared" si="95"/>
        <v>81.391889410780266</v>
      </c>
      <c r="AP23" s="5">
        <f t="shared" si="95"/>
        <v>92.949438009136429</v>
      </c>
      <c r="AQ23" s="5">
        <f t="shared" si="95"/>
        <v>88.033379652972059</v>
      </c>
      <c r="AR23" s="5">
        <f>+AR21*8%</f>
        <v>84.265292885443429</v>
      </c>
      <c r="AS23" s="5">
        <f>+AS21*8%</f>
        <v>83.265292885443429</v>
      </c>
      <c r="AT23" s="5">
        <f>+AT21*8%</f>
        <v>86.523165233516252</v>
      </c>
      <c r="AU23" s="5">
        <f>+AU21*8%</f>
        <v>87.023165233516252</v>
      </c>
      <c r="AV23" s="5">
        <f>+AV21*8%</f>
        <v>85.948434090370426</v>
      </c>
      <c r="AW23" s="5">
        <v>98.094119576312337</v>
      </c>
      <c r="AX23" s="5">
        <v>99.259167574944655</v>
      </c>
      <c r="AY23" s="5">
        <f>+AY21*8%</f>
        <v>92.063111093401403</v>
      </c>
      <c r="AZ23" s="5">
        <v>100.85038543653368</v>
      </c>
      <c r="BA23" s="5">
        <f t="shared" ref="BA23:BF23" si="96">+BA21*8%</f>
        <v>100.48</v>
      </c>
      <c r="BB23" s="5">
        <f t="shared" si="96"/>
        <v>100.56</v>
      </c>
      <c r="BC23" s="336">
        <f t="shared" si="96"/>
        <v>105.36</v>
      </c>
      <c r="BD23" s="336">
        <f t="shared" si="96"/>
        <v>107.64243029510379</v>
      </c>
      <c r="BE23" s="336">
        <f t="shared" si="96"/>
        <v>109.18188871424434</v>
      </c>
      <c r="BF23" s="336">
        <f t="shared" si="96"/>
        <v>100.1503993219531</v>
      </c>
      <c r="BG23" s="336">
        <f t="shared" ref="BG23:BH23" si="97">+BG21*8%</f>
        <v>97.78989641260425</v>
      </c>
      <c r="BH23" s="336">
        <f t="shared" si="97"/>
        <v>93.828356747349247</v>
      </c>
      <c r="BI23" s="336">
        <f t="shared" ref="BI23:BJ23" si="98">+BI21*8%</f>
        <v>87.886457771711818</v>
      </c>
      <c r="BJ23" s="336">
        <f t="shared" si="98"/>
        <v>82.865709381191223</v>
      </c>
      <c r="BK23" s="336">
        <f t="shared" ref="BK23:BL23" si="99">+BK21*8%</f>
        <v>82.238276385026865</v>
      </c>
      <c r="BL23" s="336">
        <f t="shared" si="99"/>
        <v>87.025680531598809</v>
      </c>
      <c r="BM23" s="336">
        <f t="shared" ref="BM23:BN23" si="100">+BM21*8%</f>
        <v>88.929920409534958</v>
      </c>
      <c r="BN23" s="378">
        <f t="shared" si="100"/>
        <v>90.123319182349405</v>
      </c>
      <c r="BO23" s="336">
        <f t="shared" ref="BO23:BP23" si="101">+BO21*8%</f>
        <v>93.458113059447768</v>
      </c>
      <c r="BP23" s="336">
        <f t="shared" si="101"/>
        <v>86.760958478375201</v>
      </c>
      <c r="BQ23" s="378">
        <f t="shared" ref="BQ23:BR23" si="102">+BQ21*8%</f>
        <v>82.020478764185015</v>
      </c>
      <c r="BR23" s="336">
        <f t="shared" si="102"/>
        <v>81.723747491059228</v>
      </c>
      <c r="BS23" s="336">
        <f t="shared" ref="BS23:BT23" si="103">+BS21*8%</f>
        <v>82.687783607024357</v>
      </c>
      <c r="BT23" s="336">
        <f t="shared" si="103"/>
        <v>83.486685767801447</v>
      </c>
      <c r="BU23" s="336">
        <f t="shared" ref="BU23:BV23" si="104">+BU21*8%</f>
        <v>81.849087942406683</v>
      </c>
      <c r="BV23" s="336">
        <f t="shared" si="104"/>
        <v>79.812815692942166</v>
      </c>
      <c r="BW23" s="336">
        <f t="shared" ref="BW23:BY23" si="105">+BW21*8%</f>
        <v>79.703505454473628</v>
      </c>
      <c r="BX23" s="336">
        <f t="shared" ref="BX23" si="106">+BX21*8%</f>
        <v>81.876936424884576</v>
      </c>
      <c r="BY23" s="336">
        <f t="shared" si="105"/>
        <v>83.302692362152627</v>
      </c>
      <c r="BZ23" s="336">
        <f t="shared" ref="BZ23:CA23" si="107">+BZ21*8%</f>
        <v>83.302692362152627</v>
      </c>
      <c r="CA23" s="336">
        <f t="shared" si="107"/>
        <v>83.819310810396118</v>
      </c>
      <c r="CB23" s="336">
        <f t="shared" ref="CB23:CC23" si="108">+CB21*8%</f>
        <v>83.133395328887389</v>
      </c>
      <c r="CC23" s="336">
        <f t="shared" si="108"/>
        <v>83.295041335746049</v>
      </c>
      <c r="CD23" s="336">
        <f t="shared" ref="CD23:CE23" si="109">+CD21*8%</f>
        <v>83.830402914132705</v>
      </c>
      <c r="CE23" s="336">
        <f t="shared" si="109"/>
        <v>82.043996042072919</v>
      </c>
      <c r="CF23" s="336">
        <f t="shared" ref="CF23:CG23" si="110">+CF21*8%</f>
        <v>76.83983115350506</v>
      </c>
      <c r="CG23" s="336">
        <f t="shared" si="110"/>
        <v>79.078822209026853</v>
      </c>
      <c r="CH23" s="336">
        <f t="shared" ref="CH23:CI23" si="111">+CH21*8%</f>
        <v>74.825403859298333</v>
      </c>
      <c r="CI23" s="336">
        <f t="shared" si="111"/>
        <v>73.893933443407931</v>
      </c>
      <c r="CJ23" s="336">
        <f t="shared" ref="CJ23:CK23" si="112">+CJ21*8%</f>
        <v>74.556412930720498</v>
      </c>
      <c r="CK23" s="336">
        <f t="shared" si="112"/>
        <v>74.733341951607173</v>
      </c>
      <c r="CL23" s="620">
        <f t="shared" ref="CL23:CM23" si="113">+CL21*8%</f>
        <v>73.350886098451497</v>
      </c>
      <c r="CM23" s="620">
        <f t="shared" si="113"/>
        <v>69.927480928065449</v>
      </c>
      <c r="CN23" s="620">
        <f t="shared" ref="CN23:CO23" si="114">+CN21*8%</f>
        <v>72.366392800030582</v>
      </c>
      <c r="CO23" s="620">
        <f t="shared" si="114"/>
        <v>74.459120415069194</v>
      </c>
      <c r="CP23" s="620">
        <f t="shared" ref="CP23:CQ23" si="115">+CP21*8%</f>
        <v>73.247531509455243</v>
      </c>
      <c r="CQ23" s="620">
        <f t="shared" si="115"/>
        <v>72.568418587686878</v>
      </c>
      <c r="CR23" s="620">
        <f t="shared" ref="CR23:CS23" si="116">+CR21*8%</f>
        <v>71.778738636543665</v>
      </c>
      <c r="CS23" s="620">
        <f t="shared" si="116"/>
        <v>70.531478927851254</v>
      </c>
      <c r="CT23" s="620">
        <f t="shared" ref="CT23:CU23" si="117">+CT21*8%</f>
        <v>70.230980635079149</v>
      </c>
      <c r="CU23" s="620">
        <f t="shared" si="117"/>
        <v>70.781518042023109</v>
      </c>
      <c r="CV23" s="620">
        <f t="shared" ref="CV23" si="118">+CV21*8%</f>
        <v>76.055527126300078</v>
      </c>
      <c r="CW23" s="238"/>
      <c r="CX23" s="284" t="s">
        <v>112</v>
      </c>
      <c r="CY23" s="370">
        <v>1267.0143376361973</v>
      </c>
      <c r="CZ23" s="370">
        <v>1304.1208334640171</v>
      </c>
      <c r="DA23" s="370">
        <v>1298.9692885147945</v>
      </c>
      <c r="DB23" s="370">
        <v>1254.84285256148</v>
      </c>
      <c r="DC23" s="370">
        <v>1215.9045352417124</v>
      </c>
      <c r="DD23" s="370">
        <v>1220.6546814110966</v>
      </c>
      <c r="DE23" s="370">
        <v>1226.1866522264747</v>
      </c>
      <c r="DF23" s="370">
        <f t="shared" ref="DF23" si="119">+SUMPRODUCT(DF16:DF17,DF21:DF22)/SUM(DF16:DF17)</f>
        <v>1209.0551584269831</v>
      </c>
      <c r="DG23" s="370">
        <f t="shared" ref="DG23:DH23" si="120">+SUMPRODUCT(DG16:DG17,DG21:DG22)/SUM(DG16:DG17)</f>
        <v>1194.1871579510787</v>
      </c>
      <c r="DH23" s="370">
        <f t="shared" si="120"/>
        <v>1203.3753896982651</v>
      </c>
      <c r="DI23" s="370">
        <f t="shared" ref="DI23:DJ23" si="121">+SUMPRODUCT(DI16:DI17,DI21:DI22)/SUM(DI16:DI17)</f>
        <v>1217.8502659339456</v>
      </c>
      <c r="DJ23" s="370">
        <f t="shared" si="121"/>
        <v>1225.5446207874897</v>
      </c>
      <c r="DK23" s="370">
        <f t="shared" ref="DK23:DL23" si="122">+SUMPRODUCT(DK16:DK17,DK21:DK22)/SUM(DK16:DK17)</f>
        <v>1246.3188446831111</v>
      </c>
      <c r="DL23" s="370">
        <f t="shared" si="122"/>
        <v>1317.0024167853028</v>
      </c>
      <c r="DM23" s="370">
        <f t="shared" ref="DM23:DN23" si="123">+SUMPRODUCT(DM16:DM17,DM21:DM22)/SUM(DM16:DM17)</f>
        <v>1419.7186546650144</v>
      </c>
      <c r="DN23" s="370">
        <f t="shared" si="123"/>
        <v>1509.9821039091421</v>
      </c>
      <c r="DO23" s="370">
        <f t="shared" ref="DO23:DP23" si="124">+SUMPRODUCT(DO16:DO17,DO21:DO22)/SUM(DO16:DO17)</f>
        <v>1468.9302156468921</v>
      </c>
      <c r="DP23" s="370">
        <f t="shared" si="124"/>
        <v>1441.3901886717804</v>
      </c>
      <c r="DQ23" s="370">
        <f t="shared" ref="DQ23:DR23" si="125">+SUMPRODUCT(DQ16:DQ17,DQ21:DQ22)/SUM(DQ16:DQ17)</f>
        <v>1363.6378209264894</v>
      </c>
      <c r="DR23" s="370">
        <f t="shared" si="125"/>
        <v>1331.6466501380658</v>
      </c>
      <c r="DS23" s="370">
        <f t="shared" ref="DS23:DT23" si="126">+SUMPRODUCT(DS16:DS17,DS21:DS22)/SUM(DS16:DS17)</f>
        <v>1304.2777885746743</v>
      </c>
      <c r="DT23" s="370">
        <f t="shared" si="126"/>
        <v>1211.7009226258197</v>
      </c>
      <c r="DU23" s="370">
        <f t="shared" ref="DU23:DV23" si="127">+SUMPRODUCT(DU16:DU17,DU21:DU22)/SUM(DU16:DU17)</f>
        <v>1201.5962051573781</v>
      </c>
      <c r="DV23" s="370">
        <f t="shared" si="127"/>
        <v>1178.6438201323385</v>
      </c>
      <c r="DW23" s="370">
        <f t="shared" ref="DW23:DX23" si="128">+SUMPRODUCT(DW16:DW17,DW21:DW22)/SUM(DW16:DW17)</f>
        <v>1159.5043426924333</v>
      </c>
      <c r="DX23" s="370">
        <f t="shared" si="128"/>
        <v>1169.9781021941994</v>
      </c>
      <c r="DY23" s="370">
        <f t="shared" ref="DY23:DZ23" si="129">+SUMPRODUCT(DY16:DY17,DY21:DY22)/SUM(DY16:DY17)</f>
        <v>1188.4624329832022</v>
      </c>
      <c r="DZ23" s="710">
        <f t="shared" si="129"/>
        <v>1364.4350559233303</v>
      </c>
      <c r="EA23" s="710">
        <f t="shared" ref="EA23:EB23" si="130">+SUMPRODUCT(EA16:EA17,EA21:EA22)/SUM(EA16:EA17)</f>
        <v>1286.7632895323184</v>
      </c>
      <c r="EB23" s="710">
        <f t="shared" si="130"/>
        <v>1249.5027202502913</v>
      </c>
      <c r="EC23" s="710">
        <f t="shared" ref="EC23:ED23" si="131">+SUMPRODUCT(EC16:EC17,EC21:EC22)/SUM(EC16:EC17)</f>
        <v>1229.7082723501062</v>
      </c>
      <c r="ED23" s="710">
        <f t="shared" si="131"/>
        <v>1201.4273245732036</v>
      </c>
      <c r="EE23" s="710">
        <f t="shared" ref="EE23:EF23" si="132">+SUMPRODUCT(EE16:EE17,EE21:EE22)/SUM(EE16:EE17)</f>
        <v>1170.9491189896671</v>
      </c>
      <c r="EF23" s="710">
        <f t="shared" si="132"/>
        <v>1137.1396232839732</v>
      </c>
      <c r="EG23" s="710">
        <f t="shared" ref="EG23" si="133">+SUMPRODUCT(EG16:EG17,EG21:EG22)/SUM(EG16:EG17)</f>
        <v>1122.3752534824655</v>
      </c>
    </row>
    <row r="24" spans="2:142" x14ac:dyDescent="0.35">
      <c r="B24" s="753" t="s">
        <v>526</v>
      </c>
      <c r="D24" s="619" t="s">
        <v>113</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336"/>
      <c r="BD24" s="336"/>
      <c r="BE24" s="336"/>
      <c r="BF24" s="336"/>
      <c r="BG24" s="336"/>
      <c r="BH24" s="336"/>
      <c r="BI24" s="336"/>
      <c r="BJ24" s="336"/>
      <c r="BK24" s="336"/>
      <c r="BL24" s="336"/>
      <c r="BM24" s="336"/>
      <c r="BN24" s="378"/>
      <c r="BO24" s="336"/>
      <c r="BP24" s="336"/>
      <c r="BQ24" s="378"/>
      <c r="BR24" s="336"/>
      <c r="BS24" s="336"/>
      <c r="BT24" s="336"/>
      <c r="BU24" s="336"/>
      <c r="BV24" s="336"/>
      <c r="BW24" s="336">
        <f>+('Cambio en Condiciones ZF'!$H$23/'PCR Enka'!$CD$22)/22</f>
        <v>18.958371334172792</v>
      </c>
      <c r="BX24" s="336">
        <f>+('Cambio en Condiciones ZF'!$H$23/'PCR Enka'!$CD$22)/22</f>
        <v>18.958371334172792</v>
      </c>
      <c r="BY24" s="336">
        <f>+('Cambio en Condiciones ZF'!$H$23/'PCR Enka'!$CD$22)/22</f>
        <v>18.958371334172792</v>
      </c>
      <c r="BZ24" s="336">
        <f>+('Cambio en Condiciones ZF'!$H$23/'PCR Enka'!$CD$22)/22</f>
        <v>18.958371334172792</v>
      </c>
      <c r="CA24" s="336">
        <f>+('Cambio en Condiciones ZF'!$H$23/'PCR Enka'!$CD$22)/22</f>
        <v>18.958371334172792</v>
      </c>
      <c r="CB24" s="336">
        <f>+('Cambio en Condiciones ZF'!$H$23/'PCR Enka'!$CD$22)/22</f>
        <v>18.958371334172792</v>
      </c>
      <c r="CC24" s="336">
        <f>+('Cambio en Condiciones ZF'!$H$23/'PCR Enka'!$CD$22)/22</f>
        <v>18.958371334172792</v>
      </c>
      <c r="CD24" s="336">
        <f>+('Cambio en Condiciones ZF'!$H$23/'PCR Enka'!$CD$22)/22</f>
        <v>18.958371334172792</v>
      </c>
      <c r="CE24" s="336">
        <f>+('Cambio en Condiciones ZF'!$H$23/'PCR Enka'!$CD$22)/22</f>
        <v>18.958371334172792</v>
      </c>
      <c r="CF24" s="336">
        <f>+('Cambio en Condiciones ZF'!$H$23/'PCR Enka'!$CD$22)/22</f>
        <v>18.958371334172792</v>
      </c>
      <c r="CG24" s="336">
        <f>+('Cambio en Condiciones ZF'!$H$23/'PCR Enka'!$CD$22)/22</f>
        <v>18.958371334172792</v>
      </c>
      <c r="CH24" s="336">
        <f>+('Cambio en Condiciones ZF'!$H$23/'PCR Enka'!$CD$22)/22</f>
        <v>18.958371334172792</v>
      </c>
      <c r="CI24" s="336">
        <f>+('Cambio en Condiciones ZF'!$H$23/'PCR Enka'!$CD$22)/22</f>
        <v>18.958371334172792</v>
      </c>
      <c r="CJ24" s="336">
        <f>+('Cambio en Condiciones ZF'!$H$23/'PCR Enka'!$CD$22)/22</f>
        <v>18.958371334172792</v>
      </c>
      <c r="CK24" s="336">
        <f>+('Cambio en Condiciones ZF'!$H$23/'PCR Enka'!$CD$22)/22</f>
        <v>18.958371334172792</v>
      </c>
      <c r="CL24" s="620">
        <f>+('Cambio en Condiciones ZF'!$H$23/'PCR Enka'!$CD$22)/22</f>
        <v>18.958371334172792</v>
      </c>
      <c r="CM24" s="620">
        <f>+('Cambio en Condiciones ZF'!$H$23/'PCR Enka'!$CD$22)/22</f>
        <v>18.958371334172792</v>
      </c>
      <c r="CN24" s="620">
        <f>+('Cambio en Condiciones ZF'!$H$23/'PCR Enka'!$CD$22)/22</f>
        <v>18.958371334172792</v>
      </c>
      <c r="CO24" s="620">
        <f>+('Cambio en Condiciones ZF'!$H$23/'PCR Enka'!$CD$22)/22</f>
        <v>18.958371334172792</v>
      </c>
      <c r="CP24" s="620">
        <f>+('Cambio en Condiciones ZF'!$H$23/'PCR Enka'!$CD$22)/22</f>
        <v>18.958371334172792</v>
      </c>
      <c r="CQ24" s="620">
        <f>+('Cambio en Condiciones ZF'!$H$23/'PCR Enka'!$CD$22)/22</f>
        <v>18.958371334172792</v>
      </c>
      <c r="CR24" s="620">
        <f>+('Cambio en Condiciones ZF'!$H$23/'PCR Enka'!$CD$22)/22</f>
        <v>18.958371334172792</v>
      </c>
      <c r="CS24" s="620">
        <f>+('Cambio en Condiciones ZF'!$H$23/'PCR Enka'!$CD$22)/22</f>
        <v>18.958371334172792</v>
      </c>
      <c r="CT24" s="620">
        <f>+('Cambio en Condiciones ZF'!$H$23/'PCR Enka'!$CD$22)/22</f>
        <v>18.958371334172792</v>
      </c>
      <c r="CU24" s="620">
        <f>+('Cambio en Condiciones ZF'!$H$23/'PCR Enka'!$CD$22)/22</f>
        <v>18.958371334172792</v>
      </c>
      <c r="CV24" s="620">
        <f>+('Cambio en Condiciones ZF'!$H$23/'PCR Enka'!$CD$22)/22</f>
        <v>18.958371334172792</v>
      </c>
      <c r="CW24" s="242"/>
      <c r="CX24" s="284" t="s">
        <v>114</v>
      </c>
      <c r="CY24" s="371">
        <v>1267.0143376361973</v>
      </c>
      <c r="CZ24" s="371">
        <v>1304.1208334640173</v>
      </c>
      <c r="DA24" s="371">
        <v>1298.9692885147945</v>
      </c>
      <c r="DB24" s="371">
        <v>1254.8428525614802</v>
      </c>
      <c r="DC24" s="396">
        <v>1215.9045352417124</v>
      </c>
      <c r="DD24" s="396">
        <v>1220.6546814110968</v>
      </c>
      <c r="DE24" s="396">
        <v>1226.1866522264747</v>
      </c>
      <c r="DF24" s="396">
        <f t="shared" ref="DF24" si="134">+(SUMPRODUCT(DF16:DF17,DF21:DF22)-(DF18*DF23))/DF19</f>
        <v>1209.0551584269829</v>
      </c>
      <c r="DG24" s="396">
        <f t="shared" ref="DG24:DH24" si="135">+(SUMPRODUCT(DG16:DG17,DG21:DG22)-(DG18*DG23))/DG19</f>
        <v>1194.1871579510785</v>
      </c>
      <c r="DH24" s="396">
        <f t="shared" si="135"/>
        <v>1203.3753896982651</v>
      </c>
      <c r="DI24" s="396">
        <f t="shared" ref="DI24:DJ24" si="136">+(SUMPRODUCT(DI16:DI17,DI21:DI22)-(DI18*DI23))/DI19</f>
        <v>1217.8502659339456</v>
      </c>
      <c r="DJ24" s="396">
        <f t="shared" si="136"/>
        <v>1225.54462078749</v>
      </c>
      <c r="DK24" s="396">
        <f t="shared" ref="DK24:DL24" si="137">+(SUMPRODUCT(DK16:DK17,DK21:DK22)-(DK18*DK23))/DK19</f>
        <v>1246.3188446831111</v>
      </c>
      <c r="DL24" s="396">
        <f t="shared" si="137"/>
        <v>1317.0024167853026</v>
      </c>
      <c r="DM24" s="396">
        <f t="shared" ref="DM24:DN24" si="138">+(SUMPRODUCT(DM16:DM17,DM21:DM22)-(DM18*DM23))/DM19</f>
        <v>1419.7186546650141</v>
      </c>
      <c r="DN24" s="396">
        <f t="shared" si="138"/>
        <v>1509.9821039091423</v>
      </c>
      <c r="DO24" s="545">
        <f t="shared" ref="DO24:DP24" si="139">+(SUMPRODUCT(DO16:DO17,DO21:DO22)-(DO18*DO23))/DO19</f>
        <v>1468.930215646893</v>
      </c>
      <c r="DP24" s="545">
        <f t="shared" si="139"/>
        <v>1441.3901886717804</v>
      </c>
      <c r="DQ24" s="545">
        <f t="shared" ref="DQ24:DR24" si="140">+(SUMPRODUCT(DQ16:DQ17,DQ21:DQ22)-(DQ18*DQ23))/DQ19</f>
        <v>1363.6378209264894</v>
      </c>
      <c r="DR24" s="545">
        <f t="shared" si="140"/>
        <v>1331.6466501380658</v>
      </c>
      <c r="DS24" s="545">
        <f t="shared" ref="DS24:DT24" si="141">+(SUMPRODUCT(DS16:DS17,DS21:DS22)-(DS18*DS23))/DS19</f>
        <v>1304.2777885746743</v>
      </c>
      <c r="DT24" s="545">
        <f t="shared" si="141"/>
        <v>1211.7009226258197</v>
      </c>
      <c r="DU24" s="545">
        <f t="shared" ref="DU24:DV24" si="142">+(SUMPRODUCT(DU16:DU17,DU21:DU22)-(DU18*DU23))/DU19</f>
        <v>1201.5962051573779</v>
      </c>
      <c r="DV24" s="371">
        <f t="shared" si="142"/>
        <v>1178.6438201323385</v>
      </c>
      <c r="DW24" s="371">
        <f t="shared" ref="DW24:DX24" si="143">+(SUMPRODUCT(DW16:DW17,DW21:DW22)-(DW18*DW23))/DW19</f>
        <v>1159.5043426924331</v>
      </c>
      <c r="DX24" s="371">
        <f t="shared" si="143"/>
        <v>1169.9781021941997</v>
      </c>
      <c r="DY24" s="371">
        <f t="shared" ref="DY24:DZ24" si="144">+(SUMPRODUCT(DY16:DY17,DY21:DY22)-(DY18*DY23))/DY19</f>
        <v>1188.462432983202</v>
      </c>
      <c r="DZ24" s="711">
        <f t="shared" si="144"/>
        <v>1364.4350559233303</v>
      </c>
      <c r="EA24" s="711">
        <f t="shared" ref="EA24:EB24" si="145">+(SUMPRODUCT(EA16:EA17,EA21:EA22)-(EA18*EA23))/EA19</f>
        <v>1286.7632895323181</v>
      </c>
      <c r="EB24" s="711">
        <f t="shared" si="145"/>
        <v>1249.5027202502913</v>
      </c>
      <c r="EC24" s="711">
        <f t="shared" ref="EC24:ED24" si="146">+(SUMPRODUCT(EC16:EC17,EC21:EC22)-(EC18*EC23))/EC19</f>
        <v>1229.7082723501064</v>
      </c>
      <c r="ED24" s="711">
        <f t="shared" si="146"/>
        <v>1201.4273245732036</v>
      </c>
      <c r="EE24" s="711">
        <f t="shared" ref="EE24:EF24" si="147">+(SUMPRODUCT(EE16:EE17,EE21:EE22)-(EE18*EE23))/EE19</f>
        <v>1170.9491189896669</v>
      </c>
      <c r="EF24" s="711">
        <f t="shared" si="147"/>
        <v>1137.1396232839734</v>
      </c>
      <c r="EG24" s="711">
        <f t="shared" ref="EG24" si="148">+(SUMPRODUCT(EG16:EG17,EG21:EG22)-(EG18*EG23))/EG19</f>
        <v>1122.3752534824653</v>
      </c>
      <c r="EH24" s="257"/>
      <c r="EI24" s="257"/>
      <c r="EL24" s="497"/>
    </row>
    <row r="25" spans="2:142" x14ac:dyDescent="0.35">
      <c r="B25" s="753" t="s">
        <v>480</v>
      </c>
      <c r="D25" s="619" t="s">
        <v>480</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336"/>
      <c r="BD25" s="336"/>
      <c r="BE25" s="336"/>
      <c r="BF25" s="336"/>
      <c r="BG25" s="336"/>
      <c r="BH25" s="336"/>
      <c r="BI25" s="336"/>
      <c r="BJ25" s="336"/>
      <c r="BK25" s="336"/>
      <c r="BL25" s="336"/>
      <c r="BM25" s="336"/>
      <c r="BN25" s="378"/>
      <c r="BO25" s="336"/>
      <c r="BP25" s="336"/>
      <c r="BQ25" s="378"/>
      <c r="BR25" s="336"/>
      <c r="BS25" s="336"/>
      <c r="BT25" s="336"/>
      <c r="BU25" s="336"/>
      <c r="BV25" s="336"/>
      <c r="BW25" s="336"/>
      <c r="BX25" s="336"/>
      <c r="BY25" s="336"/>
      <c r="BZ25" s="336"/>
      <c r="CA25" s="336"/>
      <c r="CB25" s="336"/>
      <c r="CC25" s="336"/>
      <c r="CD25" s="336"/>
      <c r="CE25" s="336"/>
      <c r="CF25" s="336"/>
      <c r="CG25" s="336"/>
      <c r="CH25" s="336"/>
      <c r="CI25" s="336"/>
      <c r="CJ25" s="336"/>
      <c r="CK25" s="336"/>
      <c r="CL25" s="620"/>
      <c r="CM25" s="620">
        <v>135</v>
      </c>
      <c r="CN25" s="620">
        <v>135</v>
      </c>
      <c r="CO25" s="620">
        <v>135</v>
      </c>
      <c r="CP25" s="695">
        <v>0</v>
      </c>
      <c r="CQ25" s="695">
        <v>0</v>
      </c>
      <c r="CR25" s="695">
        <v>0</v>
      </c>
      <c r="CS25" s="695">
        <v>0</v>
      </c>
      <c r="CT25" s="695">
        <v>0</v>
      </c>
      <c r="CU25" s="695">
        <v>0</v>
      </c>
      <c r="CV25" s="695">
        <v>0</v>
      </c>
      <c r="CW25" s="242"/>
      <c r="CX25" s="33"/>
      <c r="CY25" s="686"/>
      <c r="CZ25" s="686"/>
      <c r="DA25" s="686"/>
      <c r="DB25" s="686"/>
      <c r="DC25" s="687"/>
      <c r="DD25" s="687"/>
      <c r="DE25" s="687"/>
      <c r="DF25" s="687"/>
      <c r="DG25" s="687"/>
      <c r="DH25" s="687"/>
      <c r="DI25" s="687"/>
      <c r="DJ25" s="687"/>
      <c r="DK25" s="687"/>
      <c r="DL25" s="687"/>
      <c r="DM25" s="687"/>
      <c r="DN25" s="687"/>
      <c r="DO25" s="688"/>
      <c r="DP25" s="688"/>
      <c r="DQ25" s="688"/>
      <c r="DR25" s="688"/>
      <c r="DS25" s="688"/>
      <c r="DT25" s="688"/>
      <c r="DU25" s="688"/>
      <c r="DV25" s="686"/>
      <c r="DW25" s="686"/>
      <c r="DX25" s="686"/>
      <c r="DY25" s="686"/>
      <c r="DZ25" s="705"/>
      <c r="EA25" s="705"/>
      <c r="EB25" s="705"/>
      <c r="EC25" s="705"/>
      <c r="ED25" s="705"/>
      <c r="EE25" s="705"/>
      <c r="EF25" s="705"/>
      <c r="EG25" s="705"/>
      <c r="EH25" s="257"/>
      <c r="EI25" s="497"/>
    </row>
    <row r="26" spans="2:142" x14ac:dyDescent="0.35">
      <c r="B26" s="753" t="s">
        <v>527</v>
      </c>
      <c r="D26" s="621" t="s">
        <v>115</v>
      </c>
      <c r="E26" s="18">
        <f t="shared" ref="E26:AV26" si="149">+E20+E22+E23</f>
        <v>1716.2324109589042</v>
      </c>
      <c r="F26" s="18">
        <f t="shared" si="149"/>
        <v>1655.7048767123288</v>
      </c>
      <c r="G26" s="18">
        <f t="shared" si="149"/>
        <v>1654.9543413404247</v>
      </c>
      <c r="H26" s="18">
        <f t="shared" si="149"/>
        <v>1650.257398630137</v>
      </c>
      <c r="I26" s="18">
        <f t="shared" si="149"/>
        <v>1716.2324109589042</v>
      </c>
      <c r="J26" s="18">
        <f t="shared" si="149"/>
        <v>1639.0598047945205</v>
      </c>
      <c r="K26" s="18">
        <f t="shared" si="149"/>
        <v>1468.0695205479451</v>
      </c>
      <c r="L26" s="18">
        <f t="shared" si="149"/>
        <v>1398.5420663604248</v>
      </c>
      <c r="M26" s="18">
        <f t="shared" si="149"/>
        <v>1370.2923443835616</v>
      </c>
      <c r="N26" s="18">
        <f t="shared" si="149"/>
        <v>1422.1995179452053</v>
      </c>
      <c r="O26" s="18">
        <f t="shared" si="149"/>
        <v>1445.0997415753425</v>
      </c>
      <c r="P26" s="18">
        <f t="shared" si="149"/>
        <v>1451.2064678767124</v>
      </c>
      <c r="Q26" s="18">
        <f t="shared" si="149"/>
        <v>1333.0413139452055</v>
      </c>
      <c r="R26" s="18">
        <f t="shared" si="149"/>
        <v>1237.4710473287671</v>
      </c>
      <c r="S26" s="18">
        <f t="shared" si="149"/>
        <v>1287.0943113604251</v>
      </c>
      <c r="T26" s="18">
        <f t="shared" si="149"/>
        <v>1191.9759363835617</v>
      </c>
      <c r="U26" s="18">
        <f t="shared" si="149"/>
        <v>1167.2436948630136</v>
      </c>
      <c r="V26" s="18">
        <f t="shared" si="149"/>
        <v>1133.3100186301369</v>
      </c>
      <c r="W26" s="18">
        <f t="shared" si="149"/>
        <v>1119.9578539041097</v>
      </c>
      <c r="X26" s="18">
        <f t="shared" si="149"/>
        <v>1128.9856404432769</v>
      </c>
      <c r="Y26" s="18">
        <f t="shared" si="149"/>
        <v>1150.3830172785981</v>
      </c>
      <c r="Z26" s="18">
        <f t="shared" si="149"/>
        <v>1150.3830172785981</v>
      </c>
      <c r="AA26" s="18">
        <f t="shared" si="149"/>
        <v>1023.1077369665325</v>
      </c>
      <c r="AB26" s="18">
        <f t="shared" si="149"/>
        <v>922.04779618270766</v>
      </c>
      <c r="AC26" s="18">
        <f t="shared" si="149"/>
        <v>986.45</v>
      </c>
      <c r="AD26" s="18">
        <f t="shared" si="149"/>
        <v>939.79623737749137</v>
      </c>
      <c r="AE26" s="18">
        <f t="shared" si="149"/>
        <v>962.07999999999981</v>
      </c>
      <c r="AF26" s="18">
        <f t="shared" si="149"/>
        <v>950.59587621310789</v>
      </c>
      <c r="AG26" s="120">
        <f t="shared" si="149"/>
        <v>956.03999999999985</v>
      </c>
      <c r="AH26" s="120">
        <f t="shared" si="149"/>
        <v>926.98477393613234</v>
      </c>
      <c r="AI26" s="120">
        <f t="shared" si="149"/>
        <v>912.79096289503639</v>
      </c>
      <c r="AJ26" s="120">
        <f t="shared" si="149"/>
        <v>915.11134861036817</v>
      </c>
      <c r="AK26" s="120">
        <f t="shared" si="149"/>
        <v>905.3854962648993</v>
      </c>
      <c r="AL26" s="120">
        <f t="shared" si="149"/>
        <v>913.56853689120078</v>
      </c>
      <c r="AM26" s="120">
        <f t="shared" si="149"/>
        <v>993.63397360736519</v>
      </c>
      <c r="AN26" s="120">
        <f t="shared" si="149"/>
        <v>1087.905563809009</v>
      </c>
      <c r="AO26" s="120">
        <f t="shared" si="149"/>
        <v>1200.5303688090091</v>
      </c>
      <c r="AP26" s="120">
        <f t="shared" si="149"/>
        <v>1371.0042106347623</v>
      </c>
      <c r="AQ26" s="120">
        <f t="shared" si="149"/>
        <v>1298.4923498813378</v>
      </c>
      <c r="AR26" s="120">
        <f t="shared" si="149"/>
        <v>1521.9982751743905</v>
      </c>
      <c r="AS26" s="120">
        <f t="shared" si="149"/>
        <v>1547.2482751743905</v>
      </c>
      <c r="AT26" s="120">
        <f t="shared" si="149"/>
        <v>1714.8018923084646</v>
      </c>
      <c r="AU26" s="120">
        <f t="shared" si="149"/>
        <v>1693.669904714149</v>
      </c>
      <c r="AV26" s="120">
        <f t="shared" si="149"/>
        <v>1719.057509135396</v>
      </c>
      <c r="AW26" s="120">
        <v>1890.6153166243253</v>
      </c>
      <c r="AX26" s="120">
        <v>1907.0716196050071</v>
      </c>
      <c r="AY26" s="120">
        <f>+AY20+AY22+AY23</f>
        <v>1804.3773218032084</v>
      </c>
      <c r="AZ26" s="120">
        <v>1928.5452991726795</v>
      </c>
      <c r="BA26" s="120">
        <f t="shared" ref="BA26:BV26" si="150">+BA20+BA22+BA23</f>
        <v>1923.28</v>
      </c>
      <c r="BB26" s="120">
        <f t="shared" si="150"/>
        <v>1895.01</v>
      </c>
      <c r="BC26" s="337">
        <f t="shared" si="150"/>
        <v>1891.4099999999999</v>
      </c>
      <c r="BD26" s="337">
        <f t="shared" si="150"/>
        <v>1923.2533873454365</v>
      </c>
      <c r="BE26" s="337">
        <f t="shared" si="150"/>
        <v>1961.2255102430695</v>
      </c>
      <c r="BF26" s="337">
        <f t="shared" si="150"/>
        <v>1833.6557225769557</v>
      </c>
      <c r="BG26" s="337">
        <f t="shared" si="150"/>
        <v>1786.9499826187669</v>
      </c>
      <c r="BH26" s="337">
        <f t="shared" si="150"/>
        <v>1650.334143937949</v>
      </c>
      <c r="BI26" s="337">
        <f t="shared" si="150"/>
        <v>1428.9502754525249</v>
      </c>
      <c r="BJ26" s="337">
        <f t="shared" si="150"/>
        <v>1299.8049317091488</v>
      </c>
      <c r="BK26" s="337">
        <f t="shared" si="150"/>
        <v>1290.9424406383271</v>
      </c>
      <c r="BL26" s="337">
        <f t="shared" si="150"/>
        <v>1255.4736151177467</v>
      </c>
      <c r="BM26" s="337">
        <f t="shared" si="150"/>
        <v>1273.7800943026857</v>
      </c>
      <c r="BN26" s="379">
        <f t="shared" si="150"/>
        <v>1272.9918834506852</v>
      </c>
      <c r="BO26" s="337">
        <f t="shared" si="150"/>
        <v>1346.8089973008859</v>
      </c>
      <c r="BP26" s="337">
        <f t="shared" si="150"/>
        <v>1273.8321433886906</v>
      </c>
      <c r="BQ26" s="379">
        <f t="shared" si="150"/>
        <v>1193.5092310621178</v>
      </c>
      <c r="BR26" s="337">
        <f t="shared" si="150"/>
        <v>1182.1110836473979</v>
      </c>
      <c r="BS26" s="337">
        <f t="shared" si="150"/>
        <v>1226.6076392399507</v>
      </c>
      <c r="BT26" s="337">
        <f t="shared" si="150"/>
        <v>1233.1194049881999</v>
      </c>
      <c r="BU26" s="337">
        <f t="shared" si="150"/>
        <v>1189.8951538863171</v>
      </c>
      <c r="BV26" s="337">
        <f t="shared" si="150"/>
        <v>1179.1737174535399</v>
      </c>
      <c r="BW26" s="337">
        <f t="shared" ref="BW26:CB26" si="151">+BW20+BW22+BW23+BW24</f>
        <v>1213.6744453057081</v>
      </c>
      <c r="BX26" s="337">
        <f t="shared" si="151"/>
        <v>1244.3741577627632</v>
      </c>
      <c r="BY26" s="337">
        <f t="shared" si="151"/>
        <v>1267.6152331039468</v>
      </c>
      <c r="BZ26" s="337">
        <f t="shared" si="151"/>
        <v>1267.6152331039468</v>
      </c>
      <c r="CA26" s="337">
        <f t="shared" si="151"/>
        <v>1389.4579232308406</v>
      </c>
      <c r="CB26" s="337">
        <f t="shared" si="151"/>
        <v>1500.8057306908936</v>
      </c>
      <c r="CC26" s="337">
        <f t="shared" ref="CC26:CD26" si="152">+CC20+CC22+CC23+CC24</f>
        <v>1535.1617078104994</v>
      </c>
      <c r="CD26" s="337">
        <f t="shared" si="152"/>
        <v>1439.1077810143017</v>
      </c>
      <c r="CE26" s="337">
        <f t="shared" ref="CE26:CF26" si="153">+CE20+CE22+CE23+CE24</f>
        <v>1435.35205667373</v>
      </c>
      <c r="CF26" s="337">
        <f t="shared" si="153"/>
        <v>1281.3273185317998</v>
      </c>
      <c r="CG26" s="337">
        <f t="shared" ref="CG26:CH26" si="154">+CG20+CG22+CG23+CG24</f>
        <v>1307.846249009227</v>
      </c>
      <c r="CH26" s="337">
        <f t="shared" si="154"/>
        <v>1198.0348966374936</v>
      </c>
      <c r="CI26" s="337">
        <f t="shared" ref="CI26:CJ26" si="155">+CI20+CI22+CI23+CI24</f>
        <v>1184.8778770130416</v>
      </c>
      <c r="CJ26" s="337">
        <f t="shared" si="155"/>
        <v>1186.5035815895135</v>
      </c>
      <c r="CK26" s="337">
        <f t="shared" ref="CK26:CL26" si="156">+CK20+CK22+CK23+CK24</f>
        <v>1142.7549767368105</v>
      </c>
      <c r="CL26" s="622">
        <f t="shared" si="156"/>
        <v>1128.7641514473505</v>
      </c>
      <c r="CM26" s="622">
        <f t="shared" ref="CM26:CR26" si="157">+CM20+CM22+CM23+CM24+CM25</f>
        <v>1192.9767352338292</v>
      </c>
      <c r="CN26" s="622">
        <f t="shared" si="157"/>
        <v>1229.9559108798821</v>
      </c>
      <c r="CO26" s="622">
        <f t="shared" si="157"/>
        <v>1481.7338702604845</v>
      </c>
      <c r="CP26" s="622">
        <f t="shared" si="157"/>
        <v>1224.4769951505054</v>
      </c>
      <c r="CQ26" s="622">
        <f t="shared" si="157"/>
        <v>1204.7186160396182</v>
      </c>
      <c r="CR26" s="622">
        <f t="shared" si="157"/>
        <v>1176.8598412751749</v>
      </c>
      <c r="CS26" s="622">
        <f t="shared" ref="CS26:CT26" si="158">+CS20+CS22+CS23+CS24+CS25</f>
        <v>1095.0968433444402</v>
      </c>
      <c r="CT26" s="622">
        <f t="shared" si="158"/>
        <v>1079.0636685953975</v>
      </c>
      <c r="CU26" s="622">
        <f t="shared" ref="CU26:CV26" si="159">+CU20+CU22+CU23+CU24+CU25</f>
        <v>1060.399100377572</v>
      </c>
      <c r="CV26" s="622">
        <f t="shared" si="159"/>
        <v>1099.862660511166</v>
      </c>
      <c r="CW26" s="242"/>
      <c r="CY26" s="22"/>
      <c r="DT26" s="21"/>
      <c r="DU26" s="21"/>
      <c r="DV26" s="21"/>
      <c r="DW26" s="21"/>
      <c r="DX26" s="21"/>
      <c r="DY26" s="21"/>
      <c r="DZ26" s="706"/>
      <c r="EA26" s="706"/>
      <c r="EB26" s="706"/>
      <c r="EC26" s="706"/>
      <c r="ED26" s="706"/>
      <c r="EE26" s="706"/>
      <c r="EF26" s="706"/>
      <c r="EG26" s="706"/>
      <c r="EH26" s="257"/>
    </row>
    <row r="27" spans="2:142" x14ac:dyDescent="0.35">
      <c r="B27" s="753" t="s">
        <v>528</v>
      </c>
      <c r="D27" s="621" t="s">
        <v>116</v>
      </c>
      <c r="E27" s="197"/>
      <c r="F27" s="197"/>
      <c r="G27" s="197"/>
      <c r="H27" s="197"/>
      <c r="I27" s="197"/>
      <c r="J27" s="197"/>
      <c r="K27" s="197"/>
      <c r="L27" s="197"/>
      <c r="M27" s="197"/>
      <c r="N27" s="197"/>
      <c r="O27" s="197"/>
      <c r="P27" s="197"/>
      <c r="Q27" s="197"/>
      <c r="R27" s="197"/>
      <c r="S27" s="197"/>
      <c r="T27" s="197"/>
      <c r="U27" s="197"/>
      <c r="V27" s="197"/>
      <c r="W27" s="197"/>
      <c r="X27" s="197"/>
      <c r="Y27" s="197"/>
      <c r="Z27" s="197"/>
      <c r="AA27" s="197"/>
      <c r="AB27" s="197"/>
      <c r="AC27" s="197"/>
      <c r="AD27" s="197"/>
      <c r="AE27" s="197"/>
      <c r="AF27" s="197"/>
      <c r="AG27" s="198"/>
      <c r="AH27" s="198"/>
      <c r="AI27" s="198"/>
      <c r="AJ27" s="198"/>
      <c r="AK27" s="198"/>
      <c r="AL27" s="120" t="e">
        <f>+AL26+#REF!</f>
        <v>#REF!</v>
      </c>
      <c r="AM27" s="120" t="e">
        <f>+AM26+#REF!</f>
        <v>#REF!</v>
      </c>
      <c r="AN27" s="120" t="e">
        <f>+AN26+#REF!</f>
        <v>#REF!</v>
      </c>
      <c r="AO27" s="120" t="e">
        <f>+AO26+#REF!</f>
        <v>#REF!</v>
      </c>
      <c r="AP27" s="120" t="e">
        <f>+AP26+#REF!</f>
        <v>#REF!</v>
      </c>
      <c r="AQ27" s="120" t="e">
        <f>+AQ26+#REF!</f>
        <v>#REF!</v>
      </c>
      <c r="AR27" s="120" t="e">
        <f>+AR26+#REF!</f>
        <v>#REF!</v>
      </c>
      <c r="AS27" s="120" t="e">
        <f>+AS26+#REF!</f>
        <v>#REF!</v>
      </c>
      <c r="AT27" s="120" t="e">
        <f>+AT26+#REF!</f>
        <v>#REF!</v>
      </c>
      <c r="AU27" s="120">
        <f>+AU26</f>
        <v>1693.669904714149</v>
      </c>
      <c r="AV27" s="120">
        <f>+AV26</f>
        <v>1719.057509135396</v>
      </c>
      <c r="AW27" s="120">
        <v>1890.6153166243253</v>
      </c>
      <c r="AX27" s="120">
        <v>1907.0716196050071</v>
      </c>
      <c r="AY27" s="120">
        <f>+AY26</f>
        <v>1804.3773218032084</v>
      </c>
      <c r="AZ27" s="120">
        <v>1928.5452991726795</v>
      </c>
      <c r="BA27" s="120">
        <f t="shared" ref="BA27:BF27" si="160">+BA26</f>
        <v>1923.28</v>
      </c>
      <c r="BB27" s="120">
        <f t="shared" si="160"/>
        <v>1895.01</v>
      </c>
      <c r="BC27" s="337">
        <f t="shared" si="160"/>
        <v>1891.4099999999999</v>
      </c>
      <c r="BD27" s="337">
        <f t="shared" si="160"/>
        <v>1923.2533873454365</v>
      </c>
      <c r="BE27" s="337">
        <f t="shared" si="160"/>
        <v>1961.2255102430695</v>
      </c>
      <c r="BF27" s="337">
        <f t="shared" si="160"/>
        <v>1833.6557225769557</v>
      </c>
      <c r="BG27" s="337">
        <f t="shared" ref="BG27:BH27" si="161">+BG26</f>
        <v>1786.9499826187669</v>
      </c>
      <c r="BH27" s="337">
        <f t="shared" si="161"/>
        <v>1650.334143937949</v>
      </c>
      <c r="BI27" s="337">
        <f t="shared" ref="BI27" si="162">+BI26</f>
        <v>1428.9502754525249</v>
      </c>
      <c r="BJ27" s="337">
        <f t="shared" ref="BJ27:BO27" si="163">+BJ26</f>
        <v>1299.8049317091488</v>
      </c>
      <c r="BK27" s="337">
        <f t="shared" si="163"/>
        <v>1290.9424406383271</v>
      </c>
      <c r="BL27" s="337">
        <f t="shared" si="163"/>
        <v>1255.4736151177467</v>
      </c>
      <c r="BM27" s="337">
        <f t="shared" si="163"/>
        <v>1273.7800943026857</v>
      </c>
      <c r="BN27" s="379">
        <f t="shared" si="163"/>
        <v>1272.9918834506852</v>
      </c>
      <c r="BO27" s="337">
        <f t="shared" si="163"/>
        <v>1346.8089973008859</v>
      </c>
      <c r="BP27" s="337">
        <f t="shared" ref="BP27:BQ27" si="164">+BP26</f>
        <v>1273.8321433886906</v>
      </c>
      <c r="BQ27" s="379">
        <f t="shared" si="164"/>
        <v>1193.5092310621178</v>
      </c>
      <c r="BR27" s="337">
        <f t="shared" ref="BR27:BS27" si="165">+BR26</f>
        <v>1182.1110836473979</v>
      </c>
      <c r="BS27" s="337">
        <f t="shared" si="165"/>
        <v>1226.6076392399507</v>
      </c>
      <c r="BT27" s="337">
        <f t="shared" ref="BT27:BU27" si="166">+BT26</f>
        <v>1233.1194049881999</v>
      </c>
      <c r="BU27" s="337">
        <f t="shared" si="166"/>
        <v>1189.8951538863171</v>
      </c>
      <c r="BV27" s="337">
        <f t="shared" ref="BV27:BW27" si="167">+BV26</f>
        <v>1179.1737174535399</v>
      </c>
      <c r="BW27" s="337">
        <f t="shared" si="167"/>
        <v>1213.6744453057081</v>
      </c>
      <c r="BX27" s="337">
        <f t="shared" ref="BX27:BY27" si="168">+BX26</f>
        <v>1244.3741577627632</v>
      </c>
      <c r="BY27" s="337">
        <f t="shared" si="168"/>
        <v>1267.6152331039468</v>
      </c>
      <c r="BZ27" s="337">
        <f t="shared" ref="BZ27:CA27" si="169">+BZ26</f>
        <v>1267.6152331039468</v>
      </c>
      <c r="CA27" s="337">
        <f t="shared" si="169"/>
        <v>1389.4579232308406</v>
      </c>
      <c r="CB27" s="337">
        <f t="shared" ref="CB27:CC27" si="170">+CB26</f>
        <v>1500.8057306908936</v>
      </c>
      <c r="CC27" s="337">
        <f t="shared" si="170"/>
        <v>1535.1617078104994</v>
      </c>
      <c r="CD27" s="337">
        <f t="shared" ref="CD27:CE27" si="171">+CD26</f>
        <v>1439.1077810143017</v>
      </c>
      <c r="CE27" s="337">
        <f t="shared" si="171"/>
        <v>1435.35205667373</v>
      </c>
      <c r="CF27" s="337">
        <f t="shared" ref="CF27:CG27" si="172">+CF26</f>
        <v>1281.3273185317998</v>
      </c>
      <c r="CG27" s="337">
        <f t="shared" si="172"/>
        <v>1307.846249009227</v>
      </c>
      <c r="CH27" s="337">
        <f t="shared" ref="CH27:CI27" si="173">+CH26</f>
        <v>1198.0348966374936</v>
      </c>
      <c r="CI27" s="337">
        <f t="shared" si="173"/>
        <v>1184.8778770130416</v>
      </c>
      <c r="CJ27" s="337">
        <f t="shared" ref="CJ27:CK27" si="174">+CJ26</f>
        <v>1186.5035815895135</v>
      </c>
      <c r="CK27" s="337">
        <f t="shared" si="174"/>
        <v>1142.7549767368105</v>
      </c>
      <c r="CL27" s="622">
        <f t="shared" ref="CL27:CM27" si="175">+CL26</f>
        <v>1128.7641514473505</v>
      </c>
      <c r="CM27" s="622">
        <f t="shared" si="175"/>
        <v>1192.9767352338292</v>
      </c>
      <c r="CN27" s="622">
        <f t="shared" ref="CN27:CO27" si="176">+CN26</f>
        <v>1229.9559108798821</v>
      </c>
      <c r="CO27" s="622">
        <f t="shared" si="176"/>
        <v>1481.7338702604845</v>
      </c>
      <c r="CP27" s="622">
        <f t="shared" ref="CP27:CQ27" si="177">+CP26</f>
        <v>1224.4769951505054</v>
      </c>
      <c r="CQ27" s="622">
        <f t="shared" si="177"/>
        <v>1204.7186160396182</v>
      </c>
      <c r="CR27" s="622">
        <f t="shared" ref="CR27:CS27" si="178">+CR26</f>
        <v>1176.8598412751749</v>
      </c>
      <c r="CS27" s="622">
        <f t="shared" si="178"/>
        <v>1095.0968433444402</v>
      </c>
      <c r="CT27" s="622">
        <f t="shared" ref="CT27:CU27" si="179">+CT26</f>
        <v>1079.0636685953975</v>
      </c>
      <c r="CU27" s="622">
        <f t="shared" si="179"/>
        <v>1060.399100377572</v>
      </c>
      <c r="CV27" s="622">
        <f t="shared" ref="CV27" si="180">+CV26</f>
        <v>1099.862660511166</v>
      </c>
      <c r="CW27" s="699"/>
      <c r="CX27" s="756" t="s">
        <v>600</v>
      </c>
      <c r="DQ27" s="330"/>
      <c r="DR27" s="330"/>
      <c r="DS27" s="22"/>
      <c r="DT27" s="22"/>
      <c r="DU27" s="22"/>
      <c r="DV27" s="22"/>
      <c r="DW27" s="22"/>
      <c r="DX27" s="22"/>
      <c r="DY27" s="22"/>
      <c r="DZ27" s="491"/>
      <c r="EA27" s="491"/>
      <c r="EB27" s="491"/>
      <c r="EC27" s="491"/>
      <c r="ED27" s="491"/>
      <c r="EE27" s="491"/>
      <c r="EF27" s="491"/>
      <c r="EG27" s="491"/>
    </row>
    <row r="28" spans="2:142" x14ac:dyDescent="0.35">
      <c r="B28" s="753" t="s">
        <v>529</v>
      </c>
      <c r="D28" s="623" t="s">
        <v>117</v>
      </c>
      <c r="E28" s="197"/>
      <c r="F28" s="197"/>
      <c r="G28" s="197"/>
      <c r="H28" s="197"/>
      <c r="I28" s="197"/>
      <c r="J28" s="197"/>
      <c r="K28" s="197"/>
      <c r="L28" s="197"/>
      <c r="M28" s="197"/>
      <c r="N28" s="197"/>
      <c r="O28" s="197"/>
      <c r="P28" s="197"/>
      <c r="Q28" s="197"/>
      <c r="R28" s="197"/>
      <c r="S28" s="197"/>
      <c r="T28" s="197"/>
      <c r="U28" s="197"/>
      <c r="V28" s="197"/>
      <c r="W28" s="197"/>
      <c r="X28" s="197"/>
      <c r="Y28" s="197"/>
      <c r="Z28" s="197"/>
      <c r="AA28" s="197"/>
      <c r="AB28" s="197"/>
      <c r="AC28" s="197"/>
      <c r="AD28" s="197"/>
      <c r="AE28" s="197"/>
      <c r="AF28" s="197"/>
      <c r="AG28" s="198"/>
      <c r="AH28" s="198"/>
      <c r="AI28" s="198"/>
      <c r="AJ28" s="198"/>
      <c r="AK28" s="198"/>
      <c r="AL28" s="120" t="e">
        <f>+#REF!</f>
        <v>#REF!</v>
      </c>
      <c r="AM28" s="120" t="e">
        <f>+#REF!</f>
        <v>#REF!</v>
      </c>
      <c r="AN28" s="120" t="e">
        <f>+#REF!</f>
        <v>#REF!</v>
      </c>
      <c r="AO28" s="120" t="e">
        <f>+#REF!</f>
        <v>#REF!</v>
      </c>
      <c r="AP28" s="120" t="e">
        <f>+#REF!</f>
        <v>#REF!</v>
      </c>
      <c r="AQ28" s="120" t="e">
        <f>+#REF!</f>
        <v>#REF!</v>
      </c>
      <c r="AR28" s="120" t="e">
        <f>+#REF!</f>
        <v>#REF!</v>
      </c>
      <c r="AS28" s="120" t="e">
        <f>+#REF!</f>
        <v>#REF!</v>
      </c>
      <c r="AT28" s="120" t="e">
        <f>+#REF!</f>
        <v>#REF!</v>
      </c>
      <c r="AU28" s="120" t="e">
        <f>+#REF!</f>
        <v>#REF!</v>
      </c>
      <c r="AV28" s="120" t="e">
        <f>+#REF!</f>
        <v>#REF!</v>
      </c>
      <c r="AW28" s="120">
        <v>1780.8031667269806</v>
      </c>
      <c r="AX28" s="120">
        <v>1844.8576379989688</v>
      </c>
      <c r="AY28" s="120" t="e">
        <f>+#REF!</f>
        <v>#REF!</v>
      </c>
      <c r="AZ28" s="120">
        <v>1880.1281815309007</v>
      </c>
      <c r="BA28" s="120" t="e">
        <f>+#REF!</f>
        <v>#REF!</v>
      </c>
      <c r="BB28" s="327" t="e">
        <f>+#REF!</f>
        <v>#REF!</v>
      </c>
      <c r="BC28" s="337" t="e">
        <f>+#REF!</f>
        <v>#REF!</v>
      </c>
      <c r="BD28" s="337" t="e">
        <f>+#REF!</f>
        <v>#REF!</v>
      </c>
      <c r="BE28" s="337" t="e">
        <f>+#REF!</f>
        <v>#REF!</v>
      </c>
      <c r="BF28" s="337" t="e">
        <f>+#REF!</f>
        <v>#REF!</v>
      </c>
      <c r="BG28" s="337" t="e">
        <f>+#REF!</f>
        <v>#REF!</v>
      </c>
      <c r="BH28" s="337" t="e">
        <f>+#REF!</f>
        <v>#REF!</v>
      </c>
      <c r="BI28" s="337" t="e">
        <f>+#REF!</f>
        <v>#REF!</v>
      </c>
      <c r="BJ28" s="337" t="e">
        <f>+#REF!</f>
        <v>#REF!</v>
      </c>
      <c r="BK28" s="337" t="e">
        <f>+#REF!</f>
        <v>#REF!</v>
      </c>
      <c r="BL28" s="337" t="e">
        <f>+#REF!</f>
        <v>#REF!</v>
      </c>
      <c r="BM28" s="337" t="e">
        <f>+#REF!</f>
        <v>#REF!</v>
      </c>
      <c r="BN28" s="379">
        <f t="shared" ref="BN28:BS28" si="181">+CY24</f>
        <v>1267.0143376361973</v>
      </c>
      <c r="BO28" s="337">
        <f t="shared" si="181"/>
        <v>1304.1208334640173</v>
      </c>
      <c r="BP28" s="337">
        <f t="shared" si="181"/>
        <v>1298.9692885147945</v>
      </c>
      <c r="BQ28" s="379">
        <f t="shared" si="181"/>
        <v>1254.8428525614802</v>
      </c>
      <c r="BR28" s="337">
        <f t="shared" si="181"/>
        <v>1215.9045352417124</v>
      </c>
      <c r="BS28" s="337">
        <f t="shared" si="181"/>
        <v>1220.6546814110968</v>
      </c>
      <c r="BT28" s="337">
        <f>+DE24</f>
        <v>1226.1866522264747</v>
      </c>
      <c r="BU28" s="337">
        <f>+DF24</f>
        <v>1209.0551584269829</v>
      </c>
      <c r="BV28" s="337">
        <f>+DG24</f>
        <v>1194.1871579510785</v>
      </c>
      <c r="BW28" s="337">
        <f>+DH24</f>
        <v>1203.3753896982651</v>
      </c>
      <c r="BX28" s="337">
        <f>+DH24</f>
        <v>1203.3753896982651</v>
      </c>
      <c r="BY28" s="337">
        <f>+DJ24</f>
        <v>1225.54462078749</v>
      </c>
      <c r="BZ28" s="337">
        <f>+DJ24</f>
        <v>1225.54462078749</v>
      </c>
      <c r="CA28" s="337">
        <f t="shared" ref="CA28:CF28" si="182">+DL24</f>
        <v>1317.0024167853026</v>
      </c>
      <c r="CB28" s="337">
        <f t="shared" si="182"/>
        <v>1419.7186546650141</v>
      </c>
      <c r="CC28" s="337">
        <f t="shared" si="182"/>
        <v>1509.9821039091423</v>
      </c>
      <c r="CD28" s="337">
        <f t="shared" si="182"/>
        <v>1468.930215646893</v>
      </c>
      <c r="CE28" s="337">
        <f t="shared" si="182"/>
        <v>1441.3901886717804</v>
      </c>
      <c r="CF28" s="337">
        <f t="shared" si="182"/>
        <v>1363.6378209264894</v>
      </c>
      <c r="CG28" s="337">
        <f t="shared" ref="CG28:CM28" si="183">+DR24</f>
        <v>1331.6466501380658</v>
      </c>
      <c r="CH28" s="337">
        <f t="shared" si="183"/>
        <v>1304.2777885746743</v>
      </c>
      <c r="CI28" s="337">
        <f t="shared" si="183"/>
        <v>1211.7009226258197</v>
      </c>
      <c r="CJ28" s="337">
        <f t="shared" si="183"/>
        <v>1201.5962051573779</v>
      </c>
      <c r="CK28" s="337">
        <f t="shared" si="183"/>
        <v>1178.6438201323385</v>
      </c>
      <c r="CL28" s="622">
        <f t="shared" si="183"/>
        <v>1159.5043426924331</v>
      </c>
      <c r="CM28" s="622">
        <f t="shared" si="183"/>
        <v>1169.9781021941997</v>
      </c>
      <c r="CN28" s="622">
        <f t="shared" ref="CN28:CS28" si="184">+DY24</f>
        <v>1188.462432983202</v>
      </c>
      <c r="CO28" s="622">
        <f t="shared" si="184"/>
        <v>1364.4350559233303</v>
      </c>
      <c r="CP28" s="622">
        <f t="shared" si="184"/>
        <v>1286.7632895323181</v>
      </c>
      <c r="CQ28" s="622">
        <f t="shared" si="184"/>
        <v>1249.5027202502913</v>
      </c>
      <c r="CR28" s="622">
        <f t="shared" si="184"/>
        <v>1229.7082723501064</v>
      </c>
      <c r="CS28" s="622">
        <f t="shared" si="184"/>
        <v>1201.4273245732036</v>
      </c>
      <c r="CT28" s="622">
        <f>+EE24</f>
        <v>1170.9491189896669</v>
      </c>
      <c r="CU28" s="622">
        <f>+EF24</f>
        <v>1137.1396232839734</v>
      </c>
      <c r="CV28" s="622">
        <f>+EG24</f>
        <v>1122.3752534824653</v>
      </c>
      <c r="CW28" s="699"/>
      <c r="CX28" s="756" t="s">
        <v>596</v>
      </c>
      <c r="CY28" s="497"/>
      <c r="CZ28" s="497"/>
      <c r="DA28" s="497"/>
      <c r="DB28" s="497"/>
      <c r="DC28" s="497"/>
      <c r="DD28" s="497"/>
      <c r="DE28" s="497"/>
      <c r="DF28" s="497"/>
      <c r="DG28" s="497"/>
      <c r="DH28" s="497"/>
      <c r="DI28" s="497"/>
      <c r="DJ28" s="497"/>
      <c r="DK28" s="497"/>
      <c r="DL28" s="497"/>
      <c r="DM28" s="497"/>
      <c r="DN28" s="497"/>
      <c r="DO28" s="497"/>
      <c r="DP28" s="497"/>
      <c r="DQ28" s="497"/>
      <c r="DR28" s="497"/>
      <c r="DS28" s="497"/>
      <c r="DT28" s="497"/>
      <c r="DU28" s="497"/>
      <c r="DV28" s="497"/>
    </row>
    <row r="29" spans="2:142" x14ac:dyDescent="0.35">
      <c r="D29" s="624" t="s">
        <v>118</v>
      </c>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c r="AC29" s="197"/>
      <c r="AD29" s="197"/>
      <c r="AE29" s="197"/>
      <c r="AF29" s="197"/>
      <c r="AG29" s="198"/>
      <c r="AH29" s="198"/>
      <c r="AI29" s="198"/>
      <c r="AJ29" s="198"/>
      <c r="AK29" s="198"/>
      <c r="AL29" s="198"/>
      <c r="AM29" s="198"/>
      <c r="AN29" s="198"/>
      <c r="AO29" s="198"/>
      <c r="AP29" s="198"/>
      <c r="AQ29" s="198"/>
      <c r="AR29" s="198"/>
      <c r="AS29" s="198"/>
      <c r="AT29" s="198"/>
      <c r="AU29" s="198"/>
      <c r="AV29" s="198"/>
      <c r="AW29" s="198"/>
      <c r="AX29" s="198"/>
      <c r="AY29" s="198"/>
      <c r="AZ29" s="198"/>
      <c r="BA29" s="198"/>
      <c r="BB29" s="198"/>
      <c r="BC29" s="338"/>
      <c r="BD29" s="339"/>
      <c r="BE29" s="339"/>
      <c r="BF29" s="339"/>
      <c r="BG29" s="339"/>
      <c r="BH29" s="339"/>
      <c r="BI29" s="339"/>
      <c r="BJ29" s="339"/>
      <c r="BK29" s="339"/>
      <c r="BL29" s="339"/>
      <c r="BM29" s="339"/>
      <c r="BN29" s="380"/>
      <c r="BO29" s="339"/>
      <c r="BP29" s="339"/>
      <c r="BQ29" s="380"/>
      <c r="BR29" s="339"/>
      <c r="BS29" s="339"/>
      <c r="BT29" s="339"/>
      <c r="BU29" s="339"/>
      <c r="BV29" s="339"/>
      <c r="BW29" s="339"/>
      <c r="BX29" s="339"/>
      <c r="BY29" s="339"/>
      <c r="BZ29" s="339"/>
      <c r="CA29" s="339"/>
      <c r="CB29" s="339"/>
      <c r="CC29" s="339"/>
      <c r="CD29" s="339"/>
      <c r="CE29" s="339"/>
      <c r="CF29" s="339"/>
      <c r="CG29" s="339"/>
      <c r="CH29" s="339"/>
      <c r="CI29" s="339"/>
      <c r="CJ29" s="339"/>
      <c r="CK29" s="339"/>
      <c r="CL29" s="625"/>
      <c r="CM29" s="625"/>
      <c r="CN29" s="625"/>
      <c r="CO29" s="625"/>
      <c r="CP29" s="625"/>
      <c r="CQ29" s="625"/>
      <c r="CR29" s="625"/>
      <c r="CS29" s="625"/>
      <c r="CT29" s="625"/>
      <c r="CU29" s="625"/>
      <c r="CV29" s="625"/>
      <c r="CW29" s="242"/>
      <c r="CX29" s="757"/>
    </row>
    <row r="30" spans="2:142" ht="13" customHeight="1" thickBot="1" x14ac:dyDescent="0.4">
      <c r="D30" s="674" t="s">
        <v>119</v>
      </c>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c r="AE30" s="675"/>
      <c r="AF30" s="675"/>
      <c r="AG30" s="676"/>
      <c r="AH30" s="676"/>
      <c r="AI30" s="676"/>
      <c r="AJ30" s="676"/>
      <c r="AK30" s="676"/>
      <c r="AL30" s="676"/>
      <c r="AM30" s="676"/>
      <c r="AN30" s="676"/>
      <c r="AO30" s="676"/>
      <c r="AP30" s="676"/>
      <c r="AQ30" s="676"/>
      <c r="AR30" s="676"/>
      <c r="AS30" s="676"/>
      <c r="AT30" s="676"/>
      <c r="AU30" s="676"/>
      <c r="AV30" s="676"/>
      <c r="AW30" s="676"/>
      <c r="AX30" s="676"/>
      <c r="AY30" s="676"/>
      <c r="AZ30" s="676"/>
      <c r="BA30" s="676"/>
      <c r="BB30" s="676"/>
      <c r="BC30" s="677"/>
      <c r="BD30" s="678" t="e">
        <f t="shared" ref="BD30:CM30" si="185">+BD28+BD29</f>
        <v>#REF!</v>
      </c>
      <c r="BE30" s="678" t="e">
        <f t="shared" si="185"/>
        <v>#REF!</v>
      </c>
      <c r="BF30" s="678" t="e">
        <f t="shared" si="185"/>
        <v>#REF!</v>
      </c>
      <c r="BG30" s="678" t="e">
        <f t="shared" si="185"/>
        <v>#REF!</v>
      </c>
      <c r="BH30" s="678" t="e">
        <f t="shared" si="185"/>
        <v>#REF!</v>
      </c>
      <c r="BI30" s="678" t="e">
        <f t="shared" si="185"/>
        <v>#REF!</v>
      </c>
      <c r="BJ30" s="678" t="e">
        <f t="shared" si="185"/>
        <v>#REF!</v>
      </c>
      <c r="BK30" s="678" t="e">
        <f t="shared" si="185"/>
        <v>#REF!</v>
      </c>
      <c r="BL30" s="678" t="e">
        <f t="shared" si="185"/>
        <v>#REF!</v>
      </c>
      <c r="BM30" s="678" t="e">
        <f t="shared" si="185"/>
        <v>#REF!</v>
      </c>
      <c r="BN30" s="679">
        <f t="shared" si="185"/>
        <v>1267.0143376361973</v>
      </c>
      <c r="BO30" s="678">
        <f t="shared" si="185"/>
        <v>1304.1208334640173</v>
      </c>
      <c r="BP30" s="678">
        <f t="shared" si="185"/>
        <v>1298.9692885147945</v>
      </c>
      <c r="BQ30" s="679">
        <f t="shared" si="185"/>
        <v>1254.8428525614802</v>
      </c>
      <c r="BR30" s="678">
        <f t="shared" si="185"/>
        <v>1215.9045352417124</v>
      </c>
      <c r="BS30" s="678">
        <f t="shared" si="185"/>
        <v>1220.6546814110968</v>
      </c>
      <c r="BT30" s="678">
        <f t="shared" si="185"/>
        <v>1226.1866522264747</v>
      </c>
      <c r="BU30" s="678">
        <f t="shared" si="185"/>
        <v>1209.0551584269829</v>
      </c>
      <c r="BV30" s="678">
        <f t="shared" si="185"/>
        <v>1194.1871579510785</v>
      </c>
      <c r="BW30" s="678">
        <f t="shared" si="185"/>
        <v>1203.3753896982651</v>
      </c>
      <c r="BX30" s="678">
        <f t="shared" si="185"/>
        <v>1203.3753896982651</v>
      </c>
      <c r="BY30" s="678">
        <f t="shared" si="185"/>
        <v>1225.54462078749</v>
      </c>
      <c r="BZ30" s="678">
        <f t="shared" si="185"/>
        <v>1225.54462078749</v>
      </c>
      <c r="CA30" s="678">
        <f t="shared" si="185"/>
        <v>1317.0024167853026</v>
      </c>
      <c r="CB30" s="678">
        <f t="shared" si="185"/>
        <v>1419.7186546650141</v>
      </c>
      <c r="CC30" s="678">
        <f t="shared" si="185"/>
        <v>1509.9821039091423</v>
      </c>
      <c r="CD30" s="678">
        <f t="shared" si="185"/>
        <v>1468.930215646893</v>
      </c>
      <c r="CE30" s="678">
        <f t="shared" si="185"/>
        <v>1441.3901886717804</v>
      </c>
      <c r="CF30" s="678">
        <f t="shared" si="185"/>
        <v>1363.6378209264894</v>
      </c>
      <c r="CG30" s="678">
        <f t="shared" si="185"/>
        <v>1331.6466501380658</v>
      </c>
      <c r="CH30" s="678">
        <f t="shared" si="185"/>
        <v>1304.2777885746743</v>
      </c>
      <c r="CI30" s="678">
        <f t="shared" si="185"/>
        <v>1211.7009226258197</v>
      </c>
      <c r="CJ30" s="678">
        <f t="shared" si="185"/>
        <v>1201.5962051573779</v>
      </c>
      <c r="CK30" s="678">
        <f t="shared" si="185"/>
        <v>1178.6438201323385</v>
      </c>
      <c r="CL30" s="680">
        <f t="shared" si="185"/>
        <v>1159.5043426924331</v>
      </c>
      <c r="CM30" s="680">
        <f t="shared" si="185"/>
        <v>1169.9781021941997</v>
      </c>
      <c r="CN30" s="680">
        <f t="shared" ref="CN30:CO30" si="186">+CN28+CN29</f>
        <v>1188.462432983202</v>
      </c>
      <c r="CO30" s="680">
        <f t="shared" si="186"/>
        <v>1364.4350559233303</v>
      </c>
      <c r="CP30" s="680">
        <f t="shared" ref="CP30:CQ30" si="187">+CP28+CP29</f>
        <v>1286.7632895323181</v>
      </c>
      <c r="CQ30" s="680">
        <f t="shared" si="187"/>
        <v>1249.5027202502913</v>
      </c>
      <c r="CR30" s="680">
        <f t="shared" ref="CR30:CS30" si="188">+CR28+CR29</f>
        <v>1229.7082723501064</v>
      </c>
      <c r="CS30" s="680">
        <f t="shared" si="188"/>
        <v>1201.4273245732036</v>
      </c>
      <c r="CT30" s="680">
        <f t="shared" ref="CT30:CU30" si="189">+CT28+CT29</f>
        <v>1170.9491189896669</v>
      </c>
      <c r="CU30" s="680">
        <f t="shared" si="189"/>
        <v>1137.1396232839734</v>
      </c>
      <c r="CV30" s="680">
        <f t="shared" ref="CV30" si="190">+CV28+CV29</f>
        <v>1122.3752534824653</v>
      </c>
      <c r="CW30" s="257"/>
      <c r="CX30" s="755" t="s">
        <v>597</v>
      </c>
      <c r="DY30" s="22"/>
    </row>
    <row r="31" spans="2:142" ht="10.5" customHeight="1" thickBot="1" x14ac:dyDescent="0.4">
      <c r="D31" s="816"/>
      <c r="E31" s="816"/>
      <c r="F31" s="816"/>
      <c r="G31" s="816"/>
      <c r="H31" s="816"/>
      <c r="I31" s="816"/>
      <c r="J31" s="816"/>
      <c r="K31" s="816"/>
      <c r="L31" s="816"/>
      <c r="M31" s="816"/>
      <c r="N31" s="816"/>
      <c r="O31" s="816"/>
      <c r="P31" s="816"/>
      <c r="Q31" s="816"/>
      <c r="R31" s="816"/>
      <c r="S31" s="816"/>
      <c r="T31" s="816"/>
      <c r="U31" s="816"/>
      <c r="V31" s="816"/>
      <c r="W31" s="816"/>
      <c r="X31" s="816"/>
      <c r="Y31" s="816"/>
      <c r="Z31" s="816"/>
      <c r="AA31" s="816"/>
      <c r="AB31" s="816"/>
      <c r="AC31" s="816"/>
      <c r="AD31" s="816"/>
      <c r="AE31" s="816"/>
      <c r="AF31" s="816"/>
      <c r="AG31" s="816"/>
      <c r="AH31" s="816"/>
      <c r="AI31" s="816"/>
      <c r="AJ31" s="816"/>
      <c r="AK31" s="816"/>
      <c r="AL31" s="816"/>
      <c r="AM31" s="816"/>
      <c r="AN31" s="816"/>
      <c r="AO31" s="816"/>
      <c r="AP31" s="816"/>
      <c r="AQ31" s="816"/>
      <c r="AR31" s="816"/>
      <c r="AS31" s="816"/>
      <c r="AT31" s="816"/>
      <c r="AU31" s="816"/>
      <c r="AV31" s="816"/>
      <c r="AW31" s="816"/>
      <c r="AX31" s="816"/>
      <c r="AY31" s="816"/>
      <c r="AZ31" s="816"/>
      <c r="BA31" s="816"/>
      <c r="BB31" s="816"/>
      <c r="BC31" s="816"/>
      <c r="BD31" s="816"/>
      <c r="BE31" s="816"/>
      <c r="BF31" s="816"/>
      <c r="BG31" s="816"/>
      <c r="BH31" s="816"/>
      <c r="BI31" s="816"/>
      <c r="BJ31" s="816"/>
      <c r="BK31" s="816"/>
      <c r="BL31" s="816"/>
      <c r="BM31" s="816"/>
      <c r="BN31" s="816"/>
      <c r="BO31" s="816"/>
      <c r="BP31" s="816"/>
      <c r="BQ31" s="816"/>
      <c r="BR31" s="816"/>
      <c r="BS31" s="816"/>
      <c r="BT31" s="816"/>
      <c r="BU31" s="816"/>
      <c r="BV31" s="816"/>
      <c r="BW31" s="816"/>
      <c r="BX31" s="816"/>
      <c r="BY31" s="816"/>
      <c r="BZ31" s="816"/>
      <c r="CA31" s="816"/>
      <c r="CB31" s="816"/>
      <c r="CC31" s="816"/>
      <c r="CD31" s="816"/>
      <c r="CE31" s="816"/>
      <c r="CF31" s="816"/>
      <c r="CG31" s="816"/>
      <c r="CH31" s="816"/>
      <c r="CI31" s="816"/>
      <c r="CJ31" s="816"/>
      <c r="CK31" s="816"/>
      <c r="CL31" s="816"/>
      <c r="CM31" s="683"/>
      <c r="CN31" s="683"/>
      <c r="CO31" s="683"/>
      <c r="CP31" s="683"/>
      <c r="CQ31" s="683"/>
      <c r="CR31" s="683"/>
      <c r="CS31" s="683"/>
      <c r="CT31" s="683"/>
      <c r="CU31" s="683"/>
      <c r="CV31" s="683"/>
      <c r="CW31" s="235"/>
      <c r="CX31" t="s">
        <v>599</v>
      </c>
    </row>
    <row r="32" spans="2:142" x14ac:dyDescent="0.35">
      <c r="D32" s="605" t="s">
        <v>120</v>
      </c>
      <c r="E32" s="669">
        <f t="shared" ref="E32:Y32" si="191">+E26*(1-5%)</f>
        <v>1630.4207904109589</v>
      </c>
      <c r="F32" s="669">
        <f t="shared" si="191"/>
        <v>1572.9196328767123</v>
      </c>
      <c r="G32" s="669">
        <f t="shared" si="191"/>
        <v>1572.2066242734033</v>
      </c>
      <c r="H32" s="669">
        <f t="shared" si="191"/>
        <v>1567.7445286986301</v>
      </c>
      <c r="I32" s="669">
        <f t="shared" si="191"/>
        <v>1630.4207904109589</v>
      </c>
      <c r="J32" s="669">
        <f t="shared" si="191"/>
        <v>1557.1068145547943</v>
      </c>
      <c r="K32" s="669">
        <f t="shared" si="191"/>
        <v>1394.6660445205478</v>
      </c>
      <c r="L32" s="669">
        <f t="shared" si="191"/>
        <v>1328.6149630424034</v>
      </c>
      <c r="M32" s="669">
        <f t="shared" si="191"/>
        <v>1301.7777271643836</v>
      </c>
      <c r="N32" s="669">
        <f t="shared" si="191"/>
        <v>1351.0895420479451</v>
      </c>
      <c r="O32" s="669">
        <f t="shared" si="191"/>
        <v>1372.8447544965752</v>
      </c>
      <c r="P32" s="669">
        <f t="shared" si="191"/>
        <v>1378.6461444828767</v>
      </c>
      <c r="Q32" s="669">
        <f t="shared" si="191"/>
        <v>1266.3892482479453</v>
      </c>
      <c r="R32" s="669">
        <f t="shared" si="191"/>
        <v>1175.5974949623287</v>
      </c>
      <c r="S32" s="669">
        <f t="shared" si="191"/>
        <v>1222.7395957924039</v>
      </c>
      <c r="T32" s="669">
        <f t="shared" si="191"/>
        <v>1132.3771395643835</v>
      </c>
      <c r="U32" s="669">
        <f t="shared" si="191"/>
        <v>1108.8815101198629</v>
      </c>
      <c r="V32" s="669">
        <f t="shared" si="191"/>
        <v>1076.6445176986301</v>
      </c>
      <c r="W32" s="669">
        <f t="shared" si="191"/>
        <v>1063.9599612089041</v>
      </c>
      <c r="X32" s="669">
        <f t="shared" si="191"/>
        <v>1072.5363584211129</v>
      </c>
      <c r="Y32" s="669">
        <f t="shared" si="191"/>
        <v>1092.8638664146681</v>
      </c>
      <c r="Z32" s="669">
        <f>1.33255813953488*1000</f>
        <v>1332.55813953488</v>
      </c>
      <c r="AA32" s="669">
        <f>+' PCR Enkador'!H55</f>
        <v>1386.3640879999998</v>
      </c>
      <c r="AB32" s="669">
        <f>+AA32</f>
        <v>1386.3640879999998</v>
      </c>
      <c r="AC32" s="669">
        <f>+AB32</f>
        <v>1386.3640879999998</v>
      </c>
      <c r="AD32" s="669">
        <f>+AC32</f>
        <v>1386.3640879999998</v>
      </c>
      <c r="AE32" s="669">
        <f>+AD32</f>
        <v>1386.3640879999998</v>
      </c>
      <c r="AF32" s="670">
        <f>+' PCR Enkador'!H69</f>
        <v>1412.3595833333334</v>
      </c>
      <c r="AG32" s="669">
        <f>+' PCR Enkador'!H69</f>
        <v>1412.3595833333334</v>
      </c>
      <c r="AH32" s="669">
        <f>+' PCR Enkador'!H69</f>
        <v>1412.3595833333334</v>
      </c>
      <c r="AI32" s="669">
        <f>+AH32</f>
        <v>1412.3595833333334</v>
      </c>
      <c r="AJ32" s="669">
        <f>+AI32</f>
        <v>1412.3595833333334</v>
      </c>
      <c r="AK32" s="669">
        <f>+' PCR Enkador'!H88</f>
        <v>1394.54</v>
      </c>
      <c r="AL32" s="669">
        <f>+' PCR Enkador'!H88</f>
        <v>1394.54</v>
      </c>
      <c r="AM32" s="669">
        <f>+AL32</f>
        <v>1394.54</v>
      </c>
      <c r="AN32" s="669">
        <f>+AM32</f>
        <v>1394.54</v>
      </c>
      <c r="AO32" s="669">
        <f>+' PCR Enkador'!H104</f>
        <v>1485</v>
      </c>
      <c r="AP32" s="669">
        <f>+AO32</f>
        <v>1485</v>
      </c>
      <c r="AQ32" s="669">
        <f>+AP32</f>
        <v>1485</v>
      </c>
      <c r="AR32" s="669">
        <f>+' PCR Enkador'!H124</f>
        <v>1514.8753400165135</v>
      </c>
      <c r="AS32" s="669">
        <f>+AR32</f>
        <v>1514.8753400165135</v>
      </c>
      <c r="AT32" s="669">
        <f>+AS32</f>
        <v>1514.8753400165135</v>
      </c>
      <c r="AU32" s="669">
        <f>+' PCR Enkador'!E139</f>
        <v>1748.1781955494955</v>
      </c>
      <c r="AV32" s="669">
        <f>+' PCR Enkador'!F139</f>
        <v>2005.3590231791213</v>
      </c>
      <c r="AW32" s="669">
        <v>1942.1299178517277</v>
      </c>
      <c r="AX32" s="669">
        <v>1863.1433991880042</v>
      </c>
      <c r="AY32" s="669">
        <f>+' PCR Enkador'!I139</f>
        <v>2055.0951117457171</v>
      </c>
      <c r="AZ32" s="669">
        <v>2104.5193955564387</v>
      </c>
      <c r="BA32" s="669">
        <f>+' PCR Enkador'!K139</f>
        <v>2174.9407488222141</v>
      </c>
      <c r="BB32" s="669">
        <f>+' PCR Enkador'!L139</f>
        <v>2224.6328195831784</v>
      </c>
      <c r="BC32" s="671">
        <f>+' PCR Enkador'!L139</f>
        <v>2224.6328195831784</v>
      </c>
      <c r="BD32" s="671">
        <f>+' PCR Enkador'!N139</f>
        <v>2351.9980645856022</v>
      </c>
      <c r="BE32" s="671">
        <f>+' PCR Enkador'!O139</f>
        <v>2084.0879699121556</v>
      </c>
      <c r="BF32" s="671">
        <f>+' PCR Enkador'!P139</f>
        <v>2039.0612287085833</v>
      </c>
      <c r="BG32" s="671">
        <f>+' PCR Enkador'!Q139</f>
        <v>1827.4006175929699</v>
      </c>
      <c r="BH32" s="671">
        <f>+' PCR Enkador'!R139</f>
        <v>1572.1529790762611</v>
      </c>
      <c r="BI32" s="671">
        <f>+' PCR Enkador'!S139</f>
        <v>1511.4315793908329</v>
      </c>
      <c r="BJ32" s="671">
        <f>+' PCR Enkador'!T139</f>
        <v>1571.7048222592841</v>
      </c>
      <c r="BK32" s="671">
        <f>+' PCR Enkador'!U139</f>
        <v>1749.1772307014442</v>
      </c>
      <c r="BL32" s="671">
        <f>+' PCR Enkador'!V139</f>
        <v>1692.4082469121936</v>
      </c>
      <c r="BM32" s="671">
        <f>+' PCR Enkador'!W139</f>
        <v>1650.0848702661715</v>
      </c>
      <c r="BN32" s="672">
        <f>+' PCR Enkador'!X139</f>
        <v>1719.7814689069273</v>
      </c>
      <c r="BO32" s="671">
        <f>+' PCR Enkador'!Y139</f>
        <v>1698.3624926757873</v>
      </c>
      <c r="BP32" s="671">
        <f>+' PCR Enkador'!Z139</f>
        <v>1786.3921944383619</v>
      </c>
      <c r="BQ32" s="671">
        <f>+' PCR Enkador'!AA139</f>
        <v>1832.805473405368</v>
      </c>
      <c r="BR32" s="671">
        <f>+' PCR Enkador'!AB139</f>
        <v>1794.3773311945754</v>
      </c>
      <c r="BS32" s="671">
        <f>+' PCR Enkador'!AC139</f>
        <v>1784.8604795819303</v>
      </c>
      <c r="BT32" s="671">
        <f>+' PCR Enkador'!AD139</f>
        <v>1815.4425995528729</v>
      </c>
      <c r="BU32" s="671">
        <f>+' PCR Enkador'!AE139</f>
        <v>1917.1170907848905</v>
      </c>
      <c r="BV32" s="671">
        <f>+' PCR Enkador'!AF139</f>
        <v>1989.5364049472171</v>
      </c>
      <c r="BW32" s="671">
        <f>+' PCR Enkador'!AG139</f>
        <v>1762.3791591494746</v>
      </c>
      <c r="BX32" s="671">
        <f>+' PCR Enkador'!AH139</f>
        <v>1936.9946953544004</v>
      </c>
      <c r="BY32" s="671">
        <f>+' PCR Enkador'!AI139</f>
        <v>1960.7323860646977</v>
      </c>
      <c r="BZ32" s="671">
        <f>+' PCR Enkador'!AJ139</f>
        <v>2006.6200046357087</v>
      </c>
      <c r="CA32" s="671">
        <f>+' PCR Enkador'!AK139</f>
        <v>2038.1934573861074</v>
      </c>
      <c r="CB32" s="671">
        <f>+' PCR Enkador'!AL139</f>
        <v>2069.5841202518686</v>
      </c>
      <c r="CC32" s="671">
        <f>+' PCR Enkador'!AM139</f>
        <v>2145.0106360393302</v>
      </c>
      <c r="CD32" s="671">
        <f>+' PCR Enkador'!AN139</f>
        <v>2214.5182783877758</v>
      </c>
      <c r="CE32" s="671">
        <f>+' PCR Enkador'!AO139</f>
        <v>2244.2588516480246</v>
      </c>
      <c r="CF32" s="671">
        <f>+' PCR Enkador'!AP139</f>
        <v>2281.9841219161976</v>
      </c>
      <c r="CG32" s="671">
        <f>+' PCR Enkador'!AQ139</f>
        <v>2206.9405995539732</v>
      </c>
      <c r="CH32" s="671">
        <f>+' PCR Enkador'!AR139</f>
        <v>2237.8729025936364</v>
      </c>
      <c r="CI32" s="671">
        <f>+' PCR Enkador'!AS139</f>
        <v>2324.4326142171481</v>
      </c>
      <c r="CJ32" s="671">
        <f>+' PCR Enkador'!AT139</f>
        <v>2425.6132670647744</v>
      </c>
      <c r="CK32" s="671">
        <f>+' PCR Enkador'!AU139</f>
        <v>2426.0741017318292</v>
      </c>
      <c r="CL32" s="673">
        <f>+FIFO!BH7</f>
        <v>2350.0218802513937</v>
      </c>
      <c r="CM32" s="673">
        <f>+' PCR Enkador'!AW139</f>
        <v>2390.1838970744866</v>
      </c>
      <c r="CN32" s="673">
        <f>+' PCR Enkador'!AX139</f>
        <v>2381.7182128099948</v>
      </c>
      <c r="CO32" s="673">
        <f>+' PCR Enkador'!AY139</f>
        <v>2377.8053593005889</v>
      </c>
      <c r="CP32" s="673">
        <f>+'PCR Aurora '!W21</f>
        <v>2309.2090115776759</v>
      </c>
      <c r="CQ32" s="673">
        <f>+'PCR Aurora '!X21</f>
        <v>2315.1788314407136</v>
      </c>
      <c r="CR32" s="673">
        <f>+'PCR Aurora '!Y21</f>
        <v>2287.8264767153851</v>
      </c>
      <c r="CS32" s="673">
        <f>+'PCR Aurora '!Z21</f>
        <v>2304.9181954506435</v>
      </c>
      <c r="CT32" s="673">
        <f>+' PCR Enkador'!BD139</f>
        <v>2246.5394948114213</v>
      </c>
      <c r="CU32" s="673">
        <f>+' PCR Enkador'!BE139</f>
        <v>2284.7438078645764</v>
      </c>
      <c r="CV32" s="673">
        <f>+' PCR Enkador'!BG139</f>
        <v>0</v>
      </c>
      <c r="CW32" s="235"/>
      <c r="CX32" s="772"/>
    </row>
    <row r="33" spans="4:135" x14ac:dyDescent="0.35">
      <c r="D33" s="628" t="s">
        <v>121</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100"/>
      <c r="AG33" s="7"/>
      <c r="AH33" s="7"/>
      <c r="AI33" s="7"/>
      <c r="AJ33" s="7"/>
      <c r="AK33" s="7"/>
      <c r="AL33" s="7"/>
      <c r="AM33" s="7"/>
      <c r="AN33" s="7"/>
      <c r="AO33" s="7"/>
      <c r="AP33" s="7"/>
      <c r="AQ33" s="7"/>
      <c r="AR33" s="7">
        <f>+AR32</f>
        <v>1514.8753400165135</v>
      </c>
      <c r="AS33" s="7">
        <f>+AS32</f>
        <v>1514.8753400165135</v>
      </c>
      <c r="AT33" s="7">
        <f>+AT32</f>
        <v>1514.8753400165135</v>
      </c>
      <c r="AU33" s="7">
        <f>+AU32</f>
        <v>1748.1781955494955</v>
      </c>
      <c r="AV33" s="7">
        <f>+AV32</f>
        <v>2005.3590231791213</v>
      </c>
      <c r="AW33" s="7">
        <v>1942.1299178517277</v>
      </c>
      <c r="AX33" s="7">
        <v>1863.1433991880042</v>
      </c>
      <c r="AY33" s="7">
        <f>+AY32</f>
        <v>2055.0951117457171</v>
      </c>
      <c r="AZ33" s="7">
        <v>2104.5193955564387</v>
      </c>
      <c r="BA33" s="7">
        <f t="shared" ref="BA33:BF33" si="192">+BA32</f>
        <v>2174.9407488222141</v>
      </c>
      <c r="BB33" s="7">
        <f t="shared" si="192"/>
        <v>2224.6328195831784</v>
      </c>
      <c r="BC33" s="340">
        <f t="shared" si="192"/>
        <v>2224.6328195831784</v>
      </c>
      <c r="BD33" s="340">
        <f t="shared" si="192"/>
        <v>2351.9980645856022</v>
      </c>
      <c r="BE33" s="340">
        <f t="shared" si="192"/>
        <v>2084.0879699121556</v>
      </c>
      <c r="BF33" s="340">
        <f t="shared" si="192"/>
        <v>2039.0612287085833</v>
      </c>
      <c r="BG33" s="340">
        <f t="shared" ref="BG33:BH33" si="193">+BG32</f>
        <v>1827.4006175929699</v>
      </c>
      <c r="BH33" s="340">
        <f t="shared" si="193"/>
        <v>1572.1529790762611</v>
      </c>
      <c r="BI33" s="340">
        <f t="shared" ref="BI33:BJ33" si="194">+BI32</f>
        <v>1511.4315793908329</v>
      </c>
      <c r="BJ33" s="340">
        <f t="shared" si="194"/>
        <v>1571.7048222592841</v>
      </c>
      <c r="BK33" s="340">
        <f t="shared" ref="BK33:BL33" si="195">+BK32</f>
        <v>1749.1772307014442</v>
      </c>
      <c r="BL33" s="340">
        <f t="shared" si="195"/>
        <v>1692.4082469121936</v>
      </c>
      <c r="BM33" s="340">
        <f>+FIFO!J9</f>
        <v>1690.2249456104021</v>
      </c>
      <c r="BN33" s="381">
        <f>+FIFO!L9</f>
        <v>1699.0064798607102</v>
      </c>
      <c r="BO33" s="340">
        <f>+FIFO!N9</f>
        <v>1698.7785121302347</v>
      </c>
      <c r="BP33" s="340">
        <f>+FIFO!P8</f>
        <v>1730.0096796994928</v>
      </c>
      <c r="BQ33" s="340">
        <f>+FIFO!R8</f>
        <v>1773.5613698859654</v>
      </c>
      <c r="BR33" s="340">
        <f>+FIFO!T8</f>
        <v>1784.875503136215</v>
      </c>
      <c r="BS33" s="340">
        <f>+FIFO!V8</f>
        <v>1784.8627904875955</v>
      </c>
      <c r="BT33" s="340">
        <f>+FIFO!X8</f>
        <v>1813.0215091949415</v>
      </c>
      <c r="BU33" s="340">
        <f>+FIFO!Z8</f>
        <v>1904.7514447411731</v>
      </c>
      <c r="BV33" s="340">
        <f>+FIFO!AB9</f>
        <v>1962.2860661850234</v>
      </c>
      <c r="BW33" s="340">
        <f>+FIFO!AD8</f>
        <v>1845.7119798851147</v>
      </c>
      <c r="BX33" s="340">
        <f>+FIFO!AF8</f>
        <v>1890.2730666010168</v>
      </c>
      <c r="BY33" s="340">
        <f>+FIFO!AH8</f>
        <v>1917.1799012981703</v>
      </c>
      <c r="BZ33" s="340">
        <f>+FIFO!AJ7</f>
        <v>2006.6200046357087</v>
      </c>
      <c r="CA33" s="340">
        <f>+FIFO!AL8</f>
        <v>1943.4781005633749</v>
      </c>
      <c r="CB33" s="340">
        <f>+FIFO!AN8</f>
        <v>2034.9008161852571</v>
      </c>
      <c r="CC33" s="340">
        <f>+FIFO!AP8</f>
        <v>2114.7268131722517</v>
      </c>
      <c r="CD33" s="340">
        <f>+FIFO!AR8</f>
        <v>2187.72651496972</v>
      </c>
      <c r="CE33" s="340">
        <f>+FIFO!AT8</f>
        <v>2235.0890180084707</v>
      </c>
      <c r="CF33" s="340">
        <f>+FIFO!AV8</f>
        <v>2269.3398181541666</v>
      </c>
      <c r="CG33" s="340">
        <f>+FIFO!AX8</f>
        <v>2218.3558998675385</v>
      </c>
      <c r="CH33" s="340">
        <f>+FIFO!AZ8</f>
        <v>2236.8571959832848</v>
      </c>
      <c r="CI33" s="340">
        <f>+FIFO!BB8</f>
        <v>2321.275438326265</v>
      </c>
      <c r="CJ33" s="340">
        <f>+FIFO!BD8</f>
        <v>2410.4812551255345</v>
      </c>
      <c r="CK33" s="340">
        <f>+FIFO!BF8</f>
        <v>2410.8752553973541</v>
      </c>
      <c r="CL33" s="627">
        <f>+FIFO!BH8</f>
        <v>2358.2487742672251</v>
      </c>
      <c r="CM33" s="627" t="e">
        <f>+FIFO!#REF!</f>
        <v>#REF!</v>
      </c>
      <c r="CN33" s="627">
        <f>+FIFO!CA8</f>
        <v>0</v>
      </c>
      <c r="CO33" s="627">
        <f>+FIFO!BN34</f>
        <v>2373.4672471279</v>
      </c>
      <c r="CP33" s="627">
        <f>+FIFO!BO34</f>
        <v>0</v>
      </c>
      <c r="CQ33" s="627">
        <f>+FIFO!BP34</f>
        <v>2373.4672471279</v>
      </c>
      <c r="CR33" s="627">
        <f>+FIFO!BR34</f>
        <v>2373.4672471279</v>
      </c>
      <c r="CS33" s="627">
        <f>+FIFO!CA34</f>
        <v>0</v>
      </c>
      <c r="CT33" s="627">
        <f>+FIFO!CB34</f>
        <v>0</v>
      </c>
      <c r="CU33" s="627">
        <f>+FIFO!CC34</f>
        <v>0</v>
      </c>
      <c r="CV33" s="627">
        <f>+FIFO!CD34</f>
        <v>0</v>
      </c>
      <c r="CW33" s="707">
        <f>+FIFO!BQ34</f>
        <v>0</v>
      </c>
      <c r="CX33" s="773" t="s">
        <v>598</v>
      </c>
    </row>
    <row r="34" spans="4:135" x14ac:dyDescent="0.35">
      <c r="D34" s="626" t="s">
        <v>122</v>
      </c>
      <c r="E34" s="7"/>
      <c r="F34" s="7"/>
      <c r="G34" s="7"/>
      <c r="H34" s="7"/>
      <c r="I34" s="7"/>
      <c r="J34" s="7"/>
      <c r="K34" s="7"/>
      <c r="L34" s="7"/>
      <c r="M34" s="7"/>
      <c r="N34" s="7"/>
      <c r="O34" s="7"/>
      <c r="P34" s="7"/>
      <c r="Q34" s="7"/>
      <c r="R34" s="7"/>
      <c r="S34" s="7"/>
      <c r="T34" s="7"/>
      <c r="U34" s="7"/>
      <c r="V34" s="7"/>
      <c r="W34" s="7"/>
      <c r="X34" s="7"/>
      <c r="Y34" s="7"/>
      <c r="Z34" s="7"/>
      <c r="AA34" s="7">
        <f>+'PCR Enka'!C26</f>
        <v>1070.2457145299522</v>
      </c>
      <c r="AB34" s="7">
        <f>+'PCR Enka'!D26</f>
        <v>1103.3117577063094</v>
      </c>
      <c r="AC34" s="7">
        <f>+'PCR Enka'!D26</f>
        <v>1103.3117577063094</v>
      </c>
      <c r="AD34" s="7">
        <f>+'PCR Enka'!E26</f>
        <v>1149.9846517001231</v>
      </c>
      <c r="AE34" s="7">
        <f>+'PCR Enka'!E26</f>
        <v>1149.9846517001231</v>
      </c>
      <c r="AF34" s="119">
        <f>+'PCR Enka'!F26</f>
        <v>1163.7351584349315</v>
      </c>
      <c r="AG34" s="119">
        <f>+'PCR Enka'!F26</f>
        <v>1163.7351584349315</v>
      </c>
      <c r="AH34" s="119">
        <v>6</v>
      </c>
      <c r="AI34" s="119">
        <f>+'PCR Enka'!H26</f>
        <v>1125.2337117924039</v>
      </c>
      <c r="AJ34" s="119">
        <f>+'PCR Enka'!I26</f>
        <v>1153.6208952478003</v>
      </c>
      <c r="AK34" s="119">
        <f>+'PCR Enka'!J26</f>
        <v>1197.5282466283243</v>
      </c>
      <c r="AL34" s="119">
        <f>+'PCR Enka'!K26</f>
        <v>1277.3813189985585</v>
      </c>
      <c r="AM34" s="119">
        <f>+'PCR Enka'!L26</f>
        <v>1467.9414592909875</v>
      </c>
      <c r="AN34" s="119">
        <f>+'PCR Enka'!M26</f>
        <v>1432.4780328621268</v>
      </c>
      <c r="AO34" s="119">
        <f>+'PCR Enka'!N26</f>
        <v>1415.0274435548959</v>
      </c>
      <c r="AP34" s="119">
        <f>+'PCR Enka'!O26</f>
        <v>1623.5225332915529</v>
      </c>
      <c r="AQ34" s="119">
        <f>+'PCR Enka'!P26</f>
        <v>1586.6292370018218</v>
      </c>
      <c r="AR34" s="119">
        <f>+'PCR Enka'!Q26</f>
        <v>1609.9821539163602</v>
      </c>
      <c r="AS34" s="119">
        <f>+'PCR Enka'!R26</f>
        <v>1643.8951960695449</v>
      </c>
      <c r="AT34" s="119">
        <f>+'PCR Enka'!S26</f>
        <v>1621.9696599033766</v>
      </c>
      <c r="AU34" s="119">
        <f>+'PCR Enka'!T26</f>
        <v>1648.1853188371667</v>
      </c>
      <c r="AV34" s="119">
        <f>+'PCR Enka'!U26</f>
        <v>1905.3661464667925</v>
      </c>
      <c r="AW34" s="119">
        <v>1842.1370411393989</v>
      </c>
      <c r="AX34" s="119">
        <v>1765.8141671880041</v>
      </c>
      <c r="AY34" s="119">
        <f>+'PCR Enka'!X26</f>
        <v>1957.7658797457173</v>
      </c>
      <c r="AZ34" s="119">
        <v>2007.3085977964388</v>
      </c>
      <c r="BA34" s="119">
        <f>+'PCR Enka'!Z26</f>
        <v>2077.6143488222142</v>
      </c>
      <c r="BB34" s="119">
        <f>+'PCR Enka'!AA26</f>
        <v>2127.3064195831785</v>
      </c>
      <c r="BC34" s="341">
        <f>+'PCR Enka'!AA26</f>
        <v>2127.3064195831785</v>
      </c>
      <c r="BD34" s="341">
        <f>+'PCR Enka'!AC26</f>
        <v>2251.8217285856022</v>
      </c>
      <c r="BE34" s="341">
        <f>+'PCR Enka'!AD26</f>
        <v>1986.3645985148953</v>
      </c>
      <c r="BF34" s="341">
        <f>+'PCR Enka'!AE26</f>
        <v>1941.337857311323</v>
      </c>
      <c r="BG34" s="341">
        <f>+'PCR Enka'!AF26</f>
        <v>1729.6772461957096</v>
      </c>
      <c r="BH34" s="341">
        <f>+'PCR Enka'!AG26</f>
        <v>1474.4296076790008</v>
      </c>
      <c r="BI34" s="341">
        <f>+'PCR Enka'!AH26</f>
        <v>1413.7082079935726</v>
      </c>
      <c r="BJ34" s="341">
        <f>+'PCR Enka'!AI26</f>
        <v>1472.9886975294212</v>
      </c>
      <c r="BK34" s="341">
        <f>+'PCR Enka'!AJ26</f>
        <v>1650.4611059715812</v>
      </c>
      <c r="BL34" s="341">
        <f>+'PCR Enka'!AK26</f>
        <v>1593.6921221823306</v>
      </c>
      <c r="BM34" s="341">
        <f>+'PCR Enka'!AL26</f>
        <v>1551.3687455363086</v>
      </c>
      <c r="BN34" s="382">
        <f>+'PCR Enka'!AM26</f>
        <v>1621.0653441770644</v>
      </c>
      <c r="BO34" s="341">
        <f>+'PCR Enka'!AN26</f>
        <v>1599.6463679459243</v>
      </c>
      <c r="BP34" s="341">
        <f>+'PCR Enka'!AO26</f>
        <v>1688.6912974827455</v>
      </c>
      <c r="BQ34" s="341">
        <f>+'PCR Enka'!AP26</f>
        <v>1735.1045764497517</v>
      </c>
      <c r="BR34" s="341">
        <f>+'PCR Enka'!AQ26</f>
        <v>1696.676434238959</v>
      </c>
      <c r="BS34" s="341">
        <f>+'PCR Enka'!AR26</f>
        <v>1687.159582626314</v>
      </c>
      <c r="BT34" s="341">
        <f>+'PCR Enka'!AS26</f>
        <v>1717.7417025972566</v>
      </c>
      <c r="BU34" s="341">
        <f>+'PCR Enka'!AT26</f>
        <v>1819.4161938292741</v>
      </c>
      <c r="BV34" s="341">
        <f>+' PCR Enkador'!AF134</f>
        <v>1891.8355079916007</v>
      </c>
      <c r="BW34" s="341">
        <f>+' PCR Enkador'!AG134</f>
        <v>1664.6782621938582</v>
      </c>
      <c r="BX34" s="341">
        <f>+' PCR Enkador'!AH134</f>
        <v>1838.3840017171401</v>
      </c>
      <c r="BY34" s="341">
        <f>+' PCR Enkador'!AI134</f>
        <v>1862.1216924274374</v>
      </c>
      <c r="BZ34" s="341">
        <f>+' PCR Enkador'!AI134</f>
        <v>1862.1216924274374</v>
      </c>
      <c r="CA34" s="341">
        <f>+' PCR Enkador'!AK134</f>
        <v>1939.5827637488471</v>
      </c>
      <c r="CB34" s="341">
        <f>+' PCR Enkador'!AL134</f>
        <v>1970.9734266146086</v>
      </c>
      <c r="CC34" s="341">
        <f>+' PCR Enkador'!AM134</f>
        <v>2046.3999424020699</v>
      </c>
      <c r="CD34" s="341">
        <f>+' PCR Enkador'!AN134</f>
        <v>2115.9075847505155</v>
      </c>
      <c r="CE34" s="341">
        <f>+' PCR Enkador'!AO134</f>
        <v>2145.6481580107643</v>
      </c>
      <c r="CF34" s="341">
        <f>+' PCR Enkador'!AP134</f>
        <v>2183.3734282789374</v>
      </c>
      <c r="CG34" s="341">
        <f>+' PCR Enkador'!AQ134</f>
        <v>2108.329905916713</v>
      </c>
      <c r="CH34" s="341">
        <f>+' PCR Enkador'!AR134</f>
        <v>2139.8630010747324</v>
      </c>
      <c r="CI34" s="341">
        <f>+' PCR Enkador'!AS134</f>
        <v>2226.4227126982441</v>
      </c>
      <c r="CJ34" s="341">
        <f>+' PCR Enkador'!AT134</f>
        <v>2327.6033655458705</v>
      </c>
      <c r="CK34" s="341">
        <f>+' PCR Enkador'!AU134</f>
        <v>2328.0642002129252</v>
      </c>
      <c r="CL34" s="629">
        <f>+FIFO!BH20</f>
        <v>2252.0119787324898</v>
      </c>
      <c r="CM34" s="629">
        <f>+' PCR Enkador'!AW134</f>
        <v>2292.1739955555827</v>
      </c>
      <c r="CN34" s="629">
        <f>+'PCR Aurora '!U14</f>
        <v>2283.7083112910909</v>
      </c>
      <c r="CO34" s="629">
        <f>+'PCR Enka'!DS26</f>
        <v>2279.7954577816849</v>
      </c>
      <c r="CP34" s="629">
        <f>+'PCR Aurora '!W14</f>
        <v>2211.199110058772</v>
      </c>
      <c r="CQ34" s="629">
        <f>+'PCR Aurora '!X14</f>
        <v>2217.1689299218096</v>
      </c>
      <c r="CR34" s="629">
        <f>+'PCR Aurora '!Y14</f>
        <v>2189.8165751964812</v>
      </c>
      <c r="CS34" s="629">
        <f>+'PCR Aurora '!Z14</f>
        <v>2206.9082939317395</v>
      </c>
      <c r="CT34" s="629">
        <f>+'PCR Aurora '!AA40</f>
        <v>1925.9158230062833</v>
      </c>
      <c r="CU34" s="629">
        <f>+'PCR Enka'!EI26</f>
        <v>2187.04291090896</v>
      </c>
      <c r="CV34" s="629">
        <f>+'PCR Enka'!EK26</f>
        <v>0</v>
      </c>
      <c r="CX34" s="773" t="s">
        <v>591</v>
      </c>
    </row>
    <row r="35" spans="4:135" x14ac:dyDescent="0.35">
      <c r="D35" s="628" t="s">
        <v>123</v>
      </c>
      <c r="E35" s="7"/>
      <c r="F35" s="7"/>
      <c r="G35" s="7"/>
      <c r="H35" s="7"/>
      <c r="I35" s="7"/>
      <c r="J35" s="7"/>
      <c r="K35" s="7"/>
      <c r="L35" s="7"/>
      <c r="M35" s="7"/>
      <c r="N35" s="7"/>
      <c r="O35" s="7"/>
      <c r="P35" s="7"/>
      <c r="Q35" s="7"/>
      <c r="R35" s="7"/>
      <c r="S35" s="7"/>
      <c r="T35" s="7"/>
      <c r="U35" s="7"/>
      <c r="V35" s="7"/>
      <c r="W35" s="7"/>
      <c r="X35" s="7"/>
      <c r="Y35" s="7"/>
      <c r="Z35" s="7"/>
      <c r="AA35" s="7"/>
      <c r="AB35" s="7"/>
      <c r="AC35" s="7"/>
      <c r="AD35" s="7"/>
      <c r="AE35" s="36"/>
      <c r="AF35" s="36"/>
      <c r="AG35" s="36"/>
      <c r="AH35" s="36"/>
      <c r="AI35" s="36"/>
      <c r="AJ35" s="36"/>
      <c r="AK35" s="36"/>
      <c r="AL35" s="36"/>
      <c r="AM35" s="36"/>
      <c r="AN35" s="36"/>
      <c r="AO35" s="36"/>
      <c r="AP35" s="36"/>
      <c r="AQ35" s="36"/>
      <c r="AR35" s="36"/>
      <c r="AS35" s="36"/>
      <c r="AT35" s="36"/>
      <c r="AU35" s="7"/>
      <c r="AV35" s="7"/>
      <c r="AW35" s="7"/>
      <c r="AX35" s="7"/>
      <c r="AY35" s="7"/>
      <c r="AZ35" s="7"/>
      <c r="BA35" s="7"/>
      <c r="BB35" s="7"/>
      <c r="BC35" s="340"/>
      <c r="BD35" s="340"/>
      <c r="BE35" s="340"/>
      <c r="BF35" s="340"/>
      <c r="BG35" s="340"/>
      <c r="BH35" s="340"/>
      <c r="BI35" s="340"/>
      <c r="BJ35" s="340"/>
      <c r="BK35" s="340"/>
      <c r="BL35" s="340"/>
      <c r="BM35" s="340">
        <f>+FIFO!J22</f>
        <v>1541.7235892107569</v>
      </c>
      <c r="BN35" s="381">
        <f>+FIFO!L22</f>
        <v>1572.230546542331</v>
      </c>
      <c r="BO35" s="340">
        <f>+FIFO!N22</f>
        <v>1582.7074802349362</v>
      </c>
      <c r="BP35" s="340">
        <f>+FIFO!P21</f>
        <v>1624.5182483405063</v>
      </c>
      <c r="BQ35" s="340">
        <f>+FIFO!R21</f>
        <v>1640.1021282038605</v>
      </c>
      <c r="BR35" s="340">
        <f>+FIFO!T21</f>
        <v>1640.1021282038605</v>
      </c>
      <c r="BS35" s="340">
        <f>+FIFO!V21</f>
        <v>1640.1021282038605</v>
      </c>
      <c r="BT35" s="340">
        <f>+FIFO!X21</f>
        <v>1640.1021282038603</v>
      </c>
      <c r="BU35" s="340">
        <f>+FIFO!Z21</f>
        <v>1640.1021282038603</v>
      </c>
      <c r="BV35" s="340">
        <f>+FIFO!AB22</f>
        <v>1640.1021282038603</v>
      </c>
      <c r="BW35" s="340">
        <f>+FIFO!AD21</f>
        <v>1640.1021282038603</v>
      </c>
      <c r="BX35" s="340">
        <f>+FIFO!AF21</f>
        <v>1640.1021282038603</v>
      </c>
      <c r="BY35" s="340">
        <f>+FIFO!AH21</f>
        <v>1640.1021282038603</v>
      </c>
      <c r="BZ35" s="340">
        <f>+FIFO!AJ21</f>
        <v>1640.1021282038605</v>
      </c>
      <c r="CA35" s="340">
        <f>+FIFO!AL21</f>
        <v>1640.1021282038605</v>
      </c>
      <c r="CB35" s="340">
        <f>+FIFO!AN21</f>
        <v>1756.8307250572293</v>
      </c>
      <c r="CC35" s="340">
        <f>+FIFO!AP21</f>
        <v>1848.5020188604981</v>
      </c>
      <c r="CD35" s="340">
        <f>+FIFO!AR21</f>
        <v>1924.5345961916541</v>
      </c>
      <c r="CE35" s="340">
        <f>+FIFO!AT21</f>
        <v>1924.5345961916544</v>
      </c>
      <c r="CF35" s="340">
        <f>+FIFO!AV21</f>
        <v>1924.5345961916544</v>
      </c>
      <c r="CG35" s="340">
        <f>+FIFO!AX21</f>
        <v>1924.5345961916544</v>
      </c>
      <c r="CH35" s="340">
        <f>+FIFO!AZ21</f>
        <v>1924.5345961916544</v>
      </c>
      <c r="CI35" s="340">
        <f>+FIFO!BB21</f>
        <v>1924.5345961916544</v>
      </c>
      <c r="CJ35" s="340">
        <f>+FIFO!BD21</f>
        <v>2047.4441943061959</v>
      </c>
      <c r="CK35" s="340">
        <f>+FIFO!BF21</f>
        <v>2047.5847187229492</v>
      </c>
      <c r="CL35" s="627">
        <f>+FIFO!BH21</f>
        <v>2095.2471948212533</v>
      </c>
      <c r="CM35" s="627">
        <f>+FIFO!BJ21</f>
        <v>2103.550947181317</v>
      </c>
      <c r="CN35" s="627">
        <f>+FIFO!BL21</f>
        <v>2141.3654444938466</v>
      </c>
      <c r="CO35" s="627">
        <f>+FIFO!BN21</f>
        <v>2141.3654444938461</v>
      </c>
      <c r="CP35" s="627">
        <f>+FIFO!BP21</f>
        <v>2141.3654444938461</v>
      </c>
      <c r="CQ35" s="627">
        <f>+FIFO!BR21</f>
        <v>2141.3654444938461</v>
      </c>
      <c r="CR35" s="627">
        <f>+FIFO!BR21</f>
        <v>2141.3654444938461</v>
      </c>
      <c r="CS35" s="627">
        <f>+FIFO!BV21</f>
        <v>2141.3654444938461</v>
      </c>
      <c r="CT35" s="627">
        <f>+FIFO!BV21</f>
        <v>2141.3654444938461</v>
      </c>
      <c r="CU35" s="627">
        <f>+FIFO!BZ21</f>
        <v>2141.3654444938461</v>
      </c>
      <c r="CV35" s="627">
        <f>+FIFO!CA21</f>
        <v>0</v>
      </c>
      <c r="CW35" s="235"/>
      <c r="CX35" s="773" t="s">
        <v>592</v>
      </c>
    </row>
    <row r="36" spans="4:135" x14ac:dyDescent="0.35">
      <c r="D36" s="626" t="s">
        <v>514</v>
      </c>
      <c r="E36" s="7"/>
      <c r="F36" s="7"/>
      <c r="G36" s="7"/>
      <c r="H36" s="7"/>
      <c r="I36" s="7"/>
      <c r="J36" s="7"/>
      <c r="K36" s="7"/>
      <c r="L36" s="7"/>
      <c r="M36" s="7"/>
      <c r="N36" s="7"/>
      <c r="O36" s="7"/>
      <c r="P36" s="7"/>
      <c r="Q36" s="7"/>
      <c r="R36" s="7"/>
      <c r="S36" s="7"/>
      <c r="T36" s="7"/>
      <c r="U36" s="7"/>
      <c r="V36" s="7"/>
      <c r="W36" s="7"/>
      <c r="X36" s="7"/>
      <c r="Y36" s="7"/>
      <c r="Z36" s="7"/>
      <c r="AA36" s="7">
        <f>+'PCR Enka'!C28</f>
        <v>0</v>
      </c>
      <c r="AB36" s="7">
        <f>+'PCR Enka'!D28</f>
        <v>0</v>
      </c>
      <c r="AC36" s="7">
        <f>+'PCR Enka'!D28</f>
        <v>0</v>
      </c>
      <c r="AD36" s="7">
        <f>+'PCR Enka'!E28</f>
        <v>0</v>
      </c>
      <c r="AE36" s="7">
        <f>+'PCR Enka'!E28</f>
        <v>0</v>
      </c>
      <c r="AF36" s="119">
        <f>+'PCR Enka'!F28</f>
        <v>0</v>
      </c>
      <c r="AG36" s="119">
        <f>+'PCR Enka'!F28</f>
        <v>0</v>
      </c>
      <c r="AH36" s="119">
        <v>6</v>
      </c>
      <c r="AI36" s="119">
        <f>+'PCR Enka'!H28</f>
        <v>0</v>
      </c>
      <c r="AJ36" s="119">
        <f>+'PCR Enka'!I28</f>
        <v>0</v>
      </c>
      <c r="AK36" s="119">
        <f>+'PCR Enka'!J28</f>
        <v>0</v>
      </c>
      <c r="AL36" s="119">
        <f>+'PCR Enka'!K28</f>
        <v>0</v>
      </c>
      <c r="AM36" s="119">
        <f>+'PCR Enka'!L28</f>
        <v>0</v>
      </c>
      <c r="AN36" s="119">
        <f>+'PCR Enka'!M28</f>
        <v>0</v>
      </c>
      <c r="AO36" s="119">
        <f>+'PCR Enka'!N28</f>
        <v>0</v>
      </c>
      <c r="AP36" s="119">
        <f>+'PCR Enka'!O28</f>
        <v>0</v>
      </c>
      <c r="AQ36" s="119">
        <f>+'PCR Enka'!P28</f>
        <v>0</v>
      </c>
      <c r="AR36" s="119">
        <f>+'PCR Enka'!Q28</f>
        <v>0</v>
      </c>
      <c r="AS36" s="119">
        <f>+'PCR Enka'!R28</f>
        <v>0</v>
      </c>
      <c r="AT36" s="119">
        <f>+'PCR Enka'!S28</f>
        <v>0</v>
      </c>
      <c r="AU36" s="119">
        <f>+'PCR Enka'!T28</f>
        <v>0</v>
      </c>
      <c r="AV36" s="119">
        <f>+'PCR Enka'!U28</f>
        <v>0</v>
      </c>
      <c r="AW36" s="119">
        <v>1842.1370411393989</v>
      </c>
      <c r="AX36" s="119">
        <v>1765.8141671880041</v>
      </c>
      <c r="AY36" s="119">
        <f>+'PCR Enka'!X28</f>
        <v>0</v>
      </c>
      <c r="AZ36" s="119">
        <v>2007.3085977964388</v>
      </c>
      <c r="BA36" s="119">
        <f>+'PCR Enka'!Z28</f>
        <v>0</v>
      </c>
      <c r="BB36" s="119">
        <f>+'PCR Enka'!AA28</f>
        <v>0</v>
      </c>
      <c r="BC36" s="341">
        <f>+'PCR Enka'!AA28</f>
        <v>0</v>
      </c>
      <c r="BD36" s="341">
        <f>+'PCR Enka'!AC28</f>
        <v>0</v>
      </c>
      <c r="BE36" s="341">
        <f>+'PCR Enka'!AD28</f>
        <v>0</v>
      </c>
      <c r="BF36" s="341">
        <f>+'PCR Enka'!AE28</f>
        <v>0</v>
      </c>
      <c r="BG36" s="341">
        <f>+'PCR Enka'!AF28</f>
        <v>0</v>
      </c>
      <c r="BH36" s="341">
        <f>+'PCR Enka'!AG28</f>
        <v>0</v>
      </c>
      <c r="BI36" s="341">
        <f>+'PCR Enka'!AH28</f>
        <v>0</v>
      </c>
      <c r="BJ36" s="341">
        <f>+'PCR Enka'!AI28</f>
        <v>0</v>
      </c>
      <c r="BK36" s="341">
        <f>+'PCR Enka'!AJ28</f>
        <v>0</v>
      </c>
      <c r="BL36" s="341">
        <f>+'PCR Enka'!AK28</f>
        <v>0</v>
      </c>
      <c r="BM36" s="341">
        <f>+'PCR Enka'!AL28</f>
        <v>0</v>
      </c>
      <c r="BN36" s="382">
        <f>+'PCR Enka'!AM28</f>
        <v>0</v>
      </c>
      <c r="BO36" s="341">
        <f>+'PCR Enka'!AN28</f>
        <v>0</v>
      </c>
      <c r="BP36" s="341">
        <f>+'PCR Enka'!AO28</f>
        <v>0</v>
      </c>
      <c r="BQ36" s="341">
        <f>+'PCR Enka'!AP28</f>
        <v>0</v>
      </c>
      <c r="BR36" s="341">
        <f>+'PCR Enka'!AQ28</f>
        <v>0</v>
      </c>
      <c r="BS36" s="341">
        <f>+'PCR Enka'!AR28</f>
        <v>0</v>
      </c>
      <c r="BT36" s="341">
        <f>+'PCR Enka'!AS28</f>
        <v>0</v>
      </c>
      <c r="BU36" s="341">
        <f>+'PCR Enka'!AT28</f>
        <v>0</v>
      </c>
      <c r="BV36" s="341">
        <f>+' PCR Enkador'!AF136</f>
        <v>94.4</v>
      </c>
      <c r="BW36" s="341">
        <f>+' PCR Enkador'!AG136</f>
        <v>94.4</v>
      </c>
      <c r="BX36" s="341">
        <f>+' PCR Enkador'!AH136</f>
        <v>94.4</v>
      </c>
      <c r="BY36" s="341">
        <f>+' PCR Enkador'!AI136</f>
        <v>94.4</v>
      </c>
      <c r="BZ36" s="341">
        <f>+' PCR Enkador'!AI136</f>
        <v>94.4</v>
      </c>
      <c r="CA36" s="341">
        <f>+' PCR Enkador'!AK136</f>
        <v>94.4</v>
      </c>
      <c r="CB36" s="341">
        <f>+' PCR Enkador'!AL136</f>
        <v>94.4</v>
      </c>
      <c r="CC36" s="341">
        <f>+' PCR Enkador'!AM136</f>
        <v>94.4</v>
      </c>
      <c r="CD36" s="341">
        <f>+' PCR Enkador'!AN136</f>
        <v>94.4</v>
      </c>
      <c r="CE36" s="341">
        <f>+' PCR Enkador'!AO136</f>
        <v>94.4</v>
      </c>
      <c r="CF36" s="341">
        <f>+' PCR Enkador'!AP136</f>
        <v>94.4</v>
      </c>
      <c r="CG36" s="341">
        <f>+' PCR Enkador'!AQ136</f>
        <v>94.4</v>
      </c>
      <c r="CH36" s="341">
        <f>+' PCR Enkador'!AR136</f>
        <v>94.4</v>
      </c>
      <c r="CI36" s="341"/>
      <c r="CJ36" s="341"/>
      <c r="CK36" s="341"/>
      <c r="CL36" s="629">
        <f>+'PCR Aurora '!S40</f>
        <v>2305.7166775516657</v>
      </c>
      <c r="CM36" s="629">
        <f>+'PCR Aurora '!T40</f>
        <v>2302.3701985557918</v>
      </c>
      <c r="CN36" s="629">
        <f>+'PCR Aurora '!U40</f>
        <v>2271.7916238284411</v>
      </c>
      <c r="CO36" s="629">
        <f>+'PCR Aurora '!V40</f>
        <v>2155.0837100363988</v>
      </c>
      <c r="CP36" s="629">
        <f>+'PCR Aurora '!W40</f>
        <v>1974.3325988131585</v>
      </c>
      <c r="CQ36" s="629">
        <f>+'PCR Aurora '!X40</f>
        <v>1974.0609122249023</v>
      </c>
      <c r="CR36" s="629">
        <f>+'PCR Aurora '!Y40</f>
        <v>1958.5504491929626</v>
      </c>
      <c r="CS36" s="629">
        <f>+'PCR Aurora '!Z40</f>
        <v>1951.0595192608473</v>
      </c>
      <c r="CT36" s="629">
        <f>+'PCR Aurora '!AA40</f>
        <v>1925.9158230062833</v>
      </c>
      <c r="CU36" s="629">
        <f>+'PCR Aurora '!AB40</f>
        <v>1951.0704885863584</v>
      </c>
      <c r="CV36" s="629">
        <f>+'PCR Aurora '!AC40</f>
        <v>1982.7376031147148</v>
      </c>
      <c r="CW36" s="235"/>
      <c r="CX36" s="773" t="s">
        <v>593</v>
      </c>
    </row>
    <row r="37" spans="4:135" ht="15" thickBot="1" x14ac:dyDescent="0.4">
      <c r="D37" s="630" t="s">
        <v>474</v>
      </c>
      <c r="E37" s="631"/>
      <c r="F37" s="631"/>
      <c r="G37" s="631"/>
      <c r="H37" s="631"/>
      <c r="I37" s="631"/>
      <c r="J37" s="631"/>
      <c r="K37" s="631"/>
      <c r="L37" s="631"/>
      <c r="M37" s="631"/>
      <c r="N37" s="631"/>
      <c r="O37" s="631"/>
      <c r="P37" s="631"/>
      <c r="Q37" s="631"/>
      <c r="R37" s="631"/>
      <c r="S37" s="631"/>
      <c r="T37" s="631"/>
      <c r="U37" s="631"/>
      <c r="V37" s="631"/>
      <c r="W37" s="631"/>
      <c r="X37" s="631"/>
      <c r="Y37" s="631"/>
      <c r="Z37" s="631"/>
      <c r="AA37" s="631"/>
      <c r="AB37" s="631"/>
      <c r="AC37" s="631"/>
      <c r="AD37" s="631"/>
      <c r="AE37" s="632"/>
      <c r="AF37" s="632"/>
      <c r="AG37" s="632"/>
      <c r="AH37" s="632"/>
      <c r="AI37" s="632"/>
      <c r="AJ37" s="632"/>
      <c r="AK37" s="632"/>
      <c r="AL37" s="632"/>
      <c r="AM37" s="632"/>
      <c r="AN37" s="632"/>
      <c r="AO37" s="632"/>
      <c r="AP37" s="632"/>
      <c r="AQ37" s="632"/>
      <c r="AR37" s="632"/>
      <c r="AS37" s="632"/>
      <c r="AT37" s="632"/>
      <c r="AU37" s="631"/>
      <c r="AV37" s="631"/>
      <c r="AW37" s="631"/>
      <c r="AX37" s="631"/>
      <c r="AY37" s="631"/>
      <c r="AZ37" s="631"/>
      <c r="BA37" s="631"/>
      <c r="BB37" s="631"/>
      <c r="BC37" s="633"/>
      <c r="BD37" s="633"/>
      <c r="BE37" s="633"/>
      <c r="BF37" s="633"/>
      <c r="BG37" s="633"/>
      <c r="BH37" s="633"/>
      <c r="BI37" s="633"/>
      <c r="BJ37" s="633"/>
      <c r="BK37" s="633"/>
      <c r="BL37" s="633"/>
      <c r="BM37" s="633">
        <f>+FIFO!J24</f>
        <v>1536.7815155498031</v>
      </c>
      <c r="BN37" s="634">
        <f>+FIFO!L24</f>
        <v>1541.7235892107569</v>
      </c>
      <c r="BO37" s="633">
        <f>+FIFO!N24</f>
        <v>1572.230546542331</v>
      </c>
      <c r="BP37" s="633">
        <f>+FIFO!P23</f>
        <v>0</v>
      </c>
      <c r="BQ37" s="633">
        <f>+FIFO!R23</f>
        <v>0</v>
      </c>
      <c r="BR37" s="633">
        <f>+FIFO!T23</f>
        <v>0</v>
      </c>
      <c r="BS37" s="633">
        <f>+FIFO!V23</f>
        <v>0</v>
      </c>
      <c r="BT37" s="633">
        <f>+FIFO!X23</f>
        <v>0</v>
      </c>
      <c r="BU37" s="633">
        <f>+FIFO!Z23</f>
        <v>0</v>
      </c>
      <c r="BV37" s="633">
        <f>+FIFO!AB24</f>
        <v>1640.10212820386</v>
      </c>
      <c r="BW37" s="633">
        <f>+FIFO!AD23</f>
        <v>0</v>
      </c>
      <c r="BX37" s="633">
        <f>+FIFO!AF23</f>
        <v>0</v>
      </c>
      <c r="BY37" s="633">
        <f>+FIFO!AH23</f>
        <v>0</v>
      </c>
      <c r="BZ37" s="633">
        <f>+FIFO!AJ23</f>
        <v>0</v>
      </c>
      <c r="CA37" s="633">
        <f>+FIFO!AL23</f>
        <v>0</v>
      </c>
      <c r="CB37" s="633">
        <f>+FIFO!AN23</f>
        <v>0</v>
      </c>
      <c r="CC37" s="633">
        <f>+FIFO!AP23</f>
        <v>0</v>
      </c>
      <c r="CD37" s="633">
        <f>+FIFO!AR23</f>
        <v>0</v>
      </c>
      <c r="CE37" s="633">
        <f>+FIFO!AT23</f>
        <v>0</v>
      </c>
      <c r="CF37" s="633">
        <f>+FIFO!AV23</f>
        <v>0</v>
      </c>
      <c r="CG37" s="633">
        <f>+FIFO!AX23</f>
        <v>0</v>
      </c>
      <c r="CH37" s="633">
        <f>+FIFO!AZ23</f>
        <v>0</v>
      </c>
      <c r="CI37" s="633"/>
      <c r="CJ37" s="633"/>
      <c r="CK37" s="633"/>
      <c r="CL37" s="635">
        <f>+FIFO!BH23</f>
        <v>0</v>
      </c>
      <c r="CM37" s="635" t="e">
        <f>+FIFO!#REF!</f>
        <v>#REF!</v>
      </c>
      <c r="CN37" s="635">
        <f>+FIFO!CA23</f>
        <v>0</v>
      </c>
      <c r="CO37" s="635">
        <f>+FIFO!CB23</f>
        <v>0</v>
      </c>
      <c r="CP37" s="635">
        <f>+FIFO!CC23</f>
        <v>0</v>
      </c>
      <c r="CQ37" s="635">
        <f>+FIFO!CD23</f>
        <v>0</v>
      </c>
      <c r="CR37" s="635">
        <f>+FIFO!CE23</f>
        <v>0</v>
      </c>
      <c r="CS37" s="635">
        <f>+FIFO!CF23</f>
        <v>0</v>
      </c>
      <c r="CT37" s="635">
        <f>+FIFO!CG23</f>
        <v>0</v>
      </c>
      <c r="CU37" s="635">
        <f>+FIFO!CH23</f>
        <v>0</v>
      </c>
      <c r="CV37" s="635">
        <f>+FIFO!CI23</f>
        <v>0</v>
      </c>
      <c r="CW37" s="235"/>
      <c r="CX37" s="773" t="s">
        <v>601</v>
      </c>
    </row>
    <row r="38" spans="4:135" x14ac:dyDescent="0.35">
      <c r="D38" s="626" t="s">
        <v>515</v>
      </c>
      <c r="E38" s="7"/>
      <c r="F38" s="7"/>
      <c r="G38" s="7"/>
      <c r="H38" s="7"/>
      <c r="I38" s="7"/>
      <c r="J38" s="7"/>
      <c r="K38" s="7"/>
      <c r="L38" s="7"/>
      <c r="M38" s="7"/>
      <c r="N38" s="7"/>
      <c r="O38" s="7"/>
      <c r="P38" s="7"/>
      <c r="Q38" s="7"/>
      <c r="R38" s="7"/>
      <c r="S38" s="7"/>
      <c r="T38" s="7"/>
      <c r="U38" s="7"/>
      <c r="V38" s="7"/>
      <c r="W38" s="7"/>
      <c r="X38" s="7"/>
      <c r="Y38" s="7"/>
      <c r="Z38" s="7"/>
      <c r="AA38" s="7" t="str">
        <f>+'PCR Enka'!C30</f>
        <v>Fecha</v>
      </c>
      <c r="AB38" s="7" t="str">
        <f>+'PCR Enka'!D30</f>
        <v>TRM</v>
      </c>
      <c r="AC38" s="7" t="str">
        <f>+'PCR Enka'!D30</f>
        <v>TRM</v>
      </c>
      <c r="AD38" s="7" t="str">
        <f>+'PCR Enka'!E30</f>
        <v>Fecha</v>
      </c>
      <c r="AE38" s="7" t="str">
        <f>+'PCR Enka'!E30</f>
        <v>Fecha</v>
      </c>
      <c r="AF38" s="119" t="str">
        <f>+'PCR Enka'!F30</f>
        <v>TRM</v>
      </c>
      <c r="AG38" s="119" t="str">
        <f>+'PCR Enka'!F30</f>
        <v>TRM</v>
      </c>
      <c r="AH38" s="119">
        <v>6</v>
      </c>
      <c r="AI38" s="119" t="str">
        <f>+'PCR Enka'!H30</f>
        <v>TRM</v>
      </c>
      <c r="AJ38" s="119" t="str">
        <f>+'PCR Enka'!I30</f>
        <v>Fecha</v>
      </c>
      <c r="AK38" s="119" t="str">
        <f>+'PCR Enka'!J30</f>
        <v>TRM</v>
      </c>
      <c r="AL38" s="119" t="str">
        <f>+'PCR Enka'!K30</f>
        <v>Fecha</v>
      </c>
      <c r="AM38" s="119" t="str">
        <f>+'PCR Enka'!L30</f>
        <v>TRM</v>
      </c>
      <c r="AN38" s="119" t="str">
        <f>+'PCR Enka'!M30</f>
        <v>Fecha</v>
      </c>
      <c r="AO38" s="119" t="str">
        <f>+'PCR Enka'!N30</f>
        <v>TRM</v>
      </c>
      <c r="AP38" s="119" t="str">
        <f>+'PCR Enka'!O30</f>
        <v>Fecha</v>
      </c>
      <c r="AQ38" s="119" t="str">
        <f>+'PCR Enka'!P30</f>
        <v>TRM</v>
      </c>
      <c r="AR38" s="119" t="str">
        <f>+'PCR Enka'!Q30</f>
        <v>Fecha</v>
      </c>
      <c r="AS38" s="119" t="str">
        <f>+'PCR Enka'!R30</f>
        <v>TRM</v>
      </c>
      <c r="AT38" s="119" t="str">
        <f>+'PCR Enka'!S30</f>
        <v>Fecha</v>
      </c>
      <c r="AU38" s="119" t="str">
        <f>+'PCR Enka'!T30</f>
        <v>TRM</v>
      </c>
      <c r="AV38" s="119" t="str">
        <f>+'PCR Enka'!U30</f>
        <v>Fecha</v>
      </c>
      <c r="AW38" s="119">
        <v>1842.1370411393989</v>
      </c>
      <c r="AX38" s="119">
        <v>1765.8141671880041</v>
      </c>
      <c r="AY38" s="119" t="str">
        <f>+'PCR Enka'!X30</f>
        <v>TRM</v>
      </c>
      <c r="AZ38" s="119">
        <v>2007.3085977964388</v>
      </c>
      <c r="BA38" s="119" t="str">
        <f>+'PCR Enka'!Z30</f>
        <v>TRM</v>
      </c>
      <c r="BB38" s="119" t="str">
        <f>+'PCR Enka'!AA30</f>
        <v>Fecha</v>
      </c>
      <c r="BC38" s="341" t="str">
        <f>+'PCR Enka'!AA30</f>
        <v>Fecha</v>
      </c>
      <c r="BD38" s="341" t="str">
        <f>+'PCR Enka'!AC30</f>
        <v>Fecha</v>
      </c>
      <c r="BE38" s="341" t="str">
        <f>+'PCR Enka'!AD30</f>
        <v>TRM</v>
      </c>
      <c r="BF38" s="341" t="str">
        <f>+'PCR Enka'!AE30</f>
        <v>Fecha</v>
      </c>
      <c r="BG38" s="341" t="str">
        <f>+'PCR Enka'!AF30</f>
        <v>TRM</v>
      </c>
      <c r="BH38" s="341" t="str">
        <f>+'PCR Enka'!AG30</f>
        <v>Fecha</v>
      </c>
      <c r="BI38" s="341" t="str">
        <f>+'PCR Enka'!AH30</f>
        <v>TRM</v>
      </c>
      <c r="BJ38" s="341" t="str">
        <f>+'PCR Enka'!AI30</f>
        <v>Fecha</v>
      </c>
      <c r="BK38" s="341" t="str">
        <f>+'PCR Enka'!AJ30</f>
        <v>TRM</v>
      </c>
      <c r="BL38" s="341" t="str">
        <f>+'PCR Enka'!AK30</f>
        <v>Fecha</v>
      </c>
      <c r="BM38" s="341" t="str">
        <f>+'PCR Enka'!AL30</f>
        <v>TRM</v>
      </c>
      <c r="BN38" s="382" t="str">
        <f>+'PCR Enka'!AM30</f>
        <v>Fecha</v>
      </c>
      <c r="BO38" s="341" t="str">
        <f>+'PCR Enka'!AN30</f>
        <v>TRM</v>
      </c>
      <c r="BP38" s="341" t="str">
        <f>+'PCR Enka'!AO30</f>
        <v>Fecha</v>
      </c>
      <c r="BQ38" s="341" t="str">
        <f>+'PCR Enka'!AP30</f>
        <v>TRM</v>
      </c>
      <c r="BR38" s="341" t="str">
        <f>+'PCR Enka'!AQ30</f>
        <v>Fecha</v>
      </c>
      <c r="BS38" s="341" t="str">
        <f>+'PCR Enka'!AR30</f>
        <v>TRM</v>
      </c>
      <c r="BT38" s="341" t="str">
        <f>+'PCR Enka'!AS30</f>
        <v>Fecha</v>
      </c>
      <c r="BU38" s="341" t="str">
        <f>+'PCR Enka'!AT30</f>
        <v>TRM</v>
      </c>
      <c r="BV38" s="341">
        <f>+' PCR Enkador'!AF138</f>
        <v>97.700896955616443</v>
      </c>
      <c r="BW38" s="341">
        <f>+' PCR Enkador'!AG138</f>
        <v>97.700896955616443</v>
      </c>
      <c r="BX38" s="341">
        <f>+' PCR Enkador'!AH138</f>
        <v>98.610693637260283</v>
      </c>
      <c r="BY38" s="341">
        <f>+' PCR Enkador'!AI138</f>
        <v>98.610693637260283</v>
      </c>
      <c r="BZ38" s="341">
        <f>+' PCR Enkador'!AI138</f>
        <v>98.610693637260283</v>
      </c>
      <c r="CA38" s="341">
        <f>+' PCR Enkador'!AK138</f>
        <v>98.610693637260283</v>
      </c>
      <c r="CB38" s="341">
        <f>+' PCR Enkador'!AL138</f>
        <v>98.610693637260283</v>
      </c>
      <c r="CC38" s="341">
        <f>+' PCR Enkador'!AM138</f>
        <v>98.610693637260283</v>
      </c>
      <c r="CD38" s="341">
        <f>+' PCR Enkador'!AN138</f>
        <v>98.610693637260283</v>
      </c>
      <c r="CE38" s="341">
        <f>+' PCR Enkador'!AO138</f>
        <v>98.610693637260283</v>
      </c>
      <c r="CF38" s="341">
        <f>+' PCR Enkador'!AP138</f>
        <v>98.610693637260283</v>
      </c>
      <c r="CG38" s="341">
        <f>+' PCR Enkador'!AQ138</f>
        <v>98.610693637260283</v>
      </c>
      <c r="CH38" s="341">
        <f>+' PCR Enkador'!AR138</f>
        <v>98.009901518904115</v>
      </c>
      <c r="CI38" s="341"/>
      <c r="CJ38" s="341"/>
      <c r="CK38" s="341"/>
      <c r="CL38" s="629">
        <f>+'PCR Aurora '!S42</f>
        <v>0</v>
      </c>
      <c r="CM38" s="629">
        <f>+'PCR Aurora '!T42</f>
        <v>0</v>
      </c>
      <c r="CN38" s="629">
        <f>+'PCR Aurora '!U42</f>
        <v>0</v>
      </c>
      <c r="CO38" s="629">
        <f>+'PCR Aurora '!V42</f>
        <v>0</v>
      </c>
      <c r="CP38" s="629">
        <f>+'PCR Aurora '!W42</f>
        <v>0</v>
      </c>
      <c r="CQ38" s="629">
        <f>+'PCR Aurora '!X42</f>
        <v>0</v>
      </c>
      <c r="CR38" s="629">
        <f>+'PCR Aurora '!Y42</f>
        <v>0</v>
      </c>
      <c r="CS38" s="629">
        <f>+'PCR Aurora '!Z42</f>
        <v>0</v>
      </c>
      <c r="CT38" s="629">
        <f>+'PCR Aurora '!AA42</f>
        <v>1825.9158230062833</v>
      </c>
      <c r="CU38" s="629">
        <f>+'PCR Aurora '!AB42</f>
        <v>1851.0704885863584</v>
      </c>
      <c r="CV38" s="629">
        <f>+'PCR Aurora '!AC42</f>
        <v>1882.7376031147148</v>
      </c>
      <c r="CW38" s="235"/>
    </row>
    <row r="39" spans="4:135" ht="15" thickBot="1" x14ac:dyDescent="0.4">
      <c r="D39" s="630" t="s">
        <v>474</v>
      </c>
      <c r="E39" s="631"/>
      <c r="F39" s="631"/>
      <c r="G39" s="631"/>
      <c r="H39" s="631"/>
      <c r="I39" s="631"/>
      <c r="J39" s="631"/>
      <c r="K39" s="631"/>
      <c r="L39" s="631"/>
      <c r="M39" s="631"/>
      <c r="N39" s="631"/>
      <c r="O39" s="631"/>
      <c r="P39" s="631"/>
      <c r="Q39" s="631"/>
      <c r="R39" s="631"/>
      <c r="S39" s="631"/>
      <c r="T39" s="631"/>
      <c r="U39" s="631"/>
      <c r="V39" s="631"/>
      <c r="W39" s="631"/>
      <c r="X39" s="631"/>
      <c r="Y39" s="631"/>
      <c r="Z39" s="631"/>
      <c r="AA39" s="631"/>
      <c r="AB39" s="631"/>
      <c r="AC39" s="631"/>
      <c r="AD39" s="631"/>
      <c r="AE39" s="632"/>
      <c r="AF39" s="632"/>
      <c r="AG39" s="632"/>
      <c r="AH39" s="632"/>
      <c r="AI39" s="632"/>
      <c r="AJ39" s="632"/>
      <c r="AK39" s="632"/>
      <c r="AL39" s="632"/>
      <c r="AM39" s="632"/>
      <c r="AN39" s="632"/>
      <c r="AO39" s="632"/>
      <c r="AP39" s="632"/>
      <c r="AQ39" s="632"/>
      <c r="AR39" s="632"/>
      <c r="AS39" s="632"/>
      <c r="AT39" s="632"/>
      <c r="AU39" s="631"/>
      <c r="AV39" s="631"/>
      <c r="AW39" s="631"/>
      <c r="AX39" s="631"/>
      <c r="AY39" s="631"/>
      <c r="AZ39" s="631"/>
      <c r="BA39" s="631"/>
      <c r="BB39" s="631"/>
      <c r="BC39" s="633"/>
      <c r="BD39" s="633"/>
      <c r="BE39" s="633"/>
      <c r="BF39" s="633"/>
      <c r="BG39" s="633"/>
      <c r="BH39" s="633"/>
      <c r="BI39" s="633"/>
      <c r="BJ39" s="633"/>
      <c r="BK39" s="633"/>
      <c r="BL39" s="633"/>
      <c r="BM39" s="633">
        <f>+FIFO!J26</f>
        <v>1541.7235892107569</v>
      </c>
      <c r="BN39" s="634">
        <f>+FIFO!L26</f>
        <v>1572.2305465423312</v>
      </c>
      <c r="BO39" s="633">
        <f>+FIFO!N26</f>
        <v>1582.7074802349359</v>
      </c>
      <c r="BP39" s="633">
        <f>+FIFO!P25</f>
        <v>1688.6912974827455</v>
      </c>
      <c r="BQ39" s="633">
        <f>+FIFO!R25</f>
        <v>1735.1045764497517</v>
      </c>
      <c r="BR39" s="633">
        <f>+FIFO!T25</f>
        <v>1696.676434238959</v>
      </c>
      <c r="BS39" s="633">
        <f>+FIFO!V25</f>
        <v>1687.159582626314</v>
      </c>
      <c r="BT39" s="633">
        <f>+FIFO!X25</f>
        <v>1717.7417025972566</v>
      </c>
      <c r="BU39" s="633">
        <f>+FIFO!Z25</f>
        <v>1819.4161938292741</v>
      </c>
      <c r="BV39" s="633">
        <f>+FIFO!AB26</f>
        <v>1640.10212820386</v>
      </c>
      <c r="BW39" s="633">
        <f>+FIFO!AD25</f>
        <v>0</v>
      </c>
      <c r="BX39" s="633">
        <f>+FIFO!AF25</f>
        <v>0</v>
      </c>
      <c r="BY39" s="633">
        <f>+FIFO!AH25</f>
        <v>0</v>
      </c>
      <c r="BZ39" s="633">
        <f>+FIFO!AJ25</f>
        <v>0</v>
      </c>
      <c r="CA39" s="633">
        <f>+FIFO!AL25</f>
        <v>0</v>
      </c>
      <c r="CB39" s="633">
        <f>+FIFO!AN25</f>
        <v>1970.9734266146086</v>
      </c>
      <c r="CC39" s="633">
        <f>+FIFO!AP25</f>
        <v>2046.3999424020699</v>
      </c>
      <c r="CD39" s="633">
        <f>+FIFO!AR25</f>
        <v>2115.9075847505155</v>
      </c>
      <c r="CE39" s="633">
        <f>+FIFO!AT25</f>
        <v>2145.6481580107643</v>
      </c>
      <c r="CF39" s="633">
        <f>+FIFO!AV25</f>
        <v>2183.3734282789374</v>
      </c>
      <c r="CG39" s="633">
        <f>+FIFO!AX25</f>
        <v>2108.329905916713</v>
      </c>
      <c r="CH39" s="633">
        <f>+FIFO!AZ25</f>
        <v>2139.8630010747324</v>
      </c>
      <c r="CI39" s="633"/>
      <c r="CJ39" s="633"/>
      <c r="CK39" s="633"/>
      <c r="CL39" s="635">
        <f>+FIFO!BH25</f>
        <v>2252.0119787324898</v>
      </c>
      <c r="CM39" s="635" t="e">
        <f>+FIFO!#REF!</f>
        <v>#REF!</v>
      </c>
      <c r="CN39" s="635">
        <f>+FIFO!CA25</f>
        <v>0</v>
      </c>
      <c r="CO39" s="635">
        <f>+FIFO!CB25</f>
        <v>0</v>
      </c>
      <c r="CP39" s="635">
        <f>+FIFO!CC25</f>
        <v>0</v>
      </c>
      <c r="CQ39" s="635">
        <f>+FIFO!CD25</f>
        <v>0</v>
      </c>
      <c r="CR39" s="635">
        <f>+FIFO!CE25</f>
        <v>0</v>
      </c>
      <c r="CS39" s="635">
        <f>+FIFO!CF25</f>
        <v>0</v>
      </c>
      <c r="CT39" s="635">
        <f>+FIFO!CG25</f>
        <v>0</v>
      </c>
      <c r="CU39" s="635">
        <f>+FIFO!CH25</f>
        <v>0</v>
      </c>
      <c r="CV39" s="635">
        <f>+FIFO!CI25</f>
        <v>0</v>
      </c>
      <c r="CW39" s="235"/>
    </row>
    <row r="40" spans="4:135" ht="11.25" customHeight="1" thickBot="1" x14ac:dyDescent="0.4">
      <c r="D40" s="369"/>
      <c r="E40" s="235"/>
      <c r="F40" s="235"/>
      <c r="G40" s="235"/>
      <c r="H40" s="235"/>
      <c r="I40" s="235"/>
      <c r="J40" s="235"/>
      <c r="K40" s="235"/>
      <c r="L40" s="235"/>
      <c r="M40" s="235"/>
      <c r="N40" s="235"/>
      <c r="O40" s="235"/>
      <c r="P40" s="235"/>
      <c r="Q40" s="235"/>
      <c r="R40" s="235"/>
      <c r="S40" s="235"/>
      <c r="T40" s="235"/>
      <c r="U40" s="235"/>
      <c r="V40" s="235"/>
      <c r="W40" s="235"/>
      <c r="X40" s="235"/>
      <c r="Y40" s="235"/>
      <c r="Z40" s="235"/>
      <c r="AA40" s="235"/>
      <c r="AB40" s="235"/>
      <c r="AC40" s="235"/>
      <c r="AD40" s="235"/>
      <c r="AU40" s="235"/>
      <c r="AV40" s="235"/>
      <c r="AW40" s="235"/>
      <c r="AX40" s="235"/>
      <c r="AY40" s="235"/>
      <c r="AZ40" s="235"/>
      <c r="BA40" s="235"/>
      <c r="BB40" s="235"/>
      <c r="BC40" s="368"/>
      <c r="BD40" s="368"/>
      <c r="BE40" s="368"/>
      <c r="BF40" s="368"/>
      <c r="BG40" s="368"/>
      <c r="BH40" s="368"/>
      <c r="BI40" s="368"/>
      <c r="BJ40" s="368"/>
      <c r="BK40" s="368"/>
      <c r="BL40" s="368"/>
      <c r="BM40" s="368"/>
      <c r="BN40" s="368"/>
      <c r="BO40" s="368"/>
      <c r="BP40" s="368"/>
      <c r="BQ40" s="368"/>
      <c r="BR40" s="368"/>
      <c r="BS40" s="368"/>
      <c r="BT40" s="368"/>
      <c r="BU40" s="368"/>
      <c r="BV40" s="368"/>
      <c r="BW40" s="368"/>
      <c r="BX40" s="368"/>
      <c r="BY40" s="368"/>
      <c r="BZ40" s="368"/>
      <c r="CA40" s="368"/>
      <c r="CB40" s="368"/>
      <c r="CC40" s="368"/>
      <c r="CD40" s="368"/>
      <c r="CE40" s="368"/>
      <c r="CF40" s="368"/>
      <c r="CG40" s="368"/>
      <c r="CH40" s="368"/>
      <c r="CI40" s="368"/>
      <c r="CJ40" s="368"/>
      <c r="CK40" s="368"/>
      <c r="CL40" s="368"/>
      <c r="CM40" s="368"/>
      <c r="CN40" s="368"/>
      <c r="CO40" s="368"/>
      <c r="CP40" s="368"/>
      <c r="CQ40" s="368"/>
      <c r="CR40" s="368"/>
      <c r="CS40" s="368"/>
      <c r="CT40" s="368"/>
      <c r="CU40" s="368"/>
      <c r="CV40" s="368"/>
      <c r="CW40" s="235"/>
    </row>
    <row r="41" spans="4:135" ht="14.15" customHeight="1" x14ac:dyDescent="0.35">
      <c r="D41" s="636" t="s">
        <v>476</v>
      </c>
      <c r="E41" s="637"/>
      <c r="F41" s="637"/>
      <c r="G41" s="637"/>
      <c r="H41" s="637"/>
      <c r="I41" s="637"/>
      <c r="J41" s="637"/>
      <c r="K41" s="637"/>
      <c r="L41" s="637"/>
      <c r="M41" s="637"/>
      <c r="N41" s="637"/>
      <c r="O41" s="637"/>
      <c r="P41" s="637"/>
      <c r="Q41" s="637"/>
      <c r="R41" s="637"/>
      <c r="S41" s="637"/>
      <c r="T41" s="637"/>
      <c r="U41" s="637"/>
      <c r="V41" s="637"/>
      <c r="W41" s="638">
        <f>+(W32*50%)+(W66*50%)</f>
        <v>531.97998060445207</v>
      </c>
      <c r="X41" s="639">
        <f t="shared" ref="X41:AK41" si="196">+(X26*50%)+(X32*50%)</f>
        <v>1100.7609994321949</v>
      </c>
      <c r="Y41" s="639">
        <f t="shared" si="196"/>
        <v>1121.6234418466331</v>
      </c>
      <c r="Z41" s="639">
        <f t="shared" si="196"/>
        <v>1241.4705784067392</v>
      </c>
      <c r="AA41" s="639">
        <f t="shared" si="196"/>
        <v>1204.735912483266</v>
      </c>
      <c r="AB41" s="639">
        <f t="shared" si="196"/>
        <v>1154.2059420913538</v>
      </c>
      <c r="AC41" s="639">
        <f t="shared" si="196"/>
        <v>1186.407044</v>
      </c>
      <c r="AD41" s="639">
        <f t="shared" si="196"/>
        <v>1163.0801626887455</v>
      </c>
      <c r="AE41" s="639">
        <f t="shared" si="196"/>
        <v>1174.2220439999999</v>
      </c>
      <c r="AF41" s="639">
        <f t="shared" si="196"/>
        <v>1181.4777297732207</v>
      </c>
      <c r="AG41" s="639">
        <f t="shared" si="196"/>
        <v>1184.1997916666667</v>
      </c>
      <c r="AH41" s="639">
        <f t="shared" si="196"/>
        <v>1169.672178634733</v>
      </c>
      <c r="AI41" s="639">
        <f t="shared" si="196"/>
        <v>1162.5752731141849</v>
      </c>
      <c r="AJ41" s="639">
        <f t="shared" si="196"/>
        <v>1163.7354659718508</v>
      </c>
      <c r="AK41" s="639">
        <f t="shared" si="196"/>
        <v>1149.9627481324496</v>
      </c>
      <c r="AL41" s="639" t="e">
        <f t="shared" ref="AL41:AQ41" si="197">+(AL27*50%)+(AL32*50%)</f>
        <v>#REF!</v>
      </c>
      <c r="AM41" s="639" t="e">
        <f t="shared" si="197"/>
        <v>#REF!</v>
      </c>
      <c r="AN41" s="639" t="e">
        <f t="shared" si="197"/>
        <v>#REF!</v>
      </c>
      <c r="AO41" s="639" t="e">
        <f t="shared" si="197"/>
        <v>#REF!</v>
      </c>
      <c r="AP41" s="639" t="e">
        <f t="shared" si="197"/>
        <v>#REF!</v>
      </c>
      <c r="AQ41" s="639" t="e">
        <f t="shared" si="197"/>
        <v>#REF!</v>
      </c>
      <c r="AR41" s="639" t="e">
        <f>+(AR28*50%)+(AR33*50%)</f>
        <v>#REF!</v>
      </c>
      <c r="AS41" s="639" t="e">
        <f>+(AS28*50%)+(AS33*50%)</f>
        <v>#REF!</v>
      </c>
      <c r="AT41" s="639" t="e">
        <f>+(AT28*50%)+(AT33*50%)</f>
        <v>#REF!</v>
      </c>
      <c r="AU41" s="639" t="e">
        <f>+(AU28*50%)+(AU33*50%)</f>
        <v>#REF!</v>
      </c>
      <c r="AV41" s="639" t="e">
        <f>+(AV28*50%)+(AV33*50%)</f>
        <v>#REF!</v>
      </c>
      <c r="AW41" s="639">
        <v>1861.466542289354</v>
      </c>
      <c r="AX41" s="639">
        <v>1854.0005185934865</v>
      </c>
      <c r="AY41" s="639" t="e">
        <f>+(AY28*50%)+(AY33*50%)</f>
        <v>#REF!</v>
      </c>
      <c r="AZ41" s="639">
        <v>1992.3237885436697</v>
      </c>
      <c r="BA41" s="639" t="e">
        <f>+(BA28*50%)+(BA33*50%)</f>
        <v>#REF!</v>
      </c>
      <c r="BB41" s="639" t="e">
        <f>+(BB28*50%)+(BB33*50%)</f>
        <v>#REF!</v>
      </c>
      <c r="BC41" s="640" t="e">
        <f>+(BC28*50%)+(BC33*50%)</f>
        <v>#REF!</v>
      </c>
      <c r="BD41" s="640" t="e">
        <f t="shared" ref="BD41:CK41" si="198">+(BD30*50%)+(BD33*50%)</f>
        <v>#REF!</v>
      </c>
      <c r="BE41" s="640" t="e">
        <f t="shared" si="198"/>
        <v>#REF!</v>
      </c>
      <c r="BF41" s="640" t="e">
        <f t="shared" si="198"/>
        <v>#REF!</v>
      </c>
      <c r="BG41" s="640" t="e">
        <f t="shared" si="198"/>
        <v>#REF!</v>
      </c>
      <c r="BH41" s="640" t="e">
        <f t="shared" si="198"/>
        <v>#REF!</v>
      </c>
      <c r="BI41" s="640" t="e">
        <f t="shared" si="198"/>
        <v>#REF!</v>
      </c>
      <c r="BJ41" s="640" t="e">
        <f t="shared" si="198"/>
        <v>#REF!</v>
      </c>
      <c r="BK41" s="640" t="e">
        <f t="shared" si="198"/>
        <v>#REF!</v>
      </c>
      <c r="BL41" s="640" t="e">
        <f t="shared" si="198"/>
        <v>#REF!</v>
      </c>
      <c r="BM41" s="640" t="e">
        <f t="shared" si="198"/>
        <v>#REF!</v>
      </c>
      <c r="BN41" s="640">
        <f t="shared" si="198"/>
        <v>1483.0104087484538</v>
      </c>
      <c r="BO41" s="640">
        <f t="shared" si="198"/>
        <v>1501.4496727971259</v>
      </c>
      <c r="BP41" s="640">
        <f t="shared" si="198"/>
        <v>1514.4894841071437</v>
      </c>
      <c r="BQ41" s="640">
        <f t="shared" si="198"/>
        <v>1514.2021112237228</v>
      </c>
      <c r="BR41" s="640">
        <f t="shared" si="198"/>
        <v>1500.3900191889638</v>
      </c>
      <c r="BS41" s="640">
        <f t="shared" si="198"/>
        <v>1502.7587359493461</v>
      </c>
      <c r="BT41" s="640">
        <f t="shared" si="198"/>
        <v>1519.6040807107081</v>
      </c>
      <c r="BU41" s="640">
        <f t="shared" si="198"/>
        <v>1556.903301584078</v>
      </c>
      <c r="BV41" s="640">
        <f t="shared" si="198"/>
        <v>1578.2366120680508</v>
      </c>
      <c r="BW41" s="640">
        <f t="shared" si="198"/>
        <v>1524.5436847916899</v>
      </c>
      <c r="BX41" s="640">
        <f t="shared" si="198"/>
        <v>1546.8242281496409</v>
      </c>
      <c r="BY41" s="640">
        <f t="shared" si="198"/>
        <v>1571.3622610428301</v>
      </c>
      <c r="BZ41" s="640">
        <f t="shared" si="198"/>
        <v>1616.0823127115993</v>
      </c>
      <c r="CA41" s="640">
        <f t="shared" si="198"/>
        <v>1630.2402586743387</v>
      </c>
      <c r="CB41" s="640">
        <f t="shared" si="198"/>
        <v>1727.3097354251356</v>
      </c>
      <c r="CC41" s="640">
        <f t="shared" si="198"/>
        <v>1812.3544585406971</v>
      </c>
      <c r="CD41" s="640">
        <f t="shared" si="198"/>
        <v>1828.3283653083065</v>
      </c>
      <c r="CE41" s="640">
        <f t="shared" si="198"/>
        <v>1838.2396033401255</v>
      </c>
      <c r="CF41" s="640">
        <f t="shared" si="198"/>
        <v>1816.488819540328</v>
      </c>
      <c r="CG41" s="640">
        <f t="shared" si="198"/>
        <v>1775.0012750028022</v>
      </c>
      <c r="CH41" s="640">
        <f t="shared" si="198"/>
        <v>1770.5674922789794</v>
      </c>
      <c r="CI41" s="640">
        <f t="shared" si="198"/>
        <v>1766.4881804760423</v>
      </c>
      <c r="CJ41" s="640">
        <f t="shared" si="198"/>
        <v>1806.0387301414562</v>
      </c>
      <c r="CK41" s="640">
        <f t="shared" si="198"/>
        <v>1794.7595377648463</v>
      </c>
      <c r="CL41" s="641">
        <f t="shared" ref="CL41:CQ41" si="199">+(CL30*50%)+(CL36*50%)</f>
        <v>1732.6105101220494</v>
      </c>
      <c r="CM41" s="641">
        <f t="shared" si="199"/>
        <v>1736.1741503749959</v>
      </c>
      <c r="CN41" s="641">
        <f t="shared" si="199"/>
        <v>1730.1270284058214</v>
      </c>
      <c r="CO41" s="641">
        <f t="shared" si="199"/>
        <v>1759.7593829798645</v>
      </c>
      <c r="CP41" s="641">
        <f t="shared" si="199"/>
        <v>1630.5479441727384</v>
      </c>
      <c r="CQ41" s="641">
        <f t="shared" si="199"/>
        <v>1611.7818162375968</v>
      </c>
      <c r="CR41" s="641">
        <f t="shared" ref="CR41:CS41" si="200">+(CR30*50%)+(CR36*50%)</f>
        <v>1594.1293607715345</v>
      </c>
      <c r="CS41" s="641">
        <f t="shared" si="200"/>
        <v>1576.2434219170254</v>
      </c>
      <c r="CT41" s="641">
        <f t="shared" ref="CT41:CU41" si="201">+(CT30*50%)+(CT36*50%)</f>
        <v>1548.4324709979751</v>
      </c>
      <c r="CU41" s="641">
        <f t="shared" si="201"/>
        <v>1544.1050559351659</v>
      </c>
      <c r="CV41" s="641">
        <f t="shared" ref="CV41" si="202">+(CV30*50%)+(CV36*50%)</f>
        <v>1552.5564282985902</v>
      </c>
      <c r="CW41" s="240"/>
      <c r="CX41" s="22"/>
      <c r="EE41" s="491"/>
    </row>
    <row r="42" spans="4:135" ht="14.15" customHeight="1" x14ac:dyDescent="0.35">
      <c r="D42" s="642" t="s">
        <v>125</v>
      </c>
      <c r="E42" s="36"/>
      <c r="F42" s="36"/>
      <c r="G42" s="36"/>
      <c r="H42" s="36"/>
      <c r="I42" s="36"/>
      <c r="J42" s="36"/>
      <c r="K42" s="36"/>
      <c r="L42" s="36"/>
      <c r="M42" s="36"/>
      <c r="N42" s="36"/>
      <c r="O42" s="36"/>
      <c r="P42" s="36"/>
      <c r="Q42" s="36"/>
      <c r="R42" s="36"/>
      <c r="S42" s="36"/>
      <c r="T42" s="36"/>
      <c r="U42" s="36"/>
      <c r="V42" s="36"/>
      <c r="W42" s="8">
        <f t="shared" ref="W42:AV42" si="203">+W41*1%</f>
        <v>5.3197998060445206</v>
      </c>
      <c r="X42" s="8">
        <f t="shared" si="203"/>
        <v>11.00760999432195</v>
      </c>
      <c r="Y42" s="8">
        <f t="shared" si="203"/>
        <v>11.216234418466332</v>
      </c>
      <c r="Z42" s="8">
        <f t="shared" si="203"/>
        <v>12.414705784067392</v>
      </c>
      <c r="AA42" s="8">
        <f t="shared" si="203"/>
        <v>12.04735912483266</v>
      </c>
      <c r="AB42" s="8">
        <f t="shared" si="203"/>
        <v>11.542059420913539</v>
      </c>
      <c r="AC42" s="8">
        <f t="shared" si="203"/>
        <v>11.864070440000001</v>
      </c>
      <c r="AD42" s="8">
        <f t="shared" si="203"/>
        <v>11.630801626887456</v>
      </c>
      <c r="AE42" s="8">
        <f t="shared" si="203"/>
        <v>11.742220439999999</v>
      </c>
      <c r="AF42" s="8">
        <f t="shared" si="203"/>
        <v>11.814777297732208</v>
      </c>
      <c r="AG42" s="8">
        <f t="shared" si="203"/>
        <v>11.841997916666667</v>
      </c>
      <c r="AH42" s="8">
        <f t="shared" si="203"/>
        <v>11.696721786347331</v>
      </c>
      <c r="AI42" s="8">
        <f t="shared" si="203"/>
        <v>11.62575273114185</v>
      </c>
      <c r="AJ42" s="8">
        <f t="shared" si="203"/>
        <v>11.637354659718508</v>
      </c>
      <c r="AK42" s="8">
        <f t="shared" si="203"/>
        <v>11.499627481324497</v>
      </c>
      <c r="AL42" s="8" t="e">
        <f t="shared" si="203"/>
        <v>#REF!</v>
      </c>
      <c r="AM42" s="8" t="e">
        <f t="shared" si="203"/>
        <v>#REF!</v>
      </c>
      <c r="AN42" s="8" t="e">
        <f t="shared" si="203"/>
        <v>#REF!</v>
      </c>
      <c r="AO42" s="8" t="e">
        <f t="shared" si="203"/>
        <v>#REF!</v>
      </c>
      <c r="AP42" s="8" t="e">
        <f t="shared" si="203"/>
        <v>#REF!</v>
      </c>
      <c r="AQ42" s="8" t="e">
        <f t="shared" si="203"/>
        <v>#REF!</v>
      </c>
      <c r="AR42" s="8" t="e">
        <f t="shared" si="203"/>
        <v>#REF!</v>
      </c>
      <c r="AS42" s="8" t="e">
        <f t="shared" si="203"/>
        <v>#REF!</v>
      </c>
      <c r="AT42" s="8" t="e">
        <f t="shared" si="203"/>
        <v>#REF!</v>
      </c>
      <c r="AU42" s="8" t="e">
        <f t="shared" si="203"/>
        <v>#REF!</v>
      </c>
      <c r="AV42" s="8" t="e">
        <f t="shared" si="203"/>
        <v>#REF!</v>
      </c>
      <c r="AW42" s="8">
        <v>18.614665422893541</v>
      </c>
      <c r="AX42" s="8">
        <v>18.540005185934866</v>
      </c>
      <c r="AY42" s="8" t="e">
        <f>+AY41*1%</f>
        <v>#REF!</v>
      </c>
      <c r="AZ42" s="8">
        <v>19.923237885436698</v>
      </c>
      <c r="BA42" s="8" t="e">
        <f t="shared" ref="BA42:BF42" si="204">+BA41*1%</f>
        <v>#REF!</v>
      </c>
      <c r="BB42" s="8" t="e">
        <f t="shared" si="204"/>
        <v>#REF!</v>
      </c>
      <c r="BC42" s="334" t="e">
        <f t="shared" si="204"/>
        <v>#REF!</v>
      </c>
      <c r="BD42" s="334" t="e">
        <f t="shared" si="204"/>
        <v>#REF!</v>
      </c>
      <c r="BE42" s="334" t="e">
        <f t="shared" si="204"/>
        <v>#REF!</v>
      </c>
      <c r="BF42" s="334" t="e">
        <f t="shared" si="204"/>
        <v>#REF!</v>
      </c>
      <c r="BG42" s="334" t="e">
        <f t="shared" ref="BG42:BH42" si="205">+BG41*1%</f>
        <v>#REF!</v>
      </c>
      <c r="BH42" s="334" t="e">
        <f t="shared" si="205"/>
        <v>#REF!</v>
      </c>
      <c r="BI42" s="334" t="e">
        <f t="shared" ref="BI42:BJ42" si="206">+BI41*1%</f>
        <v>#REF!</v>
      </c>
      <c r="BJ42" s="334" t="e">
        <f t="shared" si="206"/>
        <v>#REF!</v>
      </c>
      <c r="BK42" s="334" t="e">
        <f t="shared" ref="BK42:BL42" si="207">+BK41*1%</f>
        <v>#REF!</v>
      </c>
      <c r="BL42" s="334" t="e">
        <f t="shared" si="207"/>
        <v>#REF!</v>
      </c>
      <c r="BM42" s="334" t="e">
        <f t="shared" ref="BM42:BN42" si="208">+BM41*1%</f>
        <v>#REF!</v>
      </c>
      <c r="BN42" s="334">
        <f t="shared" si="208"/>
        <v>14.830104087484537</v>
      </c>
      <c r="BO42" s="334">
        <f t="shared" ref="BO42:BP42" si="209">+BO41*1%</f>
        <v>15.01449672797126</v>
      </c>
      <c r="BP42" s="334">
        <f t="shared" si="209"/>
        <v>15.144894841071437</v>
      </c>
      <c r="BQ42" s="334">
        <f t="shared" ref="BQ42:BR42" si="210">+BQ41*1%</f>
        <v>15.142021112237229</v>
      </c>
      <c r="BR42" s="334">
        <f t="shared" si="210"/>
        <v>15.003900191889638</v>
      </c>
      <c r="BS42" s="334">
        <f t="shared" ref="BS42:BT42" si="211">+BS41*1%</f>
        <v>15.027587359493461</v>
      </c>
      <c r="BT42" s="334">
        <f t="shared" si="211"/>
        <v>15.196040807107082</v>
      </c>
      <c r="BU42" s="334">
        <f t="shared" ref="BU42:BV42" si="212">+BU41*1%</f>
        <v>15.56903301584078</v>
      </c>
      <c r="BV42" s="334">
        <f t="shared" si="212"/>
        <v>15.782366120680509</v>
      </c>
      <c r="BW42" s="334">
        <f t="shared" ref="BW42:BY42" si="213">+BW41*1%</f>
        <v>15.245436847916899</v>
      </c>
      <c r="BX42" s="334">
        <f t="shared" ref="BX42" si="214">+BX41*1%</f>
        <v>15.46824228149641</v>
      </c>
      <c r="BY42" s="334">
        <f t="shared" si="213"/>
        <v>15.713622610428303</v>
      </c>
      <c r="BZ42" s="334">
        <f t="shared" ref="BZ42:CA42" si="215">+BZ41*1%</f>
        <v>16.160823127115993</v>
      </c>
      <c r="CA42" s="334">
        <f t="shared" si="215"/>
        <v>16.302402586743387</v>
      </c>
      <c r="CB42" s="334">
        <f t="shared" ref="CB42:CC42" si="216">+CB41*1%</f>
        <v>17.273097354251355</v>
      </c>
      <c r="CC42" s="334">
        <f t="shared" si="216"/>
        <v>18.123544585406972</v>
      </c>
      <c r="CD42" s="334">
        <f t="shared" ref="CD42:CE42" si="217">+CD41*1%</f>
        <v>18.283283653083064</v>
      </c>
      <c r="CE42" s="334">
        <f t="shared" si="217"/>
        <v>18.382396033401257</v>
      </c>
      <c r="CF42" s="334">
        <f t="shared" ref="CF42:CG42" si="218">+CF41*1%</f>
        <v>18.164888195403279</v>
      </c>
      <c r="CG42" s="334">
        <f t="shared" si="218"/>
        <v>17.750012750028024</v>
      </c>
      <c r="CH42" s="334">
        <f t="shared" ref="CH42:CI42" si="219">+CH41*1%</f>
        <v>17.705674922789793</v>
      </c>
      <c r="CI42" s="334">
        <f t="shared" si="219"/>
        <v>17.664881804760423</v>
      </c>
      <c r="CJ42" s="334">
        <f t="shared" ref="CJ42:CK42" si="220">+CJ41*1%</f>
        <v>18.060387301414561</v>
      </c>
      <c r="CK42" s="334">
        <f t="shared" si="220"/>
        <v>17.947595377648465</v>
      </c>
      <c r="CL42" s="616">
        <f t="shared" ref="CL42:CM42" si="221">+CL41*1%</f>
        <v>17.326105101220495</v>
      </c>
      <c r="CM42" s="616">
        <f t="shared" si="221"/>
        <v>17.361741503749958</v>
      </c>
      <c r="CN42" s="616">
        <f t="shared" ref="CN42:CO42" si="222">+CN41*1%</f>
        <v>17.301270284058216</v>
      </c>
      <c r="CO42" s="616">
        <f t="shared" si="222"/>
        <v>17.597593829798647</v>
      </c>
      <c r="CP42" s="616">
        <f t="shared" ref="CP42:CQ42" si="223">+CP41*1%</f>
        <v>16.305479441727385</v>
      </c>
      <c r="CQ42" s="616">
        <f t="shared" si="223"/>
        <v>16.117818162375968</v>
      </c>
      <c r="CR42" s="616">
        <f t="shared" ref="CR42:CS42" si="224">+CR41*1%</f>
        <v>15.941293607715345</v>
      </c>
      <c r="CS42" s="616">
        <f t="shared" si="224"/>
        <v>15.762434219170254</v>
      </c>
      <c r="CT42" s="616">
        <f t="shared" ref="CT42:CU42" si="225">+CT41*1%</f>
        <v>15.484324709979751</v>
      </c>
      <c r="CU42" s="616">
        <f t="shared" si="225"/>
        <v>15.441050559351659</v>
      </c>
      <c r="CV42" s="616">
        <f t="shared" ref="CV42" si="226">+CV41*1%</f>
        <v>15.525564282985902</v>
      </c>
      <c r="CW42" s="235"/>
    </row>
    <row r="43" spans="4:135" x14ac:dyDescent="0.35">
      <c r="D43" s="626" t="s">
        <v>126</v>
      </c>
      <c r="E43" s="36"/>
      <c r="F43" s="36"/>
      <c r="G43" s="36"/>
      <c r="H43" s="36"/>
      <c r="I43" s="490"/>
      <c r="J43" s="490"/>
      <c r="K43" s="490"/>
      <c r="L43" s="493"/>
      <c r="M43" s="36"/>
      <c r="N43" s="36"/>
      <c r="O43" s="36"/>
      <c r="P43" s="36"/>
      <c r="Q43" s="36"/>
      <c r="R43" s="36"/>
      <c r="S43" s="36"/>
      <c r="T43" s="36"/>
      <c r="U43" s="36"/>
      <c r="V43" s="36"/>
      <c r="W43" s="28">
        <f t="shared" ref="W43:AT43" si="227">+W42+W41</f>
        <v>537.29978041049662</v>
      </c>
      <c r="X43" s="28">
        <f t="shared" si="227"/>
        <v>1111.7686094265168</v>
      </c>
      <c r="Y43" s="28">
        <f t="shared" si="227"/>
        <v>1132.8396762650993</v>
      </c>
      <c r="Z43" s="28">
        <f t="shared" si="227"/>
        <v>1253.8852841908065</v>
      </c>
      <c r="AA43" s="28">
        <f t="shared" si="227"/>
        <v>1216.7832716080986</v>
      </c>
      <c r="AB43" s="28">
        <f t="shared" si="227"/>
        <v>1165.7480015122674</v>
      </c>
      <c r="AC43" s="28">
        <f t="shared" si="227"/>
        <v>1198.27111444</v>
      </c>
      <c r="AD43" s="28">
        <f t="shared" si="227"/>
        <v>1174.710964315633</v>
      </c>
      <c r="AE43" s="28">
        <f t="shared" si="227"/>
        <v>1185.9642644399999</v>
      </c>
      <c r="AF43" s="28">
        <f t="shared" si="227"/>
        <v>1193.292507070953</v>
      </c>
      <c r="AG43" s="28">
        <f t="shared" si="227"/>
        <v>1196.0417895833334</v>
      </c>
      <c r="AH43" s="28">
        <f t="shared" si="227"/>
        <v>1181.3689004210803</v>
      </c>
      <c r="AI43" s="28">
        <f t="shared" si="227"/>
        <v>1174.2010258453267</v>
      </c>
      <c r="AJ43" s="28">
        <f t="shared" si="227"/>
        <v>1175.3728206315693</v>
      </c>
      <c r="AK43" s="28">
        <f t="shared" si="227"/>
        <v>1161.4623756137742</v>
      </c>
      <c r="AL43" s="28" t="e">
        <f t="shared" si="227"/>
        <v>#REF!</v>
      </c>
      <c r="AM43" s="28" t="e">
        <f t="shared" si="227"/>
        <v>#REF!</v>
      </c>
      <c r="AN43" s="28" t="e">
        <f t="shared" si="227"/>
        <v>#REF!</v>
      </c>
      <c r="AO43" s="28" t="e">
        <f t="shared" si="227"/>
        <v>#REF!</v>
      </c>
      <c r="AP43" s="28" t="e">
        <f t="shared" si="227"/>
        <v>#REF!</v>
      </c>
      <c r="AQ43" s="28" t="e">
        <f t="shared" si="227"/>
        <v>#REF!</v>
      </c>
      <c r="AR43" s="28" t="e">
        <f t="shared" si="227"/>
        <v>#REF!</v>
      </c>
      <c r="AS43" s="28" t="e">
        <f t="shared" si="227"/>
        <v>#REF!</v>
      </c>
      <c r="AT43" s="28" t="e">
        <f t="shared" si="227"/>
        <v>#REF!</v>
      </c>
      <c r="AU43" s="28" t="e">
        <f>+AU42+AU41</f>
        <v>#REF!</v>
      </c>
      <c r="AV43" s="28" t="e">
        <f>+AV42+AV41</f>
        <v>#REF!</v>
      </c>
      <c r="AW43" s="28">
        <v>1880.0812077122475</v>
      </c>
      <c r="AX43" s="28">
        <v>1872.5405237794214</v>
      </c>
      <c r="AY43" s="28" t="e">
        <f>+AY42+AY41</f>
        <v>#REF!</v>
      </c>
      <c r="AZ43" s="28">
        <v>2012.2470264291064</v>
      </c>
      <c r="BA43" s="28" t="e">
        <f t="shared" ref="BA43:BF43" si="228">+BA42+BA41</f>
        <v>#REF!</v>
      </c>
      <c r="BB43" s="28" t="e">
        <f t="shared" si="228"/>
        <v>#REF!</v>
      </c>
      <c r="BC43" s="343" t="e">
        <f t="shared" si="228"/>
        <v>#REF!</v>
      </c>
      <c r="BD43" s="343" t="e">
        <f t="shared" si="228"/>
        <v>#REF!</v>
      </c>
      <c r="BE43" s="343" t="e">
        <f t="shared" si="228"/>
        <v>#REF!</v>
      </c>
      <c r="BF43" s="343" t="e">
        <f t="shared" si="228"/>
        <v>#REF!</v>
      </c>
      <c r="BG43" s="343" t="e">
        <f t="shared" ref="BG43:BH43" si="229">+BG42+BG41</f>
        <v>#REF!</v>
      </c>
      <c r="BH43" s="343" t="e">
        <f t="shared" si="229"/>
        <v>#REF!</v>
      </c>
      <c r="BI43" s="343" t="e">
        <f t="shared" ref="BI43:BJ43" si="230">+BI42+BI41</f>
        <v>#REF!</v>
      </c>
      <c r="BJ43" s="343" t="e">
        <f t="shared" si="230"/>
        <v>#REF!</v>
      </c>
      <c r="BK43" s="343" t="e">
        <f t="shared" ref="BK43:BL43" si="231">+BK42+BK41</f>
        <v>#REF!</v>
      </c>
      <c r="BL43" s="343" t="e">
        <f t="shared" si="231"/>
        <v>#REF!</v>
      </c>
      <c r="BM43" s="343" t="e">
        <f t="shared" ref="BM43:BN43" si="232">+BM42+BM41</f>
        <v>#REF!</v>
      </c>
      <c r="BN43" s="343">
        <f t="shared" si="232"/>
        <v>1497.8405128359384</v>
      </c>
      <c r="BO43" s="343">
        <f t="shared" ref="BO43:BP43" si="233">+BO42+BO41</f>
        <v>1516.4641695250971</v>
      </c>
      <c r="BP43" s="343">
        <f t="shared" si="233"/>
        <v>1529.634378948215</v>
      </c>
      <c r="BQ43" s="343">
        <f t="shared" ref="BQ43:BR43" si="234">+BQ42+BQ41</f>
        <v>1529.34413233596</v>
      </c>
      <c r="BR43" s="343">
        <f t="shared" si="234"/>
        <v>1515.3939193808535</v>
      </c>
      <c r="BS43" s="343">
        <f t="shared" ref="BS43:BT43" si="235">+BS42+BS41</f>
        <v>1517.7863233088397</v>
      </c>
      <c r="BT43" s="343">
        <f t="shared" si="235"/>
        <v>1534.8001215178151</v>
      </c>
      <c r="BU43" s="343">
        <f t="shared" ref="BU43:BV43" si="236">+BU42+BU41</f>
        <v>1572.4723345999189</v>
      </c>
      <c r="BV43" s="343">
        <f t="shared" si="236"/>
        <v>1594.0189781887314</v>
      </c>
      <c r="BW43" s="343">
        <f t="shared" ref="BW43:BY43" si="237">+BW42+BW41</f>
        <v>1539.7891216396067</v>
      </c>
      <c r="BX43" s="343">
        <f t="shared" ref="BX43" si="238">+BX42+BX41</f>
        <v>1562.2924704311374</v>
      </c>
      <c r="BY43" s="343">
        <f t="shared" si="237"/>
        <v>1587.0758836532584</v>
      </c>
      <c r="BZ43" s="343">
        <f t="shared" ref="BZ43:CA43" si="239">+BZ42+BZ41</f>
        <v>1632.2431358387153</v>
      </c>
      <c r="CA43" s="343">
        <f t="shared" si="239"/>
        <v>1646.5426612610822</v>
      </c>
      <c r="CB43" s="343">
        <f t="shared" ref="CB43:CC43" si="240">+CB42+CB41</f>
        <v>1744.582832779387</v>
      </c>
      <c r="CC43" s="343">
        <f t="shared" si="240"/>
        <v>1830.4780031261041</v>
      </c>
      <c r="CD43" s="343">
        <f t="shared" ref="CD43:CE43" si="241">+CD42+CD41</f>
        <v>1846.6116489613896</v>
      </c>
      <c r="CE43" s="343">
        <f t="shared" si="241"/>
        <v>1856.6219993735267</v>
      </c>
      <c r="CF43" s="343">
        <f t="shared" ref="CF43:CG43" si="242">+CF42+CF41</f>
        <v>1834.6537077357314</v>
      </c>
      <c r="CG43" s="343">
        <f t="shared" si="242"/>
        <v>1792.7512877528302</v>
      </c>
      <c r="CH43" s="343">
        <f t="shared" ref="CH43:CI43" si="243">+CH42+CH41</f>
        <v>1788.2731672017692</v>
      </c>
      <c r="CI43" s="343">
        <f t="shared" si="243"/>
        <v>1784.1530622808027</v>
      </c>
      <c r="CJ43" s="343">
        <f t="shared" ref="CJ43:CK43" si="244">+CJ42+CJ41</f>
        <v>1824.0991174428707</v>
      </c>
      <c r="CK43" s="343">
        <f t="shared" si="244"/>
        <v>1812.7071331424947</v>
      </c>
      <c r="CL43" s="643">
        <f t="shared" ref="CL43:CM43" si="245">+CL42+CL41</f>
        <v>1749.9366152232699</v>
      </c>
      <c r="CM43" s="643">
        <f t="shared" si="245"/>
        <v>1753.5358918787458</v>
      </c>
      <c r="CN43" s="643">
        <f t="shared" ref="CN43:CO43" si="246">+CN42+CN41</f>
        <v>1747.4282986898797</v>
      </c>
      <c r="CO43" s="643">
        <f t="shared" si="246"/>
        <v>1777.3569768096631</v>
      </c>
      <c r="CP43" s="643">
        <f t="shared" ref="CP43:CQ43" si="247">+CP42+CP41</f>
        <v>1646.8534236144658</v>
      </c>
      <c r="CQ43" s="643">
        <f t="shared" si="247"/>
        <v>1627.8996343999727</v>
      </c>
      <c r="CR43" s="643">
        <f t="shared" ref="CR43:CS43" si="248">+CR42+CR41</f>
        <v>1610.0706543792498</v>
      </c>
      <c r="CS43" s="643">
        <f t="shared" si="248"/>
        <v>1592.0058561361957</v>
      </c>
      <c r="CT43" s="643">
        <f t="shared" ref="CT43:CU43" si="249">+CT42+CT41</f>
        <v>1563.9167957079549</v>
      </c>
      <c r="CU43" s="643">
        <f t="shared" si="249"/>
        <v>1559.5461064945175</v>
      </c>
      <c r="CV43" s="643">
        <f t="shared" ref="CV43" si="250">+CV42+CV41</f>
        <v>1568.0819925815761</v>
      </c>
      <c r="CW43" s="354"/>
    </row>
    <row r="44" spans="4:135" x14ac:dyDescent="0.35">
      <c r="D44" s="624"/>
      <c r="E44" s="36"/>
      <c r="F44" s="36"/>
      <c r="G44" s="36"/>
      <c r="H44" s="36"/>
      <c r="I44" s="36"/>
      <c r="J44" s="36"/>
      <c r="K44" s="36"/>
      <c r="L44" s="2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283"/>
      <c r="AR44" s="494"/>
      <c r="AS44" s="494"/>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644"/>
      <c r="CM44" s="644"/>
      <c r="CN44" s="644"/>
      <c r="CO44" s="644"/>
      <c r="CP44" s="644"/>
      <c r="CQ44" s="644"/>
      <c r="CR44" s="644"/>
      <c r="CS44" s="644"/>
      <c r="CT44" s="644"/>
      <c r="CU44" s="644"/>
      <c r="CV44" s="644"/>
      <c r="CW44" s="355"/>
    </row>
    <row r="45" spans="4:135" x14ac:dyDescent="0.35">
      <c r="D45" s="645" t="s">
        <v>127</v>
      </c>
      <c r="E45" s="36"/>
      <c r="F45" s="36"/>
      <c r="G45" s="36"/>
      <c r="H45" s="36"/>
      <c r="I45" s="36"/>
      <c r="J45" s="36"/>
      <c r="K45" s="36"/>
      <c r="L45" s="36"/>
      <c r="M45" s="36"/>
      <c r="N45" s="36"/>
      <c r="O45" s="36"/>
      <c r="P45" s="36"/>
      <c r="Q45" s="36"/>
      <c r="R45" s="36"/>
      <c r="S45" s="36"/>
      <c r="T45" s="36"/>
      <c r="U45" s="36"/>
      <c r="V45" s="36"/>
      <c r="W45" s="36"/>
      <c r="X45" s="36"/>
      <c r="Y45" s="36"/>
      <c r="Z45" s="36"/>
      <c r="AA45" s="24">
        <f t="shared" ref="AA45:AV45" si="251">+AA34</f>
        <v>1070.2457145299522</v>
      </c>
      <c r="AB45" s="24">
        <f t="shared" si="251"/>
        <v>1103.3117577063094</v>
      </c>
      <c r="AC45" s="24">
        <f t="shared" si="251"/>
        <v>1103.3117577063094</v>
      </c>
      <c r="AD45" s="24">
        <f t="shared" si="251"/>
        <v>1149.9846517001231</v>
      </c>
      <c r="AE45" s="24">
        <f t="shared" si="251"/>
        <v>1149.9846517001231</v>
      </c>
      <c r="AF45" s="24">
        <f t="shared" si="251"/>
        <v>1163.7351584349315</v>
      </c>
      <c r="AG45" s="24">
        <f t="shared" si="251"/>
        <v>1163.7351584349315</v>
      </c>
      <c r="AH45" s="24">
        <f t="shared" si="251"/>
        <v>6</v>
      </c>
      <c r="AI45" s="24">
        <f t="shared" si="251"/>
        <v>1125.2337117924039</v>
      </c>
      <c r="AJ45" s="24">
        <f t="shared" si="251"/>
        <v>1153.6208952478003</v>
      </c>
      <c r="AK45" s="24">
        <f t="shared" si="251"/>
        <v>1197.5282466283243</v>
      </c>
      <c r="AL45" s="24">
        <f t="shared" si="251"/>
        <v>1277.3813189985585</v>
      </c>
      <c r="AM45" s="24">
        <f t="shared" si="251"/>
        <v>1467.9414592909875</v>
      </c>
      <c r="AN45" s="24">
        <f t="shared" si="251"/>
        <v>1432.4780328621268</v>
      </c>
      <c r="AO45" s="24">
        <f t="shared" si="251"/>
        <v>1415.0274435548959</v>
      </c>
      <c r="AP45" s="24">
        <f t="shared" si="251"/>
        <v>1623.5225332915529</v>
      </c>
      <c r="AQ45" s="24">
        <f t="shared" si="251"/>
        <v>1586.6292370018218</v>
      </c>
      <c r="AR45" s="24">
        <f t="shared" si="251"/>
        <v>1609.9821539163602</v>
      </c>
      <c r="AS45" s="24">
        <f t="shared" si="251"/>
        <v>1643.8951960695449</v>
      </c>
      <c r="AT45" s="24">
        <f t="shared" si="251"/>
        <v>1621.9696599033766</v>
      </c>
      <c r="AU45" s="24">
        <f t="shared" si="251"/>
        <v>1648.1853188371667</v>
      </c>
      <c r="AV45" s="24">
        <f t="shared" si="251"/>
        <v>1905.3661464667925</v>
      </c>
      <c r="AW45" s="24">
        <v>1842.1370411393989</v>
      </c>
      <c r="AX45" s="24">
        <v>1765.8141671880041</v>
      </c>
      <c r="AY45" s="24">
        <f>+AY34</f>
        <v>1957.7658797457173</v>
      </c>
      <c r="AZ45" s="24">
        <v>2007.3085977964388</v>
      </c>
      <c r="BA45" s="24">
        <f t="shared" ref="BA45:BL45" si="252">+BA34</f>
        <v>2077.6143488222142</v>
      </c>
      <c r="BB45" s="24">
        <f t="shared" si="252"/>
        <v>2127.3064195831785</v>
      </c>
      <c r="BC45" s="342">
        <f t="shared" si="252"/>
        <v>2127.3064195831785</v>
      </c>
      <c r="BD45" s="342">
        <f t="shared" si="252"/>
        <v>2251.8217285856022</v>
      </c>
      <c r="BE45" s="342">
        <f t="shared" si="252"/>
        <v>1986.3645985148953</v>
      </c>
      <c r="BF45" s="342">
        <f t="shared" si="252"/>
        <v>1941.337857311323</v>
      </c>
      <c r="BG45" s="342">
        <f t="shared" si="252"/>
        <v>1729.6772461957096</v>
      </c>
      <c r="BH45" s="342">
        <f t="shared" si="252"/>
        <v>1474.4296076790008</v>
      </c>
      <c r="BI45" s="342">
        <f t="shared" si="252"/>
        <v>1413.7082079935726</v>
      </c>
      <c r="BJ45" s="342">
        <f t="shared" si="252"/>
        <v>1472.9886975294212</v>
      </c>
      <c r="BK45" s="342">
        <f t="shared" si="252"/>
        <v>1650.4611059715812</v>
      </c>
      <c r="BL45" s="342">
        <f t="shared" si="252"/>
        <v>1593.6921221823306</v>
      </c>
      <c r="BM45" s="342">
        <f t="shared" ref="BM45:BV45" si="253">+BM35</f>
        <v>1541.7235892107569</v>
      </c>
      <c r="BN45" s="342">
        <f t="shared" si="253"/>
        <v>1572.230546542331</v>
      </c>
      <c r="BO45" s="342">
        <f t="shared" si="253"/>
        <v>1582.7074802349362</v>
      </c>
      <c r="BP45" s="342">
        <f t="shared" si="253"/>
        <v>1624.5182483405063</v>
      </c>
      <c r="BQ45" s="342">
        <f t="shared" si="253"/>
        <v>1640.1021282038605</v>
      </c>
      <c r="BR45" s="342">
        <f t="shared" si="253"/>
        <v>1640.1021282038605</v>
      </c>
      <c r="BS45" s="342">
        <f t="shared" si="253"/>
        <v>1640.1021282038605</v>
      </c>
      <c r="BT45" s="342">
        <f t="shared" si="253"/>
        <v>1640.1021282038603</v>
      </c>
      <c r="BU45" s="342">
        <f t="shared" si="253"/>
        <v>1640.1021282038603</v>
      </c>
      <c r="BV45" s="342">
        <f t="shared" si="253"/>
        <v>1640.1021282038603</v>
      </c>
      <c r="BW45" s="342">
        <f>+FIFO!AB21</f>
        <v>1640.10212820386</v>
      </c>
      <c r="BX45" s="342">
        <f t="shared" ref="BX45:CK45" si="254">+BX35</f>
        <v>1640.1021282038603</v>
      </c>
      <c r="BY45" s="342">
        <f t="shared" si="254"/>
        <v>1640.1021282038603</v>
      </c>
      <c r="BZ45" s="342">
        <f t="shared" si="254"/>
        <v>1640.1021282038605</v>
      </c>
      <c r="CA45" s="342">
        <f t="shared" si="254"/>
        <v>1640.1021282038605</v>
      </c>
      <c r="CB45" s="342">
        <f t="shared" si="254"/>
        <v>1756.8307250572293</v>
      </c>
      <c r="CC45" s="342">
        <f t="shared" si="254"/>
        <v>1848.5020188604981</v>
      </c>
      <c r="CD45" s="342">
        <f t="shared" si="254"/>
        <v>1924.5345961916541</v>
      </c>
      <c r="CE45" s="342">
        <f t="shared" si="254"/>
        <v>1924.5345961916544</v>
      </c>
      <c r="CF45" s="342">
        <f t="shared" si="254"/>
        <v>1924.5345961916544</v>
      </c>
      <c r="CG45" s="342">
        <f t="shared" si="254"/>
        <v>1924.5345961916544</v>
      </c>
      <c r="CH45" s="342">
        <f t="shared" si="254"/>
        <v>1924.5345961916544</v>
      </c>
      <c r="CI45" s="342">
        <f t="shared" si="254"/>
        <v>1924.5345961916544</v>
      </c>
      <c r="CJ45" s="342">
        <f t="shared" si="254"/>
        <v>2047.4441943061959</v>
      </c>
      <c r="CK45" s="342">
        <f t="shared" si="254"/>
        <v>2047.5847187229492</v>
      </c>
      <c r="CL45" s="646">
        <f>+FIFO!BH21</f>
        <v>2095.2471948212533</v>
      </c>
      <c r="CM45" s="646">
        <f>+FIFO!BJ21</f>
        <v>2103.550947181317</v>
      </c>
      <c r="CN45" s="646">
        <f>+CN35</f>
        <v>2141.3654444938466</v>
      </c>
      <c r="CO45" s="646">
        <f>+CO35</f>
        <v>2141.3654444938461</v>
      </c>
      <c r="CP45" s="646">
        <f>+FIFO!BP20</f>
        <v>2211.199110058772</v>
      </c>
      <c r="CQ45" s="646">
        <f>+CQ35</f>
        <v>2141.3654444938461</v>
      </c>
      <c r="CR45" s="646">
        <f>+CR35</f>
        <v>2141.3654444938461</v>
      </c>
      <c r="CS45" s="646">
        <f>+'PCR Aurora '!Z14</f>
        <v>2206.9082939317395</v>
      </c>
      <c r="CT45" s="646">
        <f>+'PCR Enka'!DX26</f>
        <v>2148.8385978558049</v>
      </c>
      <c r="CU45" s="646">
        <f>+CU35</f>
        <v>2141.3654444938461</v>
      </c>
      <c r="CV45" s="646">
        <f>+FIFO!BZ21</f>
        <v>2141.3654444938461</v>
      </c>
      <c r="CW45" s="356"/>
    </row>
    <row r="46" spans="4:135" x14ac:dyDescent="0.35">
      <c r="D46" s="642" t="s">
        <v>125</v>
      </c>
      <c r="E46" s="36"/>
      <c r="F46" s="36"/>
      <c r="G46" s="36"/>
      <c r="H46" s="36"/>
      <c r="I46" s="36"/>
      <c r="J46" s="36"/>
      <c r="K46" s="36"/>
      <c r="L46" s="36"/>
      <c r="M46" s="36"/>
      <c r="N46" s="36"/>
      <c r="O46" s="36"/>
      <c r="P46" s="36"/>
      <c r="Q46" s="36"/>
      <c r="R46" s="36"/>
      <c r="S46" s="36"/>
      <c r="T46" s="36"/>
      <c r="U46" s="36"/>
      <c r="V46" s="36"/>
      <c r="W46" s="36"/>
      <c r="X46" s="36"/>
      <c r="Y46" s="36"/>
      <c r="Z46" s="36"/>
      <c r="AA46" s="8">
        <f t="shared" ref="AA46:AV46" si="255">+AA45*1%</f>
        <v>10.702457145299523</v>
      </c>
      <c r="AB46" s="8">
        <f t="shared" si="255"/>
        <v>11.033117577063095</v>
      </c>
      <c r="AC46" s="8">
        <f t="shared" si="255"/>
        <v>11.033117577063095</v>
      </c>
      <c r="AD46" s="8">
        <f t="shared" si="255"/>
        <v>11.499846517001231</v>
      </c>
      <c r="AE46" s="8">
        <f t="shared" si="255"/>
        <v>11.499846517001231</v>
      </c>
      <c r="AF46" s="8">
        <f t="shared" si="255"/>
        <v>11.637351584349314</v>
      </c>
      <c r="AG46" s="8">
        <f t="shared" si="255"/>
        <v>11.637351584349314</v>
      </c>
      <c r="AH46" s="8">
        <f t="shared" si="255"/>
        <v>0.06</v>
      </c>
      <c r="AI46" s="8">
        <f t="shared" si="255"/>
        <v>11.252337117924039</v>
      </c>
      <c r="AJ46" s="8">
        <f t="shared" si="255"/>
        <v>11.536208952478002</v>
      </c>
      <c r="AK46" s="8">
        <f t="shared" si="255"/>
        <v>11.975282466283243</v>
      </c>
      <c r="AL46" s="8">
        <f t="shared" si="255"/>
        <v>12.773813189985585</v>
      </c>
      <c r="AM46" s="8">
        <f t="shared" si="255"/>
        <v>14.679414592909875</v>
      </c>
      <c r="AN46" s="8">
        <f t="shared" si="255"/>
        <v>14.324780328621269</v>
      </c>
      <c r="AO46" s="8">
        <f t="shared" si="255"/>
        <v>14.150274435548958</v>
      </c>
      <c r="AP46" s="8">
        <f t="shared" si="255"/>
        <v>16.23522533291553</v>
      </c>
      <c r="AQ46" s="8">
        <f t="shared" si="255"/>
        <v>15.866292370018218</v>
      </c>
      <c r="AR46" s="8">
        <f t="shared" si="255"/>
        <v>16.099821539163603</v>
      </c>
      <c r="AS46" s="8">
        <f t="shared" si="255"/>
        <v>16.438951960695448</v>
      </c>
      <c r="AT46" s="8">
        <f t="shared" si="255"/>
        <v>16.219696599033767</v>
      </c>
      <c r="AU46" s="8">
        <f t="shared" si="255"/>
        <v>16.481853188371666</v>
      </c>
      <c r="AV46" s="8">
        <f t="shared" si="255"/>
        <v>19.053661464667925</v>
      </c>
      <c r="AW46" s="8">
        <v>18.42137041139399</v>
      </c>
      <c r="AX46" s="8">
        <v>17.658141671880042</v>
      </c>
      <c r="AY46" s="8">
        <f>+AY45*1%</f>
        <v>19.577658797457172</v>
      </c>
      <c r="AZ46" s="8">
        <v>20.073085977964389</v>
      </c>
      <c r="BA46" s="8">
        <f t="shared" ref="BA46:BF46" si="256">+BA45*1%</f>
        <v>20.776143488222143</v>
      </c>
      <c r="BB46" s="8">
        <f t="shared" si="256"/>
        <v>21.273064195831786</v>
      </c>
      <c r="BC46" s="334">
        <f t="shared" si="256"/>
        <v>21.273064195831786</v>
      </c>
      <c r="BD46" s="334">
        <f t="shared" si="256"/>
        <v>22.518217285856021</v>
      </c>
      <c r="BE46" s="334">
        <f t="shared" si="256"/>
        <v>19.863645985148953</v>
      </c>
      <c r="BF46" s="334">
        <f t="shared" si="256"/>
        <v>19.413378573113231</v>
      </c>
      <c r="BG46" s="334">
        <f t="shared" ref="BG46:BH46" si="257">+BG45*1%</f>
        <v>17.296772461957097</v>
      </c>
      <c r="BH46" s="334">
        <f t="shared" si="257"/>
        <v>14.744296076790008</v>
      </c>
      <c r="BI46" s="334">
        <f t="shared" ref="BI46:BJ46" si="258">+BI45*1%</f>
        <v>14.137082079935727</v>
      </c>
      <c r="BJ46" s="334">
        <f t="shared" si="258"/>
        <v>14.729886975294212</v>
      </c>
      <c r="BK46" s="334">
        <f t="shared" ref="BK46:BL46" si="259">+BK45*1%</f>
        <v>16.504611059715813</v>
      </c>
      <c r="BL46" s="334">
        <f t="shared" si="259"/>
        <v>15.936921221823306</v>
      </c>
      <c r="BM46" s="334">
        <f t="shared" ref="BM46:BN46" si="260">+BM45*1%</f>
        <v>15.41723589210757</v>
      </c>
      <c r="BN46" s="334">
        <f t="shared" si="260"/>
        <v>15.722305465423311</v>
      </c>
      <c r="BO46" s="334">
        <f t="shared" ref="BO46:BP46" si="261">+BO45*1%</f>
        <v>15.827074802349362</v>
      </c>
      <c r="BP46" s="334">
        <f t="shared" si="261"/>
        <v>16.245182483405063</v>
      </c>
      <c r="BQ46" s="334">
        <f t="shared" ref="BQ46:BR46" si="262">+BQ45*1%</f>
        <v>16.401021282038606</v>
      </c>
      <c r="BR46" s="334">
        <f t="shared" si="262"/>
        <v>16.401021282038606</v>
      </c>
      <c r="BS46" s="334">
        <f t="shared" ref="BS46:BT46" si="263">+BS45*1%</f>
        <v>16.401021282038606</v>
      </c>
      <c r="BT46" s="334">
        <f t="shared" si="263"/>
        <v>16.401021282038602</v>
      </c>
      <c r="BU46" s="334">
        <f t="shared" ref="BU46:BV46" si="264">+BU45*1%</f>
        <v>16.401021282038602</v>
      </c>
      <c r="BV46" s="334">
        <f t="shared" si="264"/>
        <v>16.401021282038602</v>
      </c>
      <c r="BW46" s="334">
        <f t="shared" ref="BW46:BY46" si="265">+BW45*1%</f>
        <v>16.401021282038602</v>
      </c>
      <c r="BX46" s="334">
        <f t="shared" ref="BX46" si="266">+BX45*1%</f>
        <v>16.401021282038602</v>
      </c>
      <c r="BY46" s="334">
        <f t="shared" si="265"/>
        <v>16.401021282038602</v>
      </c>
      <c r="BZ46" s="334">
        <f t="shared" ref="BZ46:CA46" si="267">+BZ45*1%</f>
        <v>16.401021282038606</v>
      </c>
      <c r="CA46" s="334">
        <f t="shared" si="267"/>
        <v>16.401021282038606</v>
      </c>
      <c r="CB46" s="334">
        <f t="shared" ref="CB46:CC46" si="268">+CB45*1%</f>
        <v>17.568307250572293</v>
      </c>
      <c r="CC46" s="334">
        <f t="shared" si="268"/>
        <v>18.485020188604981</v>
      </c>
      <c r="CD46" s="334">
        <f t="shared" ref="CD46:CE46" si="269">+CD45*1%</f>
        <v>19.245345961916541</v>
      </c>
      <c r="CE46" s="334">
        <f t="shared" si="269"/>
        <v>19.245345961916545</v>
      </c>
      <c r="CF46" s="334">
        <f t="shared" ref="CF46:CG46" si="270">+CF45*1%</f>
        <v>19.245345961916545</v>
      </c>
      <c r="CG46" s="334">
        <f t="shared" si="270"/>
        <v>19.245345961916545</v>
      </c>
      <c r="CH46" s="334">
        <f t="shared" ref="CH46:CI46" si="271">+CH45*1%</f>
        <v>19.245345961916545</v>
      </c>
      <c r="CI46" s="334">
        <f t="shared" si="271"/>
        <v>19.245345961916545</v>
      </c>
      <c r="CJ46" s="334">
        <f t="shared" ref="CJ46:CK46" si="272">+CJ45*1%</f>
        <v>20.474441943061958</v>
      </c>
      <c r="CK46" s="334">
        <f t="shared" si="272"/>
        <v>20.475847187229494</v>
      </c>
      <c r="CL46" s="616">
        <f t="shared" ref="CL46:CM46" si="273">+CL45*1%</f>
        <v>20.952471948212533</v>
      </c>
      <c r="CM46" s="616">
        <f t="shared" si="273"/>
        <v>21.035509471813171</v>
      </c>
      <c r="CN46" s="616">
        <f t="shared" ref="CN46:CO46" si="274">+CN45*1%</f>
        <v>21.413654444938466</v>
      </c>
      <c r="CO46" s="616">
        <f t="shared" si="274"/>
        <v>21.413654444938462</v>
      </c>
      <c r="CP46" s="616">
        <f t="shared" ref="CP46:CQ46" si="275">+CP45*1%</f>
        <v>22.111991100587719</v>
      </c>
      <c r="CQ46" s="616">
        <f t="shared" si="275"/>
        <v>21.413654444938462</v>
      </c>
      <c r="CR46" s="616">
        <f t="shared" ref="CR46:CS46" si="276">+CR45*1%</f>
        <v>21.413654444938462</v>
      </c>
      <c r="CS46" s="616">
        <f t="shared" si="276"/>
        <v>22.069082939317397</v>
      </c>
      <c r="CT46" s="616">
        <f t="shared" ref="CT46:CU46" si="277">+CT45*1%</f>
        <v>21.48838597855805</v>
      </c>
      <c r="CU46" s="616">
        <f t="shared" si="277"/>
        <v>21.413654444938462</v>
      </c>
      <c r="CV46" s="616">
        <f t="shared" ref="CV46" si="278">+CV45*1%</f>
        <v>21.413654444938462</v>
      </c>
      <c r="CW46" s="354"/>
    </row>
    <row r="47" spans="4:135" x14ac:dyDescent="0.35">
      <c r="D47" s="626" t="s">
        <v>126</v>
      </c>
      <c r="E47" s="36"/>
      <c r="F47" s="36"/>
      <c r="G47" s="36"/>
      <c r="H47" s="36"/>
      <c r="I47" s="36"/>
      <c r="J47" s="36"/>
      <c r="K47" s="36"/>
      <c r="L47" s="36"/>
      <c r="M47" s="36"/>
      <c r="N47" s="36"/>
      <c r="O47" s="36"/>
      <c r="P47" s="36"/>
      <c r="Q47" s="36"/>
      <c r="R47" s="36"/>
      <c r="S47" s="36"/>
      <c r="T47" s="36"/>
      <c r="U47" s="36"/>
      <c r="V47" s="36"/>
      <c r="W47" s="36"/>
      <c r="X47" s="36"/>
      <c r="Y47" s="36"/>
      <c r="Z47" s="36"/>
      <c r="AA47" s="73">
        <f t="shared" ref="AA47:AV47" si="279">+AA46+AA45</f>
        <v>1080.9481716752518</v>
      </c>
      <c r="AB47" s="73">
        <f t="shared" si="279"/>
        <v>1114.3448752833726</v>
      </c>
      <c r="AC47" s="73">
        <f t="shared" si="279"/>
        <v>1114.3448752833726</v>
      </c>
      <c r="AD47" s="73">
        <f t="shared" si="279"/>
        <v>1161.4844982171244</v>
      </c>
      <c r="AE47" s="73">
        <f t="shared" si="279"/>
        <v>1161.4844982171244</v>
      </c>
      <c r="AF47" s="73">
        <f t="shared" si="279"/>
        <v>1175.3725100192808</v>
      </c>
      <c r="AG47" s="73">
        <f t="shared" si="279"/>
        <v>1175.3725100192808</v>
      </c>
      <c r="AH47" s="73">
        <f t="shared" si="279"/>
        <v>6.06</v>
      </c>
      <c r="AI47" s="73">
        <f t="shared" si="279"/>
        <v>1136.486048910328</v>
      </c>
      <c r="AJ47" s="73">
        <f t="shared" si="279"/>
        <v>1165.1571042002784</v>
      </c>
      <c r="AK47" s="73">
        <f t="shared" si="279"/>
        <v>1209.5035290946075</v>
      </c>
      <c r="AL47" s="73">
        <f t="shared" si="279"/>
        <v>1290.155132188544</v>
      </c>
      <c r="AM47" s="73">
        <f t="shared" si="279"/>
        <v>1482.6208738838973</v>
      </c>
      <c r="AN47" s="73">
        <f t="shared" si="279"/>
        <v>1446.8028131907481</v>
      </c>
      <c r="AO47" s="73">
        <f t="shared" si="279"/>
        <v>1429.1777179904448</v>
      </c>
      <c r="AP47" s="73">
        <f t="shared" si="279"/>
        <v>1639.7577586244684</v>
      </c>
      <c r="AQ47" s="73">
        <f t="shared" si="279"/>
        <v>1602.4955293718401</v>
      </c>
      <c r="AR47" s="73">
        <f t="shared" si="279"/>
        <v>1626.0819754555239</v>
      </c>
      <c r="AS47" s="73">
        <f t="shared" si="279"/>
        <v>1660.3341480302404</v>
      </c>
      <c r="AT47" s="73">
        <f t="shared" si="279"/>
        <v>1638.1893565024104</v>
      </c>
      <c r="AU47" s="73">
        <f t="shared" si="279"/>
        <v>1664.6671720255383</v>
      </c>
      <c r="AV47" s="73">
        <f t="shared" si="279"/>
        <v>1924.4198079314606</v>
      </c>
      <c r="AW47" s="73">
        <v>1860.5584115507929</v>
      </c>
      <c r="AX47" s="73">
        <v>1783.4723088598842</v>
      </c>
      <c r="AY47" s="73">
        <f>+AY46+AY45</f>
        <v>1977.3435385431744</v>
      </c>
      <c r="AZ47" s="73">
        <v>2027.3816837744032</v>
      </c>
      <c r="BA47" s="73">
        <f t="shared" ref="BA47:BF47" si="280">+BA46+BA45</f>
        <v>2098.3904923104365</v>
      </c>
      <c r="BB47" s="73">
        <f t="shared" si="280"/>
        <v>2148.5794837790104</v>
      </c>
      <c r="BC47" s="344">
        <f t="shared" si="280"/>
        <v>2148.5794837790104</v>
      </c>
      <c r="BD47" s="344">
        <f t="shared" si="280"/>
        <v>2274.339945871458</v>
      </c>
      <c r="BE47" s="344">
        <f t="shared" si="280"/>
        <v>2006.2282445000442</v>
      </c>
      <c r="BF47" s="344">
        <f t="shared" si="280"/>
        <v>1960.7512358844363</v>
      </c>
      <c r="BG47" s="344">
        <f t="shared" ref="BG47:BH47" si="281">+BG46+BG45</f>
        <v>1746.9740186576666</v>
      </c>
      <c r="BH47" s="344">
        <f t="shared" si="281"/>
        <v>1489.1739037557909</v>
      </c>
      <c r="BI47" s="344">
        <f t="shared" ref="BI47:BJ47" si="282">+BI46+BI45</f>
        <v>1427.8452900735083</v>
      </c>
      <c r="BJ47" s="344">
        <f t="shared" si="282"/>
        <v>1487.7185845047154</v>
      </c>
      <c r="BK47" s="344">
        <f t="shared" ref="BK47:BL47" si="283">+BK46+BK45</f>
        <v>1666.9657170312971</v>
      </c>
      <c r="BL47" s="344">
        <f t="shared" si="283"/>
        <v>1609.6290434041539</v>
      </c>
      <c r="BM47" s="344">
        <f t="shared" ref="BM47:BN47" si="284">+BM46+BM45</f>
        <v>1557.1408251028645</v>
      </c>
      <c r="BN47" s="344">
        <f t="shared" si="284"/>
        <v>1587.9528520077542</v>
      </c>
      <c r="BO47" s="344">
        <f t="shared" ref="BO47:BP47" si="285">+BO46+BO45</f>
        <v>1598.5345550372856</v>
      </c>
      <c r="BP47" s="344">
        <f t="shared" si="285"/>
        <v>1640.7634308239112</v>
      </c>
      <c r="BQ47" s="344">
        <f t="shared" ref="BQ47:BR47" si="286">+BQ46+BQ45</f>
        <v>1656.503149485899</v>
      </c>
      <c r="BR47" s="344">
        <f t="shared" si="286"/>
        <v>1656.503149485899</v>
      </c>
      <c r="BS47" s="344">
        <f t="shared" ref="BS47:BT47" si="287">+BS46+BS45</f>
        <v>1656.503149485899</v>
      </c>
      <c r="BT47" s="344">
        <f t="shared" si="287"/>
        <v>1656.5031494858988</v>
      </c>
      <c r="BU47" s="344">
        <f t="shared" ref="BU47" si="288">+BU46+BU45</f>
        <v>1656.5031494858988</v>
      </c>
      <c r="BV47" s="344">
        <f>+BV46+BV45</f>
        <v>1656.5031494858988</v>
      </c>
      <c r="BW47" s="344">
        <f t="shared" ref="BW47:BY47" si="289">+BW46+BW45</f>
        <v>1656.5031494858986</v>
      </c>
      <c r="BX47" s="344">
        <f t="shared" ref="BX47" si="290">+BX46+BX45</f>
        <v>1656.5031494858988</v>
      </c>
      <c r="BY47" s="344">
        <f t="shared" si="289"/>
        <v>1656.5031494858988</v>
      </c>
      <c r="BZ47" s="344">
        <f t="shared" ref="BZ47:CA47" si="291">+BZ46+BZ45</f>
        <v>1656.503149485899</v>
      </c>
      <c r="CA47" s="344">
        <f t="shared" si="291"/>
        <v>1656.503149485899</v>
      </c>
      <c r="CB47" s="344">
        <f t="shared" ref="CB47:CC47" si="292">+CB46+CB45</f>
        <v>1774.3990323078017</v>
      </c>
      <c r="CC47" s="344">
        <f t="shared" si="292"/>
        <v>1866.987039049103</v>
      </c>
      <c r="CD47" s="344">
        <f t="shared" ref="CD47:CE47" si="293">+CD46+CD45</f>
        <v>1943.7799421535706</v>
      </c>
      <c r="CE47" s="344">
        <f t="shared" si="293"/>
        <v>1943.779942153571</v>
      </c>
      <c r="CF47" s="344">
        <f t="shared" ref="CF47:CG47" si="294">+CF46+CF45</f>
        <v>1943.779942153571</v>
      </c>
      <c r="CG47" s="344">
        <f t="shared" si="294"/>
        <v>1943.779942153571</v>
      </c>
      <c r="CH47" s="344">
        <f t="shared" ref="CH47:CI47" si="295">+CH46+CH45</f>
        <v>1943.779942153571</v>
      </c>
      <c r="CI47" s="344">
        <f t="shared" si="295"/>
        <v>1943.779942153571</v>
      </c>
      <c r="CJ47" s="344">
        <f t="shared" ref="CJ47:CK47" si="296">+CJ46+CJ45</f>
        <v>2067.9186362492578</v>
      </c>
      <c r="CK47" s="344">
        <f t="shared" si="296"/>
        <v>2068.0605659101789</v>
      </c>
      <c r="CL47" s="647">
        <f t="shared" ref="CL47:CM47" si="297">+CL46+CL45</f>
        <v>2116.1996667694657</v>
      </c>
      <c r="CM47" s="647">
        <f t="shared" si="297"/>
        <v>2124.5864566531304</v>
      </c>
      <c r="CN47" s="647">
        <f t="shared" ref="CN47:CO47" si="298">+CN46+CN45</f>
        <v>2162.779098938785</v>
      </c>
      <c r="CO47" s="647">
        <f t="shared" si="298"/>
        <v>2162.7790989387845</v>
      </c>
      <c r="CP47" s="647">
        <f t="shared" ref="CP47:CQ47" si="299">+CP46+CP45</f>
        <v>2233.3111011593596</v>
      </c>
      <c r="CQ47" s="647">
        <f t="shared" si="299"/>
        <v>2162.7790989387845</v>
      </c>
      <c r="CR47" s="647">
        <f t="shared" ref="CR47:CS47" si="300">+CR46+CR45</f>
        <v>2162.7790989387845</v>
      </c>
      <c r="CS47" s="647">
        <f t="shared" si="300"/>
        <v>2228.977376871057</v>
      </c>
      <c r="CT47" s="647">
        <f t="shared" ref="CT47:CU47" si="301">+CT46+CT45</f>
        <v>2170.3269838343631</v>
      </c>
      <c r="CU47" s="647">
        <f t="shared" si="301"/>
        <v>2162.7790989387845</v>
      </c>
      <c r="CV47" s="647">
        <f t="shared" ref="CV47" si="302">+CV46+CV45</f>
        <v>2162.7790989387845</v>
      </c>
      <c r="CW47" s="276"/>
    </row>
    <row r="48" spans="4:135" x14ac:dyDescent="0.35">
      <c r="D48" s="648"/>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644"/>
      <c r="CM48" s="644"/>
      <c r="CN48" s="644"/>
      <c r="CO48" s="644"/>
      <c r="CP48" s="644"/>
      <c r="CQ48" s="644"/>
      <c r="CR48" s="644"/>
      <c r="CS48" s="644"/>
      <c r="CT48" s="644"/>
      <c r="CU48" s="644"/>
      <c r="CV48" s="644"/>
      <c r="CW48" s="355"/>
    </row>
    <row r="49" spans="4:101" x14ac:dyDescent="0.35">
      <c r="D49" s="649" t="s">
        <v>477</v>
      </c>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24">
        <f>+(AJ26*25%)+(AJ32*75%)</f>
        <v>1288.0475246525921</v>
      </c>
      <c r="AK49" s="24">
        <f>+(AK26*25%)+(AK32*75%)</f>
        <v>1272.2513740662248</v>
      </c>
      <c r="AL49" s="24" t="e">
        <f t="shared" ref="AL49:AQ49" si="303">+(AL27*25%)+(AL32*75%)</f>
        <v>#REF!</v>
      </c>
      <c r="AM49" s="24" t="e">
        <f t="shared" si="303"/>
        <v>#REF!</v>
      </c>
      <c r="AN49" s="24" t="e">
        <f t="shared" si="303"/>
        <v>#REF!</v>
      </c>
      <c r="AO49" s="24" t="e">
        <f t="shared" si="303"/>
        <v>#REF!</v>
      </c>
      <c r="AP49" s="24" t="e">
        <f t="shared" si="303"/>
        <v>#REF!</v>
      </c>
      <c r="AQ49" s="24" t="e">
        <f t="shared" si="303"/>
        <v>#REF!</v>
      </c>
      <c r="AR49" s="24" t="e">
        <f>+(AR28*25%)+(AR33*75%)</f>
        <v>#REF!</v>
      </c>
      <c r="AS49" s="24" t="e">
        <f>+(AS28*25%)+(AS33*75%)</f>
        <v>#REF!</v>
      </c>
      <c r="AT49" s="24" t="e">
        <f>+(AT28*25%)+(AT33*75%)</f>
        <v>#REF!</v>
      </c>
      <c r="AU49" s="24" t="e">
        <f>+(AU28*25%)+(AU33*75%)</f>
        <v>#REF!</v>
      </c>
      <c r="AV49" s="24" t="e">
        <f>+(AV28*25%)+(AV33*75%)</f>
        <v>#REF!</v>
      </c>
      <c r="AW49" s="24">
        <v>1901.798230070541</v>
      </c>
      <c r="AX49" s="24">
        <v>1858.5719588907455</v>
      </c>
      <c r="AY49" s="24" t="e">
        <f>+(AY28*25%)+(AY33*75%)</f>
        <v>#REF!</v>
      </c>
      <c r="AZ49" s="24">
        <v>2048.4215920500542</v>
      </c>
      <c r="BA49" s="24" t="e">
        <f>+(BA28*25%)+(BA33*75%)</f>
        <v>#REF!</v>
      </c>
      <c r="BB49" s="24" t="e">
        <f>+(BB28*25%)+(BB33*75%)</f>
        <v>#REF!</v>
      </c>
      <c r="BC49" s="342" t="e">
        <f>+(BC28*25%)+(BC33*75%)</f>
        <v>#REF!</v>
      </c>
      <c r="BD49" s="342" t="e">
        <f t="shared" ref="BD49:CK49" si="304">+(BD30*25%)+(BD33*75%)</f>
        <v>#REF!</v>
      </c>
      <c r="BE49" s="342" t="e">
        <f t="shared" si="304"/>
        <v>#REF!</v>
      </c>
      <c r="BF49" s="342" t="e">
        <f t="shared" si="304"/>
        <v>#REF!</v>
      </c>
      <c r="BG49" s="342" t="e">
        <f t="shared" si="304"/>
        <v>#REF!</v>
      </c>
      <c r="BH49" s="342" t="e">
        <f t="shared" si="304"/>
        <v>#REF!</v>
      </c>
      <c r="BI49" s="342" t="e">
        <f t="shared" si="304"/>
        <v>#REF!</v>
      </c>
      <c r="BJ49" s="342" t="e">
        <f t="shared" si="304"/>
        <v>#REF!</v>
      </c>
      <c r="BK49" s="342" t="e">
        <f t="shared" si="304"/>
        <v>#REF!</v>
      </c>
      <c r="BL49" s="342" t="e">
        <f t="shared" si="304"/>
        <v>#REF!</v>
      </c>
      <c r="BM49" s="342" t="e">
        <f t="shared" si="304"/>
        <v>#REF!</v>
      </c>
      <c r="BN49" s="342">
        <f t="shared" si="304"/>
        <v>1591.0084443045821</v>
      </c>
      <c r="BO49" s="342">
        <f t="shared" si="304"/>
        <v>1600.1140924636802</v>
      </c>
      <c r="BP49" s="342">
        <f t="shared" si="304"/>
        <v>1622.2495819033181</v>
      </c>
      <c r="BQ49" s="342">
        <f t="shared" si="304"/>
        <v>1643.8817405548441</v>
      </c>
      <c r="BR49" s="342">
        <f t="shared" si="304"/>
        <v>1642.6327611625893</v>
      </c>
      <c r="BS49" s="342">
        <f t="shared" si="304"/>
        <v>1643.8107632184708</v>
      </c>
      <c r="BT49" s="342">
        <f t="shared" si="304"/>
        <v>1666.3127949528248</v>
      </c>
      <c r="BU49" s="342">
        <f t="shared" si="304"/>
        <v>1730.8273731626255</v>
      </c>
      <c r="BV49" s="342">
        <f t="shared" si="304"/>
        <v>1770.2613391265372</v>
      </c>
      <c r="BW49" s="342">
        <f t="shared" si="304"/>
        <v>1685.1278323384024</v>
      </c>
      <c r="BX49" s="342">
        <f t="shared" si="304"/>
        <v>1718.548647375329</v>
      </c>
      <c r="BY49" s="342">
        <f t="shared" si="304"/>
        <v>1744.2710811705003</v>
      </c>
      <c r="BZ49" s="342">
        <f t="shared" si="304"/>
        <v>1811.351158673654</v>
      </c>
      <c r="CA49" s="342">
        <f t="shared" si="304"/>
        <v>1786.8591796188568</v>
      </c>
      <c r="CB49" s="342">
        <f t="shared" si="304"/>
        <v>1881.1052758051965</v>
      </c>
      <c r="CC49" s="342">
        <f t="shared" si="304"/>
        <v>1963.5406358564742</v>
      </c>
      <c r="CD49" s="342">
        <f t="shared" si="304"/>
        <v>2008.0274401390134</v>
      </c>
      <c r="CE49" s="342">
        <f t="shared" si="304"/>
        <v>2036.6643106742981</v>
      </c>
      <c r="CF49" s="342">
        <f t="shared" si="304"/>
        <v>2042.9143188472472</v>
      </c>
      <c r="CG49" s="342">
        <f t="shared" si="304"/>
        <v>1996.6785874351704</v>
      </c>
      <c r="CH49" s="342">
        <f t="shared" si="304"/>
        <v>2003.7123441311323</v>
      </c>
      <c r="CI49" s="342">
        <f t="shared" si="304"/>
        <v>2043.8818094011535</v>
      </c>
      <c r="CJ49" s="342">
        <f t="shared" si="304"/>
        <v>2108.2599926334951</v>
      </c>
      <c r="CK49" s="342">
        <f t="shared" si="304"/>
        <v>2102.8173965811002</v>
      </c>
      <c r="CL49" s="646">
        <f t="shared" ref="CL49:CQ49" si="305">+(CL30*25%)+(CL36*75%)</f>
        <v>2019.1635938368577</v>
      </c>
      <c r="CM49" s="646">
        <f t="shared" si="305"/>
        <v>2019.2721744653938</v>
      </c>
      <c r="CN49" s="646">
        <f t="shared" si="305"/>
        <v>2000.9593261171312</v>
      </c>
      <c r="CO49" s="646">
        <f t="shared" si="305"/>
        <v>1957.4215465081315</v>
      </c>
      <c r="CP49" s="646">
        <f t="shared" si="305"/>
        <v>1802.4402714929483</v>
      </c>
      <c r="CQ49" s="646">
        <f t="shared" si="305"/>
        <v>1792.9213642312495</v>
      </c>
      <c r="CR49" s="646">
        <f t="shared" ref="CR49:CS49" si="306">+(CR30*25%)+(CR36*75%)</f>
        <v>1776.3399049822485</v>
      </c>
      <c r="CS49" s="646">
        <f t="shared" si="306"/>
        <v>1763.6514705889365</v>
      </c>
      <c r="CT49" s="646">
        <f t="shared" ref="CT49:CU49" si="307">+(CT30*25%)+(CT36*75%)</f>
        <v>1737.1741470021293</v>
      </c>
      <c r="CU49" s="646">
        <f t="shared" si="307"/>
        <v>1747.5877722607622</v>
      </c>
      <c r="CV49" s="646">
        <f t="shared" ref="CV49" si="308">+(CV30*25%)+(CV36*75%)</f>
        <v>1767.6470157066524</v>
      </c>
      <c r="CW49" s="356"/>
    </row>
    <row r="50" spans="4:101" x14ac:dyDescent="0.35">
      <c r="D50" s="642" t="s">
        <v>125</v>
      </c>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8">
        <f t="shared" ref="AJ50:AQ50" si="309">+AJ49*1%</f>
        <v>12.88047524652592</v>
      </c>
      <c r="AK50" s="8">
        <f t="shared" si="309"/>
        <v>12.722513740662249</v>
      </c>
      <c r="AL50" s="8" t="e">
        <f t="shared" si="309"/>
        <v>#REF!</v>
      </c>
      <c r="AM50" s="8" t="e">
        <f t="shared" si="309"/>
        <v>#REF!</v>
      </c>
      <c r="AN50" s="8" t="e">
        <f t="shared" si="309"/>
        <v>#REF!</v>
      </c>
      <c r="AO50" s="8" t="e">
        <f t="shared" si="309"/>
        <v>#REF!</v>
      </c>
      <c r="AP50" s="8" t="e">
        <f t="shared" si="309"/>
        <v>#REF!</v>
      </c>
      <c r="AQ50" s="8" t="e">
        <f t="shared" si="309"/>
        <v>#REF!</v>
      </c>
      <c r="AR50" s="8" t="e">
        <f>+AR49*1%</f>
        <v>#REF!</v>
      </c>
      <c r="AS50" s="8" t="e">
        <f>+AS49*1%</f>
        <v>#REF!</v>
      </c>
      <c r="AT50" s="8" t="e">
        <f>+AT49*1%</f>
        <v>#REF!</v>
      </c>
      <c r="AU50" s="8" t="e">
        <f>+AU49*1%</f>
        <v>#REF!</v>
      </c>
      <c r="AV50" s="8" t="e">
        <f>+AV49*1%</f>
        <v>#REF!</v>
      </c>
      <c r="AW50" s="8">
        <v>19.017982300705409</v>
      </c>
      <c r="AX50" s="8">
        <v>18.585719588907455</v>
      </c>
      <c r="AY50" s="8" t="e">
        <f>+AY49*1%</f>
        <v>#REF!</v>
      </c>
      <c r="AZ50" s="8">
        <v>20.484215920500542</v>
      </c>
      <c r="BA50" s="8" t="e">
        <f t="shared" ref="BA50:BF50" si="310">+BA49*1%</f>
        <v>#REF!</v>
      </c>
      <c r="BB50" s="8" t="e">
        <f t="shared" si="310"/>
        <v>#REF!</v>
      </c>
      <c r="BC50" s="334" t="e">
        <f t="shared" si="310"/>
        <v>#REF!</v>
      </c>
      <c r="BD50" s="334" t="e">
        <f t="shared" si="310"/>
        <v>#REF!</v>
      </c>
      <c r="BE50" s="334" t="e">
        <f t="shared" si="310"/>
        <v>#REF!</v>
      </c>
      <c r="BF50" s="334" t="e">
        <f t="shared" si="310"/>
        <v>#REF!</v>
      </c>
      <c r="BG50" s="334" t="e">
        <f t="shared" ref="BG50:BH50" si="311">+BG49*1%</f>
        <v>#REF!</v>
      </c>
      <c r="BH50" s="334" t="e">
        <f t="shared" si="311"/>
        <v>#REF!</v>
      </c>
      <c r="BI50" s="334" t="e">
        <f t="shared" ref="BI50:BJ50" si="312">+BI49*1%</f>
        <v>#REF!</v>
      </c>
      <c r="BJ50" s="334" t="e">
        <f t="shared" si="312"/>
        <v>#REF!</v>
      </c>
      <c r="BK50" s="334" t="e">
        <f t="shared" ref="BK50:BL50" si="313">+BK49*1%</f>
        <v>#REF!</v>
      </c>
      <c r="BL50" s="334" t="e">
        <f t="shared" si="313"/>
        <v>#REF!</v>
      </c>
      <c r="BM50" s="334" t="e">
        <f t="shared" ref="BM50:BN50" si="314">+BM49*1%</f>
        <v>#REF!</v>
      </c>
      <c r="BN50" s="334">
        <f t="shared" si="314"/>
        <v>15.910084443045822</v>
      </c>
      <c r="BO50" s="334">
        <f t="shared" ref="BO50:BP50" si="315">+BO49*1%</f>
        <v>16.001140924636804</v>
      </c>
      <c r="BP50" s="334">
        <f t="shared" si="315"/>
        <v>16.222495819033181</v>
      </c>
      <c r="BQ50" s="334">
        <f t="shared" ref="BQ50:BR50" si="316">+BQ49*1%</f>
        <v>16.438817405548441</v>
      </c>
      <c r="BR50" s="334">
        <f t="shared" si="316"/>
        <v>16.426327611625894</v>
      </c>
      <c r="BS50" s="334">
        <f t="shared" ref="BS50:BT50" si="317">+BS49*1%</f>
        <v>16.438107632184707</v>
      </c>
      <c r="BT50" s="334">
        <f t="shared" si="317"/>
        <v>16.663127949528249</v>
      </c>
      <c r="BU50" s="334">
        <f t="shared" ref="BU50:BV50" si="318">+BU49*1%</f>
        <v>17.308273731626254</v>
      </c>
      <c r="BV50" s="334">
        <f t="shared" si="318"/>
        <v>17.702613391265373</v>
      </c>
      <c r="BW50" s="334">
        <f t="shared" ref="BW50:BY50" si="319">+BW49*1%</f>
        <v>16.851278323384026</v>
      </c>
      <c r="BX50" s="334">
        <f t="shared" ref="BX50" si="320">+BX49*1%</f>
        <v>17.18548647375329</v>
      </c>
      <c r="BY50" s="334">
        <f t="shared" si="319"/>
        <v>17.442710811705005</v>
      </c>
      <c r="BZ50" s="334">
        <f t="shared" ref="BZ50:CA50" si="321">+BZ49*1%</f>
        <v>18.113511586736539</v>
      </c>
      <c r="CA50" s="334">
        <f t="shared" si="321"/>
        <v>17.868591796188568</v>
      </c>
      <c r="CB50" s="334">
        <f t="shared" ref="CB50:CC50" si="322">+CB49*1%</f>
        <v>18.811052758051964</v>
      </c>
      <c r="CC50" s="334">
        <f t="shared" si="322"/>
        <v>19.635406358564744</v>
      </c>
      <c r="CD50" s="334">
        <f t="shared" ref="CD50:CE50" si="323">+CD49*1%</f>
        <v>20.080274401390135</v>
      </c>
      <c r="CE50" s="334">
        <f t="shared" si="323"/>
        <v>20.366643106742981</v>
      </c>
      <c r="CF50" s="334">
        <f t="shared" ref="CF50:CG50" si="324">+CF49*1%</f>
        <v>20.429143188472473</v>
      </c>
      <c r="CG50" s="334">
        <f t="shared" si="324"/>
        <v>19.966785874351704</v>
      </c>
      <c r="CH50" s="334">
        <f t="shared" ref="CH50:CI50" si="325">+CH49*1%</f>
        <v>20.037123441311323</v>
      </c>
      <c r="CI50" s="334">
        <f t="shared" si="325"/>
        <v>20.438818094011534</v>
      </c>
      <c r="CJ50" s="334">
        <f t="shared" ref="CJ50:CK50" si="326">+CJ49*1%</f>
        <v>21.08259992633495</v>
      </c>
      <c r="CK50" s="334">
        <f t="shared" si="326"/>
        <v>21.028173965811003</v>
      </c>
      <c r="CL50" s="616">
        <f t="shared" ref="CL50:CM50" si="327">+CL49*1%</f>
        <v>20.191635938368577</v>
      </c>
      <c r="CM50" s="616">
        <f t="shared" si="327"/>
        <v>20.192721744653937</v>
      </c>
      <c r="CN50" s="616">
        <f t="shared" ref="CN50:CO50" si="328">+CN49*1%</f>
        <v>20.009593261171315</v>
      </c>
      <c r="CO50" s="616">
        <f t="shared" si="328"/>
        <v>19.574215465081316</v>
      </c>
      <c r="CP50" s="616">
        <f t="shared" ref="CP50:CQ50" si="329">+CP49*1%</f>
        <v>18.024402714929483</v>
      </c>
      <c r="CQ50" s="616">
        <f t="shared" si="329"/>
        <v>17.929213642312497</v>
      </c>
      <c r="CR50" s="616">
        <f t="shared" ref="CR50:CS50" si="330">+CR49*1%</f>
        <v>17.763399049822485</v>
      </c>
      <c r="CS50" s="616">
        <f t="shared" si="330"/>
        <v>17.636514705889365</v>
      </c>
      <c r="CT50" s="616">
        <f t="shared" ref="CT50:CU50" si="331">+CT49*1%</f>
        <v>17.371741470021295</v>
      </c>
      <c r="CU50" s="616">
        <f t="shared" si="331"/>
        <v>17.475877722607624</v>
      </c>
      <c r="CV50" s="616">
        <f t="shared" ref="CV50" si="332">+CV49*1%</f>
        <v>17.676470157066525</v>
      </c>
      <c r="CW50" s="354"/>
    </row>
    <row r="51" spans="4:101" x14ac:dyDescent="0.35">
      <c r="D51" s="626" t="s">
        <v>126</v>
      </c>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151">
        <f t="shared" ref="AJ51:AQ51" si="333">+AJ50+AJ49</f>
        <v>1300.927999899118</v>
      </c>
      <c r="AK51" s="151">
        <f t="shared" si="333"/>
        <v>1284.973887806887</v>
      </c>
      <c r="AL51" s="151" t="e">
        <f t="shared" si="333"/>
        <v>#REF!</v>
      </c>
      <c r="AM51" s="151" t="e">
        <f t="shared" si="333"/>
        <v>#REF!</v>
      </c>
      <c r="AN51" s="151" t="e">
        <f t="shared" si="333"/>
        <v>#REF!</v>
      </c>
      <c r="AO51" s="151" t="e">
        <f t="shared" si="333"/>
        <v>#REF!</v>
      </c>
      <c r="AP51" s="151" t="e">
        <f t="shared" si="333"/>
        <v>#REF!</v>
      </c>
      <c r="AQ51" s="151" t="e">
        <f t="shared" si="333"/>
        <v>#REF!</v>
      </c>
      <c r="AR51" s="151" t="e">
        <f>+AR50+AR49</f>
        <v>#REF!</v>
      </c>
      <c r="AS51" s="151" t="e">
        <f>+AS50+AS49</f>
        <v>#REF!</v>
      </c>
      <c r="AT51" s="151" t="e">
        <f>+AT50+AT49</f>
        <v>#REF!</v>
      </c>
      <c r="AU51" s="151" t="e">
        <f>+AU50+AU49</f>
        <v>#REF!</v>
      </c>
      <c r="AV51" s="151" t="e">
        <f>+AV50+AV49</f>
        <v>#REF!</v>
      </c>
      <c r="AW51" s="151">
        <v>1920.8162123712464</v>
      </c>
      <c r="AX51" s="151">
        <v>1877.157678479653</v>
      </c>
      <c r="AY51" s="151" t="e">
        <f>+AY50+AY49</f>
        <v>#REF!</v>
      </c>
      <c r="AZ51" s="151">
        <v>2068.9058079705546</v>
      </c>
      <c r="BA51" s="151" t="e">
        <f t="shared" ref="BA51:BF51" si="334">+BA50+BA49</f>
        <v>#REF!</v>
      </c>
      <c r="BB51" s="151" t="e">
        <f t="shared" si="334"/>
        <v>#REF!</v>
      </c>
      <c r="BC51" s="345" t="e">
        <f t="shared" si="334"/>
        <v>#REF!</v>
      </c>
      <c r="BD51" s="345" t="e">
        <f t="shared" si="334"/>
        <v>#REF!</v>
      </c>
      <c r="BE51" s="345" t="e">
        <f t="shared" si="334"/>
        <v>#REF!</v>
      </c>
      <c r="BF51" s="345" t="e">
        <f t="shared" si="334"/>
        <v>#REF!</v>
      </c>
      <c r="BG51" s="345" t="e">
        <f t="shared" ref="BG51:BH51" si="335">+BG50+BG49</f>
        <v>#REF!</v>
      </c>
      <c r="BH51" s="345" t="e">
        <f t="shared" si="335"/>
        <v>#REF!</v>
      </c>
      <c r="BI51" s="345" t="e">
        <f t="shared" ref="BI51:BJ51" si="336">+BI50+BI49</f>
        <v>#REF!</v>
      </c>
      <c r="BJ51" s="345" t="e">
        <f t="shared" si="336"/>
        <v>#REF!</v>
      </c>
      <c r="BK51" s="345" t="e">
        <f t="shared" ref="BK51:BL51" si="337">+BK50+BK49</f>
        <v>#REF!</v>
      </c>
      <c r="BL51" s="345" t="e">
        <f t="shared" si="337"/>
        <v>#REF!</v>
      </c>
      <c r="BM51" s="345" t="e">
        <f t="shared" ref="BM51:BN51" si="338">+BM50+BM49</f>
        <v>#REF!</v>
      </c>
      <c r="BN51" s="345">
        <f t="shared" si="338"/>
        <v>1606.918528747628</v>
      </c>
      <c r="BO51" s="345">
        <f t="shared" ref="BO51:BP51" si="339">+BO50+BO49</f>
        <v>1616.1152333883169</v>
      </c>
      <c r="BP51" s="345">
        <f t="shared" si="339"/>
        <v>1638.4720777223513</v>
      </c>
      <c r="BQ51" s="345">
        <f t="shared" ref="BQ51:BR51" si="340">+BQ50+BQ49</f>
        <v>1660.3205579603925</v>
      </c>
      <c r="BR51" s="345">
        <f t="shared" si="340"/>
        <v>1659.0590887742153</v>
      </c>
      <c r="BS51" s="345">
        <f t="shared" ref="BS51:BT51" si="341">+BS50+BS49</f>
        <v>1660.2488708506555</v>
      </c>
      <c r="BT51" s="345">
        <f t="shared" si="341"/>
        <v>1682.975922902353</v>
      </c>
      <c r="BU51" s="345">
        <f t="shared" ref="BU51:BV51" si="342">+BU50+BU49</f>
        <v>1748.1356468942517</v>
      </c>
      <c r="BV51" s="345">
        <f t="shared" si="342"/>
        <v>1787.9639525178027</v>
      </c>
      <c r="BW51" s="345">
        <f t="shared" ref="BW51:BY51" si="343">+BW50+BW49</f>
        <v>1701.9791106617865</v>
      </c>
      <c r="BX51" s="345">
        <f t="shared" ref="BX51" si="344">+BX50+BX49</f>
        <v>1735.7341338490824</v>
      </c>
      <c r="BY51" s="345">
        <f t="shared" si="343"/>
        <v>1761.7137919822053</v>
      </c>
      <c r="BZ51" s="345">
        <f t="shared" ref="BZ51:CA51" si="345">+BZ50+BZ49</f>
        <v>1829.4646702603907</v>
      </c>
      <c r="CA51" s="345">
        <f t="shared" si="345"/>
        <v>1804.7277714150455</v>
      </c>
      <c r="CB51" s="345">
        <f t="shared" ref="CB51:CC51" si="346">+CB50+CB49</f>
        <v>1899.9163285632485</v>
      </c>
      <c r="CC51" s="345">
        <f t="shared" si="346"/>
        <v>1983.1760422150389</v>
      </c>
      <c r="CD51" s="345">
        <f t="shared" ref="CD51:CE51" si="347">+CD50+CD49</f>
        <v>2028.1077145404035</v>
      </c>
      <c r="CE51" s="345">
        <f t="shared" si="347"/>
        <v>2057.0309537810413</v>
      </c>
      <c r="CF51" s="345">
        <f t="shared" ref="CF51:CG51" si="348">+CF50+CF49</f>
        <v>2063.3434620357198</v>
      </c>
      <c r="CG51" s="345">
        <f t="shared" si="348"/>
        <v>2016.645373309522</v>
      </c>
      <c r="CH51" s="345">
        <f t="shared" ref="CH51:CI51" si="349">+CH50+CH49</f>
        <v>2023.7494675724436</v>
      </c>
      <c r="CI51" s="345">
        <f t="shared" si="349"/>
        <v>2064.3206274951649</v>
      </c>
      <c r="CJ51" s="345">
        <f t="shared" ref="CJ51:CK51" si="350">+CJ50+CJ49</f>
        <v>2129.3425925598299</v>
      </c>
      <c r="CK51" s="345">
        <f t="shared" si="350"/>
        <v>2123.8455705469114</v>
      </c>
      <c r="CL51" s="650">
        <f t="shared" ref="CL51:CM51" si="351">+CL50+CL49</f>
        <v>2039.3552297752262</v>
      </c>
      <c r="CM51" s="650">
        <f t="shared" si="351"/>
        <v>2039.4648962100478</v>
      </c>
      <c r="CN51" s="650">
        <f t="shared" ref="CN51:CO51" si="352">+CN50+CN49</f>
        <v>2020.9689193783026</v>
      </c>
      <c r="CO51" s="650">
        <f t="shared" si="352"/>
        <v>1976.9957619732129</v>
      </c>
      <c r="CP51" s="650">
        <f t="shared" ref="CP51:CQ51" si="353">+CP50+CP49</f>
        <v>1820.4646742078778</v>
      </c>
      <c r="CQ51" s="650">
        <f t="shared" si="353"/>
        <v>1810.8505778735621</v>
      </c>
      <c r="CR51" s="650">
        <f t="shared" ref="CR51:CS51" si="354">+CR50+CR49</f>
        <v>1794.103304032071</v>
      </c>
      <c r="CS51" s="650">
        <f t="shared" si="354"/>
        <v>1781.2879852948258</v>
      </c>
      <c r="CT51" s="650">
        <f t="shared" ref="CT51:CU51" si="355">+CT50+CT49</f>
        <v>1754.5458884721506</v>
      </c>
      <c r="CU51" s="650">
        <f t="shared" si="355"/>
        <v>1765.0636499833699</v>
      </c>
      <c r="CV51" s="650">
        <f t="shared" ref="CV51" si="356">+CV50+CV49</f>
        <v>1785.3234858637188</v>
      </c>
      <c r="CW51" s="354"/>
    </row>
    <row r="52" spans="4:101" ht="15" thickBot="1" x14ac:dyDescent="0.4">
      <c r="D52" s="651"/>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119"/>
      <c r="AK52" s="119"/>
      <c r="AL52" s="119"/>
      <c r="AM52" s="119"/>
      <c r="AN52" s="119"/>
      <c r="AO52" s="119"/>
      <c r="AP52" s="119"/>
      <c r="AQ52" s="119"/>
      <c r="AR52" s="119"/>
      <c r="AS52" s="119"/>
      <c r="AT52" s="119"/>
      <c r="AU52" s="119"/>
      <c r="AV52" s="119"/>
      <c r="AW52" s="119"/>
      <c r="AX52" s="119"/>
      <c r="AY52" s="119"/>
      <c r="AZ52" s="119"/>
      <c r="BA52" s="119"/>
      <c r="BB52" s="119"/>
      <c r="BC52" s="341"/>
      <c r="BD52" s="341"/>
      <c r="BE52" s="341"/>
      <c r="BF52" s="341"/>
      <c r="BG52" s="341"/>
      <c r="BH52" s="341"/>
      <c r="BI52" s="341"/>
      <c r="BJ52" s="341"/>
      <c r="BK52" s="341"/>
      <c r="BL52" s="341"/>
      <c r="BM52" s="341"/>
      <c r="BN52" s="341"/>
      <c r="BO52" s="341"/>
      <c r="BP52" s="341"/>
      <c r="BQ52" s="341"/>
      <c r="BR52" s="341"/>
      <c r="BS52" s="341"/>
      <c r="BT52" s="341"/>
      <c r="BU52" s="341"/>
      <c r="BV52" s="341"/>
      <c r="BW52" s="341"/>
      <c r="BX52" s="341"/>
      <c r="BY52" s="341"/>
      <c r="BZ52" s="341"/>
      <c r="CA52" s="341"/>
      <c r="CB52" s="341"/>
      <c r="CC52" s="341"/>
      <c r="CD52" s="341"/>
      <c r="CE52" s="341"/>
      <c r="CF52" s="341"/>
      <c r="CG52" s="341"/>
      <c r="CH52" s="341"/>
      <c r="CI52" s="341"/>
      <c r="CJ52" s="341"/>
      <c r="CK52" s="341"/>
      <c r="CL52" s="629"/>
      <c r="CM52" s="629"/>
      <c r="CN52" s="629"/>
      <c r="CO52" s="629"/>
      <c r="CP52" s="629"/>
      <c r="CQ52" s="629"/>
      <c r="CR52" s="629"/>
      <c r="CS52" s="629"/>
      <c r="CT52" s="629"/>
      <c r="CU52" s="629"/>
      <c r="CV52" s="629"/>
    </row>
    <row r="53" spans="4:101" ht="15" hidden="1" thickBot="1" x14ac:dyDescent="0.4">
      <c r="D53" s="652" t="s">
        <v>129</v>
      </c>
      <c r="E53" s="36"/>
      <c r="F53" s="36"/>
      <c r="G53" s="36"/>
      <c r="H53" s="36"/>
      <c r="I53" s="36"/>
      <c r="J53" s="36"/>
      <c r="K53" s="36"/>
      <c r="L53" s="36"/>
      <c r="M53" s="36"/>
      <c r="N53" s="36"/>
      <c r="O53" s="36"/>
      <c r="P53" s="36"/>
      <c r="Q53" s="36"/>
      <c r="R53" s="36"/>
      <c r="S53" s="36"/>
      <c r="T53" s="36"/>
      <c r="U53" s="36"/>
      <c r="V53" s="36"/>
      <c r="W53" s="25">
        <f t="shared" ref="W53:AQ53" si="357">+W32</f>
        <v>1063.9599612089041</v>
      </c>
      <c r="X53" s="25">
        <f t="shared" si="357"/>
        <v>1072.5363584211129</v>
      </c>
      <c r="Y53" s="24">
        <f t="shared" si="357"/>
        <v>1092.8638664146681</v>
      </c>
      <c r="Z53" s="24">
        <f t="shared" si="357"/>
        <v>1332.55813953488</v>
      </c>
      <c r="AA53" s="24">
        <f t="shared" si="357"/>
        <v>1386.3640879999998</v>
      </c>
      <c r="AB53" s="24">
        <f t="shared" si="357"/>
        <v>1386.3640879999998</v>
      </c>
      <c r="AC53" s="24">
        <f t="shared" si="357"/>
        <v>1386.3640879999998</v>
      </c>
      <c r="AD53" s="24">
        <f t="shared" si="357"/>
        <v>1386.3640879999998</v>
      </c>
      <c r="AE53" s="24">
        <f t="shared" si="357"/>
        <v>1386.3640879999998</v>
      </c>
      <c r="AF53" s="24">
        <f t="shared" si="357"/>
        <v>1412.3595833333334</v>
      </c>
      <c r="AG53" s="24">
        <f t="shared" si="357"/>
        <v>1412.3595833333334</v>
      </c>
      <c r="AH53" s="24">
        <f t="shared" si="357"/>
        <v>1412.3595833333334</v>
      </c>
      <c r="AI53" s="24">
        <f t="shared" si="357"/>
        <v>1412.3595833333334</v>
      </c>
      <c r="AJ53" s="24">
        <f t="shared" si="357"/>
        <v>1412.3595833333334</v>
      </c>
      <c r="AK53" s="24">
        <f t="shared" si="357"/>
        <v>1394.54</v>
      </c>
      <c r="AL53" s="24">
        <f t="shared" si="357"/>
        <v>1394.54</v>
      </c>
      <c r="AM53" s="24">
        <f t="shared" si="357"/>
        <v>1394.54</v>
      </c>
      <c r="AN53" s="24">
        <f t="shared" si="357"/>
        <v>1394.54</v>
      </c>
      <c r="AO53" s="24">
        <f t="shared" si="357"/>
        <v>1485</v>
      </c>
      <c r="AP53" s="24">
        <f t="shared" si="357"/>
        <v>1485</v>
      </c>
      <c r="AQ53" s="24">
        <f t="shared" si="357"/>
        <v>1485</v>
      </c>
      <c r="AR53" s="24">
        <f>+AR33</f>
        <v>1514.8753400165135</v>
      </c>
      <c r="AS53" s="24">
        <f>+AS33</f>
        <v>1514.8753400165135</v>
      </c>
      <c r="AT53" s="24">
        <f>+AT33</f>
        <v>1514.8753400165135</v>
      </c>
      <c r="AU53" s="24">
        <f>+AU33</f>
        <v>1748.1781955494955</v>
      </c>
      <c r="AV53" s="24">
        <f>+AV33</f>
        <v>2005.3590231791213</v>
      </c>
      <c r="AW53" s="24">
        <v>1942.1299178517277</v>
      </c>
      <c r="AX53" s="24">
        <v>1863.1433991880042</v>
      </c>
      <c r="AY53" s="24">
        <f>+AY33</f>
        <v>2055.0951117457171</v>
      </c>
      <c r="AZ53" s="24">
        <v>2104.5193955564387</v>
      </c>
      <c r="BA53" s="24">
        <f t="shared" ref="BA53:CT53" si="358">+BA33</f>
        <v>2174.9407488222141</v>
      </c>
      <c r="BB53" s="24">
        <f t="shared" si="358"/>
        <v>2224.6328195831784</v>
      </c>
      <c r="BC53" s="342">
        <f t="shared" si="358"/>
        <v>2224.6328195831784</v>
      </c>
      <c r="BD53" s="342">
        <f t="shared" si="358"/>
        <v>2351.9980645856022</v>
      </c>
      <c r="BE53" s="342">
        <f t="shared" si="358"/>
        <v>2084.0879699121556</v>
      </c>
      <c r="BF53" s="342">
        <f t="shared" si="358"/>
        <v>2039.0612287085833</v>
      </c>
      <c r="BG53" s="342">
        <f t="shared" si="358"/>
        <v>1827.4006175929699</v>
      </c>
      <c r="BH53" s="342">
        <f t="shared" si="358"/>
        <v>1572.1529790762611</v>
      </c>
      <c r="BI53" s="342">
        <f t="shared" si="358"/>
        <v>1511.4315793908329</v>
      </c>
      <c r="BJ53" s="342">
        <f t="shared" si="358"/>
        <v>1571.7048222592841</v>
      </c>
      <c r="BK53" s="342">
        <f t="shared" si="358"/>
        <v>1749.1772307014442</v>
      </c>
      <c r="BL53" s="342">
        <f t="shared" si="358"/>
        <v>1692.4082469121936</v>
      </c>
      <c r="BM53" s="342">
        <f t="shared" si="358"/>
        <v>1690.2249456104021</v>
      </c>
      <c r="BN53" s="342">
        <f t="shared" si="358"/>
        <v>1699.0064798607102</v>
      </c>
      <c r="BO53" s="342">
        <f t="shared" si="358"/>
        <v>1698.7785121302347</v>
      </c>
      <c r="BP53" s="342">
        <f t="shared" si="358"/>
        <v>1730.0096796994928</v>
      </c>
      <c r="BQ53" s="342">
        <f t="shared" si="358"/>
        <v>1773.5613698859654</v>
      </c>
      <c r="BR53" s="342">
        <f t="shared" si="358"/>
        <v>1784.875503136215</v>
      </c>
      <c r="BS53" s="342">
        <f t="shared" si="358"/>
        <v>1784.8627904875955</v>
      </c>
      <c r="BT53" s="342">
        <f t="shared" si="358"/>
        <v>1813.0215091949415</v>
      </c>
      <c r="BU53" s="342">
        <f t="shared" si="358"/>
        <v>1904.7514447411731</v>
      </c>
      <c r="BV53" s="342">
        <f t="shared" si="358"/>
        <v>1962.2860661850234</v>
      </c>
      <c r="BW53" s="342">
        <f t="shared" si="358"/>
        <v>1845.7119798851147</v>
      </c>
      <c r="BX53" s="342">
        <f t="shared" si="358"/>
        <v>1890.2730666010168</v>
      </c>
      <c r="BY53" s="342">
        <f t="shared" si="358"/>
        <v>1917.1799012981703</v>
      </c>
      <c r="BZ53" s="342">
        <f t="shared" si="358"/>
        <v>2006.6200046357087</v>
      </c>
      <c r="CA53" s="342">
        <f t="shared" si="358"/>
        <v>1943.4781005633749</v>
      </c>
      <c r="CB53" s="342">
        <f t="shared" si="358"/>
        <v>2034.9008161852571</v>
      </c>
      <c r="CC53" s="342">
        <f t="shared" si="358"/>
        <v>2114.7268131722517</v>
      </c>
      <c r="CD53" s="342">
        <f t="shared" si="358"/>
        <v>2187.72651496972</v>
      </c>
      <c r="CE53" s="342">
        <f t="shared" si="358"/>
        <v>2235.0890180084707</v>
      </c>
      <c r="CF53" s="342">
        <f t="shared" si="358"/>
        <v>2269.3398181541666</v>
      </c>
      <c r="CG53" s="342">
        <f t="shared" si="358"/>
        <v>2218.3558998675385</v>
      </c>
      <c r="CH53" s="342">
        <f t="shared" si="358"/>
        <v>2236.8571959832848</v>
      </c>
      <c r="CI53" s="342">
        <f t="shared" si="358"/>
        <v>2321.275438326265</v>
      </c>
      <c r="CJ53" s="342">
        <f t="shared" si="358"/>
        <v>2410.4812551255345</v>
      </c>
      <c r="CK53" s="342">
        <f t="shared" si="358"/>
        <v>2410.8752553973541</v>
      </c>
      <c r="CL53" s="646">
        <f t="shared" si="358"/>
        <v>2358.2487742672251</v>
      </c>
      <c r="CM53" s="646" t="e">
        <f t="shared" si="358"/>
        <v>#REF!</v>
      </c>
      <c r="CN53" s="646">
        <f t="shared" si="358"/>
        <v>0</v>
      </c>
      <c r="CO53" s="646">
        <f t="shared" si="358"/>
        <v>2373.4672471279</v>
      </c>
      <c r="CP53" s="646">
        <f t="shared" si="358"/>
        <v>0</v>
      </c>
      <c r="CQ53" s="646">
        <f t="shared" si="358"/>
        <v>2373.4672471279</v>
      </c>
      <c r="CR53" s="646">
        <f t="shared" si="358"/>
        <v>2373.4672471279</v>
      </c>
      <c r="CS53" s="646">
        <f t="shared" si="358"/>
        <v>0</v>
      </c>
      <c r="CT53" s="646">
        <f t="shared" si="358"/>
        <v>0</v>
      </c>
      <c r="CU53" s="646">
        <f t="shared" ref="CU53:CV53" si="359">+CU33</f>
        <v>0</v>
      </c>
      <c r="CV53" s="646">
        <f t="shared" si="359"/>
        <v>0</v>
      </c>
      <c r="CW53" s="240"/>
    </row>
    <row r="54" spans="4:101" ht="15" hidden="1" thickBot="1" x14ac:dyDescent="0.4">
      <c r="D54" s="642" t="s">
        <v>125</v>
      </c>
      <c r="E54" s="36"/>
      <c r="F54" s="36"/>
      <c r="G54" s="36"/>
      <c r="H54" s="36"/>
      <c r="I54" s="36"/>
      <c r="J54" s="36"/>
      <c r="K54" s="36"/>
      <c r="L54" s="36"/>
      <c r="M54" s="36"/>
      <c r="N54" s="36"/>
      <c r="O54" s="36"/>
      <c r="P54" s="36"/>
      <c r="Q54" s="36"/>
      <c r="R54" s="36"/>
      <c r="S54" s="36"/>
      <c r="T54" s="36"/>
      <c r="U54" s="36"/>
      <c r="V54" s="36"/>
      <c r="W54" s="8">
        <f t="shared" ref="W54:AV54" si="360">+W53*1%</f>
        <v>10.639599612089041</v>
      </c>
      <c r="X54" s="8">
        <f t="shared" si="360"/>
        <v>10.725363584211129</v>
      </c>
      <c r="Y54" s="8">
        <f t="shared" si="360"/>
        <v>10.928638664146682</v>
      </c>
      <c r="Z54" s="8">
        <f t="shared" si="360"/>
        <v>13.3255813953488</v>
      </c>
      <c r="AA54" s="8">
        <f t="shared" si="360"/>
        <v>13.863640879999998</v>
      </c>
      <c r="AB54" s="8">
        <f t="shared" si="360"/>
        <v>13.863640879999998</v>
      </c>
      <c r="AC54" s="8">
        <f t="shared" si="360"/>
        <v>13.863640879999998</v>
      </c>
      <c r="AD54" s="8">
        <f t="shared" si="360"/>
        <v>13.863640879999998</v>
      </c>
      <c r="AE54" s="8">
        <f t="shared" si="360"/>
        <v>13.863640879999998</v>
      </c>
      <c r="AF54" s="8">
        <f t="shared" si="360"/>
        <v>14.123595833333335</v>
      </c>
      <c r="AG54" s="8">
        <f t="shared" si="360"/>
        <v>14.123595833333335</v>
      </c>
      <c r="AH54" s="8">
        <f t="shared" si="360"/>
        <v>14.123595833333335</v>
      </c>
      <c r="AI54" s="8">
        <f t="shared" si="360"/>
        <v>14.123595833333335</v>
      </c>
      <c r="AJ54" s="8">
        <f t="shared" si="360"/>
        <v>14.123595833333335</v>
      </c>
      <c r="AK54" s="8">
        <f t="shared" si="360"/>
        <v>13.945399999999999</v>
      </c>
      <c r="AL54" s="8">
        <f t="shared" si="360"/>
        <v>13.945399999999999</v>
      </c>
      <c r="AM54" s="8">
        <f t="shared" si="360"/>
        <v>13.945399999999999</v>
      </c>
      <c r="AN54" s="8">
        <f t="shared" si="360"/>
        <v>13.945399999999999</v>
      </c>
      <c r="AO54" s="8">
        <f t="shared" si="360"/>
        <v>14.85</v>
      </c>
      <c r="AP54" s="8">
        <f t="shared" si="360"/>
        <v>14.85</v>
      </c>
      <c r="AQ54" s="8">
        <f t="shared" si="360"/>
        <v>14.85</v>
      </c>
      <c r="AR54" s="8">
        <f t="shared" si="360"/>
        <v>15.148753400165136</v>
      </c>
      <c r="AS54" s="8">
        <f t="shared" si="360"/>
        <v>15.148753400165136</v>
      </c>
      <c r="AT54" s="8">
        <f t="shared" si="360"/>
        <v>15.148753400165136</v>
      </c>
      <c r="AU54" s="8">
        <f t="shared" si="360"/>
        <v>17.481781955494956</v>
      </c>
      <c r="AV54" s="8">
        <f t="shared" si="360"/>
        <v>20.053590231791215</v>
      </c>
      <c r="AW54" s="8">
        <v>19.421299178517277</v>
      </c>
      <c r="AX54" s="8">
        <v>18.631433991880041</v>
      </c>
      <c r="AY54" s="8">
        <f>+AY53*1%</f>
        <v>20.550951117457171</v>
      </c>
      <c r="AZ54" s="8">
        <v>21.045193955564386</v>
      </c>
      <c r="BA54" s="8">
        <f t="shared" ref="BA54:BF54" si="361">+BA53*1%</f>
        <v>21.749407488222143</v>
      </c>
      <c r="BB54" s="8">
        <f t="shared" si="361"/>
        <v>22.246328195831783</v>
      </c>
      <c r="BC54" s="334">
        <f t="shared" si="361"/>
        <v>22.246328195831783</v>
      </c>
      <c r="BD54" s="334">
        <f t="shared" si="361"/>
        <v>23.519980645856023</v>
      </c>
      <c r="BE54" s="334">
        <f t="shared" si="361"/>
        <v>20.840879699121555</v>
      </c>
      <c r="BF54" s="334">
        <f t="shared" si="361"/>
        <v>20.390612287085833</v>
      </c>
      <c r="BG54" s="334">
        <f t="shared" ref="BG54:BH54" si="362">+BG53*1%</f>
        <v>18.274006175929699</v>
      </c>
      <c r="BH54" s="334">
        <f t="shared" si="362"/>
        <v>15.721529790762611</v>
      </c>
      <c r="BI54" s="334">
        <f t="shared" ref="BI54:BJ54" si="363">+BI53*1%</f>
        <v>15.114315793908329</v>
      </c>
      <c r="BJ54" s="334">
        <f t="shared" si="363"/>
        <v>15.717048222592842</v>
      </c>
      <c r="BK54" s="334">
        <f t="shared" ref="BK54:BL54" si="364">+BK53*1%</f>
        <v>17.491772307014443</v>
      </c>
      <c r="BL54" s="334">
        <f t="shared" si="364"/>
        <v>16.924082469121934</v>
      </c>
      <c r="BM54" s="334">
        <f t="shared" ref="BM54:BN54" si="365">+BM53*1%</f>
        <v>16.90224945610402</v>
      </c>
      <c r="BN54" s="334">
        <f t="shared" si="365"/>
        <v>16.990064798607101</v>
      </c>
      <c r="BO54" s="334">
        <f t="shared" ref="BO54:BP54" si="366">+BO53*1%</f>
        <v>16.987785121302348</v>
      </c>
      <c r="BP54" s="334">
        <f t="shared" si="366"/>
        <v>17.300096796994929</v>
      </c>
      <c r="BQ54" s="334">
        <f t="shared" ref="BQ54:BR54" si="367">+BQ53*1%</f>
        <v>17.735613698859655</v>
      </c>
      <c r="BR54" s="334">
        <f t="shared" si="367"/>
        <v>17.848755031362149</v>
      </c>
      <c r="BS54" s="334">
        <f t="shared" ref="BS54:BT54" si="368">+BS53*1%</f>
        <v>17.848627904875954</v>
      </c>
      <c r="BT54" s="334">
        <f t="shared" si="368"/>
        <v>18.130215091949417</v>
      </c>
      <c r="BU54" s="334">
        <f t="shared" ref="BU54:BV54" si="369">+BU53*1%</f>
        <v>19.047514447411732</v>
      </c>
      <c r="BV54" s="334">
        <f t="shared" si="369"/>
        <v>19.622860661850236</v>
      </c>
      <c r="BW54" s="334">
        <f t="shared" ref="BW54:BY54" si="370">+BW53*1%</f>
        <v>18.457119798851149</v>
      </c>
      <c r="BX54" s="334">
        <f t="shared" ref="BX54" si="371">+BX53*1%</f>
        <v>18.902730666010168</v>
      </c>
      <c r="BY54" s="334">
        <f t="shared" si="370"/>
        <v>19.171799012981705</v>
      </c>
      <c r="BZ54" s="334">
        <f t="shared" ref="BZ54:CA54" si="372">+BZ53*1%</f>
        <v>20.066200046357089</v>
      </c>
      <c r="CA54" s="334">
        <f t="shared" si="372"/>
        <v>19.434781005633749</v>
      </c>
      <c r="CB54" s="334">
        <f t="shared" ref="CB54:CC54" si="373">+CB53*1%</f>
        <v>20.34900816185257</v>
      </c>
      <c r="CC54" s="334">
        <f t="shared" si="373"/>
        <v>21.147268131722516</v>
      </c>
      <c r="CD54" s="334">
        <f t="shared" ref="CD54:CE54" si="374">+CD53*1%</f>
        <v>21.877265149697202</v>
      </c>
      <c r="CE54" s="334">
        <f t="shared" si="374"/>
        <v>22.350890180084708</v>
      </c>
      <c r="CF54" s="334">
        <f t="shared" ref="CF54:CG54" si="375">+CF53*1%</f>
        <v>22.693398181541667</v>
      </c>
      <c r="CG54" s="334">
        <f t="shared" si="375"/>
        <v>22.183558998675384</v>
      </c>
      <c r="CH54" s="334">
        <f t="shared" ref="CH54:CI54" si="376">+CH53*1%</f>
        <v>22.368571959832849</v>
      </c>
      <c r="CI54" s="334">
        <f t="shared" si="376"/>
        <v>23.212754383262649</v>
      </c>
      <c r="CJ54" s="334">
        <f t="shared" ref="CJ54:CK54" si="377">+CJ53*1%</f>
        <v>24.104812551255346</v>
      </c>
      <c r="CK54" s="334">
        <f t="shared" si="377"/>
        <v>24.108752553973542</v>
      </c>
      <c r="CL54" s="616">
        <f t="shared" ref="CL54:CM54" si="378">+CL53*1%</f>
        <v>23.582487742672253</v>
      </c>
      <c r="CM54" s="616" t="e">
        <f t="shared" si="378"/>
        <v>#REF!</v>
      </c>
      <c r="CN54" s="616">
        <f t="shared" ref="CN54:CO54" si="379">+CN53*1%</f>
        <v>0</v>
      </c>
      <c r="CO54" s="616">
        <f t="shared" si="379"/>
        <v>23.734672471279001</v>
      </c>
      <c r="CP54" s="616">
        <f t="shared" ref="CP54:CQ54" si="380">+CP53*1%</f>
        <v>0</v>
      </c>
      <c r="CQ54" s="616">
        <f t="shared" si="380"/>
        <v>23.734672471279001</v>
      </c>
      <c r="CR54" s="616">
        <f t="shared" ref="CR54:CS54" si="381">+CR53*1%</f>
        <v>23.734672471279001</v>
      </c>
      <c r="CS54" s="616">
        <f t="shared" si="381"/>
        <v>0</v>
      </c>
      <c r="CT54" s="616">
        <f t="shared" ref="CT54:CU54" si="382">+CT53*1%</f>
        <v>0</v>
      </c>
      <c r="CU54" s="616">
        <f t="shared" si="382"/>
        <v>0</v>
      </c>
      <c r="CV54" s="616">
        <f t="shared" ref="CV54" si="383">+CV53*1%</f>
        <v>0</v>
      </c>
      <c r="CW54" s="235"/>
    </row>
    <row r="55" spans="4:101" ht="15" hidden="1" thickBot="1" x14ac:dyDescent="0.4">
      <c r="D55" s="626" t="s">
        <v>126</v>
      </c>
      <c r="E55" s="36"/>
      <c r="F55" s="36"/>
      <c r="G55" s="36"/>
      <c r="H55" s="36"/>
      <c r="I55" s="36"/>
      <c r="J55" s="36"/>
      <c r="K55" s="36"/>
      <c r="L55" s="36"/>
      <c r="M55" s="36"/>
      <c r="N55" s="36"/>
      <c r="O55" s="36"/>
      <c r="P55" s="36"/>
      <c r="Q55" s="36"/>
      <c r="R55" s="36"/>
      <c r="S55" s="36"/>
      <c r="T55" s="36"/>
      <c r="U55" s="36"/>
      <c r="V55" s="36"/>
      <c r="W55" s="31">
        <f t="shared" ref="W55:AV55" si="384">+W54+W53</f>
        <v>1074.5995608209932</v>
      </c>
      <c r="X55" s="31">
        <f t="shared" si="384"/>
        <v>1083.2617220053241</v>
      </c>
      <c r="Y55" s="31">
        <f t="shared" si="384"/>
        <v>1103.7925050788149</v>
      </c>
      <c r="Z55" s="31">
        <f t="shared" si="384"/>
        <v>1345.8837209302287</v>
      </c>
      <c r="AA55" s="31">
        <f t="shared" si="384"/>
        <v>1400.2277288799999</v>
      </c>
      <c r="AB55" s="31">
        <f t="shared" si="384"/>
        <v>1400.2277288799999</v>
      </c>
      <c r="AC55" s="31">
        <f t="shared" si="384"/>
        <v>1400.2277288799999</v>
      </c>
      <c r="AD55" s="31">
        <f t="shared" si="384"/>
        <v>1400.2277288799999</v>
      </c>
      <c r="AE55" s="31">
        <f t="shared" si="384"/>
        <v>1400.2277288799999</v>
      </c>
      <c r="AF55" s="31">
        <f t="shared" si="384"/>
        <v>1426.4831791666668</v>
      </c>
      <c r="AG55" s="31">
        <f t="shared" si="384"/>
        <v>1426.4831791666668</v>
      </c>
      <c r="AH55" s="31">
        <f t="shared" si="384"/>
        <v>1426.4831791666668</v>
      </c>
      <c r="AI55" s="31">
        <f t="shared" si="384"/>
        <v>1426.4831791666668</v>
      </c>
      <c r="AJ55" s="31">
        <f t="shared" si="384"/>
        <v>1426.4831791666668</v>
      </c>
      <c r="AK55" s="31">
        <f t="shared" si="384"/>
        <v>1408.4854</v>
      </c>
      <c r="AL55" s="31">
        <f t="shared" si="384"/>
        <v>1408.4854</v>
      </c>
      <c r="AM55" s="31">
        <f t="shared" si="384"/>
        <v>1408.4854</v>
      </c>
      <c r="AN55" s="31">
        <f t="shared" si="384"/>
        <v>1408.4854</v>
      </c>
      <c r="AO55" s="31">
        <f t="shared" si="384"/>
        <v>1499.85</v>
      </c>
      <c r="AP55" s="31">
        <f t="shared" si="384"/>
        <v>1499.85</v>
      </c>
      <c r="AQ55" s="31">
        <f t="shared" si="384"/>
        <v>1499.85</v>
      </c>
      <c r="AR55" s="31">
        <f t="shared" si="384"/>
        <v>1530.0240934166786</v>
      </c>
      <c r="AS55" s="31">
        <f t="shared" si="384"/>
        <v>1530.0240934166786</v>
      </c>
      <c r="AT55" s="31">
        <f t="shared" si="384"/>
        <v>1530.0240934166786</v>
      </c>
      <c r="AU55" s="31">
        <f t="shared" si="384"/>
        <v>1765.6599775049904</v>
      </c>
      <c r="AV55" s="31">
        <f t="shared" si="384"/>
        <v>2025.4126134109126</v>
      </c>
      <c r="AW55" s="31">
        <v>1961.551217030245</v>
      </c>
      <c r="AX55" s="31">
        <v>1881.7748331798841</v>
      </c>
      <c r="AY55" s="31">
        <f>+AY54+AY53</f>
        <v>2075.6460628631744</v>
      </c>
      <c r="AZ55" s="31">
        <v>2125.5645895120028</v>
      </c>
      <c r="BA55" s="31">
        <f t="shared" ref="BA55:BF55" si="385">+BA54+BA53</f>
        <v>2196.6901563104361</v>
      </c>
      <c r="BB55" s="31">
        <f t="shared" si="385"/>
        <v>2246.8791477790101</v>
      </c>
      <c r="BC55" s="346">
        <f t="shared" si="385"/>
        <v>2246.8791477790101</v>
      </c>
      <c r="BD55" s="346">
        <f t="shared" si="385"/>
        <v>2375.518045231458</v>
      </c>
      <c r="BE55" s="346">
        <f t="shared" si="385"/>
        <v>2104.9288496112772</v>
      </c>
      <c r="BF55" s="346">
        <f t="shared" si="385"/>
        <v>2059.451840995669</v>
      </c>
      <c r="BG55" s="346">
        <f t="shared" ref="BG55:BH55" si="386">+BG54+BG53</f>
        <v>1845.6746237688997</v>
      </c>
      <c r="BH55" s="346">
        <f t="shared" si="386"/>
        <v>1587.8745088670237</v>
      </c>
      <c r="BI55" s="346">
        <f t="shared" ref="BI55:BJ55" si="387">+BI54+BI53</f>
        <v>1526.5458951847413</v>
      </c>
      <c r="BJ55" s="346">
        <f t="shared" si="387"/>
        <v>1587.421870481877</v>
      </c>
      <c r="BK55" s="346">
        <f t="shared" ref="BK55:BL55" si="388">+BK54+BK53</f>
        <v>1766.6690030084585</v>
      </c>
      <c r="BL55" s="346">
        <f t="shared" si="388"/>
        <v>1709.3323293813155</v>
      </c>
      <c r="BM55" s="346">
        <f t="shared" ref="BM55:BN55" si="389">+BM54+BM53</f>
        <v>1707.1271950665061</v>
      </c>
      <c r="BN55" s="346">
        <f t="shared" si="389"/>
        <v>1715.9965446593174</v>
      </c>
      <c r="BO55" s="346">
        <f t="shared" ref="BO55:BP55" si="390">+BO54+BO53</f>
        <v>1715.766297251537</v>
      </c>
      <c r="BP55" s="346">
        <f t="shared" si="390"/>
        <v>1747.3097764964878</v>
      </c>
      <c r="BQ55" s="346">
        <f t="shared" ref="BQ55:BR55" si="391">+BQ54+BQ53</f>
        <v>1791.2969835848251</v>
      </c>
      <c r="BR55" s="346">
        <f t="shared" si="391"/>
        <v>1802.7242581675771</v>
      </c>
      <c r="BS55" s="346">
        <f t="shared" ref="BS55:BT55" si="392">+BS54+BS53</f>
        <v>1802.7114183924714</v>
      </c>
      <c r="BT55" s="346">
        <f t="shared" si="392"/>
        <v>1831.1517242868908</v>
      </c>
      <c r="BU55" s="346">
        <f t="shared" ref="BU55:BV55" si="393">+BU54+BU53</f>
        <v>1923.7989591885848</v>
      </c>
      <c r="BV55" s="346">
        <f t="shared" si="393"/>
        <v>1981.9089268468736</v>
      </c>
      <c r="BW55" s="346">
        <f t="shared" ref="BW55:BY55" si="394">+BW54+BW53</f>
        <v>1864.1690996839659</v>
      </c>
      <c r="BX55" s="346">
        <f t="shared" ref="BX55" si="395">+BX54+BX53</f>
        <v>1909.1757972670271</v>
      </c>
      <c r="BY55" s="346">
        <f t="shared" si="394"/>
        <v>1936.3517003111519</v>
      </c>
      <c r="BZ55" s="346">
        <f t="shared" ref="BZ55:CA55" si="396">+BZ54+BZ53</f>
        <v>2026.6862046820659</v>
      </c>
      <c r="CA55" s="346">
        <f t="shared" si="396"/>
        <v>1962.9128815690087</v>
      </c>
      <c r="CB55" s="346">
        <f t="shared" ref="CB55:CC55" si="397">+CB54+CB53</f>
        <v>2055.2498243471096</v>
      </c>
      <c r="CC55" s="346">
        <f t="shared" si="397"/>
        <v>2135.8740813039744</v>
      </c>
      <c r="CD55" s="346">
        <f t="shared" ref="CD55:CE55" si="398">+CD54+CD53</f>
        <v>2209.603780119417</v>
      </c>
      <c r="CE55" s="346">
        <f t="shared" si="398"/>
        <v>2257.4399081885554</v>
      </c>
      <c r="CF55" s="346">
        <f t="shared" ref="CF55:CG55" si="399">+CF54+CF53</f>
        <v>2292.0332163357084</v>
      </c>
      <c r="CG55" s="346">
        <f t="shared" si="399"/>
        <v>2240.5394588662139</v>
      </c>
      <c r="CH55" s="346">
        <f t="shared" ref="CH55:CI55" si="400">+CH54+CH53</f>
        <v>2259.2257679431177</v>
      </c>
      <c r="CI55" s="346">
        <f t="shared" si="400"/>
        <v>2344.4881927095275</v>
      </c>
      <c r="CJ55" s="346">
        <f t="shared" ref="CJ55:CK55" si="401">+CJ54+CJ53</f>
        <v>2434.5860676767898</v>
      </c>
      <c r="CK55" s="346">
        <f t="shared" si="401"/>
        <v>2434.9840079513274</v>
      </c>
      <c r="CL55" s="653">
        <f t="shared" ref="CL55:CM55" si="402">+CL54+CL53</f>
        <v>2381.8312620098973</v>
      </c>
      <c r="CM55" s="653" t="e">
        <f t="shared" si="402"/>
        <v>#REF!</v>
      </c>
      <c r="CN55" s="653">
        <f t="shared" ref="CN55:CO55" si="403">+CN54+CN53</f>
        <v>0</v>
      </c>
      <c r="CO55" s="653">
        <f t="shared" si="403"/>
        <v>2397.2019195991788</v>
      </c>
      <c r="CP55" s="653">
        <f t="shared" ref="CP55:CQ55" si="404">+CP54+CP53</f>
        <v>0</v>
      </c>
      <c r="CQ55" s="653">
        <f t="shared" si="404"/>
        <v>2397.2019195991788</v>
      </c>
      <c r="CR55" s="653">
        <f t="shared" ref="CR55:CS55" si="405">+CR54+CR53</f>
        <v>2397.2019195991788</v>
      </c>
      <c r="CS55" s="653">
        <f t="shared" si="405"/>
        <v>0</v>
      </c>
      <c r="CT55" s="653">
        <f t="shared" ref="CT55:CU55" si="406">+CT54+CT53</f>
        <v>0</v>
      </c>
      <c r="CU55" s="653">
        <f t="shared" si="406"/>
        <v>0</v>
      </c>
      <c r="CV55" s="653">
        <f t="shared" ref="CV55" si="407">+CV54+CV53</f>
        <v>0</v>
      </c>
    </row>
    <row r="56" spans="4:101" ht="15" hidden="1" thickBot="1" x14ac:dyDescent="0.4">
      <c r="D56" s="648"/>
      <c r="E56" s="36"/>
      <c r="F56" s="36"/>
      <c r="G56" s="36"/>
      <c r="H56" s="36"/>
      <c r="I56" s="36"/>
      <c r="J56" s="36"/>
      <c r="K56" s="490"/>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644"/>
      <c r="CM56" s="644"/>
      <c r="CN56" s="644"/>
      <c r="CO56" s="644"/>
      <c r="CP56" s="644"/>
      <c r="CQ56" s="644"/>
      <c r="CR56" s="644"/>
      <c r="CS56" s="644"/>
      <c r="CT56" s="644"/>
      <c r="CU56" s="644"/>
      <c r="CV56" s="644"/>
      <c r="CW56" s="243"/>
    </row>
    <row r="57" spans="4:101" ht="15" hidden="1" thickBot="1" x14ac:dyDescent="0.4">
      <c r="D57" s="628" t="s">
        <v>130</v>
      </c>
      <c r="E57" s="36"/>
      <c r="F57" s="36"/>
      <c r="G57" s="36"/>
      <c r="H57" s="36"/>
      <c r="I57" s="36"/>
      <c r="J57" s="36"/>
      <c r="K57" s="36"/>
      <c r="L57" s="36"/>
      <c r="M57" s="36"/>
      <c r="N57" s="36"/>
      <c r="O57" s="36"/>
      <c r="P57" s="36"/>
      <c r="Q57" s="36"/>
      <c r="R57" s="36"/>
      <c r="S57" s="36"/>
      <c r="T57" s="36"/>
      <c r="U57" s="36"/>
      <c r="V57" s="36"/>
      <c r="W57" s="36"/>
      <c r="X57" s="36"/>
      <c r="Y57" s="36"/>
      <c r="Z57" s="24">
        <f t="shared" ref="Z57:AK57" si="408">+Z26</f>
        <v>1150.3830172785981</v>
      </c>
      <c r="AA57" s="24">
        <f t="shared" si="408"/>
        <v>1023.1077369665325</v>
      </c>
      <c r="AB57" s="24">
        <f t="shared" si="408"/>
        <v>922.04779618270766</v>
      </c>
      <c r="AC57" s="24">
        <f t="shared" si="408"/>
        <v>986.45</v>
      </c>
      <c r="AD57" s="24">
        <f t="shared" si="408"/>
        <v>939.79623737749137</v>
      </c>
      <c r="AE57" s="24">
        <f t="shared" si="408"/>
        <v>962.07999999999981</v>
      </c>
      <c r="AF57" s="24">
        <f t="shared" si="408"/>
        <v>950.59587621310789</v>
      </c>
      <c r="AG57" s="24">
        <f t="shared" si="408"/>
        <v>956.03999999999985</v>
      </c>
      <c r="AH57" s="24">
        <f t="shared" si="408"/>
        <v>926.98477393613234</v>
      </c>
      <c r="AI57" s="24">
        <f t="shared" si="408"/>
        <v>912.79096289503639</v>
      </c>
      <c r="AJ57" s="24">
        <f t="shared" si="408"/>
        <v>915.11134861036817</v>
      </c>
      <c r="AK57" s="24">
        <f t="shared" si="408"/>
        <v>905.3854962648993</v>
      </c>
      <c r="AL57" s="24" t="e">
        <f t="shared" ref="AL57:AQ57" si="409">+AL27</f>
        <v>#REF!</v>
      </c>
      <c r="AM57" s="24" t="e">
        <f t="shared" si="409"/>
        <v>#REF!</v>
      </c>
      <c r="AN57" s="24" t="e">
        <f t="shared" si="409"/>
        <v>#REF!</v>
      </c>
      <c r="AO57" s="24" t="e">
        <f t="shared" si="409"/>
        <v>#REF!</v>
      </c>
      <c r="AP57" s="24" t="e">
        <f t="shared" si="409"/>
        <v>#REF!</v>
      </c>
      <c r="AQ57" s="24" t="e">
        <f t="shared" si="409"/>
        <v>#REF!</v>
      </c>
      <c r="AR57" s="24" t="e">
        <f>+AR28</f>
        <v>#REF!</v>
      </c>
      <c r="AS57" s="24" t="e">
        <f>+AS28</f>
        <v>#REF!</v>
      </c>
      <c r="AT57" s="24" t="e">
        <f>+AT28</f>
        <v>#REF!</v>
      </c>
      <c r="AU57" s="24" t="e">
        <f>+AU28</f>
        <v>#REF!</v>
      </c>
      <c r="AV57" s="24" t="e">
        <f>+AV28</f>
        <v>#REF!</v>
      </c>
      <c r="AW57" s="24">
        <v>1780.8031667269806</v>
      </c>
      <c r="AX57" s="24">
        <v>1844.8576379989688</v>
      </c>
      <c r="AY57" s="24" t="e">
        <f>+AY28</f>
        <v>#REF!</v>
      </c>
      <c r="AZ57" s="24">
        <v>1880.1281815309007</v>
      </c>
      <c r="BA57" s="24" t="e">
        <f>+BA28</f>
        <v>#REF!</v>
      </c>
      <c r="BB57" s="24" t="e">
        <f>+BB28</f>
        <v>#REF!</v>
      </c>
      <c r="BC57" s="342" t="e">
        <f>+BC28</f>
        <v>#REF!</v>
      </c>
      <c r="BD57" s="342" t="e">
        <f t="shared" ref="BD57:CT57" si="410">+BD30</f>
        <v>#REF!</v>
      </c>
      <c r="BE57" s="342" t="e">
        <f t="shared" si="410"/>
        <v>#REF!</v>
      </c>
      <c r="BF57" s="342" t="e">
        <f t="shared" si="410"/>
        <v>#REF!</v>
      </c>
      <c r="BG57" s="342" t="e">
        <f t="shared" si="410"/>
        <v>#REF!</v>
      </c>
      <c r="BH57" s="342" t="e">
        <f t="shared" si="410"/>
        <v>#REF!</v>
      </c>
      <c r="BI57" s="342" t="e">
        <f t="shared" si="410"/>
        <v>#REF!</v>
      </c>
      <c r="BJ57" s="342" t="e">
        <f t="shared" si="410"/>
        <v>#REF!</v>
      </c>
      <c r="BK57" s="342" t="e">
        <f t="shared" si="410"/>
        <v>#REF!</v>
      </c>
      <c r="BL57" s="342" t="e">
        <f t="shared" si="410"/>
        <v>#REF!</v>
      </c>
      <c r="BM57" s="342" t="e">
        <f t="shared" si="410"/>
        <v>#REF!</v>
      </c>
      <c r="BN57" s="342">
        <f t="shared" si="410"/>
        <v>1267.0143376361973</v>
      </c>
      <c r="BO57" s="342">
        <f t="shared" si="410"/>
        <v>1304.1208334640173</v>
      </c>
      <c r="BP57" s="342">
        <f t="shared" si="410"/>
        <v>1298.9692885147945</v>
      </c>
      <c r="BQ57" s="342">
        <f t="shared" si="410"/>
        <v>1254.8428525614802</v>
      </c>
      <c r="BR57" s="342">
        <f t="shared" si="410"/>
        <v>1215.9045352417124</v>
      </c>
      <c r="BS57" s="342">
        <f t="shared" si="410"/>
        <v>1220.6546814110968</v>
      </c>
      <c r="BT57" s="342">
        <f t="shared" si="410"/>
        <v>1226.1866522264747</v>
      </c>
      <c r="BU57" s="342">
        <f t="shared" si="410"/>
        <v>1209.0551584269829</v>
      </c>
      <c r="BV57" s="342">
        <f t="shared" si="410"/>
        <v>1194.1871579510785</v>
      </c>
      <c r="BW57" s="342">
        <f t="shared" si="410"/>
        <v>1203.3753896982651</v>
      </c>
      <c r="BX57" s="342">
        <f t="shared" si="410"/>
        <v>1203.3753896982651</v>
      </c>
      <c r="BY57" s="342">
        <f t="shared" si="410"/>
        <v>1225.54462078749</v>
      </c>
      <c r="BZ57" s="342">
        <f t="shared" si="410"/>
        <v>1225.54462078749</v>
      </c>
      <c r="CA57" s="342">
        <f t="shared" si="410"/>
        <v>1317.0024167853026</v>
      </c>
      <c r="CB57" s="342">
        <f t="shared" si="410"/>
        <v>1419.7186546650141</v>
      </c>
      <c r="CC57" s="342">
        <f t="shared" si="410"/>
        <v>1509.9821039091423</v>
      </c>
      <c r="CD57" s="342">
        <f t="shared" si="410"/>
        <v>1468.930215646893</v>
      </c>
      <c r="CE57" s="342">
        <f t="shared" si="410"/>
        <v>1441.3901886717804</v>
      </c>
      <c r="CF57" s="342">
        <f t="shared" si="410"/>
        <v>1363.6378209264894</v>
      </c>
      <c r="CG57" s="342">
        <f t="shared" si="410"/>
        <v>1331.6466501380658</v>
      </c>
      <c r="CH57" s="342">
        <f t="shared" si="410"/>
        <v>1304.2777885746743</v>
      </c>
      <c r="CI57" s="342">
        <f t="shared" si="410"/>
        <v>1211.7009226258197</v>
      </c>
      <c r="CJ57" s="342">
        <f t="shared" si="410"/>
        <v>1201.5962051573779</v>
      </c>
      <c r="CK57" s="342">
        <f t="shared" si="410"/>
        <v>1178.6438201323385</v>
      </c>
      <c r="CL57" s="646">
        <f t="shared" si="410"/>
        <v>1159.5043426924331</v>
      </c>
      <c r="CM57" s="646">
        <f t="shared" si="410"/>
        <v>1169.9781021941997</v>
      </c>
      <c r="CN57" s="646">
        <f t="shared" si="410"/>
        <v>1188.462432983202</v>
      </c>
      <c r="CO57" s="646">
        <f t="shared" si="410"/>
        <v>1364.4350559233303</v>
      </c>
      <c r="CP57" s="646">
        <f t="shared" si="410"/>
        <v>1286.7632895323181</v>
      </c>
      <c r="CQ57" s="646">
        <f t="shared" si="410"/>
        <v>1249.5027202502913</v>
      </c>
      <c r="CR57" s="646">
        <f t="shared" si="410"/>
        <v>1229.7082723501064</v>
      </c>
      <c r="CS57" s="646">
        <f t="shared" si="410"/>
        <v>1201.4273245732036</v>
      </c>
      <c r="CT57" s="646">
        <f t="shared" si="410"/>
        <v>1170.9491189896669</v>
      </c>
      <c r="CU57" s="646">
        <f t="shared" ref="CU57:CV57" si="411">+CU30</f>
        <v>1137.1396232839734</v>
      </c>
      <c r="CV57" s="646">
        <f t="shared" si="411"/>
        <v>1122.3752534824653</v>
      </c>
      <c r="CW57" s="240"/>
    </row>
    <row r="58" spans="4:101" ht="15" hidden="1" thickBot="1" x14ac:dyDescent="0.4">
      <c r="D58" s="642" t="s">
        <v>125</v>
      </c>
      <c r="E58" s="36"/>
      <c r="F58" s="36"/>
      <c r="G58" s="36"/>
      <c r="H58" s="36"/>
      <c r="I58" s="36"/>
      <c r="J58" s="36"/>
      <c r="K58" s="36"/>
      <c r="L58" s="36"/>
      <c r="M58" s="36"/>
      <c r="N58" s="36"/>
      <c r="O58" s="36"/>
      <c r="P58" s="36"/>
      <c r="Q58" s="36"/>
      <c r="R58" s="36"/>
      <c r="S58" s="36"/>
      <c r="T58" s="36"/>
      <c r="U58" s="36"/>
      <c r="V58" s="36"/>
      <c r="W58" s="36"/>
      <c r="X58" s="36"/>
      <c r="Y58" s="36"/>
      <c r="Z58" s="8">
        <f t="shared" ref="Z58:AV58" si="412">+Z57*1%</f>
        <v>11.503830172785982</v>
      </c>
      <c r="AA58" s="8">
        <f t="shared" si="412"/>
        <v>10.231077369665325</v>
      </c>
      <c r="AB58" s="8">
        <f t="shared" si="412"/>
        <v>9.2204779618270774</v>
      </c>
      <c r="AC58" s="8">
        <f t="shared" si="412"/>
        <v>9.8645000000000014</v>
      </c>
      <c r="AD58" s="8">
        <f t="shared" si="412"/>
        <v>9.3979623737749147</v>
      </c>
      <c r="AE58" s="8">
        <f t="shared" si="412"/>
        <v>9.6207999999999991</v>
      </c>
      <c r="AF58" s="8">
        <f t="shared" si="412"/>
        <v>9.5059587621310797</v>
      </c>
      <c r="AG58" s="8">
        <f t="shared" si="412"/>
        <v>9.5603999999999996</v>
      </c>
      <c r="AH58" s="8">
        <f t="shared" si="412"/>
        <v>9.2698477393613228</v>
      </c>
      <c r="AI58" s="8">
        <f t="shared" si="412"/>
        <v>9.1279096289503645</v>
      </c>
      <c r="AJ58" s="8">
        <f t="shared" si="412"/>
        <v>9.1511134861036822</v>
      </c>
      <c r="AK58" s="8">
        <f t="shared" si="412"/>
        <v>9.0538549626489928</v>
      </c>
      <c r="AL58" s="8" t="e">
        <f t="shared" si="412"/>
        <v>#REF!</v>
      </c>
      <c r="AM58" s="8" t="e">
        <f t="shared" si="412"/>
        <v>#REF!</v>
      </c>
      <c r="AN58" s="8" t="e">
        <f t="shared" si="412"/>
        <v>#REF!</v>
      </c>
      <c r="AO58" s="8" t="e">
        <f t="shared" si="412"/>
        <v>#REF!</v>
      </c>
      <c r="AP58" s="8" t="e">
        <f t="shared" si="412"/>
        <v>#REF!</v>
      </c>
      <c r="AQ58" s="8" t="e">
        <f t="shared" si="412"/>
        <v>#REF!</v>
      </c>
      <c r="AR58" s="8" t="e">
        <f t="shared" si="412"/>
        <v>#REF!</v>
      </c>
      <c r="AS58" s="8" t="e">
        <f t="shared" si="412"/>
        <v>#REF!</v>
      </c>
      <c r="AT58" s="8" t="e">
        <f t="shared" si="412"/>
        <v>#REF!</v>
      </c>
      <c r="AU58" s="8" t="e">
        <f t="shared" si="412"/>
        <v>#REF!</v>
      </c>
      <c r="AV58" s="8" t="e">
        <f t="shared" si="412"/>
        <v>#REF!</v>
      </c>
      <c r="AW58" s="8">
        <v>17.808031667269805</v>
      </c>
      <c r="AX58" s="8">
        <v>18.448576379989689</v>
      </c>
      <c r="AY58" s="8" t="e">
        <f>+AY57*1%</f>
        <v>#REF!</v>
      </c>
      <c r="AZ58" s="8">
        <v>18.801281815309007</v>
      </c>
      <c r="BA58" s="8" t="e">
        <f t="shared" ref="BA58:BF58" si="413">+BA57*1%</f>
        <v>#REF!</v>
      </c>
      <c r="BB58" s="8" t="e">
        <f t="shared" si="413"/>
        <v>#REF!</v>
      </c>
      <c r="BC58" s="334" t="e">
        <f t="shared" si="413"/>
        <v>#REF!</v>
      </c>
      <c r="BD58" s="334" t="e">
        <f t="shared" si="413"/>
        <v>#REF!</v>
      </c>
      <c r="BE58" s="334" t="e">
        <f t="shared" si="413"/>
        <v>#REF!</v>
      </c>
      <c r="BF58" s="334" t="e">
        <f t="shared" si="413"/>
        <v>#REF!</v>
      </c>
      <c r="BG58" s="334" t="e">
        <f t="shared" ref="BG58:BH58" si="414">+BG57*1%</f>
        <v>#REF!</v>
      </c>
      <c r="BH58" s="334" t="e">
        <f t="shared" si="414"/>
        <v>#REF!</v>
      </c>
      <c r="BI58" s="334" t="e">
        <f t="shared" ref="BI58:BJ58" si="415">+BI57*1%</f>
        <v>#REF!</v>
      </c>
      <c r="BJ58" s="334" t="e">
        <f t="shared" si="415"/>
        <v>#REF!</v>
      </c>
      <c r="BK58" s="334" t="e">
        <f t="shared" ref="BK58:BL58" si="416">+BK57*1%</f>
        <v>#REF!</v>
      </c>
      <c r="BL58" s="334" t="e">
        <f t="shared" si="416"/>
        <v>#REF!</v>
      </c>
      <c r="BM58" s="334" t="e">
        <f t="shared" ref="BM58:BN58" si="417">+BM57*1%</f>
        <v>#REF!</v>
      </c>
      <c r="BN58" s="334">
        <f t="shared" si="417"/>
        <v>12.670143376361974</v>
      </c>
      <c r="BO58" s="334">
        <f t="shared" ref="BO58:BP58" si="418">+BO57*1%</f>
        <v>13.041208334640174</v>
      </c>
      <c r="BP58" s="334">
        <f t="shared" si="418"/>
        <v>12.989692885147946</v>
      </c>
      <c r="BQ58" s="334">
        <f t="shared" ref="BQ58:BR58" si="419">+BQ57*1%</f>
        <v>12.548428525614803</v>
      </c>
      <c r="BR58" s="334">
        <f t="shared" si="419"/>
        <v>12.159045352417124</v>
      </c>
      <c r="BS58" s="334">
        <f t="shared" ref="BS58:BT58" si="420">+BS57*1%</f>
        <v>12.206546814110968</v>
      </c>
      <c r="BT58" s="334">
        <f t="shared" si="420"/>
        <v>12.261866522264748</v>
      </c>
      <c r="BU58" s="334">
        <f t="shared" ref="BU58:BV58" si="421">+BU57*1%</f>
        <v>12.090551584269829</v>
      </c>
      <c r="BV58" s="334">
        <f t="shared" si="421"/>
        <v>11.941871579510785</v>
      </c>
      <c r="BW58" s="334">
        <f t="shared" ref="BW58:BY58" si="422">+BW57*1%</f>
        <v>12.033753896982651</v>
      </c>
      <c r="BX58" s="334">
        <f t="shared" ref="BX58" si="423">+BX57*1%</f>
        <v>12.033753896982651</v>
      </c>
      <c r="BY58" s="334">
        <f t="shared" si="422"/>
        <v>12.2554462078749</v>
      </c>
      <c r="BZ58" s="334">
        <f t="shared" ref="BZ58:CA58" si="424">+BZ57*1%</f>
        <v>12.2554462078749</v>
      </c>
      <c r="CA58" s="334">
        <f t="shared" si="424"/>
        <v>13.170024167853025</v>
      </c>
      <c r="CB58" s="334">
        <f t="shared" ref="CB58:CC58" si="425">+CB57*1%</f>
        <v>14.197186546650142</v>
      </c>
      <c r="CC58" s="334">
        <f t="shared" si="425"/>
        <v>15.099821039091424</v>
      </c>
      <c r="CD58" s="334">
        <f t="shared" ref="CD58:CE58" si="426">+CD57*1%</f>
        <v>14.68930215646893</v>
      </c>
      <c r="CE58" s="334">
        <f t="shared" si="426"/>
        <v>14.413901886717804</v>
      </c>
      <c r="CF58" s="334">
        <f t="shared" ref="CF58:CG58" si="427">+CF57*1%</f>
        <v>13.636378209264894</v>
      </c>
      <c r="CG58" s="334">
        <f t="shared" si="427"/>
        <v>13.316466501380658</v>
      </c>
      <c r="CH58" s="334">
        <f t="shared" ref="CH58:CI58" si="428">+CH57*1%</f>
        <v>13.042777885746744</v>
      </c>
      <c r="CI58" s="334">
        <f t="shared" si="428"/>
        <v>12.117009226258197</v>
      </c>
      <c r="CJ58" s="334">
        <f t="shared" ref="CJ58:CK58" si="429">+CJ57*1%</f>
        <v>12.01596205157378</v>
      </c>
      <c r="CK58" s="334">
        <f t="shared" si="429"/>
        <v>11.786438201323385</v>
      </c>
      <c r="CL58" s="616">
        <f t="shared" ref="CL58:CM58" si="430">+CL57*1%</f>
        <v>11.595043426924331</v>
      </c>
      <c r="CM58" s="616">
        <f t="shared" si="430"/>
        <v>11.699781021941996</v>
      </c>
      <c r="CN58" s="616">
        <f t="shared" ref="CN58:CO58" si="431">+CN57*1%</f>
        <v>11.88462432983202</v>
      </c>
      <c r="CO58" s="616">
        <f t="shared" si="431"/>
        <v>13.644350559233303</v>
      </c>
      <c r="CP58" s="616">
        <f t="shared" ref="CP58:CQ58" si="432">+CP57*1%</f>
        <v>12.867632895323181</v>
      </c>
      <c r="CQ58" s="616">
        <f t="shared" si="432"/>
        <v>12.495027202502913</v>
      </c>
      <c r="CR58" s="616">
        <f t="shared" ref="CR58:CS58" si="433">+CR57*1%</f>
        <v>12.297082723501065</v>
      </c>
      <c r="CS58" s="616">
        <f t="shared" si="433"/>
        <v>12.014273245732037</v>
      </c>
      <c r="CT58" s="616">
        <f t="shared" ref="CT58:CU58" si="434">+CT57*1%</f>
        <v>11.709491189896669</v>
      </c>
      <c r="CU58" s="616">
        <f t="shared" si="434"/>
        <v>11.371396232839734</v>
      </c>
      <c r="CV58" s="616">
        <f t="shared" ref="CV58" si="435">+CV57*1%</f>
        <v>11.223752534824653</v>
      </c>
      <c r="CW58" s="235"/>
    </row>
    <row r="59" spans="4:101" ht="15" hidden="1" thickBot="1" x14ac:dyDescent="0.4">
      <c r="D59" s="626" t="s">
        <v>126</v>
      </c>
      <c r="E59" s="36"/>
      <c r="F59" s="36"/>
      <c r="G59" s="36"/>
      <c r="H59" s="36"/>
      <c r="I59" s="36"/>
      <c r="J59" s="36"/>
      <c r="K59" s="36"/>
      <c r="L59" s="36"/>
      <c r="M59" s="36"/>
      <c r="N59" s="36"/>
      <c r="O59" s="36"/>
      <c r="P59" s="36"/>
      <c r="Q59" s="36"/>
      <c r="R59" s="36"/>
      <c r="S59" s="36"/>
      <c r="T59" s="36"/>
      <c r="U59" s="36"/>
      <c r="V59" s="36"/>
      <c r="W59" s="36"/>
      <c r="X59" s="36"/>
      <c r="Y59" s="36"/>
      <c r="Z59" s="69">
        <f t="shared" ref="Z59:AV59" si="436">+Z58+Z57</f>
        <v>1161.886847451384</v>
      </c>
      <c r="AA59" s="69">
        <f t="shared" si="436"/>
        <v>1033.3388143361979</v>
      </c>
      <c r="AB59" s="69">
        <f t="shared" si="436"/>
        <v>931.26827414453476</v>
      </c>
      <c r="AC59" s="69">
        <f t="shared" si="436"/>
        <v>996.31450000000007</v>
      </c>
      <c r="AD59" s="69">
        <f t="shared" si="436"/>
        <v>949.1941997512663</v>
      </c>
      <c r="AE59" s="69">
        <f t="shared" si="436"/>
        <v>971.70079999999984</v>
      </c>
      <c r="AF59" s="69">
        <f t="shared" si="436"/>
        <v>960.10183497523894</v>
      </c>
      <c r="AG59" s="69">
        <f t="shared" si="436"/>
        <v>965.60039999999981</v>
      </c>
      <c r="AH59" s="69">
        <f t="shared" si="436"/>
        <v>936.25462167549369</v>
      </c>
      <c r="AI59" s="69">
        <f t="shared" si="436"/>
        <v>921.91887252398681</v>
      </c>
      <c r="AJ59" s="69">
        <f t="shared" si="436"/>
        <v>924.26246209647184</v>
      </c>
      <c r="AK59" s="69">
        <f t="shared" si="436"/>
        <v>914.43935122754829</v>
      </c>
      <c r="AL59" s="69" t="e">
        <f t="shared" si="436"/>
        <v>#REF!</v>
      </c>
      <c r="AM59" s="69" t="e">
        <f t="shared" si="436"/>
        <v>#REF!</v>
      </c>
      <c r="AN59" s="69" t="e">
        <f t="shared" si="436"/>
        <v>#REF!</v>
      </c>
      <c r="AO59" s="69" t="e">
        <f t="shared" si="436"/>
        <v>#REF!</v>
      </c>
      <c r="AP59" s="69" t="e">
        <f t="shared" si="436"/>
        <v>#REF!</v>
      </c>
      <c r="AQ59" s="69" t="e">
        <f t="shared" si="436"/>
        <v>#REF!</v>
      </c>
      <c r="AR59" s="69" t="e">
        <f t="shared" si="436"/>
        <v>#REF!</v>
      </c>
      <c r="AS59" s="69" t="e">
        <f t="shared" si="436"/>
        <v>#REF!</v>
      </c>
      <c r="AT59" s="69" t="e">
        <f t="shared" si="436"/>
        <v>#REF!</v>
      </c>
      <c r="AU59" s="69" t="e">
        <f t="shared" si="436"/>
        <v>#REF!</v>
      </c>
      <c r="AV59" s="69" t="e">
        <f t="shared" si="436"/>
        <v>#REF!</v>
      </c>
      <c r="AW59" s="69">
        <v>1798.6111983942506</v>
      </c>
      <c r="AX59" s="69">
        <v>1863.3062143789584</v>
      </c>
      <c r="AY59" s="69" t="e">
        <f>+AY58+AY57</f>
        <v>#REF!</v>
      </c>
      <c r="AZ59" s="69">
        <v>1898.9294633462098</v>
      </c>
      <c r="BA59" s="69" t="e">
        <f t="shared" ref="BA59:BF59" si="437">+BA58+BA57</f>
        <v>#REF!</v>
      </c>
      <c r="BB59" s="69" t="e">
        <f t="shared" si="437"/>
        <v>#REF!</v>
      </c>
      <c r="BC59" s="347" t="e">
        <f t="shared" si="437"/>
        <v>#REF!</v>
      </c>
      <c r="BD59" s="347" t="e">
        <f t="shared" si="437"/>
        <v>#REF!</v>
      </c>
      <c r="BE59" s="347" t="e">
        <f t="shared" si="437"/>
        <v>#REF!</v>
      </c>
      <c r="BF59" s="347" t="e">
        <f t="shared" si="437"/>
        <v>#REF!</v>
      </c>
      <c r="BG59" s="347" t="e">
        <f t="shared" ref="BG59:BH59" si="438">+BG58+BG57</f>
        <v>#REF!</v>
      </c>
      <c r="BH59" s="347" t="e">
        <f t="shared" si="438"/>
        <v>#REF!</v>
      </c>
      <c r="BI59" s="347" t="e">
        <f t="shared" ref="BI59:BJ59" si="439">+BI58+BI57</f>
        <v>#REF!</v>
      </c>
      <c r="BJ59" s="347" t="e">
        <f t="shared" si="439"/>
        <v>#REF!</v>
      </c>
      <c r="BK59" s="347" t="e">
        <f t="shared" ref="BK59:BL59" si="440">+BK58+BK57</f>
        <v>#REF!</v>
      </c>
      <c r="BL59" s="347" t="e">
        <f t="shared" si="440"/>
        <v>#REF!</v>
      </c>
      <c r="BM59" s="347" t="e">
        <f t="shared" ref="BM59:BN59" si="441">+BM58+BM57</f>
        <v>#REF!</v>
      </c>
      <c r="BN59" s="347">
        <f t="shared" si="441"/>
        <v>1279.6844810125592</v>
      </c>
      <c r="BO59" s="347">
        <f t="shared" ref="BO59:BP59" si="442">+BO58+BO57</f>
        <v>1317.1620417986576</v>
      </c>
      <c r="BP59" s="347">
        <f t="shared" si="442"/>
        <v>1311.9589813999423</v>
      </c>
      <c r="BQ59" s="347">
        <f t="shared" ref="BQ59:BR59" si="443">+BQ58+BQ57</f>
        <v>1267.391281087095</v>
      </c>
      <c r="BR59" s="347">
        <f t="shared" si="443"/>
        <v>1228.0635805941295</v>
      </c>
      <c r="BS59" s="347">
        <f t="shared" ref="BS59:BT59" si="444">+BS58+BS57</f>
        <v>1232.8612282252077</v>
      </c>
      <c r="BT59" s="347">
        <f t="shared" si="444"/>
        <v>1238.4485187487394</v>
      </c>
      <c r="BU59" s="347">
        <f t="shared" ref="BU59:BV59" si="445">+BU58+BU57</f>
        <v>1221.1457100112527</v>
      </c>
      <c r="BV59" s="347">
        <f t="shared" si="445"/>
        <v>1206.1290295305892</v>
      </c>
      <c r="BW59" s="347">
        <f t="shared" ref="BW59:BY59" si="446">+BW58+BW57</f>
        <v>1215.4091435952478</v>
      </c>
      <c r="BX59" s="347">
        <f t="shared" ref="BX59" si="447">+BX58+BX57</f>
        <v>1215.4091435952478</v>
      </c>
      <c r="BY59" s="347">
        <f t="shared" si="446"/>
        <v>1237.8000669953649</v>
      </c>
      <c r="BZ59" s="347">
        <f t="shared" ref="BZ59:CA59" si="448">+BZ58+BZ57</f>
        <v>1237.8000669953649</v>
      </c>
      <c r="CA59" s="347">
        <f t="shared" si="448"/>
        <v>1330.1724409531555</v>
      </c>
      <c r="CB59" s="347">
        <f t="shared" ref="CB59:CC59" si="449">+CB58+CB57</f>
        <v>1433.9158412116642</v>
      </c>
      <c r="CC59" s="347">
        <f t="shared" si="449"/>
        <v>1525.0819249482338</v>
      </c>
      <c r="CD59" s="347">
        <f t="shared" ref="CD59:CE59" si="450">+CD58+CD57</f>
        <v>1483.619517803362</v>
      </c>
      <c r="CE59" s="347">
        <f t="shared" si="450"/>
        <v>1455.8040905584983</v>
      </c>
      <c r="CF59" s="347">
        <f t="shared" ref="CF59:CG59" si="451">+CF58+CF57</f>
        <v>1377.2741991357543</v>
      </c>
      <c r="CG59" s="347">
        <f t="shared" si="451"/>
        <v>1344.9631166394463</v>
      </c>
      <c r="CH59" s="347">
        <f t="shared" ref="CH59:CI59" si="452">+CH58+CH57</f>
        <v>1317.3205664604211</v>
      </c>
      <c r="CI59" s="347">
        <f t="shared" si="452"/>
        <v>1223.8179318520779</v>
      </c>
      <c r="CJ59" s="347">
        <f t="shared" ref="CJ59:CK59" si="453">+CJ58+CJ57</f>
        <v>1213.6121672089516</v>
      </c>
      <c r="CK59" s="347">
        <f t="shared" si="453"/>
        <v>1190.4302583336619</v>
      </c>
      <c r="CL59" s="654">
        <f t="shared" ref="CL59:CM59" si="454">+CL58+CL57</f>
        <v>1171.0993861193574</v>
      </c>
      <c r="CM59" s="654">
        <f t="shared" si="454"/>
        <v>1181.6778832161417</v>
      </c>
      <c r="CN59" s="654">
        <f t="shared" ref="CN59:CO59" si="455">+CN58+CN57</f>
        <v>1200.3470573130339</v>
      </c>
      <c r="CO59" s="654">
        <f t="shared" si="455"/>
        <v>1378.0794064825636</v>
      </c>
      <c r="CP59" s="654">
        <f t="shared" ref="CP59:CQ59" si="456">+CP58+CP57</f>
        <v>1299.6309224276413</v>
      </c>
      <c r="CQ59" s="654">
        <f t="shared" si="456"/>
        <v>1261.9977474527943</v>
      </c>
      <c r="CR59" s="654">
        <f t="shared" ref="CR59:CS59" si="457">+CR58+CR57</f>
        <v>1242.0053550736075</v>
      </c>
      <c r="CS59" s="654">
        <f t="shared" si="457"/>
        <v>1213.4415978189356</v>
      </c>
      <c r="CT59" s="654">
        <f t="shared" ref="CT59:CU59" si="458">+CT58+CT57</f>
        <v>1182.6586101795635</v>
      </c>
      <c r="CU59" s="654">
        <f t="shared" si="458"/>
        <v>1148.5110195168131</v>
      </c>
      <c r="CV59" s="654">
        <f t="shared" ref="CV59" si="459">+CV58+CV57</f>
        <v>1133.5990060172899</v>
      </c>
    </row>
    <row r="60" spans="4:101" ht="15" hidden="1" thickBot="1" x14ac:dyDescent="0.4">
      <c r="D60" s="648"/>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644"/>
      <c r="CM60" s="644"/>
      <c r="CN60" s="644"/>
      <c r="CO60" s="644"/>
      <c r="CP60" s="644"/>
      <c r="CQ60" s="644"/>
      <c r="CR60" s="644"/>
      <c r="CS60" s="644"/>
      <c r="CT60" s="644"/>
      <c r="CU60" s="644"/>
      <c r="CV60" s="644"/>
      <c r="CW60" s="243"/>
    </row>
    <row r="61" spans="4:101" x14ac:dyDescent="0.35">
      <c r="D61" s="655" t="s">
        <v>511</v>
      </c>
      <c r="E61" s="36"/>
      <c r="F61" s="36"/>
      <c r="G61" s="36"/>
      <c r="H61" s="36"/>
      <c r="I61" s="36"/>
      <c r="J61" s="36"/>
      <c r="K61" s="36"/>
      <c r="L61" s="36"/>
      <c r="M61" s="36"/>
      <c r="N61" s="36"/>
      <c r="O61" s="36"/>
      <c r="P61" s="36"/>
      <c r="Q61" s="36"/>
      <c r="R61" s="36"/>
      <c r="S61" s="36"/>
      <c r="T61" s="36"/>
      <c r="U61" s="36"/>
      <c r="V61" s="36"/>
      <c r="W61" s="36"/>
      <c r="X61" s="36"/>
      <c r="Y61" s="36"/>
      <c r="Z61" s="36"/>
      <c r="AA61" s="24">
        <f>+AA68</f>
        <v>0</v>
      </c>
      <c r="AB61" s="24">
        <f>+AB68</f>
        <v>0</v>
      </c>
      <c r="AC61" s="24">
        <f>+AC68</f>
        <v>0</v>
      </c>
      <c r="AD61" s="24">
        <f>+AD68</f>
        <v>0</v>
      </c>
      <c r="AE61" s="24">
        <f t="shared" ref="AE61:AK61" si="460">+(AE26*50%)+(AE34*50%)</f>
        <v>1056.0323258500614</v>
      </c>
      <c r="AF61" s="24">
        <f t="shared" si="460"/>
        <v>1057.1655173240197</v>
      </c>
      <c r="AG61" s="24">
        <f t="shared" si="460"/>
        <v>1059.8875792174656</v>
      </c>
      <c r="AH61" s="24">
        <f t="shared" si="460"/>
        <v>466.49238696806617</v>
      </c>
      <c r="AI61" s="24">
        <f t="shared" si="460"/>
        <v>1019.0123373437202</v>
      </c>
      <c r="AJ61" s="24">
        <f t="shared" si="460"/>
        <v>1034.3661219290843</v>
      </c>
      <c r="AK61" s="24">
        <f t="shared" si="460"/>
        <v>1051.4568714466118</v>
      </c>
      <c r="AL61" s="24" t="e">
        <f t="shared" ref="AL61:AQ61" si="461">+(AL27*50%)+(AL34*50%)</f>
        <v>#REF!</v>
      </c>
      <c r="AM61" s="24" t="e">
        <f t="shared" si="461"/>
        <v>#REF!</v>
      </c>
      <c r="AN61" s="24" t="e">
        <f t="shared" si="461"/>
        <v>#REF!</v>
      </c>
      <c r="AO61" s="24" t="e">
        <f t="shared" si="461"/>
        <v>#REF!</v>
      </c>
      <c r="AP61" s="24" t="e">
        <f t="shared" si="461"/>
        <v>#REF!</v>
      </c>
      <c r="AQ61" s="24" t="e">
        <f t="shared" si="461"/>
        <v>#REF!</v>
      </c>
      <c r="AR61" s="24" t="e">
        <f>+(AR28*50%)+(AR34*50%)</f>
        <v>#REF!</v>
      </c>
      <c r="AS61" s="24" t="e">
        <f>+(AS28*50%)+(AS34*50%)</f>
        <v>#REF!</v>
      </c>
      <c r="AT61" s="24" t="e">
        <f>+(AT28*50%)+(AT34*50%)</f>
        <v>#REF!</v>
      </c>
      <c r="AU61" s="24" t="e">
        <f>+(AU28*50%)+(AU34*50%)</f>
        <v>#REF!</v>
      </c>
      <c r="AV61" s="24" t="e">
        <f>+(AV28*50%)+(AV34*50%)</f>
        <v>#REF!</v>
      </c>
      <c r="AW61" s="24">
        <v>1811.4701039331899</v>
      </c>
      <c r="AX61" s="24">
        <v>1805.3359025934865</v>
      </c>
      <c r="AY61" s="24" t="e">
        <f>+(AY28*50%)+(AY34*50%)</f>
        <v>#REF!</v>
      </c>
      <c r="AZ61" s="24">
        <v>1943.7183896636698</v>
      </c>
      <c r="BA61" s="24" t="e">
        <f>+(BA28*50%)+(BA34*50%)</f>
        <v>#REF!</v>
      </c>
      <c r="BB61" s="24" t="e">
        <f>+(BB28*50%)+(BB34*50%)</f>
        <v>#REF!</v>
      </c>
      <c r="BC61" s="342" t="e">
        <f>+(BC28*50%)+(BC34*50%)</f>
        <v>#REF!</v>
      </c>
      <c r="BD61" s="342" t="e">
        <f t="shared" ref="BD61:CT61" si="462">+(BD30*50%)+(BD34*50%)</f>
        <v>#REF!</v>
      </c>
      <c r="BE61" s="342" t="e">
        <f t="shared" si="462"/>
        <v>#REF!</v>
      </c>
      <c r="BF61" s="342" t="e">
        <f t="shared" si="462"/>
        <v>#REF!</v>
      </c>
      <c r="BG61" s="342" t="e">
        <f t="shared" si="462"/>
        <v>#REF!</v>
      </c>
      <c r="BH61" s="342" t="e">
        <f t="shared" si="462"/>
        <v>#REF!</v>
      </c>
      <c r="BI61" s="342" t="e">
        <f t="shared" si="462"/>
        <v>#REF!</v>
      </c>
      <c r="BJ61" s="342" t="e">
        <f t="shared" si="462"/>
        <v>#REF!</v>
      </c>
      <c r="BK61" s="342" t="e">
        <f t="shared" si="462"/>
        <v>#REF!</v>
      </c>
      <c r="BL61" s="342" t="e">
        <f t="shared" si="462"/>
        <v>#REF!</v>
      </c>
      <c r="BM61" s="342" t="e">
        <f t="shared" si="462"/>
        <v>#REF!</v>
      </c>
      <c r="BN61" s="342">
        <f t="shared" si="462"/>
        <v>1444.0398409066308</v>
      </c>
      <c r="BO61" s="342">
        <f t="shared" si="462"/>
        <v>1451.8836007049708</v>
      </c>
      <c r="BP61" s="342">
        <f t="shared" si="462"/>
        <v>1493.8302929987699</v>
      </c>
      <c r="BQ61" s="342">
        <f t="shared" si="462"/>
        <v>1494.973714505616</v>
      </c>
      <c r="BR61" s="342">
        <f t="shared" si="462"/>
        <v>1456.2904847403356</v>
      </c>
      <c r="BS61" s="342">
        <f t="shared" si="462"/>
        <v>1453.9071320187054</v>
      </c>
      <c r="BT61" s="342">
        <f t="shared" si="462"/>
        <v>1471.9641774118656</v>
      </c>
      <c r="BU61" s="342">
        <f t="shared" si="462"/>
        <v>1514.2356761281285</v>
      </c>
      <c r="BV61" s="342">
        <f t="shared" si="462"/>
        <v>1543.0113329713395</v>
      </c>
      <c r="BW61" s="342">
        <f t="shared" si="462"/>
        <v>1434.0268259460618</v>
      </c>
      <c r="BX61" s="342">
        <f t="shared" si="462"/>
        <v>1520.8796957077025</v>
      </c>
      <c r="BY61" s="342">
        <f t="shared" si="462"/>
        <v>1543.8331566074637</v>
      </c>
      <c r="BZ61" s="342">
        <f t="shared" si="462"/>
        <v>1543.8331566074637</v>
      </c>
      <c r="CA61" s="342">
        <f t="shared" si="462"/>
        <v>1628.292590267075</v>
      </c>
      <c r="CB61" s="342">
        <f t="shared" si="462"/>
        <v>1695.3460406398112</v>
      </c>
      <c r="CC61" s="342">
        <f t="shared" si="462"/>
        <v>1778.1910231556062</v>
      </c>
      <c r="CD61" s="342">
        <f t="shared" si="462"/>
        <v>1792.4189001987043</v>
      </c>
      <c r="CE61" s="342">
        <f t="shared" si="462"/>
        <v>1793.5191733412723</v>
      </c>
      <c r="CF61" s="342">
        <f t="shared" si="462"/>
        <v>1773.5056246027134</v>
      </c>
      <c r="CG61" s="342">
        <f t="shared" si="462"/>
        <v>1719.9882780273892</v>
      </c>
      <c r="CH61" s="342">
        <f t="shared" si="462"/>
        <v>1722.0703948247033</v>
      </c>
      <c r="CI61" s="342">
        <f t="shared" si="462"/>
        <v>1719.0618176620319</v>
      </c>
      <c r="CJ61" s="342">
        <f t="shared" si="462"/>
        <v>1764.5997853516242</v>
      </c>
      <c r="CK61" s="342">
        <f t="shared" si="462"/>
        <v>1753.3540101726319</v>
      </c>
      <c r="CL61" s="646">
        <f t="shared" si="462"/>
        <v>1705.7581607124614</v>
      </c>
      <c r="CM61" s="646">
        <f t="shared" si="462"/>
        <v>1731.0760488748911</v>
      </c>
      <c r="CN61" s="646">
        <f t="shared" si="462"/>
        <v>1736.0853721371464</v>
      </c>
      <c r="CO61" s="646">
        <f t="shared" si="462"/>
        <v>1822.1152568525076</v>
      </c>
      <c r="CP61" s="646">
        <f t="shared" si="462"/>
        <v>1748.9811997955451</v>
      </c>
      <c r="CQ61" s="646">
        <f t="shared" si="462"/>
        <v>1733.3358250860506</v>
      </c>
      <c r="CR61" s="646">
        <f t="shared" si="462"/>
        <v>1709.7624237732939</v>
      </c>
      <c r="CS61" s="646">
        <f t="shared" si="462"/>
        <v>1704.1678092524717</v>
      </c>
      <c r="CT61" s="646">
        <f t="shared" si="462"/>
        <v>1548.4324709979751</v>
      </c>
      <c r="CU61" s="641">
        <f>+(CU30*50%)+(CU38*50%)</f>
        <v>1494.1050559351659</v>
      </c>
      <c r="CV61" s="641">
        <f>+(CV30*50%)+(CV38*50%)</f>
        <v>1502.5564282985902</v>
      </c>
      <c r="CW61" s="240"/>
    </row>
    <row r="62" spans="4:101" x14ac:dyDescent="0.35">
      <c r="D62" s="642" t="s">
        <v>125</v>
      </c>
      <c r="E62" s="36"/>
      <c r="F62" s="36"/>
      <c r="G62" s="36"/>
      <c r="H62" s="36"/>
      <c r="I62" s="36"/>
      <c r="J62" s="36"/>
      <c r="K62" s="36"/>
      <c r="L62" s="36"/>
      <c r="M62" s="36"/>
      <c r="N62" s="36"/>
      <c r="O62" s="36"/>
      <c r="P62" s="36"/>
      <c r="Q62" s="36"/>
      <c r="R62" s="36"/>
      <c r="S62" s="36"/>
      <c r="T62" s="36"/>
      <c r="U62" s="36"/>
      <c r="V62" s="36"/>
      <c r="W62" s="36"/>
      <c r="X62" s="36"/>
      <c r="Y62" s="36"/>
      <c r="Z62" s="36"/>
      <c r="AA62" s="8">
        <f t="shared" ref="AA62:AV62" si="463">+AA61*1%</f>
        <v>0</v>
      </c>
      <c r="AB62" s="8">
        <f t="shared" si="463"/>
        <v>0</v>
      </c>
      <c r="AC62" s="8">
        <f t="shared" si="463"/>
        <v>0</v>
      </c>
      <c r="AD62" s="8">
        <f t="shared" si="463"/>
        <v>0</v>
      </c>
      <c r="AE62" s="8">
        <f t="shared" si="463"/>
        <v>10.560323258500615</v>
      </c>
      <c r="AF62" s="8">
        <f t="shared" si="463"/>
        <v>10.571655173240197</v>
      </c>
      <c r="AG62" s="8">
        <f t="shared" si="463"/>
        <v>10.598875792174656</v>
      </c>
      <c r="AH62" s="8">
        <f t="shared" si="463"/>
        <v>4.6649238696806616</v>
      </c>
      <c r="AI62" s="8">
        <f t="shared" si="463"/>
        <v>10.190123373437203</v>
      </c>
      <c r="AJ62" s="8">
        <f t="shared" si="463"/>
        <v>10.343661219290844</v>
      </c>
      <c r="AK62" s="8">
        <f t="shared" si="463"/>
        <v>10.514568714466119</v>
      </c>
      <c r="AL62" s="8" t="e">
        <f t="shared" si="463"/>
        <v>#REF!</v>
      </c>
      <c r="AM62" s="8" t="e">
        <f t="shared" si="463"/>
        <v>#REF!</v>
      </c>
      <c r="AN62" s="8" t="e">
        <f t="shared" si="463"/>
        <v>#REF!</v>
      </c>
      <c r="AO62" s="8" t="e">
        <f t="shared" si="463"/>
        <v>#REF!</v>
      </c>
      <c r="AP62" s="8" t="e">
        <f t="shared" si="463"/>
        <v>#REF!</v>
      </c>
      <c r="AQ62" s="8" t="e">
        <f t="shared" si="463"/>
        <v>#REF!</v>
      </c>
      <c r="AR62" s="8" t="e">
        <f t="shared" si="463"/>
        <v>#REF!</v>
      </c>
      <c r="AS62" s="8" t="e">
        <f t="shared" si="463"/>
        <v>#REF!</v>
      </c>
      <c r="AT62" s="8" t="e">
        <f t="shared" si="463"/>
        <v>#REF!</v>
      </c>
      <c r="AU62" s="8" t="e">
        <f t="shared" si="463"/>
        <v>#REF!</v>
      </c>
      <c r="AV62" s="8" t="e">
        <f t="shared" si="463"/>
        <v>#REF!</v>
      </c>
      <c r="AW62" s="8">
        <v>18.114701039331898</v>
      </c>
      <c r="AX62" s="8">
        <v>18.053359025934864</v>
      </c>
      <c r="AY62" s="8" t="e">
        <f>+AY61*1%</f>
        <v>#REF!</v>
      </c>
      <c r="AZ62" s="8">
        <v>19.437183896636697</v>
      </c>
      <c r="BA62" s="8" t="e">
        <f t="shared" ref="BA62:BF62" si="464">+BA61*1%</f>
        <v>#REF!</v>
      </c>
      <c r="BB62" s="8" t="e">
        <f t="shared" si="464"/>
        <v>#REF!</v>
      </c>
      <c r="BC62" s="334" t="e">
        <f t="shared" si="464"/>
        <v>#REF!</v>
      </c>
      <c r="BD62" s="334" t="e">
        <f t="shared" si="464"/>
        <v>#REF!</v>
      </c>
      <c r="BE62" s="334" t="e">
        <f t="shared" si="464"/>
        <v>#REF!</v>
      </c>
      <c r="BF62" s="334" t="e">
        <f t="shared" si="464"/>
        <v>#REF!</v>
      </c>
      <c r="BG62" s="334" t="e">
        <f t="shared" ref="BG62:BH62" si="465">+BG61*1%</f>
        <v>#REF!</v>
      </c>
      <c r="BH62" s="334" t="e">
        <f t="shared" si="465"/>
        <v>#REF!</v>
      </c>
      <c r="BI62" s="334" t="e">
        <f t="shared" ref="BI62:BJ62" si="466">+BI61*1%</f>
        <v>#REF!</v>
      </c>
      <c r="BJ62" s="334" t="e">
        <f t="shared" si="466"/>
        <v>#REF!</v>
      </c>
      <c r="BK62" s="334" t="e">
        <f t="shared" ref="BK62:BL62" si="467">+BK61*1%</f>
        <v>#REF!</v>
      </c>
      <c r="BL62" s="334" t="e">
        <f t="shared" si="467"/>
        <v>#REF!</v>
      </c>
      <c r="BM62" s="334" t="e">
        <f t="shared" ref="BM62:BN62" si="468">+BM61*1%</f>
        <v>#REF!</v>
      </c>
      <c r="BN62" s="334">
        <f t="shared" si="468"/>
        <v>14.440398409066308</v>
      </c>
      <c r="BO62" s="334">
        <f t="shared" ref="BO62:BP62" si="469">+BO61*1%</f>
        <v>14.518836007049709</v>
      </c>
      <c r="BP62" s="334">
        <f t="shared" si="469"/>
        <v>14.938302929987699</v>
      </c>
      <c r="BQ62" s="334">
        <f t="shared" ref="BQ62:BR62" si="470">+BQ61*1%</f>
        <v>14.949737145056162</v>
      </c>
      <c r="BR62" s="334">
        <f t="shared" si="470"/>
        <v>14.562904847403356</v>
      </c>
      <c r="BS62" s="334">
        <f t="shared" ref="BS62:BT62" si="471">+BS61*1%</f>
        <v>14.539071320187054</v>
      </c>
      <c r="BT62" s="334">
        <f t="shared" si="471"/>
        <v>14.719641774118656</v>
      </c>
      <c r="BU62" s="334">
        <f t="shared" ref="BU62:BV62" si="472">+BU61*1%</f>
        <v>15.142356761281285</v>
      </c>
      <c r="BV62" s="334">
        <f t="shared" si="472"/>
        <v>15.430113329713395</v>
      </c>
      <c r="BW62" s="334">
        <f t="shared" ref="BW62:BY62" si="473">+BW61*1%</f>
        <v>14.340268259460618</v>
      </c>
      <c r="BX62" s="334">
        <f t="shared" ref="BX62" si="474">+BX61*1%</f>
        <v>15.208796957077025</v>
      </c>
      <c r="BY62" s="334">
        <f t="shared" si="473"/>
        <v>15.438331566074638</v>
      </c>
      <c r="BZ62" s="334">
        <f t="shared" ref="BZ62:CA62" si="475">+BZ61*1%</f>
        <v>15.438331566074638</v>
      </c>
      <c r="CA62" s="334">
        <f t="shared" si="475"/>
        <v>16.282925902670751</v>
      </c>
      <c r="CB62" s="334">
        <f t="shared" ref="CB62:CC62" si="476">+CB61*1%</f>
        <v>16.953460406398111</v>
      </c>
      <c r="CC62" s="334">
        <f t="shared" si="476"/>
        <v>17.781910231556061</v>
      </c>
      <c r="CD62" s="334">
        <f t="shared" ref="CD62:CE62" si="477">+CD61*1%</f>
        <v>17.924189001987042</v>
      </c>
      <c r="CE62" s="334">
        <f t="shared" si="477"/>
        <v>17.935191733412722</v>
      </c>
      <c r="CF62" s="334">
        <f t="shared" ref="CF62:CG62" si="478">+CF61*1%</f>
        <v>17.735056246027135</v>
      </c>
      <c r="CG62" s="334">
        <f t="shared" si="478"/>
        <v>17.199882780273892</v>
      </c>
      <c r="CH62" s="334">
        <f t="shared" ref="CH62:CI62" si="479">+CH61*1%</f>
        <v>17.220703948247031</v>
      </c>
      <c r="CI62" s="334">
        <f t="shared" si="479"/>
        <v>17.190618176620319</v>
      </c>
      <c r="CJ62" s="334">
        <f t="shared" ref="CJ62:CK62" si="480">+CJ61*1%</f>
        <v>17.645997853516242</v>
      </c>
      <c r="CK62" s="334">
        <f t="shared" si="480"/>
        <v>17.53354010172632</v>
      </c>
      <c r="CL62" s="616">
        <f t="shared" ref="CL62:CM62" si="481">+CL61*1%</f>
        <v>17.057581607124614</v>
      </c>
      <c r="CM62" s="616">
        <f t="shared" si="481"/>
        <v>17.310760488748912</v>
      </c>
      <c r="CN62" s="616">
        <f t="shared" ref="CN62:CO62" si="482">+CN61*1%</f>
        <v>17.360853721371463</v>
      </c>
      <c r="CO62" s="616">
        <f t="shared" si="482"/>
        <v>18.221152568525078</v>
      </c>
      <c r="CP62" s="616">
        <f t="shared" ref="CP62:CQ62" si="483">+CP61*1%</f>
        <v>17.489811997955453</v>
      </c>
      <c r="CQ62" s="616">
        <f t="shared" si="483"/>
        <v>17.333358250860506</v>
      </c>
      <c r="CR62" s="616">
        <f t="shared" ref="CR62:CS62" si="484">+CR61*1%</f>
        <v>17.097624237732941</v>
      </c>
      <c r="CS62" s="616">
        <f t="shared" si="484"/>
        <v>17.041678092524716</v>
      </c>
      <c r="CT62" s="616">
        <f t="shared" ref="CT62:CU62" si="485">+CT61*1%</f>
        <v>15.484324709979751</v>
      </c>
      <c r="CU62" s="616">
        <f t="shared" si="485"/>
        <v>14.941050559351659</v>
      </c>
      <c r="CV62" s="616">
        <f t="shared" ref="CV62" si="486">+CV61*1%</f>
        <v>15.025564282985902</v>
      </c>
      <c r="CW62" s="235"/>
    </row>
    <row r="63" spans="4:101" x14ac:dyDescent="0.35">
      <c r="D63" s="626" t="s">
        <v>126</v>
      </c>
      <c r="E63" s="36"/>
      <c r="F63" s="36"/>
      <c r="G63" s="36"/>
      <c r="H63" s="36"/>
      <c r="I63" s="36"/>
      <c r="J63" s="36"/>
      <c r="K63" s="36"/>
      <c r="L63" s="36"/>
      <c r="M63" s="36"/>
      <c r="N63" s="36"/>
      <c r="O63" s="36"/>
      <c r="P63" s="36"/>
      <c r="Q63" s="36"/>
      <c r="R63" s="36"/>
      <c r="S63" s="36"/>
      <c r="T63" s="36"/>
      <c r="U63" s="36"/>
      <c r="V63" s="36"/>
      <c r="W63" s="36"/>
      <c r="X63" s="36"/>
      <c r="Y63" s="36"/>
      <c r="Z63" s="36"/>
      <c r="AA63" s="95">
        <f t="shared" ref="AA63:AV63" si="487">+AA62+AA61</f>
        <v>0</v>
      </c>
      <c r="AB63" s="95">
        <f t="shared" si="487"/>
        <v>0</v>
      </c>
      <c r="AC63" s="95">
        <f t="shared" si="487"/>
        <v>0</v>
      </c>
      <c r="AD63" s="95">
        <f t="shared" si="487"/>
        <v>0</v>
      </c>
      <c r="AE63" s="95">
        <f t="shared" si="487"/>
        <v>1066.592649108562</v>
      </c>
      <c r="AF63" s="95">
        <f t="shared" si="487"/>
        <v>1067.73717249726</v>
      </c>
      <c r="AG63" s="95">
        <f t="shared" si="487"/>
        <v>1070.4864550096402</v>
      </c>
      <c r="AH63" s="95">
        <f t="shared" si="487"/>
        <v>471.15731083774682</v>
      </c>
      <c r="AI63" s="95">
        <f t="shared" si="487"/>
        <v>1029.2024607171575</v>
      </c>
      <c r="AJ63" s="95">
        <f t="shared" si="487"/>
        <v>1044.7097831483752</v>
      </c>
      <c r="AK63" s="95">
        <f t="shared" si="487"/>
        <v>1061.9714401610779</v>
      </c>
      <c r="AL63" s="95" t="e">
        <f t="shared" si="487"/>
        <v>#REF!</v>
      </c>
      <c r="AM63" s="95" t="e">
        <f t="shared" si="487"/>
        <v>#REF!</v>
      </c>
      <c r="AN63" s="95" t="e">
        <f t="shared" si="487"/>
        <v>#REF!</v>
      </c>
      <c r="AO63" s="95" t="e">
        <f t="shared" si="487"/>
        <v>#REF!</v>
      </c>
      <c r="AP63" s="95" t="e">
        <f t="shared" si="487"/>
        <v>#REF!</v>
      </c>
      <c r="AQ63" s="95" t="e">
        <f t="shared" si="487"/>
        <v>#REF!</v>
      </c>
      <c r="AR63" s="95" t="e">
        <f t="shared" si="487"/>
        <v>#REF!</v>
      </c>
      <c r="AS63" s="95" t="e">
        <f t="shared" si="487"/>
        <v>#REF!</v>
      </c>
      <c r="AT63" s="95" t="e">
        <f t="shared" si="487"/>
        <v>#REF!</v>
      </c>
      <c r="AU63" s="95" t="e">
        <f t="shared" si="487"/>
        <v>#REF!</v>
      </c>
      <c r="AV63" s="95" t="e">
        <f t="shared" si="487"/>
        <v>#REF!</v>
      </c>
      <c r="AW63" s="95">
        <v>1829.5848049725219</v>
      </c>
      <c r="AX63" s="95">
        <v>1823.3892616194214</v>
      </c>
      <c r="AY63" s="95" t="e">
        <f>+AY62+AY61</f>
        <v>#REF!</v>
      </c>
      <c r="AZ63" s="95">
        <v>1963.1555735603065</v>
      </c>
      <c r="BA63" s="95" t="e">
        <f t="shared" ref="BA63:BF63" si="488">+BA62+BA61</f>
        <v>#REF!</v>
      </c>
      <c r="BB63" s="95" t="e">
        <f t="shared" si="488"/>
        <v>#REF!</v>
      </c>
      <c r="BC63" s="348" t="e">
        <f t="shared" si="488"/>
        <v>#REF!</v>
      </c>
      <c r="BD63" s="348" t="e">
        <f t="shared" si="488"/>
        <v>#REF!</v>
      </c>
      <c r="BE63" s="348" t="e">
        <f t="shared" si="488"/>
        <v>#REF!</v>
      </c>
      <c r="BF63" s="348" t="e">
        <f t="shared" si="488"/>
        <v>#REF!</v>
      </c>
      <c r="BG63" s="348" t="e">
        <f t="shared" ref="BG63:BH63" si="489">+BG62+BG61</f>
        <v>#REF!</v>
      </c>
      <c r="BH63" s="348" t="e">
        <f t="shared" si="489"/>
        <v>#REF!</v>
      </c>
      <c r="BI63" s="348" t="e">
        <f t="shared" ref="BI63:BJ63" si="490">+BI62+BI61</f>
        <v>#REF!</v>
      </c>
      <c r="BJ63" s="348" t="e">
        <f t="shared" si="490"/>
        <v>#REF!</v>
      </c>
      <c r="BK63" s="348" t="e">
        <f t="shared" ref="BK63:BL63" si="491">+BK62+BK61</f>
        <v>#REF!</v>
      </c>
      <c r="BL63" s="348" t="e">
        <f t="shared" si="491"/>
        <v>#REF!</v>
      </c>
      <c r="BM63" s="348" t="e">
        <f t="shared" ref="BM63:BN63" si="492">+BM62+BM61</f>
        <v>#REF!</v>
      </c>
      <c r="BN63" s="348">
        <f t="shared" si="492"/>
        <v>1458.4802393156972</v>
      </c>
      <c r="BO63" s="348">
        <f t="shared" ref="BO63:BP63" si="493">+BO62+BO61</f>
        <v>1466.4024367120205</v>
      </c>
      <c r="BP63" s="348">
        <f t="shared" si="493"/>
        <v>1508.7685959287576</v>
      </c>
      <c r="BQ63" s="348">
        <f t="shared" ref="BQ63:BR63" si="494">+BQ62+BQ61</f>
        <v>1509.9234516506722</v>
      </c>
      <c r="BR63" s="348">
        <f t="shared" si="494"/>
        <v>1470.853389587739</v>
      </c>
      <c r="BS63" s="348">
        <f t="shared" ref="BS63:BT63" si="495">+BS62+BS61</f>
        <v>1468.4462033388925</v>
      </c>
      <c r="BT63" s="348">
        <f t="shared" si="495"/>
        <v>1486.6838191859842</v>
      </c>
      <c r="BU63" s="348">
        <f t="shared" ref="BU63:BV63" si="496">+BU62+BU61</f>
        <v>1529.3780328894097</v>
      </c>
      <c r="BV63" s="348">
        <f t="shared" si="496"/>
        <v>1558.4414463010528</v>
      </c>
      <c r="BW63" s="348">
        <f t="shared" ref="BW63:BY63" si="497">+BW62+BW61</f>
        <v>1448.3670942055223</v>
      </c>
      <c r="BX63" s="348">
        <f t="shared" ref="BX63" si="498">+BX62+BX61</f>
        <v>1536.0884926647796</v>
      </c>
      <c r="BY63" s="348">
        <f t="shared" si="497"/>
        <v>1559.2714881735383</v>
      </c>
      <c r="BZ63" s="348">
        <f t="shared" ref="BZ63:CA63" si="499">+BZ62+BZ61</f>
        <v>1559.2714881735383</v>
      </c>
      <c r="CA63" s="348">
        <f t="shared" si="499"/>
        <v>1644.5755161697457</v>
      </c>
      <c r="CB63" s="348">
        <f t="shared" ref="CB63:CC63" si="500">+CB62+CB61</f>
        <v>1712.2995010462093</v>
      </c>
      <c r="CC63" s="348">
        <f t="shared" si="500"/>
        <v>1795.9729333871624</v>
      </c>
      <c r="CD63" s="348">
        <f t="shared" ref="CD63:CE63" si="501">+CD62+CD61</f>
        <v>1810.3430892006913</v>
      </c>
      <c r="CE63" s="348">
        <f t="shared" si="501"/>
        <v>1811.454365074685</v>
      </c>
      <c r="CF63" s="348">
        <f t="shared" ref="CF63:CG63" si="502">+CF62+CF61</f>
        <v>1791.2406808487406</v>
      </c>
      <c r="CG63" s="348">
        <f t="shared" si="502"/>
        <v>1737.1881608076631</v>
      </c>
      <c r="CH63" s="348">
        <f t="shared" ref="CH63:CI63" si="503">+CH62+CH61</f>
        <v>1739.2910987729504</v>
      </c>
      <c r="CI63" s="348">
        <f t="shared" si="503"/>
        <v>1736.2524358386522</v>
      </c>
      <c r="CJ63" s="348">
        <f t="shared" ref="CJ63:CK63" si="504">+CJ62+CJ61</f>
        <v>1782.2457832051405</v>
      </c>
      <c r="CK63" s="348">
        <f t="shared" si="504"/>
        <v>1770.8875502743583</v>
      </c>
      <c r="CL63" s="656">
        <f t="shared" ref="CL63:CM63" si="505">+CL62+CL61</f>
        <v>1722.815742319586</v>
      </c>
      <c r="CM63" s="656">
        <f t="shared" si="505"/>
        <v>1748.3868093636399</v>
      </c>
      <c r="CN63" s="656">
        <f t="shared" ref="CN63:CO63" si="506">+CN62+CN61</f>
        <v>1753.4462258585179</v>
      </c>
      <c r="CO63" s="656">
        <f t="shared" si="506"/>
        <v>1840.3364094210326</v>
      </c>
      <c r="CP63" s="656">
        <f t="shared" ref="CP63:CQ63" si="507">+CP62+CP61</f>
        <v>1766.4710117935006</v>
      </c>
      <c r="CQ63" s="656">
        <f t="shared" si="507"/>
        <v>1750.6691833369111</v>
      </c>
      <c r="CR63" s="656">
        <f t="shared" ref="CR63:CS63" si="508">+CR62+CR61</f>
        <v>1726.8600480110269</v>
      </c>
      <c r="CS63" s="656">
        <f t="shared" si="508"/>
        <v>1721.2094873449964</v>
      </c>
      <c r="CT63" s="656">
        <f t="shared" ref="CT63:CU63" si="509">+CT62+CT61</f>
        <v>1563.9167957079549</v>
      </c>
      <c r="CU63" s="656">
        <f t="shared" si="509"/>
        <v>1509.0461064945175</v>
      </c>
      <c r="CV63" s="656">
        <f t="shared" ref="CV63" si="510">+CV62+CV61</f>
        <v>1517.5819925815761</v>
      </c>
      <c r="CW63" s="235"/>
    </row>
    <row r="64" spans="4:101" hidden="1" x14ac:dyDescent="0.35">
      <c r="D64" s="651"/>
      <c r="E64" s="36"/>
      <c r="F64" s="36"/>
      <c r="G64" s="36"/>
      <c r="H64" s="36"/>
      <c r="I64" s="36"/>
      <c r="J64" s="36"/>
      <c r="K64" s="36"/>
      <c r="L64" s="36"/>
      <c r="M64" s="36"/>
      <c r="N64" s="36"/>
      <c r="O64" s="36"/>
      <c r="P64" s="36"/>
      <c r="Q64" s="36"/>
      <c r="R64" s="36"/>
      <c r="S64" s="36"/>
      <c r="T64" s="36"/>
      <c r="U64" s="36"/>
      <c r="V64" s="36"/>
      <c r="W64" s="36"/>
      <c r="X64" s="36"/>
      <c r="Y64" s="36"/>
      <c r="Z64" s="36"/>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341"/>
      <c r="BD64" s="341"/>
      <c r="BE64" s="341"/>
      <c r="BF64" s="341"/>
      <c r="BG64" s="341"/>
      <c r="BH64" s="341"/>
      <c r="BI64" s="341"/>
      <c r="BJ64" s="341"/>
      <c r="BK64" s="341"/>
      <c r="BL64" s="341"/>
      <c r="BM64" s="341"/>
      <c r="BN64" s="341"/>
      <c r="BO64" s="341"/>
      <c r="BP64" s="341"/>
      <c r="BQ64" s="341"/>
      <c r="BR64" s="341"/>
      <c r="BS64" s="341"/>
      <c r="BT64" s="341"/>
      <c r="BU64" s="341"/>
      <c r="BV64" s="341"/>
      <c r="BW64" s="341"/>
      <c r="BX64" s="341"/>
      <c r="BY64" s="341"/>
      <c r="BZ64" s="341"/>
      <c r="CA64" s="341"/>
      <c r="CB64" s="341"/>
      <c r="CC64" s="341"/>
      <c r="CD64" s="341"/>
      <c r="CE64" s="341"/>
      <c r="CF64" s="341"/>
      <c r="CG64" s="341"/>
      <c r="CH64" s="341"/>
      <c r="CI64" s="341"/>
      <c r="CJ64" s="341"/>
      <c r="CK64" s="341"/>
      <c r="CL64" s="629"/>
      <c r="CM64" s="629"/>
      <c r="CN64" s="629"/>
      <c r="CO64" s="629"/>
      <c r="CP64" s="629"/>
      <c r="CQ64" s="629"/>
      <c r="CR64" s="629"/>
      <c r="CS64" s="629"/>
      <c r="CT64" s="629"/>
      <c r="CU64" s="629"/>
      <c r="CV64" s="629"/>
      <c r="CW64" s="243"/>
    </row>
    <row r="65" spans="4:126" hidden="1" x14ac:dyDescent="0.35">
      <c r="D65" s="657" t="s">
        <v>132</v>
      </c>
      <c r="E65" s="36"/>
      <c r="F65" s="36"/>
      <c r="G65" s="36"/>
      <c r="H65" s="36"/>
      <c r="I65" s="36"/>
      <c r="J65" s="36"/>
      <c r="K65" s="36"/>
      <c r="L65" s="36"/>
      <c r="M65" s="36"/>
      <c r="N65" s="36"/>
      <c r="O65" s="36"/>
      <c r="P65" s="36"/>
      <c r="Q65" s="36"/>
      <c r="R65" s="36"/>
      <c r="S65" s="36"/>
      <c r="T65" s="36"/>
      <c r="U65" s="36"/>
      <c r="V65" s="36"/>
      <c r="W65" s="36"/>
      <c r="X65" s="36"/>
      <c r="Y65" s="36"/>
      <c r="Z65" s="36"/>
      <c r="AA65" s="24"/>
      <c r="AB65" s="24"/>
      <c r="AC65" s="24"/>
      <c r="AD65" s="24"/>
      <c r="AE65" s="24"/>
      <c r="AF65" s="24"/>
      <c r="AG65" s="24"/>
      <c r="AH65" s="24"/>
      <c r="AI65" s="24"/>
      <c r="AJ65" s="24"/>
      <c r="AK65" s="24"/>
      <c r="AL65" s="24"/>
      <c r="AM65" s="24"/>
      <c r="AN65" s="24"/>
      <c r="AO65" s="24"/>
      <c r="AP65" s="24"/>
      <c r="AQ65" s="24"/>
      <c r="AR65" s="24"/>
      <c r="AS65" s="24" t="e">
        <f>+(AS34*75%)+(AS28*25%)</f>
        <v>#REF!</v>
      </c>
      <c r="AT65" s="24" t="e">
        <f>+(AT34*75%)+(AT28*25%)</f>
        <v>#REF!</v>
      </c>
      <c r="AU65" s="24" t="e">
        <f>+(AU34*75%)+(AU28*25%)</f>
        <v>#REF!</v>
      </c>
      <c r="AV65" s="24" t="e">
        <f>+(AV34*75%)+(AV28*25%)</f>
        <v>#REF!</v>
      </c>
      <c r="AW65" s="24">
        <v>1826.8035725362943</v>
      </c>
      <c r="AX65" s="24">
        <v>1785.5750348907454</v>
      </c>
      <c r="AY65" s="24" t="e">
        <f>+(AY34*75%)+(AY28*25%)</f>
        <v>#REF!</v>
      </c>
      <c r="AZ65" s="24">
        <v>1975.5134937300545</v>
      </c>
      <c r="BA65" s="24" t="e">
        <f t="shared" ref="BA65:BL65" si="511">+(BA34*75%)+(BA28*25%)</f>
        <v>#REF!</v>
      </c>
      <c r="BB65" s="24" t="e">
        <f t="shared" si="511"/>
        <v>#REF!</v>
      </c>
      <c r="BC65" s="342" t="e">
        <f t="shared" si="511"/>
        <v>#REF!</v>
      </c>
      <c r="BD65" s="342" t="e">
        <f t="shared" si="511"/>
        <v>#REF!</v>
      </c>
      <c r="BE65" s="342" t="e">
        <f t="shared" si="511"/>
        <v>#REF!</v>
      </c>
      <c r="BF65" s="342" t="e">
        <f t="shared" si="511"/>
        <v>#REF!</v>
      </c>
      <c r="BG65" s="342" t="e">
        <f t="shared" si="511"/>
        <v>#REF!</v>
      </c>
      <c r="BH65" s="342" t="e">
        <f t="shared" si="511"/>
        <v>#REF!</v>
      </c>
      <c r="BI65" s="342" t="e">
        <f t="shared" si="511"/>
        <v>#REF!</v>
      </c>
      <c r="BJ65" s="342" t="e">
        <f t="shared" si="511"/>
        <v>#REF!</v>
      </c>
      <c r="BK65" s="342" t="e">
        <f t="shared" si="511"/>
        <v>#REF!</v>
      </c>
      <c r="BL65" s="342" t="e">
        <f t="shared" si="511"/>
        <v>#REF!</v>
      </c>
      <c r="BM65" s="342" t="e">
        <f t="shared" ref="BM65:CT65" si="512">+(BM35*75%)+(BM28*25%)</f>
        <v>#REF!</v>
      </c>
      <c r="BN65" s="342">
        <f t="shared" si="512"/>
        <v>1495.9264943157978</v>
      </c>
      <c r="BO65" s="342">
        <f t="shared" si="512"/>
        <v>1513.0608185422066</v>
      </c>
      <c r="BP65" s="342">
        <f t="shared" si="512"/>
        <v>1543.1310083840783</v>
      </c>
      <c r="BQ65" s="342">
        <f t="shared" si="512"/>
        <v>1543.7873092932655</v>
      </c>
      <c r="BR65" s="342">
        <f t="shared" si="512"/>
        <v>1534.0527299633236</v>
      </c>
      <c r="BS65" s="342">
        <f t="shared" si="512"/>
        <v>1535.2402665056698</v>
      </c>
      <c r="BT65" s="342">
        <f t="shared" si="512"/>
        <v>1536.6232592095139</v>
      </c>
      <c r="BU65" s="342">
        <f t="shared" si="512"/>
        <v>1532.3403857596409</v>
      </c>
      <c r="BV65" s="342">
        <f t="shared" si="512"/>
        <v>1528.6233856406648</v>
      </c>
      <c r="BW65" s="342">
        <f t="shared" si="512"/>
        <v>1530.9204435774616</v>
      </c>
      <c r="BX65" s="342">
        <f t="shared" si="512"/>
        <v>1530.9204435774616</v>
      </c>
      <c r="BY65" s="342">
        <f t="shared" si="512"/>
        <v>1536.4627513497678</v>
      </c>
      <c r="BZ65" s="342">
        <f t="shared" si="512"/>
        <v>1536.462751349768</v>
      </c>
      <c r="CA65" s="342">
        <f t="shared" si="512"/>
        <v>1559.3272003492211</v>
      </c>
      <c r="CB65" s="342">
        <f t="shared" si="512"/>
        <v>1672.5527074591755</v>
      </c>
      <c r="CC65" s="342">
        <f t="shared" si="512"/>
        <v>1763.8720401226592</v>
      </c>
      <c r="CD65" s="342">
        <f t="shared" si="512"/>
        <v>1810.633501055464</v>
      </c>
      <c r="CE65" s="342">
        <f t="shared" si="512"/>
        <v>1803.7484943116858</v>
      </c>
      <c r="CF65" s="342">
        <f t="shared" si="512"/>
        <v>1784.3104023753631</v>
      </c>
      <c r="CG65" s="342">
        <f t="shared" si="512"/>
        <v>1776.3126096782571</v>
      </c>
      <c r="CH65" s="342">
        <f t="shared" si="512"/>
        <v>1769.4703942874094</v>
      </c>
      <c r="CI65" s="342">
        <f t="shared" si="512"/>
        <v>1746.3261778001956</v>
      </c>
      <c r="CJ65" s="342">
        <f t="shared" si="512"/>
        <v>1835.9821970189914</v>
      </c>
      <c r="CK65" s="342">
        <f t="shared" si="512"/>
        <v>1830.3494940752967</v>
      </c>
      <c r="CL65" s="646">
        <f t="shared" si="512"/>
        <v>1861.3114817890482</v>
      </c>
      <c r="CM65" s="646">
        <f t="shared" si="512"/>
        <v>1870.1577359345379</v>
      </c>
      <c r="CN65" s="646">
        <f t="shared" si="512"/>
        <v>1903.1396916161855</v>
      </c>
      <c r="CO65" s="646">
        <f t="shared" si="512"/>
        <v>1947.1328473512172</v>
      </c>
      <c r="CP65" s="646">
        <f t="shared" si="512"/>
        <v>1927.7149057534643</v>
      </c>
      <c r="CQ65" s="646">
        <f t="shared" si="512"/>
        <v>1918.3997634329576</v>
      </c>
      <c r="CR65" s="646">
        <f t="shared" si="512"/>
        <v>1913.4511514579112</v>
      </c>
      <c r="CS65" s="646">
        <f t="shared" si="512"/>
        <v>1906.3809145136856</v>
      </c>
      <c r="CT65" s="646">
        <f t="shared" si="512"/>
        <v>1898.7613631178015</v>
      </c>
      <c r="CU65" s="646">
        <f t="shared" ref="CU65:CV65" si="513">+(CU35*75%)+(CU28*25%)</f>
        <v>1890.308989191378</v>
      </c>
      <c r="CV65" s="646">
        <f t="shared" si="513"/>
        <v>280.59381337061632</v>
      </c>
      <c r="CW65" s="240"/>
    </row>
    <row r="66" spans="4:126" hidden="1" x14ac:dyDescent="0.35">
      <c r="D66" s="642" t="s">
        <v>125</v>
      </c>
      <c r="E66" s="36"/>
      <c r="F66" s="36"/>
      <c r="G66" s="36"/>
      <c r="H66" s="36"/>
      <c r="I66" s="36"/>
      <c r="J66" s="36"/>
      <c r="K66" s="36"/>
      <c r="L66" s="36"/>
      <c r="M66" s="36"/>
      <c r="N66" s="36"/>
      <c r="O66" s="36"/>
      <c r="P66" s="36"/>
      <c r="Q66" s="36"/>
      <c r="R66" s="36"/>
      <c r="S66" s="36"/>
      <c r="T66" s="36"/>
      <c r="U66" s="36"/>
      <c r="V66" s="36"/>
      <c r="W66" s="36"/>
      <c r="X66" s="36"/>
      <c r="Y66" s="36"/>
      <c r="Z66" s="36"/>
      <c r="AA66" s="8"/>
      <c r="AB66" s="8"/>
      <c r="AC66" s="8"/>
      <c r="AD66" s="8"/>
      <c r="AE66" s="8"/>
      <c r="AF66" s="8"/>
      <c r="AG66" s="8"/>
      <c r="AH66" s="8"/>
      <c r="AI66" s="8"/>
      <c r="AJ66" s="8"/>
      <c r="AK66" s="8"/>
      <c r="AL66" s="8"/>
      <c r="AM66" s="8"/>
      <c r="AN66" s="8"/>
      <c r="AO66" s="8"/>
      <c r="AP66" s="8"/>
      <c r="AQ66" s="8"/>
      <c r="AR66" s="8"/>
      <c r="AS66" s="8" t="e">
        <f>+AS65*1%</f>
        <v>#REF!</v>
      </c>
      <c r="AT66" s="8" t="e">
        <f>+AT65*1%</f>
        <v>#REF!</v>
      </c>
      <c r="AU66" s="8" t="e">
        <f>+AU65*1%</f>
        <v>#REF!</v>
      </c>
      <c r="AV66" s="8" t="e">
        <f>+AV65*1%</f>
        <v>#REF!</v>
      </c>
      <c r="AW66" s="8">
        <v>18.268035725362942</v>
      </c>
      <c r="AX66" s="8">
        <v>17.855750348907456</v>
      </c>
      <c r="AY66" s="8" t="e">
        <f>+AY65*1%</f>
        <v>#REF!</v>
      </c>
      <c r="AZ66" s="8">
        <v>19.755134937300546</v>
      </c>
      <c r="BA66" s="8" t="e">
        <f t="shared" ref="BA66:BF66" si="514">+BA65*1%</f>
        <v>#REF!</v>
      </c>
      <c r="BB66" s="8" t="e">
        <f t="shared" si="514"/>
        <v>#REF!</v>
      </c>
      <c r="BC66" s="334" t="e">
        <f t="shared" si="514"/>
        <v>#REF!</v>
      </c>
      <c r="BD66" s="334" t="e">
        <f t="shared" si="514"/>
        <v>#REF!</v>
      </c>
      <c r="BE66" s="334" t="e">
        <f t="shared" si="514"/>
        <v>#REF!</v>
      </c>
      <c r="BF66" s="334" t="e">
        <f t="shared" si="514"/>
        <v>#REF!</v>
      </c>
      <c r="BG66" s="334" t="e">
        <f t="shared" ref="BG66:BH66" si="515">+BG65*1%</f>
        <v>#REF!</v>
      </c>
      <c r="BH66" s="334" t="e">
        <f t="shared" si="515"/>
        <v>#REF!</v>
      </c>
      <c r="BI66" s="334" t="e">
        <f t="shared" ref="BI66:BJ66" si="516">+BI65*1%</f>
        <v>#REF!</v>
      </c>
      <c r="BJ66" s="334" t="e">
        <f t="shared" si="516"/>
        <v>#REF!</v>
      </c>
      <c r="BK66" s="334" t="e">
        <f t="shared" ref="BK66:BL66" si="517">+BK65*1%</f>
        <v>#REF!</v>
      </c>
      <c r="BL66" s="334" t="e">
        <f t="shared" si="517"/>
        <v>#REF!</v>
      </c>
      <c r="BM66" s="334" t="e">
        <f t="shared" ref="BM66:BN66" si="518">+BM65*1%</f>
        <v>#REF!</v>
      </c>
      <c r="BN66" s="334">
        <f t="shared" si="518"/>
        <v>14.959264943157978</v>
      </c>
      <c r="BO66" s="334">
        <f t="shared" ref="BO66:BP66" si="519">+BO65*1%</f>
        <v>15.130608185422066</v>
      </c>
      <c r="BP66" s="334">
        <f t="shared" si="519"/>
        <v>15.431310083840783</v>
      </c>
      <c r="BQ66" s="334">
        <f t="shared" ref="BQ66:BR66" si="520">+BQ65*1%</f>
        <v>15.437873092932655</v>
      </c>
      <c r="BR66" s="334">
        <f t="shared" si="520"/>
        <v>15.340527299633237</v>
      </c>
      <c r="BS66" s="334">
        <f t="shared" ref="BS66:BT66" si="521">+BS65*1%</f>
        <v>15.352402665056697</v>
      </c>
      <c r="BT66" s="334">
        <f t="shared" si="521"/>
        <v>15.366232592095139</v>
      </c>
      <c r="BU66" s="334">
        <f t="shared" ref="BU66:BV66" si="522">+BU65*1%</f>
        <v>15.323403857596409</v>
      </c>
      <c r="BV66" s="334">
        <f t="shared" si="522"/>
        <v>15.286233856406648</v>
      </c>
      <c r="BW66" s="334">
        <f t="shared" ref="BW66:BY66" si="523">+BW65*1%</f>
        <v>15.309204435774616</v>
      </c>
      <c r="BX66" s="334">
        <f t="shared" ref="BX66" si="524">+BX65*1%</f>
        <v>15.309204435774616</v>
      </c>
      <c r="BY66" s="334">
        <f t="shared" si="523"/>
        <v>15.364627513497679</v>
      </c>
      <c r="BZ66" s="334">
        <f t="shared" ref="BZ66:CA66" si="525">+BZ65*1%</f>
        <v>15.36462751349768</v>
      </c>
      <c r="CA66" s="334">
        <f t="shared" si="525"/>
        <v>15.593272003492212</v>
      </c>
      <c r="CB66" s="334">
        <f t="shared" ref="CB66:CC66" si="526">+CB65*1%</f>
        <v>16.725527074591756</v>
      </c>
      <c r="CC66" s="334">
        <f t="shared" si="526"/>
        <v>17.638720401226593</v>
      </c>
      <c r="CD66" s="334">
        <f t="shared" ref="CD66:CE66" si="527">+CD65*1%</f>
        <v>18.106335010554641</v>
      </c>
      <c r="CE66" s="334">
        <f t="shared" si="527"/>
        <v>18.037484943116858</v>
      </c>
      <c r="CF66" s="334">
        <f t="shared" ref="CF66:CG66" si="528">+CF65*1%</f>
        <v>17.843104023753632</v>
      </c>
      <c r="CG66" s="334">
        <f t="shared" si="528"/>
        <v>17.763126096782571</v>
      </c>
      <c r="CH66" s="334">
        <f t="shared" ref="CH66:CI66" si="529">+CH65*1%</f>
        <v>17.694703942874096</v>
      </c>
      <c r="CI66" s="334">
        <f t="shared" si="529"/>
        <v>17.463261778001957</v>
      </c>
      <c r="CJ66" s="334">
        <f t="shared" ref="CJ66:CK66" si="530">+CJ65*1%</f>
        <v>18.359821970189916</v>
      </c>
      <c r="CK66" s="334">
        <f t="shared" si="530"/>
        <v>18.303494940752966</v>
      </c>
      <c r="CL66" s="616">
        <f t="shared" ref="CL66:CM66" si="531">+CL65*1%</f>
        <v>18.613114817890484</v>
      </c>
      <c r="CM66" s="616">
        <f t="shared" si="531"/>
        <v>18.701577359345379</v>
      </c>
      <c r="CN66" s="616">
        <f t="shared" ref="CN66:CO66" si="532">+CN65*1%</f>
        <v>19.031396916161857</v>
      </c>
      <c r="CO66" s="616">
        <f t="shared" si="532"/>
        <v>19.471328473512173</v>
      </c>
      <c r="CP66" s="616">
        <f t="shared" ref="CP66:CQ66" si="533">+CP65*1%</f>
        <v>19.277149057534643</v>
      </c>
      <c r="CQ66" s="616">
        <f t="shared" si="533"/>
        <v>19.183997634329575</v>
      </c>
      <c r="CR66" s="616">
        <f t="shared" ref="CR66:CS66" si="534">+CR65*1%</f>
        <v>19.134511514579113</v>
      </c>
      <c r="CS66" s="616">
        <f t="shared" si="534"/>
        <v>19.063809145136858</v>
      </c>
      <c r="CT66" s="616">
        <f t="shared" ref="CT66:CU66" si="535">+CT65*1%</f>
        <v>18.987613631178014</v>
      </c>
      <c r="CU66" s="616">
        <f t="shared" si="535"/>
        <v>18.90308989191378</v>
      </c>
      <c r="CV66" s="616">
        <f t="shared" ref="CV66" si="536">+CV65*1%</f>
        <v>2.8059381337061633</v>
      </c>
      <c r="CW66" s="235"/>
    </row>
    <row r="67" spans="4:126" hidden="1" x14ac:dyDescent="0.35">
      <c r="D67" s="626" t="s">
        <v>126</v>
      </c>
      <c r="E67" s="36"/>
      <c r="F67" s="36"/>
      <c r="G67" s="36"/>
      <c r="H67" s="36"/>
      <c r="I67" s="36"/>
      <c r="J67" s="36"/>
      <c r="K67" s="36"/>
      <c r="L67" s="36"/>
      <c r="M67" s="36"/>
      <c r="N67" s="36"/>
      <c r="O67" s="36"/>
      <c r="P67" s="36"/>
      <c r="Q67" s="36"/>
      <c r="R67" s="36"/>
      <c r="S67" s="36"/>
      <c r="T67" s="36"/>
      <c r="U67" s="36"/>
      <c r="V67" s="36"/>
      <c r="W67" s="36"/>
      <c r="X67" s="36"/>
      <c r="Y67" s="36"/>
      <c r="Z67" s="36"/>
      <c r="AA67" s="95"/>
      <c r="AB67" s="95"/>
      <c r="AC67" s="95"/>
      <c r="AD67" s="95"/>
      <c r="AE67" s="95"/>
      <c r="AF67" s="95"/>
      <c r="AG67" s="95"/>
      <c r="AH67" s="95"/>
      <c r="AI67" s="95"/>
      <c r="AJ67" s="95"/>
      <c r="AK67" s="95"/>
      <c r="AL67" s="95"/>
      <c r="AM67" s="269"/>
      <c r="AN67" s="269"/>
      <c r="AO67" s="269"/>
      <c r="AP67" s="269"/>
      <c r="AQ67" s="269"/>
      <c r="AR67" s="269"/>
      <c r="AS67" s="269" t="e">
        <f t="shared" ref="AS67:AV68" si="537">+AS66+AS65</f>
        <v>#REF!</v>
      </c>
      <c r="AT67" s="269" t="e">
        <f t="shared" si="537"/>
        <v>#REF!</v>
      </c>
      <c r="AU67" s="269" t="e">
        <f t="shared" si="537"/>
        <v>#REF!</v>
      </c>
      <c r="AV67" s="269" t="e">
        <f t="shared" si="537"/>
        <v>#REF!</v>
      </c>
      <c r="AW67" s="269">
        <v>1845.0716082616573</v>
      </c>
      <c r="AX67" s="269">
        <v>1803.4307852396528</v>
      </c>
      <c r="AY67" s="269" t="e">
        <f>+AY66+AY65</f>
        <v>#REF!</v>
      </c>
      <c r="AZ67" s="269">
        <v>1995.268628667355</v>
      </c>
      <c r="BA67" s="269" t="e">
        <f t="shared" ref="BA67:BD68" si="538">+BA66+BA65</f>
        <v>#REF!</v>
      </c>
      <c r="BB67" s="269" t="e">
        <f t="shared" si="538"/>
        <v>#REF!</v>
      </c>
      <c r="BC67" s="349" t="e">
        <f t="shared" ref="BC67" si="539">+BC66+BC65</f>
        <v>#REF!</v>
      </c>
      <c r="BD67" s="349" t="e">
        <f t="shared" si="538"/>
        <v>#REF!</v>
      </c>
      <c r="BE67" s="349" t="e">
        <f t="shared" ref="BE67:BF67" si="540">+BE66+BE65</f>
        <v>#REF!</v>
      </c>
      <c r="BF67" s="349" t="e">
        <f t="shared" si="540"/>
        <v>#REF!</v>
      </c>
      <c r="BG67" s="349" t="e">
        <f t="shared" ref="BG67:BH67" si="541">+BG66+BG65</f>
        <v>#REF!</v>
      </c>
      <c r="BH67" s="349" t="e">
        <f t="shared" si="541"/>
        <v>#REF!</v>
      </c>
      <c r="BI67" s="349" t="e">
        <f t="shared" ref="BI67:BJ67" si="542">+BI66+BI65</f>
        <v>#REF!</v>
      </c>
      <c r="BJ67" s="349" t="e">
        <f t="shared" si="542"/>
        <v>#REF!</v>
      </c>
      <c r="BK67" s="349" t="e">
        <f t="shared" ref="BK67:BL67" si="543">+BK66+BK65</f>
        <v>#REF!</v>
      </c>
      <c r="BL67" s="349" t="e">
        <f t="shared" si="543"/>
        <v>#REF!</v>
      </c>
      <c r="BM67" s="349" t="e">
        <f t="shared" ref="BM67:BN67" si="544">+BM66+BM65</f>
        <v>#REF!</v>
      </c>
      <c r="BN67" s="349">
        <f t="shared" si="544"/>
        <v>1510.8857592589557</v>
      </c>
      <c r="BO67" s="349">
        <f t="shared" ref="BO67:BP67" si="545">+BO66+BO65</f>
        <v>1528.1914267276286</v>
      </c>
      <c r="BP67" s="349">
        <f t="shared" si="545"/>
        <v>1558.5623184679191</v>
      </c>
      <c r="BQ67" s="349">
        <f t="shared" ref="BQ67:BR67" si="546">+BQ66+BQ65</f>
        <v>1559.2251823861982</v>
      </c>
      <c r="BR67" s="349">
        <f t="shared" si="546"/>
        <v>1549.3932572629569</v>
      </c>
      <c r="BS67" s="349">
        <f t="shared" ref="BS67:BT67" si="547">+BS66+BS65</f>
        <v>1550.5926691707264</v>
      </c>
      <c r="BT67" s="349">
        <f t="shared" si="547"/>
        <v>1551.9894918016091</v>
      </c>
      <c r="BU67" s="349">
        <f t="shared" ref="BU67:BV67" si="548">+BU66+BU65</f>
        <v>1547.6637896172372</v>
      </c>
      <c r="BV67" s="349">
        <f t="shared" si="548"/>
        <v>1543.9096194970714</v>
      </c>
      <c r="BW67" s="349">
        <f t="shared" ref="BW67:BY67" si="549">+BW66+BW65</f>
        <v>1546.2296480132361</v>
      </c>
      <c r="BX67" s="349">
        <f t="shared" ref="BX67" si="550">+BX66+BX65</f>
        <v>1546.2296480132361</v>
      </c>
      <c r="BY67" s="349">
        <f t="shared" si="549"/>
        <v>1551.8273788632655</v>
      </c>
      <c r="BZ67" s="349">
        <f t="shared" ref="BZ67:CA67" si="551">+BZ66+BZ65</f>
        <v>1551.8273788632657</v>
      </c>
      <c r="CA67" s="349">
        <f t="shared" si="551"/>
        <v>1574.9204723527134</v>
      </c>
      <c r="CB67" s="349">
        <f t="shared" ref="CB67:CC67" si="552">+CB66+CB65</f>
        <v>1689.2782345337673</v>
      </c>
      <c r="CC67" s="349">
        <f t="shared" si="552"/>
        <v>1781.5107605238859</v>
      </c>
      <c r="CD67" s="349">
        <f t="shared" ref="CD67:CE67" si="553">+CD66+CD65</f>
        <v>1828.7398360660186</v>
      </c>
      <c r="CE67" s="349">
        <f t="shared" si="553"/>
        <v>1821.7859792548027</v>
      </c>
      <c r="CF67" s="349">
        <f t="shared" ref="CF67:CG67" si="554">+CF66+CF65</f>
        <v>1802.1535063991166</v>
      </c>
      <c r="CG67" s="349">
        <f t="shared" si="554"/>
        <v>1794.0757357750397</v>
      </c>
      <c r="CH67" s="349">
        <f t="shared" ref="CH67:CI67" si="555">+CH66+CH65</f>
        <v>1787.1650982302835</v>
      </c>
      <c r="CI67" s="349">
        <f t="shared" si="555"/>
        <v>1763.7894395781975</v>
      </c>
      <c r="CJ67" s="349">
        <f t="shared" ref="CJ67:CK67" si="556">+CJ66+CJ65</f>
        <v>1854.3420189891813</v>
      </c>
      <c r="CK67" s="349">
        <f t="shared" si="556"/>
        <v>1848.6529890160496</v>
      </c>
      <c r="CL67" s="658">
        <f t="shared" ref="CL67:CM67" si="557">+CL66+CL65</f>
        <v>1879.9245966069386</v>
      </c>
      <c r="CM67" s="658">
        <f t="shared" si="557"/>
        <v>1888.8593132938831</v>
      </c>
      <c r="CN67" s="658">
        <f t="shared" ref="CN67:CO67" si="558">+CN66+CN65</f>
        <v>1922.1710885323473</v>
      </c>
      <c r="CO67" s="658">
        <f t="shared" si="558"/>
        <v>1966.6041758247293</v>
      </c>
      <c r="CP67" s="658">
        <f t="shared" ref="CP67:CQ67" si="559">+CP66+CP65</f>
        <v>1946.992054810999</v>
      </c>
      <c r="CQ67" s="658">
        <f t="shared" si="559"/>
        <v>1937.5837610672872</v>
      </c>
      <c r="CR67" s="658">
        <f t="shared" ref="CR67:CS67" si="560">+CR66+CR65</f>
        <v>1932.5856629724904</v>
      </c>
      <c r="CS67" s="658">
        <f t="shared" si="560"/>
        <v>1925.4447236588226</v>
      </c>
      <c r="CT67" s="658">
        <f t="shared" ref="CT67:CU67" si="561">+CT66+CT65</f>
        <v>1917.7489767489794</v>
      </c>
      <c r="CU67" s="658">
        <f t="shared" si="561"/>
        <v>1909.2120790832919</v>
      </c>
      <c r="CV67" s="658">
        <f t="shared" ref="CV67" si="562">+CV66+CV65</f>
        <v>283.39975150432247</v>
      </c>
      <c r="CW67" s="235"/>
    </row>
    <row r="68" spans="4:126" hidden="1" x14ac:dyDescent="0.35">
      <c r="D68" s="626" t="s">
        <v>126</v>
      </c>
      <c r="E68" s="7">
        <f t="shared" ref="E68:AR68" si="563">+E67+E66</f>
        <v>0</v>
      </c>
      <c r="F68" s="7">
        <f t="shared" si="563"/>
        <v>0</v>
      </c>
      <c r="G68" s="7">
        <f t="shared" si="563"/>
        <v>0</v>
      </c>
      <c r="H68" s="7">
        <f t="shared" si="563"/>
        <v>0</v>
      </c>
      <c r="I68" s="7">
        <f t="shared" si="563"/>
        <v>0</v>
      </c>
      <c r="J68" s="7">
        <f t="shared" si="563"/>
        <v>0</v>
      </c>
      <c r="K68" s="7">
        <f t="shared" si="563"/>
        <v>0</v>
      </c>
      <c r="L68" s="7">
        <f t="shared" si="563"/>
        <v>0</v>
      </c>
      <c r="M68" s="7">
        <f t="shared" si="563"/>
        <v>0</v>
      </c>
      <c r="N68" s="7">
        <f t="shared" si="563"/>
        <v>0</v>
      </c>
      <c r="O68" s="7">
        <f t="shared" si="563"/>
        <v>0</v>
      </c>
      <c r="P68" s="7">
        <f t="shared" si="563"/>
        <v>0</v>
      </c>
      <c r="Q68" s="7">
        <f t="shared" si="563"/>
        <v>0</v>
      </c>
      <c r="R68" s="7">
        <f t="shared" si="563"/>
        <v>0</v>
      </c>
      <c r="S68" s="7">
        <f t="shared" si="563"/>
        <v>0</v>
      </c>
      <c r="T68" s="7">
        <f t="shared" si="563"/>
        <v>0</v>
      </c>
      <c r="U68" s="7">
        <f t="shared" si="563"/>
        <v>0</v>
      </c>
      <c r="V68" s="7">
        <f t="shared" si="563"/>
        <v>0</v>
      </c>
      <c r="W68" s="27">
        <f t="shared" si="563"/>
        <v>0</v>
      </c>
      <c r="X68" s="27">
        <f t="shared" si="563"/>
        <v>0</v>
      </c>
      <c r="Y68" s="27">
        <f t="shared" si="563"/>
        <v>0</v>
      </c>
      <c r="Z68" s="27">
        <f t="shared" si="563"/>
        <v>0</v>
      </c>
      <c r="AA68" s="27">
        <f t="shared" si="563"/>
        <v>0</v>
      </c>
      <c r="AB68" s="27">
        <f t="shared" si="563"/>
        <v>0</v>
      </c>
      <c r="AC68" s="27">
        <f t="shared" si="563"/>
        <v>0</v>
      </c>
      <c r="AD68" s="27">
        <f t="shared" si="563"/>
        <v>0</v>
      </c>
      <c r="AE68" s="27">
        <f t="shared" si="563"/>
        <v>0</v>
      </c>
      <c r="AF68" s="27">
        <f t="shared" si="563"/>
        <v>0</v>
      </c>
      <c r="AG68" s="27">
        <f t="shared" si="563"/>
        <v>0</v>
      </c>
      <c r="AH68" s="27">
        <f t="shared" si="563"/>
        <v>0</v>
      </c>
      <c r="AI68" s="27">
        <f t="shared" si="563"/>
        <v>0</v>
      </c>
      <c r="AJ68" s="27">
        <f t="shared" si="563"/>
        <v>0</v>
      </c>
      <c r="AK68" s="27">
        <f t="shared" si="563"/>
        <v>0</v>
      </c>
      <c r="AL68" s="27">
        <f t="shared" si="563"/>
        <v>0</v>
      </c>
      <c r="AM68" s="27">
        <f t="shared" si="563"/>
        <v>0</v>
      </c>
      <c r="AN68" s="27">
        <f t="shared" si="563"/>
        <v>0</v>
      </c>
      <c r="AO68" s="27">
        <f t="shared" si="563"/>
        <v>0</v>
      </c>
      <c r="AP68" s="27">
        <f t="shared" si="563"/>
        <v>0</v>
      </c>
      <c r="AQ68" s="27">
        <f t="shared" si="563"/>
        <v>0</v>
      </c>
      <c r="AR68" s="27">
        <f t="shared" si="563"/>
        <v>0</v>
      </c>
      <c r="AS68" s="27" t="e">
        <f t="shared" si="537"/>
        <v>#REF!</v>
      </c>
      <c r="AT68" s="27" t="e">
        <f t="shared" si="537"/>
        <v>#REF!</v>
      </c>
      <c r="AU68" s="27" t="e">
        <f t="shared" si="537"/>
        <v>#REF!</v>
      </c>
      <c r="AV68" s="27" t="e">
        <f t="shared" si="537"/>
        <v>#REF!</v>
      </c>
      <c r="AW68" s="27">
        <v>1863.3396439870203</v>
      </c>
      <c r="AX68" s="27">
        <v>1821.2865355885601</v>
      </c>
      <c r="AY68" s="27" t="e">
        <f>+AY67+AY66</f>
        <v>#REF!</v>
      </c>
      <c r="AZ68" s="27">
        <v>2015.0237636046554</v>
      </c>
      <c r="BA68" s="27" t="e">
        <f t="shared" si="538"/>
        <v>#REF!</v>
      </c>
      <c r="BB68" s="27" t="e">
        <f t="shared" si="538"/>
        <v>#REF!</v>
      </c>
      <c r="BC68" s="350" t="e">
        <f t="shared" ref="BC68" si="564">+BC67+BC66</f>
        <v>#REF!</v>
      </c>
      <c r="BD68" s="350" t="e">
        <f t="shared" si="538"/>
        <v>#REF!</v>
      </c>
      <c r="BE68" s="350" t="e">
        <f t="shared" ref="BE68:BF68" si="565">+BE67+BE66</f>
        <v>#REF!</v>
      </c>
      <c r="BF68" s="350" t="e">
        <f t="shared" si="565"/>
        <v>#REF!</v>
      </c>
      <c r="BG68" s="350" t="e">
        <f t="shared" ref="BG68:BH68" si="566">+BG67+BG66</f>
        <v>#REF!</v>
      </c>
      <c r="BH68" s="350" t="e">
        <f t="shared" si="566"/>
        <v>#REF!</v>
      </c>
      <c r="BI68" s="350" t="e">
        <f t="shared" ref="BI68:BJ68" si="567">+BI67+BI66</f>
        <v>#REF!</v>
      </c>
      <c r="BJ68" s="350" t="e">
        <f t="shared" si="567"/>
        <v>#REF!</v>
      </c>
      <c r="BK68" s="350" t="e">
        <f t="shared" ref="BK68:BL68" si="568">+BK67+BK66</f>
        <v>#REF!</v>
      </c>
      <c r="BL68" s="350" t="e">
        <f t="shared" si="568"/>
        <v>#REF!</v>
      </c>
      <c r="BM68" s="350" t="e">
        <f t="shared" ref="BM68:BN68" si="569">+BM67+BM66</f>
        <v>#REF!</v>
      </c>
      <c r="BN68" s="350">
        <f t="shared" si="569"/>
        <v>1525.8450242021136</v>
      </c>
      <c r="BO68" s="350">
        <f t="shared" ref="BO68:BP68" si="570">+BO67+BO66</f>
        <v>1543.3220349130506</v>
      </c>
      <c r="BP68" s="350">
        <f t="shared" si="570"/>
        <v>1573.9936285517599</v>
      </c>
      <c r="BQ68" s="350">
        <f t="shared" ref="BQ68:BR68" si="571">+BQ67+BQ66</f>
        <v>1574.6630554791309</v>
      </c>
      <c r="BR68" s="350">
        <f t="shared" si="571"/>
        <v>1564.7337845625902</v>
      </c>
      <c r="BS68" s="350">
        <f t="shared" ref="BS68:BT68" si="572">+BS67+BS66</f>
        <v>1565.945071835783</v>
      </c>
      <c r="BT68" s="350">
        <f t="shared" si="572"/>
        <v>1567.3557243937043</v>
      </c>
      <c r="BU68" s="350">
        <f t="shared" ref="BU68:BV68" si="573">+BU67+BU66</f>
        <v>1562.9871934748335</v>
      </c>
      <c r="BV68" s="350">
        <f t="shared" si="573"/>
        <v>1559.195853353478</v>
      </c>
      <c r="BW68" s="350">
        <f t="shared" ref="BW68:BY68" si="574">+BW67+BW66</f>
        <v>1561.5388524490106</v>
      </c>
      <c r="BX68" s="350">
        <f t="shared" ref="BX68" si="575">+BX67+BX66</f>
        <v>1561.5388524490106</v>
      </c>
      <c r="BY68" s="350">
        <f t="shared" si="574"/>
        <v>1567.1920063767632</v>
      </c>
      <c r="BZ68" s="350">
        <f t="shared" ref="BZ68:CA68" si="576">+BZ67+BZ66</f>
        <v>1567.1920063767634</v>
      </c>
      <c r="CA68" s="350">
        <f t="shared" si="576"/>
        <v>1590.5137443562057</v>
      </c>
      <c r="CB68" s="350">
        <f t="shared" ref="CB68:CC68" si="577">+CB67+CB66</f>
        <v>1706.0037616083591</v>
      </c>
      <c r="CC68" s="350">
        <f t="shared" si="577"/>
        <v>1799.1494809251126</v>
      </c>
      <c r="CD68" s="350">
        <f t="shared" ref="CD68:CE68" si="578">+CD67+CD66</f>
        <v>1846.8461710765732</v>
      </c>
      <c r="CE68" s="350">
        <f t="shared" si="578"/>
        <v>1839.8234641979195</v>
      </c>
      <c r="CF68" s="350">
        <f t="shared" ref="CF68:CG68" si="579">+CF67+CF66</f>
        <v>1819.9966104228702</v>
      </c>
      <c r="CG68" s="350">
        <f t="shared" si="579"/>
        <v>1811.8388618718222</v>
      </c>
      <c r="CH68" s="350">
        <f t="shared" ref="CH68:CI68" si="580">+CH67+CH66</f>
        <v>1804.8598021731577</v>
      </c>
      <c r="CI68" s="350">
        <f t="shared" si="580"/>
        <v>1781.2527013561994</v>
      </c>
      <c r="CJ68" s="350">
        <f t="shared" ref="CJ68:CK68" si="581">+CJ67+CJ66</f>
        <v>1872.7018409593711</v>
      </c>
      <c r="CK68" s="350">
        <f t="shared" si="581"/>
        <v>1866.9564839568025</v>
      </c>
      <c r="CL68" s="659">
        <f t="shared" ref="CL68:CM68" si="582">+CL67+CL66</f>
        <v>1898.537711424829</v>
      </c>
      <c r="CM68" s="659">
        <f t="shared" si="582"/>
        <v>1907.5608906532284</v>
      </c>
      <c r="CN68" s="659">
        <f t="shared" ref="CN68:CO68" si="583">+CN67+CN66</f>
        <v>1941.2024854485092</v>
      </c>
      <c r="CO68" s="659">
        <f t="shared" si="583"/>
        <v>1986.0755042982414</v>
      </c>
      <c r="CP68" s="659">
        <f t="shared" ref="CP68:CQ68" si="584">+CP67+CP66</f>
        <v>1966.2692038685336</v>
      </c>
      <c r="CQ68" s="659">
        <f t="shared" si="584"/>
        <v>1956.7677587016169</v>
      </c>
      <c r="CR68" s="659">
        <f t="shared" ref="CR68:CS68" si="585">+CR67+CR66</f>
        <v>1951.7201744870695</v>
      </c>
      <c r="CS68" s="659">
        <f t="shared" si="585"/>
        <v>1944.5085328039595</v>
      </c>
      <c r="CT68" s="659">
        <f t="shared" ref="CT68:CU68" si="586">+CT67+CT66</f>
        <v>1936.7365903801574</v>
      </c>
      <c r="CU68" s="659">
        <f t="shared" si="586"/>
        <v>1928.1151689752057</v>
      </c>
      <c r="CV68" s="659">
        <f t="shared" ref="CV68" si="587">+CV67+CV66</f>
        <v>286.20568963802862</v>
      </c>
      <c r="CW68" s="243"/>
    </row>
    <row r="69" spans="4:126" hidden="1" x14ac:dyDescent="0.35">
      <c r="D69" s="660" t="s">
        <v>133</v>
      </c>
      <c r="E69" s="36"/>
      <c r="F69" s="36"/>
      <c r="G69" s="36"/>
      <c r="H69" s="36"/>
      <c r="I69" s="36"/>
      <c r="J69" s="36"/>
      <c r="K69" s="36"/>
      <c r="L69" s="36"/>
      <c r="M69" s="36"/>
      <c r="N69" s="36"/>
      <c r="O69" s="36"/>
      <c r="P69" s="36"/>
      <c r="Q69" s="36"/>
      <c r="R69" s="36"/>
      <c r="S69" s="36"/>
      <c r="T69" s="36"/>
      <c r="U69" s="36"/>
      <c r="V69" s="36"/>
      <c r="W69" s="36"/>
      <c r="X69" s="36"/>
      <c r="Y69" s="36"/>
      <c r="Z69" s="24">
        <f t="shared" ref="Z69:AK69" si="588">+(Z26*90%)+(Z32*10%)</f>
        <v>1168.6005295042264</v>
      </c>
      <c r="AA69" s="24">
        <f t="shared" si="588"/>
        <v>1059.4333720698792</v>
      </c>
      <c r="AB69" s="24">
        <f t="shared" si="588"/>
        <v>968.47942536443691</v>
      </c>
      <c r="AC69" s="24">
        <f t="shared" si="588"/>
        <v>1026.4414088000001</v>
      </c>
      <c r="AD69" s="24">
        <f t="shared" si="588"/>
        <v>984.45302243974231</v>
      </c>
      <c r="AE69" s="24">
        <f t="shared" si="588"/>
        <v>1004.5084087999999</v>
      </c>
      <c r="AF69" s="24">
        <f t="shared" si="588"/>
        <v>996.77224692513039</v>
      </c>
      <c r="AG69" s="24">
        <f t="shared" si="588"/>
        <v>1001.6719583333332</v>
      </c>
      <c r="AH69" s="24">
        <f t="shared" si="588"/>
        <v>975.52225487585247</v>
      </c>
      <c r="AI69" s="24">
        <f t="shared" si="588"/>
        <v>962.74782493886607</v>
      </c>
      <c r="AJ69" s="24">
        <f t="shared" si="588"/>
        <v>964.83617208266469</v>
      </c>
      <c r="AK69" s="24">
        <f t="shared" si="588"/>
        <v>954.30094663840941</v>
      </c>
      <c r="AL69" s="24" t="e">
        <f t="shared" ref="AL69:AV69" si="589">+(AL28*90%)+(AL32*10%)</f>
        <v>#REF!</v>
      </c>
      <c r="AM69" s="24" t="e">
        <f t="shared" si="589"/>
        <v>#REF!</v>
      </c>
      <c r="AN69" s="24" t="e">
        <f t="shared" si="589"/>
        <v>#REF!</v>
      </c>
      <c r="AO69" s="24" t="e">
        <f t="shared" si="589"/>
        <v>#REF!</v>
      </c>
      <c r="AP69" s="24" t="e">
        <f t="shared" si="589"/>
        <v>#REF!</v>
      </c>
      <c r="AQ69" s="24" t="e">
        <f t="shared" si="589"/>
        <v>#REF!</v>
      </c>
      <c r="AR69" s="24" t="e">
        <f t="shared" si="589"/>
        <v>#REF!</v>
      </c>
      <c r="AS69" s="24" t="e">
        <f t="shared" si="589"/>
        <v>#REF!</v>
      </c>
      <c r="AT69" s="24" t="e">
        <f t="shared" si="589"/>
        <v>#REF!</v>
      </c>
      <c r="AU69" s="24" t="e">
        <f t="shared" si="589"/>
        <v>#REF!</v>
      </c>
      <c r="AV69" s="24" t="e">
        <f t="shared" si="589"/>
        <v>#REF!</v>
      </c>
      <c r="AW69" s="24">
        <v>1796.9358418394554</v>
      </c>
      <c r="AX69" s="24">
        <v>1846.6862141178724</v>
      </c>
      <c r="AY69" s="24" t="e">
        <f>+(AY28*90%)+(AY32*10%)</f>
        <v>#REF!</v>
      </c>
      <c r="AZ69" s="24">
        <v>1902.5673029334548</v>
      </c>
      <c r="BA69" s="24" t="e">
        <f t="shared" ref="BA69:CT69" si="590">+(BA28*90%)+(BA32*10%)</f>
        <v>#REF!</v>
      </c>
      <c r="BB69" s="24" t="e">
        <f t="shared" si="590"/>
        <v>#REF!</v>
      </c>
      <c r="BC69" s="342" t="e">
        <f t="shared" si="590"/>
        <v>#REF!</v>
      </c>
      <c r="BD69" s="342" t="e">
        <f t="shared" si="590"/>
        <v>#REF!</v>
      </c>
      <c r="BE69" s="342" t="e">
        <f t="shared" si="590"/>
        <v>#REF!</v>
      </c>
      <c r="BF69" s="342" t="e">
        <f t="shared" si="590"/>
        <v>#REF!</v>
      </c>
      <c r="BG69" s="342" t="e">
        <f t="shared" si="590"/>
        <v>#REF!</v>
      </c>
      <c r="BH69" s="342" t="e">
        <f t="shared" si="590"/>
        <v>#REF!</v>
      </c>
      <c r="BI69" s="342" t="e">
        <f t="shared" si="590"/>
        <v>#REF!</v>
      </c>
      <c r="BJ69" s="342" t="e">
        <f t="shared" si="590"/>
        <v>#REF!</v>
      </c>
      <c r="BK69" s="342" t="e">
        <f t="shared" si="590"/>
        <v>#REF!</v>
      </c>
      <c r="BL69" s="342" t="e">
        <f t="shared" si="590"/>
        <v>#REF!</v>
      </c>
      <c r="BM69" s="342" t="e">
        <f t="shared" si="590"/>
        <v>#REF!</v>
      </c>
      <c r="BN69" s="342">
        <f t="shared" si="590"/>
        <v>1312.2910507632705</v>
      </c>
      <c r="BO69" s="342">
        <f t="shared" si="590"/>
        <v>1343.5449993851944</v>
      </c>
      <c r="BP69" s="342">
        <f t="shared" si="590"/>
        <v>1347.7115791071512</v>
      </c>
      <c r="BQ69" s="342">
        <f t="shared" si="590"/>
        <v>1312.6391146458691</v>
      </c>
      <c r="BR69" s="342">
        <f t="shared" si="590"/>
        <v>1273.7518148369988</v>
      </c>
      <c r="BS69" s="342">
        <f t="shared" si="590"/>
        <v>1277.0752612281801</v>
      </c>
      <c r="BT69" s="342">
        <f t="shared" si="590"/>
        <v>1285.1122469591146</v>
      </c>
      <c r="BU69" s="342">
        <f t="shared" si="590"/>
        <v>1279.8613516627738</v>
      </c>
      <c r="BV69" s="342">
        <f t="shared" si="590"/>
        <v>1273.7220826506923</v>
      </c>
      <c r="BW69" s="342">
        <f t="shared" si="590"/>
        <v>1259.2757666433861</v>
      </c>
      <c r="BX69" s="342">
        <f t="shared" si="590"/>
        <v>1276.7373202638787</v>
      </c>
      <c r="BY69" s="342">
        <f t="shared" si="590"/>
        <v>1299.0633973152108</v>
      </c>
      <c r="BZ69" s="342">
        <f t="shared" si="590"/>
        <v>1303.6521591723119</v>
      </c>
      <c r="CA69" s="342">
        <f t="shared" si="590"/>
        <v>1389.1215208453832</v>
      </c>
      <c r="CB69" s="342">
        <f t="shared" si="590"/>
        <v>1484.7052012236995</v>
      </c>
      <c r="CC69" s="342">
        <f t="shared" si="590"/>
        <v>1573.4849571221612</v>
      </c>
      <c r="CD69" s="342">
        <f t="shared" si="590"/>
        <v>1543.4890219209815</v>
      </c>
      <c r="CE69" s="342">
        <f t="shared" si="590"/>
        <v>1521.6770549694047</v>
      </c>
      <c r="CF69" s="342">
        <f t="shared" si="590"/>
        <v>1455.4724510254603</v>
      </c>
      <c r="CG69" s="342">
        <f t="shared" si="590"/>
        <v>1419.1760450796564</v>
      </c>
      <c r="CH69" s="342">
        <f t="shared" si="590"/>
        <v>1397.6372999765704</v>
      </c>
      <c r="CI69" s="342">
        <f t="shared" si="590"/>
        <v>1322.9740917849526</v>
      </c>
      <c r="CJ69" s="342">
        <f t="shared" si="590"/>
        <v>1323.9979113481177</v>
      </c>
      <c r="CK69" s="342">
        <f t="shared" si="590"/>
        <v>1303.3868482922876</v>
      </c>
      <c r="CL69" s="646">
        <f t="shared" si="590"/>
        <v>1278.5560964483293</v>
      </c>
      <c r="CM69" s="646">
        <f t="shared" si="590"/>
        <v>1291.9986816822284</v>
      </c>
      <c r="CN69" s="646">
        <f t="shared" si="590"/>
        <v>1307.7880109658813</v>
      </c>
      <c r="CO69" s="646">
        <f t="shared" si="590"/>
        <v>1465.7720862610563</v>
      </c>
      <c r="CP69" s="646">
        <f t="shared" si="590"/>
        <v>1389.007861736854</v>
      </c>
      <c r="CQ69" s="646">
        <f t="shared" si="590"/>
        <v>1356.0703313693336</v>
      </c>
      <c r="CR69" s="646">
        <f t="shared" si="590"/>
        <v>1335.5200927866345</v>
      </c>
      <c r="CS69" s="646">
        <f t="shared" si="590"/>
        <v>1311.7764116609476</v>
      </c>
      <c r="CT69" s="646">
        <f t="shared" si="590"/>
        <v>1278.5081565718424</v>
      </c>
      <c r="CU69" s="646">
        <f t="shared" ref="CU69:CV69" si="591">+(CU28*90%)+(CU32*10%)</f>
        <v>1251.9000417420336</v>
      </c>
      <c r="CV69" s="646">
        <f t="shared" si="591"/>
        <v>1010.1377281342187</v>
      </c>
      <c r="CW69" s="240"/>
    </row>
    <row r="70" spans="4:126" hidden="1" x14ac:dyDescent="0.35">
      <c r="D70" s="642" t="s">
        <v>125</v>
      </c>
      <c r="E70" s="36"/>
      <c r="F70" s="36"/>
      <c r="G70" s="36"/>
      <c r="H70" s="36"/>
      <c r="I70" s="36"/>
      <c r="J70" s="36"/>
      <c r="K70" s="36"/>
      <c r="L70" s="36"/>
      <c r="M70" s="36"/>
      <c r="N70" s="36"/>
      <c r="O70" s="36"/>
      <c r="P70" s="36"/>
      <c r="Q70" s="36"/>
      <c r="R70" s="36"/>
      <c r="S70" s="36"/>
      <c r="T70" s="36"/>
      <c r="U70" s="36"/>
      <c r="V70" s="36"/>
      <c r="W70" s="36"/>
      <c r="X70" s="36"/>
      <c r="Y70" s="36"/>
      <c r="Z70" s="8">
        <f t="shared" ref="Z70:AV70" si="592">+Z69*1%</f>
        <v>11.686005295042264</v>
      </c>
      <c r="AA70" s="8">
        <f t="shared" si="592"/>
        <v>10.594333720698792</v>
      </c>
      <c r="AB70" s="8">
        <f t="shared" si="592"/>
        <v>9.6847942536443696</v>
      </c>
      <c r="AC70" s="8">
        <f t="shared" si="592"/>
        <v>10.264414088000001</v>
      </c>
      <c r="AD70" s="8">
        <f t="shared" si="592"/>
        <v>9.844530224397424</v>
      </c>
      <c r="AE70" s="8">
        <f t="shared" si="592"/>
        <v>10.045084087999999</v>
      </c>
      <c r="AF70" s="8">
        <f t="shared" si="592"/>
        <v>9.9677224692513047</v>
      </c>
      <c r="AG70" s="8">
        <f t="shared" si="592"/>
        <v>10.016719583333332</v>
      </c>
      <c r="AH70" s="8">
        <f t="shared" si="592"/>
        <v>9.7552225487585247</v>
      </c>
      <c r="AI70" s="8">
        <f t="shared" si="592"/>
        <v>9.6274782493886608</v>
      </c>
      <c r="AJ70" s="8">
        <f t="shared" si="592"/>
        <v>9.6483617208266477</v>
      </c>
      <c r="AK70" s="8">
        <f t="shared" si="592"/>
        <v>9.5430094663840936</v>
      </c>
      <c r="AL70" s="8" t="e">
        <f t="shared" si="592"/>
        <v>#REF!</v>
      </c>
      <c r="AM70" s="8" t="e">
        <f t="shared" si="592"/>
        <v>#REF!</v>
      </c>
      <c r="AN70" s="8" t="e">
        <f t="shared" si="592"/>
        <v>#REF!</v>
      </c>
      <c r="AO70" s="8" t="e">
        <f t="shared" si="592"/>
        <v>#REF!</v>
      </c>
      <c r="AP70" s="8" t="e">
        <f t="shared" si="592"/>
        <v>#REF!</v>
      </c>
      <c r="AQ70" s="8" t="e">
        <f t="shared" si="592"/>
        <v>#REF!</v>
      </c>
      <c r="AR70" s="8" t="e">
        <f t="shared" si="592"/>
        <v>#REF!</v>
      </c>
      <c r="AS70" s="8" t="e">
        <f t="shared" si="592"/>
        <v>#REF!</v>
      </c>
      <c r="AT70" s="8" t="e">
        <f t="shared" si="592"/>
        <v>#REF!</v>
      </c>
      <c r="AU70" s="8" t="e">
        <f t="shared" si="592"/>
        <v>#REF!</v>
      </c>
      <c r="AV70" s="8" t="e">
        <f t="shared" si="592"/>
        <v>#REF!</v>
      </c>
      <c r="AW70" s="8">
        <v>17.969358418394556</v>
      </c>
      <c r="AX70" s="8">
        <v>18.466862141178723</v>
      </c>
      <c r="AY70" s="8" t="e">
        <f>+AY69*1%</f>
        <v>#REF!</v>
      </c>
      <c r="AZ70" s="8">
        <v>19.025673029334548</v>
      </c>
      <c r="BA70" s="8" t="e">
        <f t="shared" ref="BA70:BF70" si="593">+BA69*1%</f>
        <v>#REF!</v>
      </c>
      <c r="BB70" s="8" t="e">
        <f t="shared" si="593"/>
        <v>#REF!</v>
      </c>
      <c r="BC70" s="334" t="e">
        <f t="shared" si="593"/>
        <v>#REF!</v>
      </c>
      <c r="BD70" s="334" t="e">
        <f t="shared" si="593"/>
        <v>#REF!</v>
      </c>
      <c r="BE70" s="334" t="e">
        <f t="shared" si="593"/>
        <v>#REF!</v>
      </c>
      <c r="BF70" s="334" t="e">
        <f t="shared" si="593"/>
        <v>#REF!</v>
      </c>
      <c r="BG70" s="334" t="e">
        <f t="shared" ref="BG70:BH70" si="594">+BG69*1%</f>
        <v>#REF!</v>
      </c>
      <c r="BH70" s="334" t="e">
        <f t="shared" si="594"/>
        <v>#REF!</v>
      </c>
      <c r="BI70" s="334" t="e">
        <f t="shared" ref="BI70:BJ70" si="595">+BI69*1%</f>
        <v>#REF!</v>
      </c>
      <c r="BJ70" s="334" t="e">
        <f t="shared" si="595"/>
        <v>#REF!</v>
      </c>
      <c r="BK70" s="334" t="e">
        <f t="shared" ref="BK70:BL70" si="596">+BK69*1%</f>
        <v>#REF!</v>
      </c>
      <c r="BL70" s="334" t="e">
        <f t="shared" si="596"/>
        <v>#REF!</v>
      </c>
      <c r="BM70" s="334" t="e">
        <f t="shared" ref="BM70:BN70" si="597">+BM69*1%</f>
        <v>#REF!</v>
      </c>
      <c r="BN70" s="334">
        <f t="shared" si="597"/>
        <v>13.122910507632705</v>
      </c>
      <c r="BO70" s="334">
        <f t="shared" ref="BO70:BP70" si="598">+BO69*1%</f>
        <v>13.435449993851945</v>
      </c>
      <c r="BP70" s="334">
        <f t="shared" si="598"/>
        <v>13.477115791071512</v>
      </c>
      <c r="BQ70" s="334">
        <f t="shared" ref="BQ70:BR70" si="599">+BQ69*1%</f>
        <v>13.12639114645869</v>
      </c>
      <c r="BR70" s="334">
        <f t="shared" si="599"/>
        <v>12.737518148369988</v>
      </c>
      <c r="BS70" s="334">
        <f t="shared" ref="BS70:BT70" si="600">+BS69*1%</f>
        <v>12.770752612281802</v>
      </c>
      <c r="BT70" s="334">
        <f t="shared" si="600"/>
        <v>12.851122469591147</v>
      </c>
      <c r="BU70" s="334">
        <f t="shared" ref="BU70:BV70" si="601">+BU69*1%</f>
        <v>12.798613516627739</v>
      </c>
      <c r="BV70" s="334">
        <f t="shared" si="601"/>
        <v>12.737220826506924</v>
      </c>
      <c r="BW70" s="334">
        <f t="shared" ref="BW70:BY70" si="602">+BW69*1%</f>
        <v>12.592757666433862</v>
      </c>
      <c r="BX70" s="334">
        <f t="shared" ref="BX70" si="603">+BX69*1%</f>
        <v>12.767373202638787</v>
      </c>
      <c r="BY70" s="334">
        <f t="shared" si="602"/>
        <v>12.990633973152107</v>
      </c>
      <c r="BZ70" s="334">
        <f t="shared" ref="BZ70:CA70" si="604">+BZ69*1%</f>
        <v>13.036521591723119</v>
      </c>
      <c r="CA70" s="334">
        <f t="shared" si="604"/>
        <v>13.891215208453833</v>
      </c>
      <c r="CB70" s="334">
        <f t="shared" ref="CB70:CC70" si="605">+CB69*1%</f>
        <v>14.847052012236995</v>
      </c>
      <c r="CC70" s="334">
        <f t="shared" si="605"/>
        <v>15.734849571221613</v>
      </c>
      <c r="CD70" s="334">
        <f t="shared" ref="CD70:CE70" si="606">+CD69*1%</f>
        <v>15.434890219209816</v>
      </c>
      <c r="CE70" s="334">
        <f t="shared" si="606"/>
        <v>15.216770549694047</v>
      </c>
      <c r="CF70" s="334">
        <f t="shared" ref="CF70:CG70" si="607">+CF69*1%</f>
        <v>14.554724510254603</v>
      </c>
      <c r="CG70" s="334">
        <f t="shared" si="607"/>
        <v>14.191760450796565</v>
      </c>
      <c r="CH70" s="334">
        <f t="shared" ref="CH70:CI70" si="608">+CH69*1%</f>
        <v>13.976372999765704</v>
      </c>
      <c r="CI70" s="334">
        <f t="shared" si="608"/>
        <v>13.229740917849526</v>
      </c>
      <c r="CJ70" s="334">
        <f t="shared" ref="CJ70:CK70" si="609">+CJ69*1%</f>
        <v>13.239979113481176</v>
      </c>
      <c r="CK70" s="334">
        <f t="shared" si="609"/>
        <v>13.033868482922877</v>
      </c>
      <c r="CL70" s="616">
        <f t="shared" ref="CL70:CM70" si="610">+CL69*1%</f>
        <v>12.785560964483293</v>
      </c>
      <c r="CM70" s="616">
        <f t="shared" si="610"/>
        <v>12.919986816822284</v>
      </c>
      <c r="CN70" s="616">
        <f t="shared" ref="CN70:CO70" si="611">+CN69*1%</f>
        <v>13.077880109658814</v>
      </c>
      <c r="CO70" s="616">
        <f t="shared" si="611"/>
        <v>14.657720862610564</v>
      </c>
      <c r="CP70" s="616">
        <f t="shared" ref="CP70:CQ70" si="612">+CP69*1%</f>
        <v>13.890078617368541</v>
      </c>
      <c r="CQ70" s="616">
        <f t="shared" si="612"/>
        <v>13.560703313693336</v>
      </c>
      <c r="CR70" s="616">
        <f t="shared" ref="CR70:CS70" si="613">+CR69*1%</f>
        <v>13.355200927866345</v>
      </c>
      <c r="CS70" s="616">
        <f t="shared" si="613"/>
        <v>13.117764116609477</v>
      </c>
      <c r="CT70" s="616">
        <f t="shared" ref="CT70:CU70" si="614">+CT69*1%</f>
        <v>12.785081565718425</v>
      </c>
      <c r="CU70" s="616">
        <f t="shared" si="614"/>
        <v>12.519000417420337</v>
      </c>
      <c r="CV70" s="616">
        <f t="shared" ref="CV70" si="615">+CV69*1%</f>
        <v>10.101377281342188</v>
      </c>
      <c r="CW70" s="235"/>
    </row>
    <row r="71" spans="4:126" hidden="1" x14ac:dyDescent="0.35">
      <c r="D71" s="626" t="s">
        <v>126</v>
      </c>
      <c r="E71" s="36"/>
      <c r="F71" s="36"/>
      <c r="G71" s="36"/>
      <c r="H71" s="36"/>
      <c r="I71" s="36"/>
      <c r="J71" s="36"/>
      <c r="K71" s="36"/>
      <c r="L71" s="36"/>
      <c r="M71" s="36"/>
      <c r="N71" s="36"/>
      <c r="O71" s="36"/>
      <c r="P71" s="36"/>
      <c r="Q71" s="36"/>
      <c r="R71" s="36"/>
      <c r="S71" s="36"/>
      <c r="T71" s="36"/>
      <c r="U71" s="36"/>
      <c r="V71" s="36"/>
      <c r="W71" s="36"/>
      <c r="X71" s="36"/>
      <c r="Y71" s="36"/>
      <c r="Z71" s="70">
        <f t="shared" ref="Z71:AV71" si="616">+Z70+Z69</f>
        <v>1180.2865347992688</v>
      </c>
      <c r="AA71" s="70">
        <f t="shared" si="616"/>
        <v>1070.027705790578</v>
      </c>
      <c r="AB71" s="70">
        <f t="shared" si="616"/>
        <v>978.16421961808123</v>
      </c>
      <c r="AC71" s="70">
        <f t="shared" si="616"/>
        <v>1036.7058228880001</v>
      </c>
      <c r="AD71" s="70">
        <f t="shared" si="616"/>
        <v>994.29755266413974</v>
      </c>
      <c r="AE71" s="70">
        <f t="shared" si="616"/>
        <v>1014.5534928879998</v>
      </c>
      <c r="AF71" s="70">
        <f t="shared" si="616"/>
        <v>1006.7399693943817</v>
      </c>
      <c r="AG71" s="70">
        <f t="shared" si="616"/>
        <v>1011.6886779166666</v>
      </c>
      <c r="AH71" s="70">
        <f t="shared" si="616"/>
        <v>985.27747742461099</v>
      </c>
      <c r="AI71" s="70">
        <f t="shared" si="616"/>
        <v>972.37530318825475</v>
      </c>
      <c r="AJ71" s="70">
        <f t="shared" si="616"/>
        <v>974.48453380349133</v>
      </c>
      <c r="AK71" s="70">
        <f t="shared" si="616"/>
        <v>963.84395610479351</v>
      </c>
      <c r="AL71" s="70" t="e">
        <f t="shared" si="616"/>
        <v>#REF!</v>
      </c>
      <c r="AM71" s="70" t="e">
        <f t="shared" si="616"/>
        <v>#REF!</v>
      </c>
      <c r="AN71" s="70" t="e">
        <f t="shared" si="616"/>
        <v>#REF!</v>
      </c>
      <c r="AO71" s="70" t="e">
        <f t="shared" si="616"/>
        <v>#REF!</v>
      </c>
      <c r="AP71" s="70" t="e">
        <f t="shared" si="616"/>
        <v>#REF!</v>
      </c>
      <c r="AQ71" s="70" t="e">
        <f t="shared" si="616"/>
        <v>#REF!</v>
      </c>
      <c r="AR71" s="70" t="e">
        <f t="shared" si="616"/>
        <v>#REF!</v>
      </c>
      <c r="AS71" s="70" t="e">
        <f t="shared" si="616"/>
        <v>#REF!</v>
      </c>
      <c r="AT71" s="70" t="e">
        <f t="shared" si="616"/>
        <v>#REF!</v>
      </c>
      <c r="AU71" s="70" t="e">
        <f t="shared" si="616"/>
        <v>#REF!</v>
      </c>
      <c r="AV71" s="70" t="e">
        <f t="shared" si="616"/>
        <v>#REF!</v>
      </c>
      <c r="AW71" s="70">
        <v>1814.9052002578499</v>
      </c>
      <c r="AX71" s="70">
        <v>1865.1530762590512</v>
      </c>
      <c r="AY71" s="70" t="e">
        <f>+AY70+AY69</f>
        <v>#REF!</v>
      </c>
      <c r="AZ71" s="70">
        <v>1921.5929759627893</v>
      </c>
      <c r="BA71" s="70" t="e">
        <f t="shared" ref="BA71:BF71" si="617">+BA70+BA69</f>
        <v>#REF!</v>
      </c>
      <c r="BB71" s="70" t="e">
        <f t="shared" si="617"/>
        <v>#REF!</v>
      </c>
      <c r="BC71" s="351" t="e">
        <f t="shared" si="617"/>
        <v>#REF!</v>
      </c>
      <c r="BD71" s="351" t="e">
        <f t="shared" si="617"/>
        <v>#REF!</v>
      </c>
      <c r="BE71" s="351" t="e">
        <f t="shared" si="617"/>
        <v>#REF!</v>
      </c>
      <c r="BF71" s="351" t="e">
        <f t="shared" si="617"/>
        <v>#REF!</v>
      </c>
      <c r="BG71" s="351" t="e">
        <f t="shared" ref="BG71:BH71" si="618">+BG70+BG69</f>
        <v>#REF!</v>
      </c>
      <c r="BH71" s="351" t="e">
        <f t="shared" si="618"/>
        <v>#REF!</v>
      </c>
      <c r="BI71" s="351" t="e">
        <f t="shared" ref="BI71:BJ71" si="619">+BI70+BI69</f>
        <v>#REF!</v>
      </c>
      <c r="BJ71" s="351" t="e">
        <f t="shared" si="619"/>
        <v>#REF!</v>
      </c>
      <c r="BK71" s="351" t="e">
        <f t="shared" ref="BK71:BL71" si="620">+BK70+BK69</f>
        <v>#REF!</v>
      </c>
      <c r="BL71" s="351" t="e">
        <f t="shared" si="620"/>
        <v>#REF!</v>
      </c>
      <c r="BM71" s="351" t="e">
        <f t="shared" ref="BM71:BN71" si="621">+BM70+BM69</f>
        <v>#REF!</v>
      </c>
      <c r="BN71" s="351">
        <f t="shared" si="621"/>
        <v>1325.4139612709032</v>
      </c>
      <c r="BO71" s="351">
        <f t="shared" ref="BO71:BP71" si="622">+BO70+BO69</f>
        <v>1356.9804493790464</v>
      </c>
      <c r="BP71" s="351">
        <f t="shared" si="622"/>
        <v>1361.1886948982228</v>
      </c>
      <c r="BQ71" s="351">
        <f t="shared" ref="BQ71:BR71" si="623">+BQ70+BQ69</f>
        <v>1325.7655057923278</v>
      </c>
      <c r="BR71" s="351">
        <f t="shared" si="623"/>
        <v>1286.4893329853689</v>
      </c>
      <c r="BS71" s="351">
        <f t="shared" ref="BS71:BT71" si="624">+BS70+BS69</f>
        <v>1289.8460138404619</v>
      </c>
      <c r="BT71" s="351">
        <f t="shared" si="624"/>
        <v>1297.9633694287058</v>
      </c>
      <c r="BU71" s="351">
        <f t="shared" ref="BU71:BV71" si="625">+BU70+BU69</f>
        <v>1292.6599651794015</v>
      </c>
      <c r="BV71" s="351">
        <f t="shared" si="625"/>
        <v>1286.4593034771992</v>
      </c>
      <c r="BW71" s="351">
        <f t="shared" ref="BW71:BY71" si="626">+BW70+BW69</f>
        <v>1271.86852430982</v>
      </c>
      <c r="BX71" s="351">
        <f t="shared" ref="BX71" si="627">+BX70+BX69</f>
        <v>1289.5046934665174</v>
      </c>
      <c r="BY71" s="351">
        <f t="shared" si="626"/>
        <v>1312.0540312883629</v>
      </c>
      <c r="BZ71" s="351">
        <f t="shared" ref="BZ71:CA71" si="628">+BZ70+BZ69</f>
        <v>1316.6886807640351</v>
      </c>
      <c r="CA71" s="351">
        <f t="shared" si="628"/>
        <v>1403.012736053837</v>
      </c>
      <c r="CB71" s="351">
        <f t="shared" ref="CB71:CC71" si="629">+CB70+CB69</f>
        <v>1499.5522532359366</v>
      </c>
      <c r="CC71" s="351">
        <f t="shared" si="629"/>
        <v>1589.2198066933827</v>
      </c>
      <c r="CD71" s="351">
        <f t="shared" ref="CD71:CE71" si="630">+CD70+CD69</f>
        <v>1558.9239121401913</v>
      </c>
      <c r="CE71" s="351">
        <f t="shared" si="630"/>
        <v>1536.8938255190988</v>
      </c>
      <c r="CF71" s="351">
        <f t="shared" ref="CF71:CG71" si="631">+CF70+CF69</f>
        <v>1470.0271755357148</v>
      </c>
      <c r="CG71" s="351">
        <f t="shared" si="631"/>
        <v>1433.3678055304531</v>
      </c>
      <c r="CH71" s="351">
        <f t="shared" ref="CH71:CI71" si="632">+CH70+CH69</f>
        <v>1411.6136729763361</v>
      </c>
      <c r="CI71" s="351">
        <f t="shared" si="632"/>
        <v>1336.2038327028022</v>
      </c>
      <c r="CJ71" s="351">
        <f t="shared" ref="CJ71:CK71" si="633">+CJ70+CJ69</f>
        <v>1337.2378904615989</v>
      </c>
      <c r="CK71" s="351">
        <f t="shared" si="633"/>
        <v>1316.4207167752104</v>
      </c>
      <c r="CL71" s="661">
        <f t="shared" ref="CL71:CM71" si="634">+CL70+CL69</f>
        <v>1291.3416574128125</v>
      </c>
      <c r="CM71" s="661">
        <f t="shared" si="634"/>
        <v>1304.9186684990507</v>
      </c>
      <c r="CN71" s="661">
        <f t="shared" ref="CN71:CO71" si="635">+CN70+CN69</f>
        <v>1320.86589107554</v>
      </c>
      <c r="CO71" s="661">
        <f t="shared" si="635"/>
        <v>1480.4298071236669</v>
      </c>
      <c r="CP71" s="661">
        <f t="shared" ref="CP71:CQ71" si="636">+CP70+CP69</f>
        <v>1402.8979403542226</v>
      </c>
      <c r="CQ71" s="661">
        <f t="shared" si="636"/>
        <v>1369.6310346830269</v>
      </c>
      <c r="CR71" s="661">
        <f t="shared" ref="CR71:CS71" si="637">+CR70+CR69</f>
        <v>1348.8752937145007</v>
      </c>
      <c r="CS71" s="661">
        <f t="shared" si="637"/>
        <v>1324.8941757775572</v>
      </c>
      <c r="CT71" s="661">
        <f t="shared" ref="CT71:CU71" si="638">+CT70+CT69</f>
        <v>1291.2932381375608</v>
      </c>
      <c r="CU71" s="661">
        <f t="shared" si="638"/>
        <v>1264.419042159454</v>
      </c>
      <c r="CV71" s="661">
        <f t="shared" ref="CV71" si="639">+CV70+CV69</f>
        <v>1020.2391054155609</v>
      </c>
    </row>
    <row r="72" spans="4:126" hidden="1" x14ac:dyDescent="0.35">
      <c r="D72" s="648"/>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644"/>
      <c r="CM72" s="644"/>
      <c r="CN72" s="644"/>
      <c r="CO72" s="644"/>
      <c r="CP72" s="644"/>
      <c r="CQ72" s="644"/>
      <c r="CR72" s="644"/>
      <c r="CS72" s="644"/>
      <c r="CT72" s="644"/>
      <c r="CU72" s="644"/>
      <c r="CV72" s="644"/>
      <c r="CW72" s="243"/>
    </row>
    <row r="73" spans="4:126" hidden="1" x14ac:dyDescent="0.35">
      <c r="D73" s="657" t="s">
        <v>134</v>
      </c>
      <c r="E73" s="36"/>
      <c r="F73" s="36"/>
      <c r="G73" s="36"/>
      <c r="H73" s="36"/>
      <c r="I73" s="36"/>
      <c r="J73" s="36"/>
      <c r="K73" s="36"/>
      <c r="L73" s="36"/>
      <c r="M73" s="36"/>
      <c r="N73" s="36"/>
      <c r="O73" s="36"/>
      <c r="P73" s="36"/>
      <c r="Q73" s="36"/>
      <c r="R73" s="36"/>
      <c r="S73" s="36"/>
      <c r="T73" s="36"/>
      <c r="U73" s="36"/>
      <c r="V73" s="36"/>
      <c r="W73" s="36"/>
      <c r="X73" s="36"/>
      <c r="Y73" s="36"/>
      <c r="Z73" s="36"/>
      <c r="AA73" s="24">
        <f t="shared" ref="AA73:AK73" si="640">+(AA26*75%)+(AA34*25%)</f>
        <v>1034.8922313573873</v>
      </c>
      <c r="AB73" s="24">
        <f t="shared" si="640"/>
        <v>967.36378656360807</v>
      </c>
      <c r="AC73" s="24">
        <f t="shared" si="640"/>
        <v>1015.6654394265774</v>
      </c>
      <c r="AD73" s="24">
        <f t="shared" si="640"/>
        <v>992.34334095814938</v>
      </c>
      <c r="AE73" s="24">
        <f t="shared" si="640"/>
        <v>1009.0561629250305</v>
      </c>
      <c r="AF73" s="24">
        <f t="shared" si="640"/>
        <v>1003.8806967685639</v>
      </c>
      <c r="AG73" s="24">
        <f t="shared" si="640"/>
        <v>1007.9637896087327</v>
      </c>
      <c r="AH73" s="24">
        <f t="shared" si="640"/>
        <v>696.73858045209931</v>
      </c>
      <c r="AI73" s="24">
        <f t="shared" si="640"/>
        <v>965.90165011937825</v>
      </c>
      <c r="AJ73" s="24">
        <f t="shared" si="640"/>
        <v>974.73873526972625</v>
      </c>
      <c r="AK73" s="24">
        <f t="shared" si="640"/>
        <v>978.42118385575554</v>
      </c>
      <c r="AL73" s="24" t="e">
        <f t="shared" ref="AL73:AV73" si="641">+(AL28*75%)+(AL34*25%)</f>
        <v>#REF!</v>
      </c>
      <c r="AM73" s="24" t="e">
        <f t="shared" si="641"/>
        <v>#REF!</v>
      </c>
      <c r="AN73" s="24" t="e">
        <f t="shared" si="641"/>
        <v>#REF!</v>
      </c>
      <c r="AO73" s="24" t="e">
        <f t="shared" si="641"/>
        <v>#REF!</v>
      </c>
      <c r="AP73" s="24" t="e">
        <f t="shared" si="641"/>
        <v>#REF!</v>
      </c>
      <c r="AQ73" s="24" t="e">
        <f t="shared" si="641"/>
        <v>#REF!</v>
      </c>
      <c r="AR73" s="24" t="e">
        <f t="shared" si="641"/>
        <v>#REF!</v>
      </c>
      <c r="AS73" s="24" t="e">
        <f t="shared" si="641"/>
        <v>#REF!</v>
      </c>
      <c r="AT73" s="24" t="e">
        <f t="shared" si="641"/>
        <v>#REF!</v>
      </c>
      <c r="AU73" s="24" t="e">
        <f t="shared" si="641"/>
        <v>#REF!</v>
      </c>
      <c r="AV73" s="24" t="e">
        <f t="shared" si="641"/>
        <v>#REF!</v>
      </c>
      <c r="AW73" s="24">
        <v>1796.1366353300853</v>
      </c>
      <c r="AX73" s="24">
        <v>1825.0967702962275</v>
      </c>
      <c r="AY73" s="24" t="e">
        <f>+(AY28*75%)+(AY34*25%)</f>
        <v>#REF!</v>
      </c>
      <c r="AZ73" s="24">
        <v>1911.923285597285</v>
      </c>
      <c r="BA73" s="24" t="e">
        <f>+(BA28*75%)+(BA34*25%)</f>
        <v>#REF!</v>
      </c>
      <c r="BB73" s="24" t="e">
        <f>+(BB28*75%)+(BB34*25%)</f>
        <v>#REF!</v>
      </c>
      <c r="BC73" s="342" t="e">
        <f>+(BC28*75%)+(BC34*25%)</f>
        <v>#REF!</v>
      </c>
      <c r="BD73" s="342" t="e">
        <f t="shared" ref="BD73:CT73" si="642">+(BD30*75%)+(BD34*25%)</f>
        <v>#REF!</v>
      </c>
      <c r="BE73" s="342" t="e">
        <f t="shared" si="642"/>
        <v>#REF!</v>
      </c>
      <c r="BF73" s="342" t="e">
        <f t="shared" si="642"/>
        <v>#REF!</v>
      </c>
      <c r="BG73" s="342" t="e">
        <f t="shared" si="642"/>
        <v>#REF!</v>
      </c>
      <c r="BH73" s="342" t="e">
        <f t="shared" si="642"/>
        <v>#REF!</v>
      </c>
      <c r="BI73" s="342" t="e">
        <f t="shared" si="642"/>
        <v>#REF!</v>
      </c>
      <c r="BJ73" s="342" t="e">
        <f t="shared" si="642"/>
        <v>#REF!</v>
      </c>
      <c r="BK73" s="342" t="e">
        <f t="shared" si="642"/>
        <v>#REF!</v>
      </c>
      <c r="BL73" s="342" t="e">
        <f t="shared" si="642"/>
        <v>#REF!</v>
      </c>
      <c r="BM73" s="342" t="e">
        <f t="shared" si="642"/>
        <v>#REF!</v>
      </c>
      <c r="BN73" s="342">
        <f t="shared" si="642"/>
        <v>1355.5270892714141</v>
      </c>
      <c r="BO73" s="342">
        <f t="shared" si="642"/>
        <v>1378.0022170844941</v>
      </c>
      <c r="BP73" s="342">
        <f t="shared" si="642"/>
        <v>1396.3997907567823</v>
      </c>
      <c r="BQ73" s="342">
        <f t="shared" si="642"/>
        <v>1374.908283533548</v>
      </c>
      <c r="BR73" s="342">
        <f t="shared" si="642"/>
        <v>1336.097509991024</v>
      </c>
      <c r="BS73" s="342">
        <f t="shared" si="642"/>
        <v>1337.280906714901</v>
      </c>
      <c r="BT73" s="342">
        <f t="shared" si="642"/>
        <v>1349.0754148191702</v>
      </c>
      <c r="BU73" s="342">
        <f t="shared" si="642"/>
        <v>1361.6454172775557</v>
      </c>
      <c r="BV73" s="342">
        <f t="shared" si="642"/>
        <v>1368.599245461209</v>
      </c>
      <c r="BW73" s="342">
        <f t="shared" si="642"/>
        <v>1318.7011078221633</v>
      </c>
      <c r="BX73" s="342">
        <f t="shared" si="642"/>
        <v>1362.1275427029836</v>
      </c>
      <c r="BY73" s="342">
        <f t="shared" si="642"/>
        <v>1384.6888886974768</v>
      </c>
      <c r="BZ73" s="342">
        <f t="shared" si="642"/>
        <v>1384.6888886974768</v>
      </c>
      <c r="CA73" s="342">
        <f t="shared" si="642"/>
        <v>1472.6475035261888</v>
      </c>
      <c r="CB73" s="342">
        <f t="shared" si="642"/>
        <v>1557.5323476524129</v>
      </c>
      <c r="CC73" s="342">
        <f t="shared" si="642"/>
        <v>1644.0865635323744</v>
      </c>
      <c r="CD73" s="342">
        <f t="shared" si="642"/>
        <v>1630.6745579227986</v>
      </c>
      <c r="CE73" s="342">
        <f t="shared" si="642"/>
        <v>1617.4546810065262</v>
      </c>
      <c r="CF73" s="342">
        <f t="shared" si="642"/>
        <v>1568.5717227646014</v>
      </c>
      <c r="CG73" s="342">
        <f t="shared" si="642"/>
        <v>1525.8174640827276</v>
      </c>
      <c r="CH73" s="342">
        <f t="shared" si="642"/>
        <v>1513.1740916996887</v>
      </c>
      <c r="CI73" s="342">
        <f t="shared" si="642"/>
        <v>1465.3813701439258</v>
      </c>
      <c r="CJ73" s="342">
        <f t="shared" si="642"/>
        <v>1483.097995254501</v>
      </c>
      <c r="CK73" s="342">
        <f t="shared" si="642"/>
        <v>1465.9989151524851</v>
      </c>
      <c r="CL73" s="646">
        <f t="shared" si="642"/>
        <v>1432.6312517024471</v>
      </c>
      <c r="CM73" s="646">
        <f t="shared" si="642"/>
        <v>1450.5270755345455</v>
      </c>
      <c r="CN73" s="646">
        <f t="shared" si="642"/>
        <v>1462.2739025601741</v>
      </c>
      <c r="CO73" s="646">
        <f t="shared" si="642"/>
        <v>1593.275156387919</v>
      </c>
      <c r="CP73" s="646">
        <f t="shared" si="642"/>
        <v>1517.8722446639317</v>
      </c>
      <c r="CQ73" s="646">
        <f t="shared" si="642"/>
        <v>1491.4192726681708</v>
      </c>
      <c r="CR73" s="646">
        <f t="shared" si="642"/>
        <v>1469.7353480617003</v>
      </c>
      <c r="CS73" s="646">
        <f t="shared" si="642"/>
        <v>1452.7975669128375</v>
      </c>
      <c r="CT73" s="646">
        <f t="shared" si="642"/>
        <v>1359.6907949938209</v>
      </c>
      <c r="CU73" s="646">
        <f t="shared" ref="CU73:CV73" si="643">+(CU30*75%)+(CU34*25%)</f>
        <v>1399.61544519022</v>
      </c>
      <c r="CV73" s="646">
        <f t="shared" si="643"/>
        <v>841.78144011184895</v>
      </c>
      <c r="CW73" s="240"/>
    </row>
    <row r="74" spans="4:126" hidden="1" x14ac:dyDescent="0.35">
      <c r="D74" s="642" t="s">
        <v>125</v>
      </c>
      <c r="E74" s="36"/>
      <c r="F74" s="36"/>
      <c r="G74" s="36"/>
      <c r="H74" s="36"/>
      <c r="I74" s="36"/>
      <c r="J74" s="36"/>
      <c r="K74" s="36"/>
      <c r="L74" s="36"/>
      <c r="M74" s="36"/>
      <c r="N74" s="36"/>
      <c r="O74" s="36"/>
      <c r="P74" s="36"/>
      <c r="Q74" s="36"/>
      <c r="R74" s="36"/>
      <c r="S74" s="36"/>
      <c r="T74" s="36"/>
      <c r="U74" s="36"/>
      <c r="V74" s="36"/>
      <c r="W74" s="36"/>
      <c r="X74" s="36"/>
      <c r="Y74" s="36"/>
      <c r="Z74" s="36"/>
      <c r="AA74" s="8">
        <f t="shared" ref="AA74:AV74" si="644">+AA73*1%</f>
        <v>10.348922313573874</v>
      </c>
      <c r="AB74" s="8">
        <f t="shared" si="644"/>
        <v>9.6736378656360813</v>
      </c>
      <c r="AC74" s="8">
        <f t="shared" si="644"/>
        <v>10.156654394265775</v>
      </c>
      <c r="AD74" s="8">
        <f t="shared" si="644"/>
        <v>9.9234334095814933</v>
      </c>
      <c r="AE74" s="8">
        <f t="shared" si="644"/>
        <v>10.090561629250306</v>
      </c>
      <c r="AF74" s="8">
        <f t="shared" si="644"/>
        <v>10.038806967685639</v>
      </c>
      <c r="AG74" s="8">
        <f t="shared" si="644"/>
        <v>10.079637896087327</v>
      </c>
      <c r="AH74" s="8">
        <f t="shared" si="644"/>
        <v>6.9673858045209931</v>
      </c>
      <c r="AI74" s="8">
        <f t="shared" si="644"/>
        <v>9.6590165011937827</v>
      </c>
      <c r="AJ74" s="8">
        <f t="shared" si="644"/>
        <v>9.7473873526972632</v>
      </c>
      <c r="AK74" s="8">
        <f t="shared" si="644"/>
        <v>9.7842118385575549</v>
      </c>
      <c r="AL74" s="8" t="e">
        <f t="shared" si="644"/>
        <v>#REF!</v>
      </c>
      <c r="AM74" s="8" t="e">
        <f t="shared" si="644"/>
        <v>#REF!</v>
      </c>
      <c r="AN74" s="8" t="e">
        <f t="shared" si="644"/>
        <v>#REF!</v>
      </c>
      <c r="AO74" s="8" t="e">
        <f t="shared" si="644"/>
        <v>#REF!</v>
      </c>
      <c r="AP74" s="8" t="e">
        <f t="shared" si="644"/>
        <v>#REF!</v>
      </c>
      <c r="AQ74" s="8" t="e">
        <f t="shared" si="644"/>
        <v>#REF!</v>
      </c>
      <c r="AR74" s="8" t="e">
        <f t="shared" si="644"/>
        <v>#REF!</v>
      </c>
      <c r="AS74" s="8" t="e">
        <f t="shared" si="644"/>
        <v>#REF!</v>
      </c>
      <c r="AT74" s="8" t="e">
        <f t="shared" si="644"/>
        <v>#REF!</v>
      </c>
      <c r="AU74" s="8" t="e">
        <f t="shared" si="644"/>
        <v>#REF!</v>
      </c>
      <c r="AV74" s="8" t="e">
        <f t="shared" si="644"/>
        <v>#REF!</v>
      </c>
      <c r="AW74" s="8">
        <v>17.961366353300853</v>
      </c>
      <c r="AX74" s="8">
        <v>18.250967702962274</v>
      </c>
      <c r="AY74" s="8" t="e">
        <f>+AY73*1%</f>
        <v>#REF!</v>
      </c>
      <c r="AZ74" s="8">
        <v>19.11923285597285</v>
      </c>
      <c r="BA74" s="8" t="e">
        <f t="shared" ref="BA74:BF74" si="645">+BA73*1%</f>
        <v>#REF!</v>
      </c>
      <c r="BB74" s="8" t="e">
        <f t="shared" si="645"/>
        <v>#REF!</v>
      </c>
      <c r="BC74" s="334" t="e">
        <f t="shared" si="645"/>
        <v>#REF!</v>
      </c>
      <c r="BD74" s="334" t="e">
        <f t="shared" si="645"/>
        <v>#REF!</v>
      </c>
      <c r="BE74" s="334" t="e">
        <f t="shared" si="645"/>
        <v>#REF!</v>
      </c>
      <c r="BF74" s="334" t="e">
        <f t="shared" si="645"/>
        <v>#REF!</v>
      </c>
      <c r="BG74" s="334" t="e">
        <f t="shared" ref="BG74:BH74" si="646">+BG73*1%</f>
        <v>#REF!</v>
      </c>
      <c r="BH74" s="334" t="e">
        <f t="shared" si="646"/>
        <v>#REF!</v>
      </c>
      <c r="BI74" s="334" t="e">
        <f t="shared" ref="BI74:BJ74" si="647">+BI73*1%</f>
        <v>#REF!</v>
      </c>
      <c r="BJ74" s="334" t="e">
        <f t="shared" si="647"/>
        <v>#REF!</v>
      </c>
      <c r="BK74" s="334" t="e">
        <f t="shared" ref="BK74:BL74" si="648">+BK73*1%</f>
        <v>#REF!</v>
      </c>
      <c r="BL74" s="334" t="e">
        <f t="shared" si="648"/>
        <v>#REF!</v>
      </c>
      <c r="BM74" s="334" t="e">
        <f t="shared" ref="BM74:BN74" si="649">+BM73*1%</f>
        <v>#REF!</v>
      </c>
      <c r="BN74" s="334">
        <f t="shared" si="649"/>
        <v>13.555270892714141</v>
      </c>
      <c r="BO74" s="334">
        <f t="shared" ref="BO74:BP74" si="650">+BO73*1%</f>
        <v>13.780022170844941</v>
      </c>
      <c r="BP74" s="334">
        <f t="shared" si="650"/>
        <v>13.963997907567823</v>
      </c>
      <c r="BQ74" s="334">
        <f t="shared" ref="BQ74:BR74" si="651">+BQ73*1%</f>
        <v>13.74908283533548</v>
      </c>
      <c r="BR74" s="334">
        <f t="shared" si="651"/>
        <v>13.36097509991024</v>
      </c>
      <c r="BS74" s="334">
        <f t="shared" ref="BS74:BT74" si="652">+BS73*1%</f>
        <v>13.37280906714901</v>
      </c>
      <c r="BT74" s="334">
        <f t="shared" si="652"/>
        <v>13.490754148191701</v>
      </c>
      <c r="BU74" s="334">
        <f t="shared" ref="BU74:BV74" si="653">+BU73*1%</f>
        <v>13.616454172775557</v>
      </c>
      <c r="BV74" s="334">
        <f t="shared" si="653"/>
        <v>13.685992454612091</v>
      </c>
      <c r="BW74" s="334">
        <f t="shared" ref="BW74:BY74" si="654">+BW73*1%</f>
        <v>13.187011078221634</v>
      </c>
      <c r="BX74" s="334">
        <f t="shared" ref="BX74" si="655">+BX73*1%</f>
        <v>13.621275427029836</v>
      </c>
      <c r="BY74" s="334">
        <f t="shared" si="654"/>
        <v>13.846888886974769</v>
      </c>
      <c r="BZ74" s="334">
        <f t="shared" ref="BZ74:CA74" si="656">+BZ73*1%</f>
        <v>13.846888886974769</v>
      </c>
      <c r="CA74" s="334">
        <f t="shared" si="656"/>
        <v>14.726475035261888</v>
      </c>
      <c r="CB74" s="334">
        <f t="shared" ref="CB74:CC74" si="657">+CB73*1%</f>
        <v>15.57532347652413</v>
      </c>
      <c r="CC74" s="334">
        <f t="shared" si="657"/>
        <v>16.440865635323743</v>
      </c>
      <c r="CD74" s="334">
        <f t="shared" ref="CD74:CE74" si="658">+CD73*1%</f>
        <v>16.306745579227986</v>
      </c>
      <c r="CE74" s="334">
        <f t="shared" si="658"/>
        <v>16.174546810065262</v>
      </c>
      <c r="CF74" s="334">
        <f t="shared" ref="CF74:CG74" si="659">+CF73*1%</f>
        <v>15.685717227646014</v>
      </c>
      <c r="CG74" s="334">
        <f t="shared" si="659"/>
        <v>15.258174640827276</v>
      </c>
      <c r="CH74" s="334">
        <f t="shared" ref="CH74:CI74" si="660">+CH73*1%</f>
        <v>15.131740916996888</v>
      </c>
      <c r="CI74" s="334">
        <f t="shared" si="660"/>
        <v>14.653813701439258</v>
      </c>
      <c r="CJ74" s="334">
        <f t="shared" ref="CJ74:CK74" si="661">+CJ73*1%</f>
        <v>14.830979952545011</v>
      </c>
      <c r="CK74" s="334">
        <f t="shared" si="661"/>
        <v>14.659989151524851</v>
      </c>
      <c r="CL74" s="616">
        <f t="shared" ref="CL74:CM74" si="662">+CL73*1%</f>
        <v>14.326312517024471</v>
      </c>
      <c r="CM74" s="616">
        <f t="shared" si="662"/>
        <v>14.505270755345455</v>
      </c>
      <c r="CN74" s="616">
        <f t="shared" ref="CN74:CO74" si="663">+CN73*1%</f>
        <v>14.62273902560174</v>
      </c>
      <c r="CO74" s="616">
        <f t="shared" si="663"/>
        <v>15.93275156387919</v>
      </c>
      <c r="CP74" s="616">
        <f t="shared" ref="CP74:CQ74" si="664">+CP73*1%</f>
        <v>15.178722446639318</v>
      </c>
      <c r="CQ74" s="616">
        <f t="shared" si="664"/>
        <v>14.914192726681708</v>
      </c>
      <c r="CR74" s="616">
        <f t="shared" ref="CR74:CS74" si="665">+CR73*1%</f>
        <v>14.697353480617004</v>
      </c>
      <c r="CS74" s="616">
        <f t="shared" si="665"/>
        <v>14.527975669128375</v>
      </c>
      <c r="CT74" s="616">
        <f t="shared" ref="CT74:CU74" si="666">+CT73*1%</f>
        <v>13.59690794993821</v>
      </c>
      <c r="CU74" s="616">
        <f t="shared" si="666"/>
        <v>13.9961544519022</v>
      </c>
      <c r="CV74" s="616">
        <f t="shared" ref="CV74" si="667">+CV73*1%</f>
        <v>8.4178144011184894</v>
      </c>
      <c r="CW74" s="235"/>
    </row>
    <row r="75" spans="4:126" hidden="1" x14ac:dyDescent="0.35">
      <c r="D75" s="626" t="s">
        <v>126</v>
      </c>
      <c r="E75" s="36"/>
      <c r="F75" s="36"/>
      <c r="G75" s="36"/>
      <c r="H75" s="36"/>
      <c r="I75" s="36"/>
      <c r="J75" s="36"/>
      <c r="K75" s="36"/>
      <c r="L75" s="36"/>
      <c r="M75" s="36"/>
      <c r="N75" s="36"/>
      <c r="O75" s="36"/>
      <c r="P75" s="36"/>
      <c r="Q75" s="36"/>
      <c r="R75" s="36"/>
      <c r="S75" s="36"/>
      <c r="T75" s="36"/>
      <c r="U75" s="36"/>
      <c r="V75" s="36"/>
      <c r="W75" s="36"/>
      <c r="X75" s="36"/>
      <c r="Y75" s="36"/>
      <c r="Z75" s="36"/>
      <c r="AA75" s="71">
        <f t="shared" ref="AA75:AV75" si="668">+AA74+AA73</f>
        <v>1045.2411536709612</v>
      </c>
      <c r="AB75" s="71">
        <f t="shared" si="668"/>
        <v>977.0374244292442</v>
      </c>
      <c r="AC75" s="71">
        <f t="shared" si="668"/>
        <v>1025.8220938208433</v>
      </c>
      <c r="AD75" s="71">
        <f t="shared" si="668"/>
        <v>1002.2667743677309</v>
      </c>
      <c r="AE75" s="71">
        <f t="shared" si="668"/>
        <v>1019.1467245542808</v>
      </c>
      <c r="AF75" s="71">
        <f t="shared" si="668"/>
        <v>1013.9195037362496</v>
      </c>
      <c r="AG75" s="71">
        <f t="shared" si="668"/>
        <v>1018.04342750482</v>
      </c>
      <c r="AH75" s="71">
        <f t="shared" si="668"/>
        <v>703.70596625662029</v>
      </c>
      <c r="AI75" s="71">
        <f t="shared" si="668"/>
        <v>975.56066662057208</v>
      </c>
      <c r="AJ75" s="71">
        <f t="shared" si="668"/>
        <v>984.48612262242352</v>
      </c>
      <c r="AK75" s="71">
        <f t="shared" si="668"/>
        <v>988.2053956943131</v>
      </c>
      <c r="AL75" s="71" t="e">
        <f t="shared" si="668"/>
        <v>#REF!</v>
      </c>
      <c r="AM75" s="269" t="e">
        <f t="shared" si="668"/>
        <v>#REF!</v>
      </c>
      <c r="AN75" s="269" t="e">
        <f t="shared" si="668"/>
        <v>#REF!</v>
      </c>
      <c r="AO75" s="269" t="e">
        <f t="shared" si="668"/>
        <v>#REF!</v>
      </c>
      <c r="AP75" s="269" t="e">
        <f t="shared" si="668"/>
        <v>#REF!</v>
      </c>
      <c r="AQ75" s="269" t="e">
        <f t="shared" si="668"/>
        <v>#REF!</v>
      </c>
      <c r="AR75" s="269" t="e">
        <f t="shared" si="668"/>
        <v>#REF!</v>
      </c>
      <c r="AS75" s="269" t="e">
        <f t="shared" si="668"/>
        <v>#REF!</v>
      </c>
      <c r="AT75" s="269" t="e">
        <f t="shared" si="668"/>
        <v>#REF!</v>
      </c>
      <c r="AU75" s="269" t="e">
        <f t="shared" si="668"/>
        <v>#REF!</v>
      </c>
      <c r="AV75" s="269" t="e">
        <f t="shared" si="668"/>
        <v>#REF!</v>
      </c>
      <c r="AW75" s="269">
        <v>1814.0980016833862</v>
      </c>
      <c r="AX75" s="269">
        <v>1843.3477379991898</v>
      </c>
      <c r="AY75" s="269" t="e">
        <f>+AY74+AY73</f>
        <v>#REF!</v>
      </c>
      <c r="AZ75" s="269">
        <v>1931.0425184532578</v>
      </c>
      <c r="BA75" s="269" t="e">
        <f t="shared" ref="BA75:BF75" si="669">+BA74+BA73</f>
        <v>#REF!</v>
      </c>
      <c r="BB75" s="269" t="e">
        <f t="shared" si="669"/>
        <v>#REF!</v>
      </c>
      <c r="BC75" s="349" t="e">
        <f t="shared" si="669"/>
        <v>#REF!</v>
      </c>
      <c r="BD75" s="349" t="e">
        <f t="shared" si="669"/>
        <v>#REF!</v>
      </c>
      <c r="BE75" s="349" t="e">
        <f t="shared" si="669"/>
        <v>#REF!</v>
      </c>
      <c r="BF75" s="349" t="e">
        <f t="shared" si="669"/>
        <v>#REF!</v>
      </c>
      <c r="BG75" s="349" t="e">
        <f t="shared" ref="BG75:BH75" si="670">+BG74+BG73</f>
        <v>#REF!</v>
      </c>
      <c r="BH75" s="349" t="e">
        <f t="shared" si="670"/>
        <v>#REF!</v>
      </c>
      <c r="BI75" s="349" t="e">
        <f t="shared" ref="BI75:BJ75" si="671">+BI74+BI73</f>
        <v>#REF!</v>
      </c>
      <c r="BJ75" s="349" t="e">
        <f t="shared" si="671"/>
        <v>#REF!</v>
      </c>
      <c r="BK75" s="349" t="e">
        <f t="shared" ref="BK75:BL75" si="672">+BK74+BK73</f>
        <v>#REF!</v>
      </c>
      <c r="BL75" s="349" t="e">
        <f t="shared" si="672"/>
        <v>#REF!</v>
      </c>
      <c r="BM75" s="349" t="e">
        <f t="shared" ref="BM75:BN75" si="673">+BM74+BM73</f>
        <v>#REF!</v>
      </c>
      <c r="BN75" s="349">
        <f t="shared" si="673"/>
        <v>1369.0823601641282</v>
      </c>
      <c r="BO75" s="349">
        <f t="shared" ref="BO75:BP75" si="674">+BO74+BO73</f>
        <v>1391.7822392553389</v>
      </c>
      <c r="BP75" s="349">
        <f t="shared" si="674"/>
        <v>1410.3637886643501</v>
      </c>
      <c r="BQ75" s="349">
        <f t="shared" ref="BQ75:BR75" si="675">+BQ74+BQ73</f>
        <v>1388.6573663688835</v>
      </c>
      <c r="BR75" s="349">
        <f t="shared" si="675"/>
        <v>1349.4584850909343</v>
      </c>
      <c r="BS75" s="349">
        <f t="shared" ref="BS75:BT75" si="676">+BS74+BS73</f>
        <v>1350.6537157820501</v>
      </c>
      <c r="BT75" s="349">
        <f t="shared" si="676"/>
        <v>1362.5661689673618</v>
      </c>
      <c r="BU75" s="349">
        <f t="shared" ref="BU75:BV75" si="677">+BU74+BU73</f>
        <v>1375.2618714503312</v>
      </c>
      <c r="BV75" s="349">
        <f t="shared" si="677"/>
        <v>1382.285237915821</v>
      </c>
      <c r="BW75" s="349">
        <f t="shared" ref="BW75:BY75" si="678">+BW74+BW73</f>
        <v>1331.8881189003848</v>
      </c>
      <c r="BX75" s="349">
        <f t="shared" ref="BX75" si="679">+BX74+BX73</f>
        <v>1375.7488181300134</v>
      </c>
      <c r="BY75" s="349">
        <f t="shared" si="678"/>
        <v>1398.5357775844516</v>
      </c>
      <c r="BZ75" s="349">
        <f t="shared" ref="BZ75:CA75" si="680">+BZ74+BZ73</f>
        <v>1398.5357775844516</v>
      </c>
      <c r="CA75" s="349">
        <f t="shared" si="680"/>
        <v>1487.3739785614507</v>
      </c>
      <c r="CB75" s="349">
        <f t="shared" ref="CB75:CC75" si="681">+CB74+CB73</f>
        <v>1573.107671128937</v>
      </c>
      <c r="CC75" s="349">
        <f t="shared" si="681"/>
        <v>1660.5274291676981</v>
      </c>
      <c r="CD75" s="349">
        <f t="shared" ref="CD75:CE75" si="682">+CD74+CD73</f>
        <v>1646.9813035020265</v>
      </c>
      <c r="CE75" s="349">
        <f t="shared" si="682"/>
        <v>1633.6292278165915</v>
      </c>
      <c r="CF75" s="349">
        <f t="shared" ref="CF75:CG75" si="683">+CF74+CF73</f>
        <v>1584.2574399922473</v>
      </c>
      <c r="CG75" s="349">
        <f t="shared" si="683"/>
        <v>1541.0756387235549</v>
      </c>
      <c r="CH75" s="349">
        <f t="shared" ref="CH75:CI75" si="684">+CH74+CH73</f>
        <v>1528.3058326166856</v>
      </c>
      <c r="CI75" s="349">
        <f t="shared" si="684"/>
        <v>1480.0351838453651</v>
      </c>
      <c r="CJ75" s="349">
        <f t="shared" ref="CJ75:CK75" si="685">+CJ74+CJ73</f>
        <v>1497.9289752070461</v>
      </c>
      <c r="CK75" s="349">
        <f t="shared" si="685"/>
        <v>1480.6589043040099</v>
      </c>
      <c r="CL75" s="658">
        <f t="shared" ref="CL75:CM75" si="686">+CL74+CL73</f>
        <v>1446.9575642194716</v>
      </c>
      <c r="CM75" s="658">
        <f t="shared" si="686"/>
        <v>1465.0323462898909</v>
      </c>
      <c r="CN75" s="658">
        <f t="shared" ref="CN75:CO75" si="687">+CN74+CN73</f>
        <v>1476.8966415857758</v>
      </c>
      <c r="CO75" s="658">
        <f t="shared" si="687"/>
        <v>1609.2079079517982</v>
      </c>
      <c r="CP75" s="658">
        <f t="shared" ref="CP75:CQ75" si="688">+CP74+CP73</f>
        <v>1533.050967110571</v>
      </c>
      <c r="CQ75" s="658">
        <f t="shared" si="688"/>
        <v>1506.3334653948525</v>
      </c>
      <c r="CR75" s="658">
        <f t="shared" ref="CR75:CS75" si="689">+CR74+CR73</f>
        <v>1484.4327015423173</v>
      </c>
      <c r="CS75" s="658">
        <f t="shared" si="689"/>
        <v>1467.3255425819659</v>
      </c>
      <c r="CT75" s="658">
        <f t="shared" ref="CT75:CU75" si="690">+CT74+CT73</f>
        <v>1373.2877029437591</v>
      </c>
      <c r="CU75" s="658">
        <f t="shared" si="690"/>
        <v>1413.6115996421222</v>
      </c>
      <c r="CV75" s="658">
        <f t="shared" ref="CV75" si="691">+CV74+CV73</f>
        <v>850.1992545129674</v>
      </c>
    </row>
    <row r="76" spans="4:126" hidden="1" x14ac:dyDescent="0.35">
      <c r="D76" s="648"/>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644"/>
      <c r="CM76" s="644"/>
      <c r="CN76" s="644"/>
      <c r="CO76" s="644"/>
      <c r="CP76" s="644"/>
      <c r="CQ76" s="644"/>
      <c r="CR76" s="644"/>
      <c r="CS76" s="644"/>
      <c r="CT76" s="644"/>
      <c r="CU76" s="644"/>
      <c r="CV76" s="644"/>
      <c r="CW76" s="243"/>
    </row>
    <row r="77" spans="4:126" hidden="1" x14ac:dyDescent="0.35">
      <c r="D77" s="662" t="s">
        <v>135</v>
      </c>
      <c r="E77" s="36"/>
      <c r="F77" s="36"/>
      <c r="G77" s="36"/>
      <c r="H77" s="36"/>
      <c r="I77" s="36"/>
      <c r="J77" s="36"/>
      <c r="K77" s="36"/>
      <c r="L77" s="36"/>
      <c r="M77" s="36"/>
      <c r="N77" s="36"/>
      <c r="O77" s="36"/>
      <c r="P77" s="36"/>
      <c r="Q77" s="36"/>
      <c r="R77" s="36"/>
      <c r="S77" s="36"/>
      <c r="T77" s="36"/>
      <c r="U77" s="36"/>
      <c r="V77" s="36"/>
      <c r="W77" s="36"/>
      <c r="X77" s="36"/>
      <c r="Y77" s="36"/>
      <c r="Z77" s="36"/>
      <c r="AA77" s="24"/>
      <c r="AB77" s="24"/>
      <c r="AC77" s="24"/>
      <c r="AD77" s="24"/>
      <c r="AE77" s="24"/>
      <c r="AF77" s="24"/>
      <c r="AG77" s="24"/>
      <c r="AH77" s="24"/>
      <c r="AI77" s="24"/>
      <c r="AJ77" s="24"/>
      <c r="AK77" s="24"/>
      <c r="AL77" s="24"/>
      <c r="AM77" s="24"/>
      <c r="AN77" s="24"/>
      <c r="AO77" s="24"/>
      <c r="AP77" s="24"/>
      <c r="AQ77" s="24"/>
      <c r="AR77" s="24"/>
      <c r="AS77" s="24"/>
      <c r="AT77" s="24"/>
      <c r="AU77" s="24" t="e">
        <f>+(AU40*75%)+(AU28*25%)</f>
        <v>#REF!</v>
      </c>
      <c r="AV77" s="24" t="e">
        <f>+(AV40*75%)+(AV28*25%)</f>
        <v>#REF!</v>
      </c>
      <c r="AW77" s="24">
        <v>2026.2017594307863</v>
      </c>
      <c r="AX77" s="24">
        <v>2044.7899150887836</v>
      </c>
      <c r="AY77" s="24" t="e">
        <f>+(AY40*75%)+(AY28*25%)</f>
        <v>#REF!</v>
      </c>
      <c r="AZ77" s="24">
        <v>2167.3694884991637</v>
      </c>
      <c r="BA77" s="24" t="e">
        <f>+(BA40*75%)+(BA28*25%)</f>
        <v>#REF!</v>
      </c>
      <c r="BB77" s="24" t="e">
        <f>+(BB40*75%)+(BB28*25%)</f>
        <v>#REF!</v>
      </c>
      <c r="BC77" s="342" t="e">
        <f>+(BC40*75%)+(BC28*25%)</f>
        <v>#REF!</v>
      </c>
      <c r="BD77" s="342" t="e">
        <f t="shared" ref="BD77:CT77" si="692">+(BD40*75%)+(BD30*25%)</f>
        <v>#REF!</v>
      </c>
      <c r="BE77" s="342" t="e">
        <f t="shared" si="692"/>
        <v>#REF!</v>
      </c>
      <c r="BF77" s="342" t="e">
        <f t="shared" si="692"/>
        <v>#REF!</v>
      </c>
      <c r="BG77" s="342" t="e">
        <f t="shared" si="692"/>
        <v>#REF!</v>
      </c>
      <c r="BH77" s="342" t="e">
        <f t="shared" si="692"/>
        <v>#REF!</v>
      </c>
      <c r="BI77" s="342" t="e">
        <f t="shared" si="692"/>
        <v>#REF!</v>
      </c>
      <c r="BJ77" s="342" t="e">
        <f t="shared" si="692"/>
        <v>#REF!</v>
      </c>
      <c r="BK77" s="342" t="e">
        <f t="shared" si="692"/>
        <v>#REF!</v>
      </c>
      <c r="BL77" s="342" t="e">
        <f t="shared" si="692"/>
        <v>#REF!</v>
      </c>
      <c r="BM77" s="342" t="e">
        <f t="shared" si="692"/>
        <v>#REF!</v>
      </c>
      <c r="BN77" s="342">
        <f t="shared" si="692"/>
        <v>316.75358440904932</v>
      </c>
      <c r="BO77" s="342">
        <f t="shared" si="692"/>
        <v>326.03020836600433</v>
      </c>
      <c r="BP77" s="342">
        <f t="shared" si="692"/>
        <v>324.74232212869862</v>
      </c>
      <c r="BQ77" s="342">
        <f t="shared" si="692"/>
        <v>313.71071314037005</v>
      </c>
      <c r="BR77" s="342">
        <f t="shared" si="692"/>
        <v>303.97613381042811</v>
      </c>
      <c r="BS77" s="342">
        <f t="shared" si="692"/>
        <v>305.1636703527742</v>
      </c>
      <c r="BT77" s="342">
        <f t="shared" si="692"/>
        <v>306.54666305661868</v>
      </c>
      <c r="BU77" s="342">
        <f t="shared" si="692"/>
        <v>302.26378960674572</v>
      </c>
      <c r="BV77" s="342">
        <f t="shared" si="692"/>
        <v>298.54678948776962</v>
      </c>
      <c r="BW77" s="342">
        <f t="shared" si="692"/>
        <v>300.84384742456626</v>
      </c>
      <c r="BX77" s="342">
        <f t="shared" si="692"/>
        <v>300.84384742456626</v>
      </c>
      <c r="BY77" s="342">
        <f t="shared" si="692"/>
        <v>306.38615519687249</v>
      </c>
      <c r="BZ77" s="342">
        <f t="shared" si="692"/>
        <v>306.38615519687249</v>
      </c>
      <c r="CA77" s="342">
        <f t="shared" si="692"/>
        <v>329.25060419632564</v>
      </c>
      <c r="CB77" s="342">
        <f t="shared" si="692"/>
        <v>354.92966366625353</v>
      </c>
      <c r="CC77" s="342">
        <f t="shared" si="692"/>
        <v>377.49552597728558</v>
      </c>
      <c r="CD77" s="342">
        <f t="shared" si="692"/>
        <v>367.23255391172324</v>
      </c>
      <c r="CE77" s="342">
        <f t="shared" si="692"/>
        <v>360.34754716794509</v>
      </c>
      <c r="CF77" s="342">
        <f t="shared" si="692"/>
        <v>340.90945523162236</v>
      </c>
      <c r="CG77" s="342">
        <f t="shared" si="692"/>
        <v>332.91166253451644</v>
      </c>
      <c r="CH77" s="342">
        <f t="shared" si="692"/>
        <v>326.06944714366858</v>
      </c>
      <c r="CI77" s="342">
        <f t="shared" si="692"/>
        <v>302.92523065645491</v>
      </c>
      <c r="CJ77" s="342">
        <f t="shared" si="692"/>
        <v>300.39905128934447</v>
      </c>
      <c r="CK77" s="342">
        <f t="shared" si="692"/>
        <v>294.66095503308463</v>
      </c>
      <c r="CL77" s="646">
        <f t="shared" si="692"/>
        <v>289.87608567310826</v>
      </c>
      <c r="CM77" s="646">
        <f t="shared" si="692"/>
        <v>292.49452554854992</v>
      </c>
      <c r="CN77" s="646">
        <f t="shared" si="692"/>
        <v>297.1156082458005</v>
      </c>
      <c r="CO77" s="646">
        <f t="shared" si="692"/>
        <v>341.10876398083258</v>
      </c>
      <c r="CP77" s="646">
        <f t="shared" si="692"/>
        <v>321.69082238307954</v>
      </c>
      <c r="CQ77" s="646">
        <f t="shared" si="692"/>
        <v>312.37568006257283</v>
      </c>
      <c r="CR77" s="646">
        <f t="shared" si="692"/>
        <v>307.42706808752661</v>
      </c>
      <c r="CS77" s="646">
        <f t="shared" si="692"/>
        <v>300.35683114330089</v>
      </c>
      <c r="CT77" s="646">
        <f t="shared" si="692"/>
        <v>292.73727974741672</v>
      </c>
      <c r="CU77" s="646">
        <f t="shared" ref="CU77:CV77" si="693">+(CU40*75%)+(CU30*25%)</f>
        <v>284.28490582099334</v>
      </c>
      <c r="CV77" s="646">
        <f t="shared" si="693"/>
        <v>280.59381337061632</v>
      </c>
      <c r="CW77" s="240"/>
    </row>
    <row r="78" spans="4:126" hidden="1" x14ac:dyDescent="0.35">
      <c r="D78" s="642" t="s">
        <v>125</v>
      </c>
      <c r="E78" s="36"/>
      <c r="F78" s="36"/>
      <c r="G78" s="36"/>
      <c r="H78" s="36"/>
      <c r="I78" s="36"/>
      <c r="J78" s="36"/>
      <c r="K78" s="36"/>
      <c r="L78" s="36"/>
      <c r="M78" s="36"/>
      <c r="N78" s="36"/>
      <c r="O78" s="36"/>
      <c r="P78" s="36"/>
      <c r="Q78" s="36"/>
      <c r="R78" s="36"/>
      <c r="S78" s="36"/>
      <c r="T78" s="36"/>
      <c r="U78" s="36"/>
      <c r="V78" s="36"/>
      <c r="W78" s="36"/>
      <c r="X78" s="36"/>
      <c r="Y78" s="36"/>
      <c r="Z78" s="36"/>
      <c r="AA78" s="8"/>
      <c r="AB78" s="8"/>
      <c r="AC78" s="8"/>
      <c r="AD78" s="8"/>
      <c r="AE78" s="8"/>
      <c r="AF78" s="8"/>
      <c r="AG78" s="8"/>
      <c r="AH78" s="8"/>
      <c r="AI78" s="8"/>
      <c r="AJ78" s="8"/>
      <c r="AK78" s="8"/>
      <c r="AL78" s="8"/>
      <c r="AM78" s="8"/>
      <c r="AN78" s="8"/>
      <c r="AO78" s="8"/>
      <c r="AP78" s="8"/>
      <c r="AQ78" s="8"/>
      <c r="AR78" s="8"/>
      <c r="AS78" s="8"/>
      <c r="AT78" s="8"/>
      <c r="AU78" s="8" t="e">
        <f>+AU77*1%</f>
        <v>#REF!</v>
      </c>
      <c r="AV78" s="8" t="e">
        <f>+AV77*1%</f>
        <v>#REF!</v>
      </c>
      <c r="AW78" s="8">
        <v>20.262017594307864</v>
      </c>
      <c r="AX78" s="8">
        <v>20.447899150887835</v>
      </c>
      <c r="AY78" s="8" t="e">
        <f>+AY77*1%</f>
        <v>#REF!</v>
      </c>
      <c r="AZ78" s="8">
        <v>21.673694884991637</v>
      </c>
      <c r="BA78" s="8" t="e">
        <f t="shared" ref="BA78:BF78" si="694">+BA77*1%</f>
        <v>#REF!</v>
      </c>
      <c r="BB78" s="8" t="e">
        <f t="shared" si="694"/>
        <v>#REF!</v>
      </c>
      <c r="BC78" s="334" t="e">
        <f t="shared" si="694"/>
        <v>#REF!</v>
      </c>
      <c r="BD78" s="334" t="e">
        <f t="shared" si="694"/>
        <v>#REF!</v>
      </c>
      <c r="BE78" s="334" t="e">
        <f t="shared" si="694"/>
        <v>#REF!</v>
      </c>
      <c r="BF78" s="334" t="e">
        <f t="shared" si="694"/>
        <v>#REF!</v>
      </c>
      <c r="BG78" s="334" t="e">
        <f t="shared" ref="BG78:BH78" si="695">+BG77*1%</f>
        <v>#REF!</v>
      </c>
      <c r="BH78" s="334" t="e">
        <f t="shared" si="695"/>
        <v>#REF!</v>
      </c>
      <c r="BI78" s="334" t="e">
        <f t="shared" ref="BI78:BJ78" si="696">+BI77*1%</f>
        <v>#REF!</v>
      </c>
      <c r="BJ78" s="334" t="e">
        <f t="shared" si="696"/>
        <v>#REF!</v>
      </c>
      <c r="BK78" s="334" t="e">
        <f t="shared" ref="BK78:BL78" si="697">+BK77*1%</f>
        <v>#REF!</v>
      </c>
      <c r="BL78" s="334" t="e">
        <f t="shared" si="697"/>
        <v>#REF!</v>
      </c>
      <c r="BM78" s="334" t="e">
        <f t="shared" ref="BM78:BN78" si="698">+BM77*1%</f>
        <v>#REF!</v>
      </c>
      <c r="BN78" s="334">
        <f t="shared" si="698"/>
        <v>3.1675358440904935</v>
      </c>
      <c r="BO78" s="334">
        <f t="shared" ref="BO78:BP78" si="699">+BO77*1%</f>
        <v>3.2603020836600436</v>
      </c>
      <c r="BP78" s="334">
        <f t="shared" si="699"/>
        <v>3.2474232212869865</v>
      </c>
      <c r="BQ78" s="334">
        <f t="shared" ref="BQ78:BR78" si="700">+BQ77*1%</f>
        <v>3.1371071314037007</v>
      </c>
      <c r="BR78" s="334">
        <f t="shared" si="700"/>
        <v>3.039761338104281</v>
      </c>
      <c r="BS78" s="334">
        <f t="shared" ref="BS78:BT78" si="701">+BS77*1%</f>
        <v>3.0516367035277421</v>
      </c>
      <c r="BT78" s="334">
        <f t="shared" si="701"/>
        <v>3.0654666305661871</v>
      </c>
      <c r="BU78" s="334">
        <f t="shared" ref="BU78:BV78" si="702">+BU77*1%</f>
        <v>3.0226378960674571</v>
      </c>
      <c r="BV78" s="334">
        <f t="shared" si="702"/>
        <v>2.9854678948776963</v>
      </c>
      <c r="BW78" s="334">
        <f t="shared" ref="BW78:BY78" si="703">+BW77*1%</f>
        <v>3.0084384742456627</v>
      </c>
      <c r="BX78" s="334">
        <f t="shared" ref="BX78" si="704">+BX77*1%</f>
        <v>3.0084384742456627</v>
      </c>
      <c r="BY78" s="334">
        <f t="shared" si="703"/>
        <v>3.0638615519687251</v>
      </c>
      <c r="BZ78" s="334">
        <f t="shared" ref="BZ78:CA78" si="705">+BZ77*1%</f>
        <v>3.0638615519687251</v>
      </c>
      <c r="CA78" s="334">
        <f t="shared" si="705"/>
        <v>3.2925060419632564</v>
      </c>
      <c r="CB78" s="334">
        <f t="shared" ref="CB78:CC78" si="706">+CB77*1%</f>
        <v>3.5492966366625356</v>
      </c>
      <c r="CC78" s="334">
        <f t="shared" si="706"/>
        <v>3.774955259772856</v>
      </c>
      <c r="CD78" s="334">
        <f t="shared" ref="CD78:CE78" si="707">+CD77*1%</f>
        <v>3.6723255391172325</v>
      </c>
      <c r="CE78" s="334">
        <f t="shared" si="707"/>
        <v>3.603475471679451</v>
      </c>
      <c r="CF78" s="334">
        <f t="shared" ref="CF78:CG78" si="708">+CF77*1%</f>
        <v>3.4090945523162235</v>
      </c>
      <c r="CG78" s="334">
        <f t="shared" si="708"/>
        <v>3.3291166253451645</v>
      </c>
      <c r="CH78" s="334">
        <f t="shared" ref="CH78:CI78" si="709">+CH77*1%</f>
        <v>3.2606944714366861</v>
      </c>
      <c r="CI78" s="334">
        <f t="shared" si="709"/>
        <v>3.0292523065645494</v>
      </c>
      <c r="CJ78" s="334">
        <f t="shared" ref="CJ78:CK78" si="710">+CJ77*1%</f>
        <v>3.003990512893445</v>
      </c>
      <c r="CK78" s="334">
        <f t="shared" si="710"/>
        <v>2.9466095503308463</v>
      </c>
      <c r="CL78" s="616">
        <f t="shared" ref="CL78:CM78" si="711">+CL77*1%</f>
        <v>2.8987608567310827</v>
      </c>
      <c r="CM78" s="616">
        <f t="shared" si="711"/>
        <v>2.9249452554854991</v>
      </c>
      <c r="CN78" s="616">
        <f t="shared" ref="CN78:CO78" si="712">+CN77*1%</f>
        <v>2.971156082458005</v>
      </c>
      <c r="CO78" s="616">
        <f t="shared" si="712"/>
        <v>3.4110876398083256</v>
      </c>
      <c r="CP78" s="616">
        <f t="shared" ref="CP78:CQ78" si="713">+CP77*1%</f>
        <v>3.2169082238307953</v>
      </c>
      <c r="CQ78" s="616">
        <f t="shared" si="713"/>
        <v>3.1237568006257281</v>
      </c>
      <c r="CR78" s="616">
        <f t="shared" ref="CR78:CS78" si="714">+CR77*1%</f>
        <v>3.0742706808752662</v>
      </c>
      <c r="CS78" s="616">
        <f t="shared" si="714"/>
        <v>3.0035683114330092</v>
      </c>
      <c r="CT78" s="616">
        <f t="shared" ref="CT78:CU78" si="715">+CT77*1%</f>
        <v>2.9273727974741672</v>
      </c>
      <c r="CU78" s="616">
        <f t="shared" si="715"/>
        <v>2.8428490582099335</v>
      </c>
      <c r="CV78" s="616">
        <f t="shared" ref="CV78" si="716">+CV77*1%</f>
        <v>2.8059381337061633</v>
      </c>
      <c r="CW78" s="235"/>
    </row>
    <row r="79" spans="4:126" ht="15" hidden="1" thickBot="1" x14ac:dyDescent="0.4">
      <c r="D79" s="663" t="s">
        <v>126</v>
      </c>
      <c r="E79" s="632"/>
      <c r="F79" s="632"/>
      <c r="G79" s="632"/>
      <c r="H79" s="632"/>
      <c r="I79" s="632"/>
      <c r="J79" s="632"/>
      <c r="K79" s="632"/>
      <c r="L79" s="632"/>
      <c r="M79" s="632"/>
      <c r="N79" s="632"/>
      <c r="O79" s="632"/>
      <c r="P79" s="632"/>
      <c r="Q79" s="632"/>
      <c r="R79" s="632"/>
      <c r="S79" s="632"/>
      <c r="T79" s="632"/>
      <c r="U79" s="632"/>
      <c r="V79" s="632"/>
      <c r="W79" s="632"/>
      <c r="X79" s="632"/>
      <c r="Y79" s="632"/>
      <c r="Z79" s="632"/>
      <c r="AA79" s="664"/>
      <c r="AB79" s="664"/>
      <c r="AC79" s="664"/>
      <c r="AD79" s="664"/>
      <c r="AE79" s="664"/>
      <c r="AF79" s="664"/>
      <c r="AG79" s="664"/>
      <c r="AH79" s="664"/>
      <c r="AI79" s="664"/>
      <c r="AJ79" s="664"/>
      <c r="AK79" s="664"/>
      <c r="AL79" s="664"/>
      <c r="AM79" s="665"/>
      <c r="AN79" s="665"/>
      <c r="AO79" s="665"/>
      <c r="AP79" s="665"/>
      <c r="AQ79" s="665"/>
      <c r="AR79" s="665"/>
      <c r="AS79" s="665"/>
      <c r="AT79" s="665"/>
      <c r="AU79" s="665" t="e">
        <f>+AU78+AU77</f>
        <v>#REF!</v>
      </c>
      <c r="AV79" s="665" t="e">
        <f>+AV78+AV77</f>
        <v>#REF!</v>
      </c>
      <c r="AW79" s="665">
        <v>2046.4637770250943</v>
      </c>
      <c r="AX79" s="665">
        <v>2065.2378142396715</v>
      </c>
      <c r="AY79" s="665" t="e">
        <f>+AY78+AY77</f>
        <v>#REF!</v>
      </c>
      <c r="AZ79" s="665">
        <v>2189.0431833841553</v>
      </c>
      <c r="BA79" s="665" t="e">
        <f t="shared" ref="BA79:BF79" si="717">+BA78+BA77</f>
        <v>#REF!</v>
      </c>
      <c r="BB79" s="665" t="e">
        <f t="shared" si="717"/>
        <v>#REF!</v>
      </c>
      <c r="BC79" s="666" t="e">
        <f t="shared" si="717"/>
        <v>#REF!</v>
      </c>
      <c r="BD79" s="666" t="e">
        <f t="shared" si="717"/>
        <v>#REF!</v>
      </c>
      <c r="BE79" s="666" t="e">
        <f t="shared" si="717"/>
        <v>#REF!</v>
      </c>
      <c r="BF79" s="666" t="e">
        <f t="shared" si="717"/>
        <v>#REF!</v>
      </c>
      <c r="BG79" s="666" t="e">
        <f t="shared" ref="BG79:BH79" si="718">+BG78+BG77</f>
        <v>#REF!</v>
      </c>
      <c r="BH79" s="666" t="e">
        <f t="shared" si="718"/>
        <v>#REF!</v>
      </c>
      <c r="BI79" s="666" t="e">
        <f t="shared" ref="BI79:BJ79" si="719">+BI78+BI77</f>
        <v>#REF!</v>
      </c>
      <c r="BJ79" s="666" t="e">
        <f t="shared" si="719"/>
        <v>#REF!</v>
      </c>
      <c r="BK79" s="666" t="e">
        <f t="shared" ref="BK79:BL79" si="720">+BK78+BK77</f>
        <v>#REF!</v>
      </c>
      <c r="BL79" s="666" t="e">
        <f t="shared" si="720"/>
        <v>#REF!</v>
      </c>
      <c r="BM79" s="666" t="e">
        <f t="shared" ref="BM79:BN79" si="721">+BM78+BM77</f>
        <v>#REF!</v>
      </c>
      <c r="BN79" s="666">
        <f t="shared" si="721"/>
        <v>319.9211202531398</v>
      </c>
      <c r="BO79" s="666">
        <f t="shared" ref="BO79:BP79" si="722">+BO78+BO77</f>
        <v>329.2905104496644</v>
      </c>
      <c r="BP79" s="666">
        <f t="shared" si="722"/>
        <v>327.98974534998558</v>
      </c>
      <c r="BQ79" s="666">
        <f t="shared" ref="BQ79:BR79" si="723">+BQ78+BQ77</f>
        <v>316.84782027177374</v>
      </c>
      <c r="BR79" s="666">
        <f t="shared" si="723"/>
        <v>307.01589514853237</v>
      </c>
      <c r="BS79" s="666">
        <f t="shared" ref="BS79:BT79" si="724">+BS78+BS77</f>
        <v>308.21530705630192</v>
      </c>
      <c r="BT79" s="666">
        <f t="shared" si="724"/>
        <v>309.61212968718485</v>
      </c>
      <c r="BU79" s="666">
        <f t="shared" ref="BU79" si="725">+BU78+BU77</f>
        <v>305.28642750281318</v>
      </c>
      <c r="BV79" s="666">
        <f t="shared" ref="BV79:CA79" si="726">+BV49+BV50</f>
        <v>1787.9639525178027</v>
      </c>
      <c r="BW79" s="666">
        <f t="shared" si="726"/>
        <v>1701.9791106617865</v>
      </c>
      <c r="BX79" s="666">
        <f t="shared" si="726"/>
        <v>1735.7341338490824</v>
      </c>
      <c r="BY79" s="667">
        <f t="shared" si="726"/>
        <v>1761.7137919822053</v>
      </c>
      <c r="BZ79" s="667">
        <f t="shared" si="726"/>
        <v>1829.4646702603907</v>
      </c>
      <c r="CA79" s="667">
        <f t="shared" si="726"/>
        <v>1804.7277714150455</v>
      </c>
      <c r="CB79" s="667">
        <f t="shared" ref="CB79:CC79" si="727">+CB49+CB50</f>
        <v>1899.9163285632485</v>
      </c>
      <c r="CC79" s="667">
        <f t="shared" si="727"/>
        <v>1983.1760422150389</v>
      </c>
      <c r="CD79" s="667">
        <f t="shared" ref="CD79:CE79" si="728">+CD49+CD50</f>
        <v>2028.1077145404035</v>
      </c>
      <c r="CE79" s="667">
        <f t="shared" si="728"/>
        <v>2057.0309537810413</v>
      </c>
      <c r="CF79" s="667">
        <f t="shared" ref="CF79:CG79" si="729">+CF49+CF50</f>
        <v>2063.3434620357198</v>
      </c>
      <c r="CG79" s="667">
        <f t="shared" si="729"/>
        <v>2016.645373309522</v>
      </c>
      <c r="CH79" s="667">
        <f t="shared" ref="CH79:CI79" si="730">+CH49+CH50</f>
        <v>2023.7494675724436</v>
      </c>
      <c r="CI79" s="667">
        <f t="shared" si="730"/>
        <v>2064.3206274951649</v>
      </c>
      <c r="CJ79" s="667">
        <f t="shared" ref="CJ79:CK79" si="731">+CJ49+CJ50</f>
        <v>2129.3425925598299</v>
      </c>
      <c r="CK79" s="667">
        <f t="shared" si="731"/>
        <v>2123.8455705469114</v>
      </c>
      <c r="CL79" s="668">
        <f t="shared" ref="CL79:CM79" si="732">+CL49+CL50</f>
        <v>2039.3552297752262</v>
      </c>
      <c r="CM79" s="668">
        <f t="shared" si="732"/>
        <v>2039.4648962100478</v>
      </c>
      <c r="CN79" s="668">
        <f t="shared" ref="CN79:CO79" si="733">+CN49+CN50</f>
        <v>2020.9689193783026</v>
      </c>
      <c r="CO79" s="668">
        <f t="shared" si="733"/>
        <v>1976.9957619732129</v>
      </c>
      <c r="CP79" s="668">
        <f t="shared" ref="CP79:CQ79" si="734">+CP49+CP50</f>
        <v>1820.4646742078778</v>
      </c>
      <c r="CQ79" s="668">
        <f t="shared" si="734"/>
        <v>1810.8505778735621</v>
      </c>
      <c r="CR79" s="668">
        <f t="shared" ref="CR79:CS79" si="735">+CR49+CR50</f>
        <v>1794.103304032071</v>
      </c>
      <c r="CS79" s="668">
        <f t="shared" si="735"/>
        <v>1781.2879852948258</v>
      </c>
      <c r="CT79" s="668">
        <f t="shared" ref="CT79:CU79" si="736">+CT49+CT50</f>
        <v>1754.5458884721506</v>
      </c>
      <c r="CU79" s="668">
        <f t="shared" si="736"/>
        <v>1765.0636499833699</v>
      </c>
      <c r="CV79" s="668">
        <f t="shared" ref="CV79" si="737">+CV49+CV50</f>
        <v>1785.3234858637188</v>
      </c>
      <c r="CX79" s="681"/>
      <c r="DV79" s="497"/>
    </row>
    <row r="80" spans="4:126" x14ac:dyDescent="0.35">
      <c r="CX80" s="682"/>
    </row>
    <row r="81" spans="75:102" x14ac:dyDescent="0.35">
      <c r="BW81" s="492"/>
      <c r="CX81" s="682"/>
    </row>
  </sheetData>
  <mergeCells count="5">
    <mergeCell ref="D15:D16"/>
    <mergeCell ref="D11:D12"/>
    <mergeCell ref="D31:CL31"/>
    <mergeCell ref="CX14:EG14"/>
    <mergeCell ref="B15:B16"/>
  </mergeCells>
  <phoneticPr fontId="26" type="noConversion"/>
  <pageMargins left="0.7" right="0.7" top="0.75" bottom="0.75" header="0.3" footer="0.3"/>
  <pageSetup orientation="portrait" r:id="rId1"/>
  <customProperties>
    <customPr name="EpmWorksheetKeyString_GUID" r:id="rId2"/>
  </customProperties>
  <ignoredErrors>
    <ignoredError sqref="BX28:BY28" formula="1"/>
  </ignoredErrors>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4B38-DF1E-4617-85C9-54A57309941C}">
  <dimension ref="B1:BC68"/>
  <sheetViews>
    <sheetView showGridLines="0" topLeftCell="A10" zoomScale="80" zoomScaleNormal="80" zoomScaleSheetLayoutView="80" workbookViewId="0">
      <pane xSplit="2" ySplit="6" topLeftCell="AK16" activePane="bottomRight" state="frozen"/>
      <selection pane="topRight" activeCell="C10" sqref="C10"/>
      <selection pane="bottomLeft" activeCell="A16" sqref="A16"/>
      <selection pane="bottomRight" activeCell="B16" sqref="B16:B17"/>
    </sheetView>
  </sheetViews>
  <sheetFormatPr defaultColWidth="10.54296875" defaultRowHeight="14.5" x14ac:dyDescent="0.35"/>
  <cols>
    <col min="2" max="2" width="55.453125" customWidth="1"/>
    <col min="3" max="4" width="14" hidden="1" customWidth="1"/>
    <col min="5" max="6" width="11.453125" hidden="1" customWidth="1"/>
    <col min="7" max="11" width="10.81640625" hidden="1" customWidth="1"/>
    <col min="12" max="12" width="12" hidden="1" customWidth="1"/>
    <col min="13" max="24" width="10.81640625" hidden="1" customWidth="1"/>
    <col min="25" max="25" width="11" hidden="1" customWidth="1"/>
    <col min="26" max="27" width="10.81640625" hidden="1" customWidth="1"/>
    <col min="28" max="28" width="8.453125" hidden="1" customWidth="1"/>
    <col min="29" max="31" width="12.1796875" hidden="1" customWidth="1"/>
    <col min="32" max="36" width="10.81640625" hidden="1" customWidth="1"/>
    <col min="37" max="41" width="10.81640625" customWidth="1"/>
    <col min="45" max="45" width="28.453125" customWidth="1"/>
    <col min="46" max="51" width="10.81640625" customWidth="1"/>
  </cols>
  <sheetData>
    <row r="1" spans="2:54" x14ac:dyDescent="0.35">
      <c r="B1" s="17" t="s">
        <v>0</v>
      </c>
    </row>
    <row r="11" spans="2:54" x14ac:dyDescent="0.35">
      <c r="AS11" s="276"/>
      <c r="AT11" s="276"/>
      <c r="AU11" s="276"/>
      <c r="AV11" s="276"/>
      <c r="AW11" s="276"/>
      <c r="AX11" s="276"/>
      <c r="AY11" s="276"/>
      <c r="AZ11" s="276"/>
      <c r="BA11" s="276"/>
    </row>
    <row r="12" spans="2:54" x14ac:dyDescent="0.35">
      <c r="AS12" s="277"/>
      <c r="AT12" s="278"/>
      <c r="AU12" s="276"/>
      <c r="AV12" s="276"/>
      <c r="AW12" s="276"/>
      <c r="AX12" s="276"/>
      <c r="AY12" s="276"/>
      <c r="AZ12" s="276"/>
      <c r="BA12" s="276"/>
    </row>
    <row r="14" spans="2:54" x14ac:dyDescent="0.35">
      <c r="AB14" s="13"/>
      <c r="AC14" s="13"/>
      <c r="AD14" s="13" t="s">
        <v>1</v>
      </c>
      <c r="AE14" s="13"/>
      <c r="AT14" s="819" t="s">
        <v>136</v>
      </c>
      <c r="AU14" s="819"/>
      <c r="AV14" s="819"/>
      <c r="AW14" s="819"/>
      <c r="AX14" s="819"/>
      <c r="AY14" s="819"/>
      <c r="AZ14" s="819"/>
      <c r="BA14" s="819"/>
    </row>
    <row r="15" spans="2:54" ht="15" thickBot="1" x14ac:dyDescent="0.4">
      <c r="B15" s="14" t="s">
        <v>2</v>
      </c>
      <c r="C15" s="15" t="s">
        <v>3</v>
      </c>
      <c r="D15" s="15" t="s">
        <v>4</v>
      </c>
      <c r="E15" s="15" t="s">
        <v>5</v>
      </c>
      <c r="F15" s="15" t="s">
        <v>6</v>
      </c>
      <c r="G15" s="15" t="s">
        <v>7</v>
      </c>
      <c r="H15" s="15" t="s">
        <v>8</v>
      </c>
      <c r="I15" s="15" t="s">
        <v>9</v>
      </c>
      <c r="J15" s="15" t="s">
        <v>10</v>
      </c>
      <c r="K15" s="15" t="s">
        <v>11</v>
      </c>
      <c r="L15" s="15" t="s">
        <v>12</v>
      </c>
      <c r="M15" s="15" t="s">
        <v>13</v>
      </c>
      <c r="N15" s="15" t="s">
        <v>14</v>
      </c>
      <c r="O15" s="15" t="s">
        <v>15</v>
      </c>
      <c r="P15" s="15" t="s">
        <v>16</v>
      </c>
      <c r="Q15" s="15" t="s">
        <v>17</v>
      </c>
      <c r="R15" s="15" t="s">
        <v>18</v>
      </c>
      <c r="S15" s="15" t="s">
        <v>19</v>
      </c>
      <c r="T15" s="15" t="s">
        <v>20</v>
      </c>
      <c r="U15" s="15" t="s">
        <v>21</v>
      </c>
      <c r="V15" s="15" t="s">
        <v>22</v>
      </c>
      <c r="W15" s="15" t="s">
        <v>23</v>
      </c>
      <c r="X15" s="15" t="s">
        <v>24</v>
      </c>
      <c r="Y15" s="15" t="s">
        <v>25</v>
      </c>
      <c r="Z15" s="15" t="s">
        <v>26</v>
      </c>
      <c r="AA15" s="15" t="s">
        <v>26</v>
      </c>
      <c r="AB15" s="15" t="s">
        <v>27</v>
      </c>
      <c r="AC15" s="15" t="s">
        <v>27</v>
      </c>
      <c r="AD15" s="15" t="s">
        <v>28</v>
      </c>
      <c r="AE15" s="15" t="s">
        <v>28</v>
      </c>
      <c r="AF15" s="15" t="s">
        <v>29</v>
      </c>
      <c r="AG15" s="15" t="s">
        <v>30</v>
      </c>
      <c r="AH15" s="15" t="s">
        <v>19</v>
      </c>
      <c r="AI15" s="15" t="s">
        <v>20</v>
      </c>
      <c r="AJ15" s="15" t="s">
        <v>31</v>
      </c>
      <c r="AK15" s="15" t="s">
        <v>32</v>
      </c>
      <c r="AL15" s="15" t="s">
        <v>33</v>
      </c>
      <c r="AM15" s="217" t="s">
        <v>34</v>
      </c>
      <c r="AN15" s="217" t="s">
        <v>35</v>
      </c>
      <c r="AO15" s="217" t="s">
        <v>36</v>
      </c>
      <c r="AP15" s="217" t="s">
        <v>37</v>
      </c>
      <c r="AQ15" s="217" t="s">
        <v>38</v>
      </c>
      <c r="AR15" s="236"/>
      <c r="AT15" s="178" t="s">
        <v>137</v>
      </c>
      <c r="AU15" s="178" t="s">
        <v>138</v>
      </c>
      <c r="AV15" s="178" t="s">
        <v>139</v>
      </c>
      <c r="AW15" s="178" t="s">
        <v>140</v>
      </c>
      <c r="AX15" s="178" t="s">
        <v>141</v>
      </c>
      <c r="AY15" s="178" t="s">
        <v>142</v>
      </c>
      <c r="AZ15" s="178" t="s">
        <v>143</v>
      </c>
      <c r="BA15" s="178" t="s">
        <v>144</v>
      </c>
      <c r="BB15" s="178" t="s">
        <v>145</v>
      </c>
    </row>
    <row r="16" spans="2:54" x14ac:dyDescent="0.35">
      <c r="B16" s="820" t="s">
        <v>77</v>
      </c>
      <c r="C16" s="9" t="s">
        <v>78</v>
      </c>
      <c r="D16" s="9" t="s">
        <v>79</v>
      </c>
      <c r="E16" s="9" t="s">
        <v>3</v>
      </c>
      <c r="F16" s="9" t="s">
        <v>80</v>
      </c>
      <c r="G16" s="9" t="s">
        <v>5</v>
      </c>
      <c r="H16" s="9" t="s">
        <v>6</v>
      </c>
      <c r="I16" s="9" t="s">
        <v>7</v>
      </c>
      <c r="J16" s="9" t="s">
        <v>8</v>
      </c>
      <c r="K16" s="9" t="s">
        <v>81</v>
      </c>
      <c r="L16" s="9" t="s">
        <v>10</v>
      </c>
      <c r="M16" s="9" t="s">
        <v>11</v>
      </c>
      <c r="N16" s="9" t="s">
        <v>12</v>
      </c>
      <c r="O16" s="9" t="s">
        <v>13</v>
      </c>
      <c r="P16" s="9" t="s">
        <v>14</v>
      </c>
      <c r="Q16" s="9" t="s">
        <v>15</v>
      </c>
      <c r="R16" s="9" t="s">
        <v>16</v>
      </c>
      <c r="S16" s="9" t="s">
        <v>17</v>
      </c>
      <c r="T16" s="9" t="s">
        <v>18</v>
      </c>
      <c r="U16" s="9" t="s">
        <v>82</v>
      </c>
      <c r="V16" s="9" t="s">
        <v>83</v>
      </c>
      <c r="W16" s="9" t="s">
        <v>84</v>
      </c>
      <c r="X16" s="9" t="s">
        <v>22</v>
      </c>
      <c r="Y16" s="9" t="s">
        <v>23</v>
      </c>
      <c r="Z16" s="9" t="s">
        <v>24</v>
      </c>
      <c r="AA16" s="9" t="s">
        <v>24</v>
      </c>
      <c r="AB16" s="9" t="s">
        <v>25</v>
      </c>
      <c r="AC16" s="9" t="s">
        <v>25</v>
      </c>
      <c r="AD16" s="9" t="s">
        <v>26</v>
      </c>
      <c r="AE16" s="9" t="s">
        <v>26</v>
      </c>
      <c r="AF16" s="9" t="s">
        <v>27</v>
      </c>
      <c r="AG16" s="9" t="s">
        <v>28</v>
      </c>
      <c r="AH16" s="9" t="s">
        <v>29</v>
      </c>
      <c r="AI16" s="9" t="s">
        <v>30</v>
      </c>
      <c r="AJ16" s="9" t="s">
        <v>19</v>
      </c>
      <c r="AK16" s="9" t="s">
        <v>20</v>
      </c>
      <c r="AL16" s="9" t="s">
        <v>85</v>
      </c>
      <c r="AM16" s="218">
        <v>44228</v>
      </c>
      <c r="AN16" s="218" t="s">
        <v>33</v>
      </c>
      <c r="AO16" s="218" t="s">
        <v>146</v>
      </c>
      <c r="AP16" s="218" t="s">
        <v>35</v>
      </c>
      <c r="AQ16" s="218" t="s">
        <v>35</v>
      </c>
      <c r="AR16" s="237"/>
      <c r="AS16" s="179" t="s">
        <v>147</v>
      </c>
      <c r="AT16" s="180">
        <v>402</v>
      </c>
      <c r="AU16" s="181">
        <f t="shared" ref="AU16:BB16" si="0">+AT34</f>
        <v>908.55869089423959</v>
      </c>
      <c r="AV16" s="181">
        <f t="shared" si="0"/>
        <v>1484.0593342270379</v>
      </c>
      <c r="AW16" s="181">
        <f t="shared" si="0"/>
        <v>1983.5279099712845</v>
      </c>
      <c r="AX16" s="181">
        <f t="shared" si="0"/>
        <v>1948.3075783902821</v>
      </c>
      <c r="AY16" s="181">
        <f t="shared" si="0"/>
        <v>1958.401752190282</v>
      </c>
      <c r="AZ16" s="181">
        <f t="shared" si="0"/>
        <v>2199.3719241330818</v>
      </c>
      <c r="BA16" s="181">
        <f t="shared" si="0"/>
        <v>2233.7380505330821</v>
      </c>
      <c r="BB16" s="181">
        <f t="shared" si="0"/>
        <v>2098.1041769330823</v>
      </c>
    </row>
    <row r="17" spans="2:54" x14ac:dyDescent="0.35">
      <c r="B17" s="820"/>
      <c r="C17" s="5">
        <v>1330</v>
      </c>
      <c r="D17" s="5">
        <v>1280</v>
      </c>
      <c r="E17" s="5">
        <v>1279.380005</v>
      </c>
      <c r="F17" s="5">
        <v>1275.5</v>
      </c>
      <c r="G17" s="5">
        <v>1330</v>
      </c>
      <c r="H17" s="5">
        <v>1266.25</v>
      </c>
      <c r="I17" s="5">
        <v>1125</v>
      </c>
      <c r="J17" s="5">
        <v>1058.130005</v>
      </c>
      <c r="K17" s="5">
        <v>1035</v>
      </c>
      <c r="L17" s="5">
        <v>1077.5</v>
      </c>
      <c r="M17" s="5">
        <v>1096.25</v>
      </c>
      <c r="N17" s="5">
        <v>1101.25</v>
      </c>
      <c r="O17" s="5">
        <v>1004.5</v>
      </c>
      <c r="P17" s="5">
        <v>926.25</v>
      </c>
      <c r="Q17" s="5">
        <v>966.88000499999998</v>
      </c>
      <c r="R17" s="5">
        <v>889</v>
      </c>
      <c r="S17" s="5">
        <v>868.75</v>
      </c>
      <c r="T17" s="5">
        <v>840</v>
      </c>
      <c r="U17" s="5">
        <v>818.75</v>
      </c>
      <c r="V17" s="5">
        <v>824.38000499999998</v>
      </c>
      <c r="W17" s="5">
        <v>840</v>
      </c>
      <c r="X17" s="5">
        <f>+W17</f>
        <v>840</v>
      </c>
      <c r="Y17" s="5">
        <v>736.88000499999998</v>
      </c>
      <c r="Z17" s="5">
        <v>655</v>
      </c>
      <c r="AA17" s="5">
        <v>707.17945636689831</v>
      </c>
      <c r="AB17" s="5">
        <v>669.38000499999998</v>
      </c>
      <c r="AC17" s="5">
        <v>687.43458311273355</v>
      </c>
      <c r="AD17" s="5">
        <v>678.13000499999998</v>
      </c>
      <c r="AE17" s="5">
        <v>682.5409009438722</v>
      </c>
      <c r="AF17" s="5">
        <v>659</v>
      </c>
      <c r="AG17" s="5">
        <v>647.5</v>
      </c>
      <c r="AH17" s="5">
        <v>649.38000499999998</v>
      </c>
      <c r="AI17" s="5">
        <v>641.5</v>
      </c>
      <c r="AJ17" s="5">
        <v>648.13</v>
      </c>
      <c r="AK17" s="5">
        <v>713</v>
      </c>
      <c r="AL17" s="5">
        <v>789.38</v>
      </c>
      <c r="AM17" s="5">
        <v>880.63</v>
      </c>
      <c r="AN17" s="5">
        <v>1018.75</v>
      </c>
      <c r="AO17" s="5">
        <v>960</v>
      </c>
      <c r="AP17" s="5">
        <v>932.5</v>
      </c>
      <c r="AQ17" s="5">
        <v>930</v>
      </c>
      <c r="AR17" s="238"/>
      <c r="AS17" s="182" t="s">
        <v>148</v>
      </c>
      <c r="AT17" s="183">
        <f>+AH25</f>
        <v>915.11134861036817</v>
      </c>
      <c r="AU17" s="184"/>
      <c r="AV17" s="184"/>
      <c r="AW17" s="184"/>
      <c r="AX17" s="184"/>
      <c r="AY17" s="184"/>
      <c r="AZ17" s="184"/>
      <c r="BA17" s="184"/>
      <c r="BB17" s="184"/>
    </row>
    <row r="18" spans="2:54" x14ac:dyDescent="0.35">
      <c r="B18" s="11" t="s">
        <v>100</v>
      </c>
      <c r="C18" s="20">
        <f t="shared" ref="C18:I18" si="1">+C17*4.5%/365*210</f>
        <v>34.434246575342463</v>
      </c>
      <c r="D18" s="20">
        <f t="shared" si="1"/>
        <v>33.139726027397259</v>
      </c>
      <c r="E18" s="20">
        <f t="shared" si="1"/>
        <v>33.1236741020548</v>
      </c>
      <c r="F18" s="20">
        <f t="shared" si="1"/>
        <v>33.023219178082194</v>
      </c>
      <c r="G18" s="20">
        <f t="shared" si="1"/>
        <v>34.434246575342463</v>
      </c>
      <c r="H18" s="20">
        <f t="shared" si="1"/>
        <v>32.783732876712328</v>
      </c>
      <c r="I18" s="279">
        <f t="shared" si="1"/>
        <v>29.126712328767123</v>
      </c>
      <c r="J18" s="23">
        <f t="shared" ref="J18:T18" si="2">+J17*(4.5%+1.59%)/365*210</f>
        <v>37.075135983410952</v>
      </c>
      <c r="K18" s="23">
        <f t="shared" si="2"/>
        <v>36.264698630136984</v>
      </c>
      <c r="L18" s="23">
        <f t="shared" si="2"/>
        <v>37.753828767123281</v>
      </c>
      <c r="M18" s="23">
        <f t="shared" si="2"/>
        <v>38.410797945205474</v>
      </c>
      <c r="N18" s="23">
        <f t="shared" si="2"/>
        <v>38.585989726027393</v>
      </c>
      <c r="O18" s="23">
        <f t="shared" si="2"/>
        <v>35.196028767123288</v>
      </c>
      <c r="P18" s="23">
        <f t="shared" si="2"/>
        <v>32.45427739726027</v>
      </c>
      <c r="Q18" s="23">
        <f t="shared" si="2"/>
        <v>33.877885983410955</v>
      </c>
      <c r="R18" s="23">
        <f t="shared" si="2"/>
        <v>31.149098630136983</v>
      </c>
      <c r="S18" s="23">
        <f t="shared" si="2"/>
        <v>30.439571917808216</v>
      </c>
      <c r="T18" s="23">
        <f t="shared" si="2"/>
        <v>29.432219178082192</v>
      </c>
      <c r="U18" s="23">
        <f t="shared" ref="U18:AO18" si="3">+U17*(4.5%+1.59%+1.9%)/365*210</f>
        <v>37.637825342465753</v>
      </c>
      <c r="V18" s="23">
        <f t="shared" si="3"/>
        <v>37.896635901082192</v>
      </c>
      <c r="W18" s="23">
        <f t="shared" si="3"/>
        <v>38.614684931506851</v>
      </c>
      <c r="X18" s="23">
        <f t="shared" si="3"/>
        <v>38.614684931506851</v>
      </c>
      <c r="Y18" s="23">
        <f t="shared" si="3"/>
        <v>33.874272887383562</v>
      </c>
      <c r="Z18" s="23">
        <f t="shared" si="3"/>
        <v>30.110260273972603</v>
      </c>
      <c r="AA18" s="23">
        <f t="shared" si="3"/>
        <v>32.50894273528818</v>
      </c>
      <c r="AB18" s="23">
        <f t="shared" si="3"/>
        <v>30.771307133958903</v>
      </c>
      <c r="AC18" s="23">
        <f t="shared" si="3"/>
        <v>31.601273616571387</v>
      </c>
      <c r="AD18" s="23">
        <f t="shared" si="3"/>
        <v>31.173543435328764</v>
      </c>
      <c r="AE18" s="23">
        <f t="shared" si="3"/>
        <v>31.376311717636248</v>
      </c>
      <c r="AF18" s="23">
        <f t="shared" si="3"/>
        <v>30.294139726027396</v>
      </c>
      <c r="AG18" s="23">
        <f t="shared" si="3"/>
        <v>29.765486301369862</v>
      </c>
      <c r="AH18" s="23">
        <f t="shared" si="3"/>
        <v>29.851909873684932</v>
      </c>
      <c r="AI18" s="23">
        <f t="shared" si="3"/>
        <v>29.489667123287674</v>
      </c>
      <c r="AJ18" s="23">
        <f t="shared" si="3"/>
        <v>29.794447315068489</v>
      </c>
      <c r="AK18" s="23">
        <f t="shared" si="3"/>
        <v>32.776512328767126</v>
      </c>
      <c r="AL18" s="23">
        <f t="shared" si="3"/>
        <v>36.287690465753421</v>
      </c>
      <c r="AM18" s="23">
        <f t="shared" si="3"/>
        <v>40.48244046575342</v>
      </c>
      <c r="AN18" s="23">
        <f t="shared" si="3"/>
        <v>46.831797945205473</v>
      </c>
      <c r="AO18" s="23">
        <f t="shared" si="3"/>
        <v>44.131068493150686</v>
      </c>
      <c r="AP18" s="23">
        <v>15.104706534246574</v>
      </c>
      <c r="AQ18" s="23">
        <v>15.104706534246574</v>
      </c>
      <c r="AR18" s="239"/>
      <c r="AS18" s="182" t="s">
        <v>149</v>
      </c>
      <c r="AT18" s="185">
        <v>0</v>
      </c>
      <c r="AU18" s="184"/>
      <c r="AV18" s="184"/>
      <c r="AW18" s="184"/>
      <c r="AX18" s="184"/>
      <c r="AY18" s="184"/>
      <c r="AZ18" s="184"/>
      <c r="BA18" s="184"/>
      <c r="BB18" s="184"/>
    </row>
    <row r="19" spans="2:54" x14ac:dyDescent="0.35">
      <c r="B19" s="6" t="s">
        <v>102</v>
      </c>
      <c r="C19" s="4">
        <v>90</v>
      </c>
      <c r="D19" s="4">
        <v>90</v>
      </c>
      <c r="E19" s="4">
        <v>90</v>
      </c>
      <c r="F19" s="4">
        <v>90</v>
      </c>
      <c r="G19" s="4">
        <v>90</v>
      </c>
      <c r="H19" s="4">
        <v>90</v>
      </c>
      <c r="I19" s="4">
        <v>90</v>
      </c>
      <c r="J19" s="8">
        <v>90</v>
      </c>
      <c r="K19" s="8">
        <v>90</v>
      </c>
      <c r="L19" s="8">
        <v>90</v>
      </c>
      <c r="M19" s="8">
        <v>90</v>
      </c>
      <c r="N19" s="8">
        <v>90</v>
      </c>
      <c r="O19" s="8">
        <v>90</v>
      </c>
      <c r="P19" s="8">
        <v>90</v>
      </c>
      <c r="Q19" s="8">
        <v>90</v>
      </c>
      <c r="R19" s="8">
        <v>90</v>
      </c>
      <c r="S19" s="8">
        <v>90</v>
      </c>
      <c r="T19" s="8">
        <v>91</v>
      </c>
      <c r="U19" s="8">
        <f>+T19*(1+1.9%)</f>
        <v>92.728999999999985</v>
      </c>
      <c r="V19" s="8">
        <f>+U19*(1+1.9%)</f>
        <v>94.490850999999978</v>
      </c>
      <c r="W19" s="8">
        <f>+V19*(1+1.9%)</f>
        <v>96.28617716899997</v>
      </c>
      <c r="X19" s="8">
        <f t="shared" ref="X19:AO19" si="4">+W19</f>
        <v>96.28617716899997</v>
      </c>
      <c r="Y19" s="8">
        <f t="shared" si="4"/>
        <v>96.28617716899997</v>
      </c>
      <c r="Z19" s="8">
        <f t="shared" si="4"/>
        <v>96.28617716899997</v>
      </c>
      <c r="AA19" s="8">
        <f t="shared" si="4"/>
        <v>96.28617716899997</v>
      </c>
      <c r="AB19" s="8">
        <f t="shared" si="4"/>
        <v>96.28617716899997</v>
      </c>
      <c r="AC19" s="8">
        <f t="shared" si="4"/>
        <v>96.28617716899997</v>
      </c>
      <c r="AD19" s="8">
        <f t="shared" si="4"/>
        <v>96.28617716899997</v>
      </c>
      <c r="AE19" s="8">
        <f t="shared" si="4"/>
        <v>96.28617716899997</v>
      </c>
      <c r="AF19" s="8">
        <f t="shared" si="4"/>
        <v>96.28617716899997</v>
      </c>
      <c r="AG19" s="8">
        <f t="shared" si="4"/>
        <v>96.28617716899997</v>
      </c>
      <c r="AH19" s="8">
        <f t="shared" si="4"/>
        <v>96.28617716899997</v>
      </c>
      <c r="AI19" s="8">
        <f t="shared" si="4"/>
        <v>96.28617716899997</v>
      </c>
      <c r="AJ19" s="8">
        <f t="shared" si="4"/>
        <v>96.28617716899997</v>
      </c>
      <c r="AK19" s="8">
        <f t="shared" si="4"/>
        <v>96.28617716899997</v>
      </c>
      <c r="AL19" s="8">
        <f t="shared" si="4"/>
        <v>96.28617716899997</v>
      </c>
      <c r="AM19" s="8">
        <f t="shared" si="4"/>
        <v>96.28617716899997</v>
      </c>
      <c r="AN19" s="8">
        <f t="shared" si="4"/>
        <v>96.28617716899997</v>
      </c>
      <c r="AO19" s="8">
        <f t="shared" si="4"/>
        <v>96.28617716899997</v>
      </c>
      <c r="AP19" s="8">
        <v>96.28617716899997</v>
      </c>
      <c r="AQ19" s="8">
        <v>96.28617716899997</v>
      </c>
      <c r="AR19" s="240"/>
      <c r="AS19" s="182" t="s">
        <v>150</v>
      </c>
      <c r="AT19" s="183">
        <f>+AT17+AT18</f>
        <v>915.11134861036817</v>
      </c>
      <c r="AU19" s="186">
        <f t="shared" ref="AU19:BB19" si="5">+AT35</f>
        <v>1015.1511080356925</v>
      </c>
      <c r="AV19" s="186">
        <f t="shared" si="5"/>
        <v>1049.0799664441729</v>
      </c>
      <c r="AW19" s="186">
        <f t="shared" si="5"/>
        <v>1093.080861588048</v>
      </c>
      <c r="AX19" s="186">
        <f t="shared" si="5"/>
        <v>1133.4690665358264</v>
      </c>
      <c r="AY19" s="186">
        <f t="shared" si="5"/>
        <v>1204.9217278404051</v>
      </c>
      <c r="AZ19" s="186">
        <f t="shared" si="5"/>
        <v>1280.7208105902992</v>
      </c>
      <c r="BA19" s="186">
        <f t="shared" si="5"/>
        <v>1336.931906089718</v>
      </c>
      <c r="BB19" s="186">
        <f t="shared" si="5"/>
        <v>1364.2907471916872</v>
      </c>
    </row>
    <row r="20" spans="2:54" x14ac:dyDescent="0.35">
      <c r="B20" s="6" t="s">
        <v>104</v>
      </c>
      <c r="C20" s="4"/>
      <c r="D20" s="4"/>
      <c r="E20" s="4"/>
      <c r="F20" s="4"/>
      <c r="G20" s="4"/>
      <c r="H20" s="4"/>
      <c r="I20" s="4"/>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v>253.71382283100002</v>
      </c>
      <c r="AQ20" s="8">
        <v>290.07745919463639</v>
      </c>
      <c r="AR20" s="240"/>
      <c r="AS20" s="182"/>
      <c r="AT20" s="183"/>
      <c r="AU20" s="186"/>
      <c r="AV20" s="186"/>
      <c r="AW20" s="186"/>
      <c r="AX20" s="186"/>
      <c r="AY20" s="186"/>
      <c r="AZ20" s="186"/>
      <c r="BA20" s="186"/>
      <c r="BB20" s="186"/>
    </row>
    <row r="21" spans="2:54" x14ac:dyDescent="0.35">
      <c r="B21" s="12" t="s">
        <v>106</v>
      </c>
      <c r="C21" s="4">
        <f t="shared" ref="C21:AO21" si="6">SUM(C17:C19)</f>
        <v>1454.4342465753425</v>
      </c>
      <c r="D21" s="4">
        <f t="shared" si="6"/>
        <v>1403.1397260273973</v>
      </c>
      <c r="E21" s="4">
        <f t="shared" si="6"/>
        <v>1402.5036791020548</v>
      </c>
      <c r="F21" s="4">
        <f t="shared" si="6"/>
        <v>1398.5232191780822</v>
      </c>
      <c r="G21" s="4">
        <f t="shared" si="6"/>
        <v>1454.4342465753425</v>
      </c>
      <c r="H21" s="4">
        <f t="shared" si="6"/>
        <v>1389.0337328767123</v>
      </c>
      <c r="I21" s="4">
        <f t="shared" si="6"/>
        <v>1244.1267123287671</v>
      </c>
      <c r="J21" s="4">
        <f t="shared" si="6"/>
        <v>1185.205140983411</v>
      </c>
      <c r="K21" s="4">
        <f t="shared" si="6"/>
        <v>1161.264698630137</v>
      </c>
      <c r="L21" s="4">
        <f t="shared" si="6"/>
        <v>1205.2538287671232</v>
      </c>
      <c r="M21" s="4">
        <f t="shared" si="6"/>
        <v>1224.6607979452056</v>
      </c>
      <c r="N21" s="4">
        <f t="shared" si="6"/>
        <v>1229.8359897260275</v>
      </c>
      <c r="O21" s="4">
        <f t="shared" si="6"/>
        <v>1129.6960287671234</v>
      </c>
      <c r="P21" s="4">
        <f t="shared" si="6"/>
        <v>1048.7042773972603</v>
      </c>
      <c r="Q21" s="4">
        <f t="shared" si="6"/>
        <v>1090.757890983411</v>
      </c>
      <c r="R21" s="4">
        <f t="shared" si="6"/>
        <v>1010.149098630137</v>
      </c>
      <c r="S21" s="4">
        <f t="shared" si="6"/>
        <v>989.18957191780817</v>
      </c>
      <c r="T21" s="4">
        <f t="shared" si="6"/>
        <v>960.43221917808216</v>
      </c>
      <c r="U21" s="4">
        <f t="shared" si="6"/>
        <v>949.11682534246575</v>
      </c>
      <c r="V21" s="4">
        <f t="shared" si="6"/>
        <v>956.76749190108217</v>
      </c>
      <c r="W21" s="4">
        <f t="shared" si="6"/>
        <v>974.90086210050686</v>
      </c>
      <c r="X21" s="4">
        <f t="shared" si="6"/>
        <v>974.90086210050686</v>
      </c>
      <c r="Y21" s="4">
        <f t="shared" si="6"/>
        <v>867.04045505638351</v>
      </c>
      <c r="Z21" s="4">
        <f t="shared" si="6"/>
        <v>781.39643744297257</v>
      </c>
      <c r="AA21" s="4">
        <f t="shared" si="6"/>
        <v>835.97457627118649</v>
      </c>
      <c r="AB21" s="4">
        <f t="shared" si="6"/>
        <v>796.43748930295885</v>
      </c>
      <c r="AC21" s="4">
        <f t="shared" si="6"/>
        <v>815.32203389830488</v>
      </c>
      <c r="AD21" s="4">
        <f t="shared" si="6"/>
        <v>805.58972560432869</v>
      </c>
      <c r="AE21" s="4">
        <f t="shared" si="6"/>
        <v>810.2033898305084</v>
      </c>
      <c r="AF21" s="4">
        <f t="shared" si="6"/>
        <v>785.58031689502741</v>
      </c>
      <c r="AG21" s="4">
        <f t="shared" si="6"/>
        <v>773.55166347036982</v>
      </c>
      <c r="AH21" s="4">
        <f t="shared" si="6"/>
        <v>775.51809204268488</v>
      </c>
      <c r="AI21" s="4">
        <f t="shared" si="6"/>
        <v>767.27584429228762</v>
      </c>
      <c r="AJ21" s="4">
        <f t="shared" si="6"/>
        <v>774.21062448406849</v>
      </c>
      <c r="AK21" s="4">
        <f t="shared" si="6"/>
        <v>842.06268949776711</v>
      </c>
      <c r="AL21" s="4">
        <f t="shared" si="6"/>
        <v>921.95386763475335</v>
      </c>
      <c r="AM21" s="4">
        <f t="shared" si="6"/>
        <v>1017.3986176347534</v>
      </c>
      <c r="AN21" s="4">
        <f t="shared" si="6"/>
        <v>1161.8679751142054</v>
      </c>
      <c r="AO21" s="4">
        <f t="shared" si="6"/>
        <v>1100.4172456621507</v>
      </c>
      <c r="AP21" s="4">
        <f>SUM(AP17:AP20)</f>
        <v>1297.6047065342466</v>
      </c>
      <c r="AQ21" s="4">
        <f>SUM(AQ17:AQ20)</f>
        <v>1331.4683428978828</v>
      </c>
      <c r="AR21" s="241"/>
      <c r="AS21" s="182"/>
      <c r="AT21" s="185"/>
      <c r="AU21" s="184"/>
      <c r="AV21" s="184"/>
      <c r="AW21" s="184"/>
      <c r="AX21" s="184"/>
      <c r="AY21" s="184"/>
      <c r="AZ21" s="184"/>
      <c r="BA21" s="184"/>
      <c r="BB21" s="184"/>
    </row>
    <row r="22" spans="2:54" x14ac:dyDescent="0.35">
      <c r="B22" s="12" t="s">
        <v>107</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f>+SUM(AP17:AP19)</f>
        <v>1043.8908837032466</v>
      </c>
      <c r="AQ22" s="4">
        <f>+SUM(AQ17:AQ19)</f>
        <v>1041.3908837032466</v>
      </c>
      <c r="AR22" s="241"/>
      <c r="AS22" s="182"/>
      <c r="AT22" s="185"/>
      <c r="AU22" s="184"/>
      <c r="AV22" s="184"/>
      <c r="AW22" s="184"/>
      <c r="AX22" s="184"/>
      <c r="AY22" s="184"/>
      <c r="AZ22" s="184"/>
      <c r="BA22" s="184"/>
      <c r="BB22" s="184"/>
    </row>
    <row r="23" spans="2:54" x14ac:dyDescent="0.35">
      <c r="B23" s="12" t="s">
        <v>151</v>
      </c>
      <c r="C23" s="4">
        <f t="shared" ref="C23:AQ23" si="7">+C21*0.1</f>
        <v>145.44342465753425</v>
      </c>
      <c r="D23" s="4">
        <f t="shared" si="7"/>
        <v>140.31397260273974</v>
      </c>
      <c r="E23" s="4">
        <f t="shared" si="7"/>
        <v>140.25036791020548</v>
      </c>
      <c r="F23" s="4">
        <f t="shared" si="7"/>
        <v>139.85232191780821</v>
      </c>
      <c r="G23" s="4">
        <f t="shared" si="7"/>
        <v>145.44342465753425</v>
      </c>
      <c r="H23" s="4">
        <f t="shared" si="7"/>
        <v>138.90337328767123</v>
      </c>
      <c r="I23" s="4">
        <f t="shared" si="7"/>
        <v>124.41267123287672</v>
      </c>
      <c r="J23" s="4">
        <f t="shared" si="7"/>
        <v>118.5205140983411</v>
      </c>
      <c r="K23" s="4">
        <f t="shared" si="7"/>
        <v>116.12646986301371</v>
      </c>
      <c r="L23" s="4">
        <f t="shared" si="7"/>
        <v>120.52538287671233</v>
      </c>
      <c r="M23" s="4">
        <f t="shared" si="7"/>
        <v>122.46607979452057</v>
      </c>
      <c r="N23" s="4">
        <f t="shared" si="7"/>
        <v>122.98359897260275</v>
      </c>
      <c r="O23" s="4">
        <f t="shared" si="7"/>
        <v>112.96960287671234</v>
      </c>
      <c r="P23" s="4">
        <f t="shared" si="7"/>
        <v>104.87042773972604</v>
      </c>
      <c r="Q23" s="4">
        <f t="shared" si="7"/>
        <v>109.0757890983411</v>
      </c>
      <c r="R23" s="4">
        <f t="shared" si="7"/>
        <v>101.01490986301371</v>
      </c>
      <c r="S23" s="4">
        <f t="shared" si="7"/>
        <v>98.918957191780819</v>
      </c>
      <c r="T23" s="4">
        <f t="shared" si="7"/>
        <v>96.043221917808225</v>
      </c>
      <c r="U23" s="4">
        <f t="shared" si="7"/>
        <v>94.91168253424658</v>
      </c>
      <c r="V23" s="4">
        <f t="shared" si="7"/>
        <v>95.676749190108225</v>
      </c>
      <c r="W23" s="4">
        <f t="shared" si="7"/>
        <v>97.490086210050691</v>
      </c>
      <c r="X23" s="4">
        <f t="shared" si="7"/>
        <v>97.490086210050691</v>
      </c>
      <c r="Y23" s="4">
        <f t="shared" si="7"/>
        <v>86.704045505638362</v>
      </c>
      <c r="Z23" s="4">
        <f t="shared" si="7"/>
        <v>78.13964374429726</v>
      </c>
      <c r="AA23" s="4">
        <f t="shared" si="7"/>
        <v>83.597457627118658</v>
      </c>
      <c r="AB23" s="4">
        <f t="shared" si="7"/>
        <v>79.643748930295885</v>
      </c>
      <c r="AC23" s="4">
        <f t="shared" si="7"/>
        <v>81.532203389830499</v>
      </c>
      <c r="AD23" s="4">
        <f t="shared" si="7"/>
        <v>80.558972560432878</v>
      </c>
      <c r="AE23" s="4">
        <f t="shared" si="7"/>
        <v>81.020338983050848</v>
      </c>
      <c r="AF23" s="4">
        <f t="shared" si="7"/>
        <v>78.558031689502741</v>
      </c>
      <c r="AG23" s="4">
        <f t="shared" si="7"/>
        <v>77.355166347036985</v>
      </c>
      <c r="AH23" s="4">
        <f t="shared" si="7"/>
        <v>77.551809204268494</v>
      </c>
      <c r="AI23" s="4">
        <f t="shared" si="7"/>
        <v>76.72758442922877</v>
      </c>
      <c r="AJ23" s="4">
        <f t="shared" si="7"/>
        <v>77.421062448406857</v>
      </c>
      <c r="AK23" s="4">
        <f t="shared" si="7"/>
        <v>84.206268949776714</v>
      </c>
      <c r="AL23" s="4">
        <f t="shared" si="7"/>
        <v>92.195386763475341</v>
      </c>
      <c r="AM23" s="4">
        <f t="shared" si="7"/>
        <v>101.73986176347535</v>
      </c>
      <c r="AN23" s="4">
        <f t="shared" si="7"/>
        <v>116.18679751142054</v>
      </c>
      <c r="AO23" s="4">
        <f t="shared" si="7"/>
        <v>110.04172456621507</v>
      </c>
      <c r="AP23" s="4">
        <f t="shared" si="7"/>
        <v>129.76047065342468</v>
      </c>
      <c r="AQ23" s="4">
        <f t="shared" si="7"/>
        <v>133.1468342897883</v>
      </c>
      <c r="AR23" s="241"/>
      <c r="AS23" s="182" t="s">
        <v>152</v>
      </c>
      <c r="AT23" s="185">
        <v>507</v>
      </c>
      <c r="AU23" s="184">
        <f>576</f>
        <v>576</v>
      </c>
      <c r="AV23" s="184">
        <f>500</f>
        <v>500</v>
      </c>
      <c r="AW23" s="199">
        <v>350</v>
      </c>
      <c r="AX23" s="199">
        <v>500</v>
      </c>
      <c r="AY23" s="199">
        <v>440</v>
      </c>
      <c r="AZ23" s="199">
        <f>200+300</f>
        <v>500</v>
      </c>
      <c r="BA23" s="199">
        <v>330</v>
      </c>
      <c r="BB23" s="199">
        <v>475</v>
      </c>
    </row>
    <row r="24" spans="2:54" x14ac:dyDescent="0.35">
      <c r="B24" s="11" t="s">
        <v>111</v>
      </c>
      <c r="C24" s="5">
        <f t="shared" ref="C24:AO24" si="8">+C21*8%</f>
        <v>116.3547397260274</v>
      </c>
      <c r="D24" s="5">
        <f t="shared" si="8"/>
        <v>112.25117808219179</v>
      </c>
      <c r="E24" s="5">
        <f t="shared" si="8"/>
        <v>112.20029432816439</v>
      </c>
      <c r="F24" s="5">
        <f t="shared" si="8"/>
        <v>111.88185753424658</v>
      </c>
      <c r="G24" s="5">
        <f t="shared" si="8"/>
        <v>116.3547397260274</v>
      </c>
      <c r="H24" s="5">
        <f t="shared" si="8"/>
        <v>111.12269863013698</v>
      </c>
      <c r="I24" s="5">
        <f t="shared" si="8"/>
        <v>99.530136986301372</v>
      </c>
      <c r="J24" s="5">
        <f t="shared" si="8"/>
        <v>94.816411278672874</v>
      </c>
      <c r="K24" s="5">
        <f t="shared" si="8"/>
        <v>92.901175890410954</v>
      </c>
      <c r="L24" s="5">
        <f t="shared" si="8"/>
        <v>96.420306301369862</v>
      </c>
      <c r="M24" s="5">
        <f t="shared" si="8"/>
        <v>97.972863835616451</v>
      </c>
      <c r="N24" s="5">
        <f t="shared" si="8"/>
        <v>98.386879178082197</v>
      </c>
      <c r="O24" s="5">
        <f t="shared" si="8"/>
        <v>90.375682301369878</v>
      </c>
      <c r="P24" s="5">
        <f t="shared" si="8"/>
        <v>83.896342191780818</v>
      </c>
      <c r="Q24" s="5">
        <f t="shared" si="8"/>
        <v>87.260631278672889</v>
      </c>
      <c r="R24" s="5">
        <f t="shared" si="8"/>
        <v>80.811927890410956</v>
      </c>
      <c r="S24" s="5">
        <f t="shared" si="8"/>
        <v>79.135165753424658</v>
      </c>
      <c r="T24" s="5">
        <f t="shared" si="8"/>
        <v>76.834577534246577</v>
      </c>
      <c r="U24" s="5">
        <f t="shared" si="8"/>
        <v>75.929346027397258</v>
      </c>
      <c r="V24" s="5">
        <f t="shared" si="8"/>
        <v>76.541399352086572</v>
      </c>
      <c r="W24" s="5">
        <f t="shared" si="8"/>
        <v>77.992068968040556</v>
      </c>
      <c r="X24" s="5">
        <f t="shared" si="8"/>
        <v>77.992068968040556</v>
      </c>
      <c r="Y24" s="5">
        <f t="shared" si="8"/>
        <v>69.363236404510687</v>
      </c>
      <c r="Z24" s="5">
        <f t="shared" si="8"/>
        <v>62.511714995437806</v>
      </c>
      <c r="AA24" s="5">
        <f t="shared" si="8"/>
        <v>66.877966101694923</v>
      </c>
      <c r="AB24" s="5">
        <f t="shared" si="8"/>
        <v>63.714999144236707</v>
      </c>
      <c r="AC24" s="5">
        <f t="shared" si="8"/>
        <v>65.225762711864391</v>
      </c>
      <c r="AD24" s="5">
        <f t="shared" si="8"/>
        <v>64.447178048346302</v>
      </c>
      <c r="AE24" s="5">
        <f t="shared" si="8"/>
        <v>64.816271186440673</v>
      </c>
      <c r="AF24" s="5">
        <f t="shared" si="8"/>
        <v>62.846425351602193</v>
      </c>
      <c r="AG24" s="5">
        <f t="shared" si="8"/>
        <v>61.884133077629585</v>
      </c>
      <c r="AH24" s="5">
        <f t="shared" si="8"/>
        <v>62.04144736341479</v>
      </c>
      <c r="AI24" s="5">
        <f t="shared" si="8"/>
        <v>61.382067543383009</v>
      </c>
      <c r="AJ24" s="5">
        <f t="shared" si="8"/>
        <v>61.936849958725482</v>
      </c>
      <c r="AK24" s="5">
        <f t="shared" si="8"/>
        <v>67.365015159821368</v>
      </c>
      <c r="AL24" s="5">
        <f t="shared" si="8"/>
        <v>73.756309410780275</v>
      </c>
      <c r="AM24" s="5">
        <f t="shared" si="8"/>
        <v>81.391889410780266</v>
      </c>
      <c r="AN24" s="5">
        <f t="shared" si="8"/>
        <v>92.949438009136429</v>
      </c>
      <c r="AO24" s="5">
        <f t="shared" si="8"/>
        <v>88.033379652972059</v>
      </c>
      <c r="AP24" s="5">
        <f>+AP22*8%</f>
        <v>83.511270696259729</v>
      </c>
      <c r="AQ24" s="5">
        <f>+AQ22*8%</f>
        <v>83.311270696259726</v>
      </c>
      <c r="AR24" s="238"/>
      <c r="AS24" s="182" t="s">
        <v>153</v>
      </c>
      <c r="AT24" s="183">
        <f t="shared" ref="AT24:BB24" si="9">+AI25</f>
        <v>905.3854962648993</v>
      </c>
      <c r="AU24" s="186">
        <f t="shared" si="9"/>
        <v>913.56853689120078</v>
      </c>
      <c r="AV24" s="187">
        <f t="shared" si="9"/>
        <v>993.63397360736519</v>
      </c>
      <c r="AW24" s="187">
        <f t="shared" si="9"/>
        <v>1087.905563809009</v>
      </c>
      <c r="AX24" s="187">
        <f t="shared" si="9"/>
        <v>1200.5303688090091</v>
      </c>
      <c r="AY24" s="187">
        <f t="shared" si="9"/>
        <v>1371.0042106347623</v>
      </c>
      <c r="AZ24" s="187">
        <f t="shared" si="9"/>
        <v>1298.4923498813378</v>
      </c>
      <c r="BA24" s="187">
        <f t="shared" si="9"/>
        <v>1510.876447883931</v>
      </c>
      <c r="BB24" s="187">
        <f t="shared" si="9"/>
        <v>1547.9264478839309</v>
      </c>
    </row>
    <row r="25" spans="2:54" x14ac:dyDescent="0.35">
      <c r="B25" s="19" t="s">
        <v>154</v>
      </c>
      <c r="C25" s="18">
        <f t="shared" ref="C25:AQ25" si="10">+C21+C23+C24</f>
        <v>1716.2324109589042</v>
      </c>
      <c r="D25" s="18">
        <f t="shared" si="10"/>
        <v>1655.7048767123288</v>
      </c>
      <c r="E25" s="18">
        <f t="shared" si="10"/>
        <v>1654.9543413404247</v>
      </c>
      <c r="F25" s="18">
        <f t="shared" si="10"/>
        <v>1650.257398630137</v>
      </c>
      <c r="G25" s="18">
        <f t="shared" si="10"/>
        <v>1716.2324109589042</v>
      </c>
      <c r="H25" s="18">
        <f t="shared" si="10"/>
        <v>1639.0598047945205</v>
      </c>
      <c r="I25" s="18">
        <f t="shared" si="10"/>
        <v>1468.0695205479451</v>
      </c>
      <c r="J25" s="18">
        <f t="shared" si="10"/>
        <v>1398.5420663604248</v>
      </c>
      <c r="K25" s="18">
        <f t="shared" si="10"/>
        <v>1370.2923443835616</v>
      </c>
      <c r="L25" s="18">
        <f t="shared" si="10"/>
        <v>1422.1995179452053</v>
      </c>
      <c r="M25" s="18">
        <f t="shared" si="10"/>
        <v>1445.0997415753425</v>
      </c>
      <c r="N25" s="18">
        <f t="shared" si="10"/>
        <v>1451.2064678767124</v>
      </c>
      <c r="O25" s="18">
        <f t="shared" si="10"/>
        <v>1333.0413139452055</v>
      </c>
      <c r="P25" s="18">
        <f t="shared" si="10"/>
        <v>1237.4710473287671</v>
      </c>
      <c r="Q25" s="18">
        <f t="shared" si="10"/>
        <v>1287.0943113604251</v>
      </c>
      <c r="R25" s="18">
        <f t="shared" si="10"/>
        <v>1191.9759363835617</v>
      </c>
      <c r="S25" s="18">
        <f t="shared" si="10"/>
        <v>1167.2436948630136</v>
      </c>
      <c r="T25" s="18">
        <f t="shared" si="10"/>
        <v>1133.3100186301369</v>
      </c>
      <c r="U25" s="18">
        <f t="shared" si="10"/>
        <v>1119.9578539041097</v>
      </c>
      <c r="V25" s="18">
        <f t="shared" si="10"/>
        <v>1128.9856404432769</v>
      </c>
      <c r="W25" s="18">
        <f t="shared" si="10"/>
        <v>1150.3830172785981</v>
      </c>
      <c r="X25" s="18">
        <f t="shared" si="10"/>
        <v>1150.3830172785981</v>
      </c>
      <c r="Y25" s="18">
        <f t="shared" si="10"/>
        <v>1023.1077369665325</v>
      </c>
      <c r="Z25" s="18">
        <f t="shared" si="10"/>
        <v>922.04779618270766</v>
      </c>
      <c r="AA25" s="18">
        <f t="shared" si="10"/>
        <v>986.45</v>
      </c>
      <c r="AB25" s="18">
        <f t="shared" si="10"/>
        <v>939.79623737749137</v>
      </c>
      <c r="AC25" s="18">
        <f t="shared" si="10"/>
        <v>962.07999999999981</v>
      </c>
      <c r="AD25" s="18">
        <f t="shared" si="10"/>
        <v>950.59587621310789</v>
      </c>
      <c r="AE25" s="120">
        <f t="shared" si="10"/>
        <v>956.03999999999985</v>
      </c>
      <c r="AF25" s="120">
        <f t="shared" si="10"/>
        <v>926.98477393613234</v>
      </c>
      <c r="AG25" s="120">
        <f t="shared" si="10"/>
        <v>912.79096289503639</v>
      </c>
      <c r="AH25" s="120">
        <f t="shared" si="10"/>
        <v>915.11134861036817</v>
      </c>
      <c r="AI25" s="120">
        <f t="shared" si="10"/>
        <v>905.3854962648993</v>
      </c>
      <c r="AJ25" s="120">
        <f t="shared" si="10"/>
        <v>913.56853689120078</v>
      </c>
      <c r="AK25" s="120">
        <f t="shared" si="10"/>
        <v>993.63397360736519</v>
      </c>
      <c r="AL25" s="120">
        <f t="shared" si="10"/>
        <v>1087.905563809009</v>
      </c>
      <c r="AM25" s="120">
        <f t="shared" si="10"/>
        <v>1200.5303688090091</v>
      </c>
      <c r="AN25" s="120">
        <f t="shared" si="10"/>
        <v>1371.0042106347623</v>
      </c>
      <c r="AO25" s="120">
        <f t="shared" si="10"/>
        <v>1298.4923498813378</v>
      </c>
      <c r="AP25" s="120">
        <f t="shared" si="10"/>
        <v>1510.876447883931</v>
      </c>
      <c r="AQ25" s="120">
        <f t="shared" si="10"/>
        <v>1547.9264478839309</v>
      </c>
      <c r="AR25" s="242"/>
      <c r="AS25" s="182" t="s">
        <v>149</v>
      </c>
      <c r="AT25" s="183">
        <v>189</v>
      </c>
      <c r="AU25" s="183">
        <v>189</v>
      </c>
      <c r="AV25" s="183">
        <v>230</v>
      </c>
      <c r="AW25" s="200">
        <f>+AV25</f>
        <v>230</v>
      </c>
      <c r="AX25" s="200">
        <f>+AX46-AM19</f>
        <v>212.80473192190908</v>
      </c>
      <c r="AY25" s="200">
        <f>+AY46-AN19</f>
        <v>212.80473192190908</v>
      </c>
      <c r="AZ25" s="200">
        <v>233.35018646736364</v>
      </c>
      <c r="BA25" s="200">
        <v>0</v>
      </c>
      <c r="BB25" s="200">
        <v>0</v>
      </c>
    </row>
    <row r="26" spans="2:54" x14ac:dyDescent="0.35">
      <c r="B26" s="19" t="s">
        <v>116</v>
      </c>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8"/>
      <c r="AF26" s="198"/>
      <c r="AG26" s="198"/>
      <c r="AH26" s="198"/>
      <c r="AI26" s="198"/>
      <c r="AJ26" s="120">
        <f t="shared" ref="AJ26:AQ26" si="11">+AJ25+AU25</f>
        <v>1102.5685368912009</v>
      </c>
      <c r="AK26" s="120">
        <f t="shared" si="11"/>
        <v>1223.6339736073651</v>
      </c>
      <c r="AL26" s="120">
        <f t="shared" si="11"/>
        <v>1317.905563809009</v>
      </c>
      <c r="AM26" s="120">
        <f t="shared" si="11"/>
        <v>1413.3351007309182</v>
      </c>
      <c r="AN26" s="120">
        <f t="shared" si="11"/>
        <v>1583.8089425566714</v>
      </c>
      <c r="AO26" s="120">
        <f t="shared" si="11"/>
        <v>1531.8425363487013</v>
      </c>
      <c r="AP26" s="120">
        <f t="shared" si="11"/>
        <v>1510.876447883931</v>
      </c>
      <c r="AQ26" s="120">
        <f t="shared" si="11"/>
        <v>1547.9264478839309</v>
      </c>
      <c r="AR26" s="242"/>
      <c r="AS26" s="182"/>
      <c r="AT26" s="183"/>
      <c r="AU26" s="183"/>
      <c r="AV26" s="183"/>
      <c r="AW26" s="200"/>
      <c r="AX26" s="200"/>
      <c r="AY26" s="200"/>
      <c r="AZ26" s="200"/>
      <c r="BA26" s="200"/>
      <c r="BB26" s="200"/>
    </row>
    <row r="27" spans="2:54" x14ac:dyDescent="0.35">
      <c r="B27" s="212" t="s">
        <v>117</v>
      </c>
      <c r="C27" s="197"/>
      <c r="D27" s="197"/>
      <c r="E27" s="197"/>
      <c r="F27" s="197"/>
      <c r="G27" s="197"/>
      <c r="H27" s="197"/>
      <c r="I27" s="197"/>
      <c r="J27" s="197"/>
      <c r="K27" s="197"/>
      <c r="L27" s="197"/>
      <c r="M27" s="197"/>
      <c r="N27" s="197"/>
      <c r="O27" s="197"/>
      <c r="P27" s="197"/>
      <c r="Q27" s="197"/>
      <c r="R27" s="197"/>
      <c r="S27" s="197"/>
      <c r="T27" s="197"/>
      <c r="U27" s="197"/>
      <c r="V27" s="197"/>
      <c r="W27" s="197"/>
      <c r="X27" s="197"/>
      <c r="Y27" s="197"/>
      <c r="Z27" s="197"/>
      <c r="AA27" s="197"/>
      <c r="AB27" s="197"/>
      <c r="AC27" s="197"/>
      <c r="AD27" s="197"/>
      <c r="AE27" s="198"/>
      <c r="AF27" s="198"/>
      <c r="AG27" s="198"/>
      <c r="AH27" s="198"/>
      <c r="AI27" s="198"/>
      <c r="AJ27" s="120">
        <f t="shared" ref="AJ27:AQ27" si="12">+AU35</f>
        <v>1049.0799664441729</v>
      </c>
      <c r="AK27" s="120">
        <f t="shared" si="12"/>
        <v>1093.080861588048</v>
      </c>
      <c r="AL27" s="120">
        <f t="shared" si="12"/>
        <v>1133.4690665358264</v>
      </c>
      <c r="AM27" s="120">
        <f t="shared" si="12"/>
        <v>1204.9217278404051</v>
      </c>
      <c r="AN27" s="120">
        <f t="shared" si="12"/>
        <v>1280.7208105902992</v>
      </c>
      <c r="AO27" s="120">
        <f t="shared" si="12"/>
        <v>1336.931906089718</v>
      </c>
      <c r="AP27" s="120">
        <f t="shared" si="12"/>
        <v>1364.2907471916872</v>
      </c>
      <c r="AQ27" s="120">
        <f t="shared" si="12"/>
        <v>1406.7141607557435</v>
      </c>
      <c r="AR27" s="242"/>
      <c r="AS27" s="182"/>
      <c r="AT27" s="183"/>
      <c r="AU27" s="183"/>
      <c r="AV27" s="183"/>
      <c r="AW27" s="183"/>
      <c r="AX27" s="183"/>
      <c r="AY27" s="183"/>
      <c r="AZ27" s="183"/>
      <c r="BA27" s="183"/>
      <c r="BB27" s="183"/>
    </row>
    <row r="28" spans="2:54" ht="13" customHeight="1" x14ac:dyDescent="0.35">
      <c r="B28" s="6"/>
      <c r="AS28" s="182" t="s">
        <v>150</v>
      </c>
      <c r="AT28" s="183">
        <f t="shared" ref="AT28:BB28" si="13">+AT24+AT25</f>
        <v>1094.3854962648993</v>
      </c>
      <c r="AU28" s="186">
        <f t="shared" si="13"/>
        <v>1102.5685368912009</v>
      </c>
      <c r="AV28" s="186">
        <f t="shared" si="13"/>
        <v>1223.6339736073651</v>
      </c>
      <c r="AW28" s="186">
        <f t="shared" si="13"/>
        <v>1317.905563809009</v>
      </c>
      <c r="AX28" s="186">
        <f t="shared" si="13"/>
        <v>1413.3351007309182</v>
      </c>
      <c r="AY28" s="186">
        <f t="shared" si="13"/>
        <v>1583.8089425566714</v>
      </c>
      <c r="AZ28" s="186">
        <f t="shared" si="13"/>
        <v>1531.8425363487013</v>
      </c>
      <c r="BA28" s="186">
        <f t="shared" si="13"/>
        <v>1510.876447883931</v>
      </c>
      <c r="BB28" s="186">
        <f t="shared" si="13"/>
        <v>1547.9264478839309</v>
      </c>
    </row>
    <row r="29" spans="2:54" x14ac:dyDescent="0.35">
      <c r="B29" s="14" t="s">
        <v>120</v>
      </c>
      <c r="C29" s="7">
        <f t="shared" ref="C29:W29" si="14">+C25*(1-5%)</f>
        <v>1630.4207904109589</v>
      </c>
      <c r="D29" s="7">
        <f t="shared" si="14"/>
        <v>1572.9196328767123</v>
      </c>
      <c r="E29" s="7">
        <f t="shared" si="14"/>
        <v>1572.2066242734033</v>
      </c>
      <c r="F29" s="7">
        <f t="shared" si="14"/>
        <v>1567.7445286986301</v>
      </c>
      <c r="G29" s="7">
        <f t="shared" si="14"/>
        <v>1630.4207904109589</v>
      </c>
      <c r="H29" s="7">
        <f t="shared" si="14"/>
        <v>1557.1068145547943</v>
      </c>
      <c r="I29" s="7">
        <f t="shared" si="14"/>
        <v>1394.6660445205478</v>
      </c>
      <c r="J29" s="7">
        <f t="shared" si="14"/>
        <v>1328.6149630424034</v>
      </c>
      <c r="K29" s="7">
        <f t="shared" si="14"/>
        <v>1301.7777271643836</v>
      </c>
      <c r="L29" s="7">
        <f t="shared" si="14"/>
        <v>1351.0895420479451</v>
      </c>
      <c r="M29" s="7">
        <f t="shared" si="14"/>
        <v>1372.8447544965752</v>
      </c>
      <c r="N29" s="7">
        <f t="shared" si="14"/>
        <v>1378.6461444828767</v>
      </c>
      <c r="O29" s="7">
        <f t="shared" si="14"/>
        <v>1266.3892482479453</v>
      </c>
      <c r="P29" s="7">
        <f t="shared" si="14"/>
        <v>1175.5974949623287</v>
      </c>
      <c r="Q29" s="7">
        <f t="shared" si="14"/>
        <v>1222.7395957924039</v>
      </c>
      <c r="R29" s="7">
        <f t="shared" si="14"/>
        <v>1132.3771395643835</v>
      </c>
      <c r="S29" s="7">
        <f t="shared" si="14"/>
        <v>1108.8815101198629</v>
      </c>
      <c r="T29" s="7">
        <f t="shared" si="14"/>
        <v>1076.6445176986301</v>
      </c>
      <c r="U29" s="7">
        <f t="shared" si="14"/>
        <v>1063.9599612089041</v>
      </c>
      <c r="V29" s="7">
        <f t="shared" si="14"/>
        <v>1072.5363584211129</v>
      </c>
      <c r="W29" s="7">
        <f t="shared" si="14"/>
        <v>1092.8638664146681</v>
      </c>
      <c r="X29" s="7">
        <f>1.33255813953488*1000</f>
        <v>1332.55813953488</v>
      </c>
      <c r="Y29" s="7">
        <v>1386.3640879999998</v>
      </c>
      <c r="Z29" s="7">
        <f>+Y29</f>
        <v>1386.3640879999998</v>
      </c>
      <c r="AA29" s="7">
        <f>+Z29</f>
        <v>1386.3640879999998</v>
      </c>
      <c r="AB29" s="7">
        <f>+AA29</f>
        <v>1386.3640879999998</v>
      </c>
      <c r="AC29" s="7">
        <f>+AB29</f>
        <v>1386.3640879999998</v>
      </c>
      <c r="AD29" s="100">
        <v>1412.3595833333334</v>
      </c>
      <c r="AE29" s="7">
        <v>1412.3595833333334</v>
      </c>
      <c r="AF29" s="7">
        <v>1412.3595833333334</v>
      </c>
      <c r="AG29" s="7">
        <f>+AF29</f>
        <v>1412.3595833333334</v>
      </c>
      <c r="AH29" s="7">
        <f>+AG29</f>
        <v>1412.3595833333334</v>
      </c>
      <c r="AI29" s="7">
        <v>1394.54</v>
      </c>
      <c r="AJ29" s="7">
        <v>1394.54</v>
      </c>
      <c r="AK29" s="7">
        <f>+AJ29</f>
        <v>1394.54</v>
      </c>
      <c r="AL29" s="7">
        <f>+AK29</f>
        <v>1394.54</v>
      </c>
      <c r="AM29" s="7">
        <v>1485</v>
      </c>
      <c r="AN29" s="7">
        <f>+AM29</f>
        <v>1485</v>
      </c>
      <c r="AO29" s="7">
        <f>+AN29</f>
        <v>1485</v>
      </c>
      <c r="AP29" s="7">
        <v>1509.0541439178082</v>
      </c>
      <c r="AQ29" s="7">
        <f>+AP29</f>
        <v>1509.0541439178082</v>
      </c>
      <c r="AR29" s="235"/>
      <c r="AS29" s="182" t="s">
        <v>155</v>
      </c>
      <c r="AT29" s="188">
        <f t="shared" ref="AT29:BB29" si="15">+AT16-AT33</f>
        <v>401.55869089423965</v>
      </c>
      <c r="AU29" s="189">
        <f t="shared" si="15"/>
        <v>908.05933422703788</v>
      </c>
      <c r="AV29" s="189">
        <f t="shared" si="15"/>
        <v>1483.5279099712845</v>
      </c>
      <c r="AW29" s="189">
        <f t="shared" si="15"/>
        <v>1598.3075783902821</v>
      </c>
      <c r="AX29" s="189">
        <f t="shared" si="15"/>
        <v>1458.401752190282</v>
      </c>
      <c r="AY29" s="189">
        <f t="shared" si="15"/>
        <v>1759.3719241330821</v>
      </c>
      <c r="AZ29" s="189">
        <f t="shared" si="15"/>
        <v>1733.7380505330818</v>
      </c>
      <c r="BA29" s="189">
        <f t="shared" si="15"/>
        <v>1768.104176933082</v>
      </c>
      <c r="BB29" s="189">
        <f t="shared" si="15"/>
        <v>1581.1041769330823</v>
      </c>
    </row>
    <row r="30" spans="2:54" x14ac:dyDescent="0.35">
      <c r="B30" s="32" t="s">
        <v>121</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100"/>
      <c r="AE30" s="7"/>
      <c r="AF30" s="7"/>
      <c r="AG30" s="7"/>
      <c r="AH30" s="7"/>
      <c r="AI30" s="7"/>
      <c r="AJ30" s="7"/>
      <c r="AK30" s="7"/>
      <c r="AL30" s="7"/>
      <c r="AM30" s="7"/>
      <c r="AN30" s="7"/>
      <c r="AO30" s="7"/>
      <c r="AP30" s="7">
        <f>+AP29</f>
        <v>1509.0541439178082</v>
      </c>
      <c r="AQ30" s="7">
        <f>+AQ29</f>
        <v>1509.0541439178082</v>
      </c>
      <c r="AR30" s="235"/>
      <c r="AS30" s="182"/>
      <c r="AT30" s="188"/>
      <c r="AU30" s="189"/>
      <c r="AV30" s="189"/>
      <c r="AW30" s="189"/>
      <c r="AX30" s="189"/>
      <c r="AY30" s="189"/>
      <c r="AZ30" s="189"/>
      <c r="BA30" s="189"/>
      <c r="BB30" s="189"/>
    </row>
    <row r="31" spans="2:54" x14ac:dyDescent="0.35">
      <c r="B31" s="14" t="s">
        <v>122</v>
      </c>
      <c r="C31" s="7"/>
      <c r="D31" s="7"/>
      <c r="E31" s="7"/>
      <c r="F31" s="7"/>
      <c r="G31" s="7"/>
      <c r="H31" s="7"/>
      <c r="I31" s="7"/>
      <c r="J31" s="7"/>
      <c r="K31" s="7"/>
      <c r="L31" s="7"/>
      <c r="M31" s="7"/>
      <c r="N31" s="7"/>
      <c r="O31" s="7"/>
      <c r="P31" s="7"/>
      <c r="Q31" s="7"/>
      <c r="R31" s="7"/>
      <c r="S31" s="7"/>
      <c r="T31" s="7"/>
      <c r="U31" s="7"/>
      <c r="V31" s="7"/>
      <c r="W31" s="7"/>
      <c r="X31" s="7"/>
      <c r="Y31" s="7">
        <v>1070.2457145299522</v>
      </c>
      <c r="Z31" s="7">
        <v>1103.3117577063094</v>
      </c>
      <c r="AA31" s="7">
        <v>1103.3117577063094</v>
      </c>
      <c r="AB31" s="7">
        <v>1149.9846517001231</v>
      </c>
      <c r="AC31" s="7">
        <v>1149.9846517001231</v>
      </c>
      <c r="AD31" s="119">
        <v>1163.7351584349315</v>
      </c>
      <c r="AE31" s="119">
        <v>1163.7351584349315</v>
      </c>
      <c r="AF31" s="119">
        <v>6</v>
      </c>
      <c r="AG31" s="119">
        <v>1125.2337117924039</v>
      </c>
      <c r="AH31" s="119">
        <v>1153.6208952478003</v>
      </c>
      <c r="AI31" s="119">
        <v>1197.5282466283243</v>
      </c>
      <c r="AJ31" s="119">
        <v>1277.3813189985585</v>
      </c>
      <c r="AK31" s="119">
        <v>1467.9414592909875</v>
      </c>
      <c r="AL31" s="119">
        <v>1432.4780328621268</v>
      </c>
      <c r="AM31" s="119">
        <v>1415.0274435548959</v>
      </c>
      <c r="AN31" s="119">
        <v>1623.5225332915529</v>
      </c>
      <c r="AO31" s="119">
        <v>1586.6292370018218</v>
      </c>
      <c r="AP31" s="119">
        <v>1609.9821539163602</v>
      </c>
      <c r="AQ31" s="119">
        <v>1643.8951960695449</v>
      </c>
      <c r="AR31" s="235"/>
      <c r="AS31" s="182" t="s">
        <v>156</v>
      </c>
      <c r="AT31" s="185">
        <f t="shared" ref="AT31:BB31" si="16">+AT23</f>
        <v>507</v>
      </c>
      <c r="AU31" s="184">
        <f t="shared" si="16"/>
        <v>576</v>
      </c>
      <c r="AV31" s="184">
        <f t="shared" si="16"/>
        <v>500</v>
      </c>
      <c r="AW31" s="184">
        <f t="shared" si="16"/>
        <v>350</v>
      </c>
      <c r="AX31" s="184">
        <f t="shared" si="16"/>
        <v>500</v>
      </c>
      <c r="AY31" s="184">
        <f t="shared" si="16"/>
        <v>440</v>
      </c>
      <c r="AZ31" s="184">
        <f t="shared" si="16"/>
        <v>500</v>
      </c>
      <c r="BA31" s="184">
        <f t="shared" si="16"/>
        <v>330</v>
      </c>
      <c r="BB31" s="184">
        <f t="shared" si="16"/>
        <v>475</v>
      </c>
    </row>
    <row r="32" spans="2:54" ht="7.5" customHeight="1" x14ac:dyDescent="0.35">
      <c r="C32" s="7"/>
      <c r="D32" s="7"/>
      <c r="E32" s="7"/>
      <c r="F32" s="7"/>
      <c r="G32" s="7"/>
      <c r="H32" s="7"/>
      <c r="I32" s="7"/>
      <c r="J32" s="7"/>
      <c r="K32" s="7"/>
      <c r="L32" s="7"/>
      <c r="M32" s="7"/>
      <c r="N32" s="7"/>
      <c r="O32" s="7"/>
      <c r="P32" s="7"/>
      <c r="Q32" s="7"/>
      <c r="R32" s="7"/>
      <c r="S32" s="7"/>
      <c r="T32" s="7"/>
      <c r="U32" s="7"/>
      <c r="V32" s="7"/>
      <c r="W32" s="7"/>
      <c r="X32" s="7"/>
      <c r="Y32" s="7"/>
      <c r="Z32" s="7"/>
      <c r="AA32" s="7"/>
      <c r="AB32" s="7"/>
      <c r="AS32" s="182"/>
      <c r="AT32" s="185"/>
      <c r="AU32" s="184"/>
      <c r="AV32" s="184"/>
      <c r="AW32" s="184"/>
      <c r="AX32" s="184"/>
      <c r="AY32" s="184"/>
      <c r="AZ32" s="184"/>
      <c r="BA32" s="184"/>
      <c r="BB32" s="184"/>
    </row>
    <row r="33" spans="2:55" x14ac:dyDescent="0.35">
      <c r="AS33" s="182" t="s">
        <v>157</v>
      </c>
      <c r="AT33" s="285">
        <v>0.44130910576033994</v>
      </c>
      <c r="AU33" s="286">
        <v>0.49935666720171967</v>
      </c>
      <c r="AV33" s="287">
        <v>0.53142425575338903</v>
      </c>
      <c r="AW33" s="187">
        <v>385.22033158100254</v>
      </c>
      <c r="AX33" s="187">
        <v>489.90582620000004</v>
      </c>
      <c r="AY33" s="187">
        <v>199.02982805719998</v>
      </c>
      <c r="AZ33" s="187">
        <v>465.63387359999996</v>
      </c>
      <c r="BA33" s="187">
        <v>465.63387359999996</v>
      </c>
      <c r="BB33" s="187">
        <v>517</v>
      </c>
    </row>
    <row r="34" spans="2:55" x14ac:dyDescent="0.35">
      <c r="B34" s="29" t="s">
        <v>124</v>
      </c>
      <c r="U34" s="25">
        <f>+(U29*50%)+(U59*50%)</f>
        <v>531.97998060445207</v>
      </c>
      <c r="V34" s="24">
        <f t="shared" ref="V34:AI34" si="17">+(V25*50%)+(V29*50%)</f>
        <v>1100.7609994321949</v>
      </c>
      <c r="W34" s="24">
        <f t="shared" si="17"/>
        <v>1121.6234418466331</v>
      </c>
      <c r="X34" s="24">
        <f t="shared" si="17"/>
        <v>1241.4705784067392</v>
      </c>
      <c r="Y34" s="24">
        <f t="shared" si="17"/>
        <v>1204.735912483266</v>
      </c>
      <c r="Z34" s="24">
        <f t="shared" si="17"/>
        <v>1154.2059420913538</v>
      </c>
      <c r="AA34" s="24">
        <f t="shared" si="17"/>
        <v>1186.407044</v>
      </c>
      <c r="AB34" s="24">
        <f t="shared" si="17"/>
        <v>1163.0801626887455</v>
      </c>
      <c r="AC34" s="24">
        <f t="shared" si="17"/>
        <v>1174.2220439999999</v>
      </c>
      <c r="AD34" s="24">
        <f t="shared" si="17"/>
        <v>1181.4777297732207</v>
      </c>
      <c r="AE34" s="24">
        <f t="shared" si="17"/>
        <v>1184.1997916666667</v>
      </c>
      <c r="AF34" s="24">
        <f t="shared" si="17"/>
        <v>1169.672178634733</v>
      </c>
      <c r="AG34" s="24">
        <f t="shared" si="17"/>
        <v>1162.5752731141849</v>
      </c>
      <c r="AH34" s="24">
        <f t="shared" si="17"/>
        <v>1163.7354659718508</v>
      </c>
      <c r="AI34" s="24">
        <f t="shared" si="17"/>
        <v>1149.9627481324496</v>
      </c>
      <c r="AJ34" s="24">
        <f t="shared" ref="AJ34:AO34" si="18">+(AJ26*50%)+(AJ29*50%)</f>
        <v>1248.5542684456004</v>
      </c>
      <c r="AK34" s="24">
        <f t="shared" si="18"/>
        <v>1309.0869868036825</v>
      </c>
      <c r="AL34" s="24">
        <f t="shared" si="18"/>
        <v>1356.2227819045045</v>
      </c>
      <c r="AM34" s="24">
        <f t="shared" si="18"/>
        <v>1449.1675503654592</v>
      </c>
      <c r="AN34" s="24">
        <f t="shared" si="18"/>
        <v>1534.4044712783357</v>
      </c>
      <c r="AO34" s="24">
        <f t="shared" si="18"/>
        <v>1508.4212681743506</v>
      </c>
      <c r="AP34" s="24">
        <f>+(AP27*50%)+(AP30*50%)</f>
        <v>1436.6724455547478</v>
      </c>
      <c r="AQ34" s="24">
        <f>+(AQ27*50%)+(AQ30*50%)</f>
        <v>1457.884152336776</v>
      </c>
      <c r="AR34" s="243"/>
      <c r="AS34" s="182" t="s">
        <v>158</v>
      </c>
      <c r="AT34" s="190">
        <f t="shared" ref="AT34:BB34" si="19">+AT29+AT31</f>
        <v>908.55869089423959</v>
      </c>
      <c r="AU34" s="191">
        <f t="shared" si="19"/>
        <v>1484.0593342270379</v>
      </c>
      <c r="AV34" s="191">
        <f t="shared" si="19"/>
        <v>1983.5279099712845</v>
      </c>
      <c r="AW34" s="191">
        <f t="shared" si="19"/>
        <v>1948.3075783902821</v>
      </c>
      <c r="AX34" s="191">
        <f t="shared" si="19"/>
        <v>1958.401752190282</v>
      </c>
      <c r="AY34" s="191">
        <f t="shared" si="19"/>
        <v>2199.3719241330818</v>
      </c>
      <c r="AZ34" s="191">
        <f t="shared" si="19"/>
        <v>2233.7380505330821</v>
      </c>
      <c r="BA34" s="191">
        <f t="shared" si="19"/>
        <v>2098.1041769330823</v>
      </c>
      <c r="BB34" s="287">
        <f t="shared" si="19"/>
        <v>2056.1041769330823</v>
      </c>
      <c r="BC34" s="280"/>
    </row>
    <row r="35" spans="2:55" ht="15" thickBot="1" x14ac:dyDescent="0.4">
      <c r="B35" s="10" t="s">
        <v>125</v>
      </c>
      <c r="U35" s="8">
        <f t="shared" ref="U35:AQ35" si="20">+U34*1%</f>
        <v>5.3197998060445206</v>
      </c>
      <c r="V35" s="8">
        <f t="shared" si="20"/>
        <v>11.00760999432195</v>
      </c>
      <c r="W35" s="8">
        <f t="shared" si="20"/>
        <v>11.216234418466332</v>
      </c>
      <c r="X35" s="8">
        <f t="shared" si="20"/>
        <v>12.414705784067392</v>
      </c>
      <c r="Y35" s="8">
        <f t="shared" si="20"/>
        <v>12.04735912483266</v>
      </c>
      <c r="Z35" s="8">
        <f t="shared" si="20"/>
        <v>11.542059420913539</v>
      </c>
      <c r="AA35" s="8">
        <f t="shared" si="20"/>
        <v>11.864070440000001</v>
      </c>
      <c r="AB35" s="8">
        <f t="shared" si="20"/>
        <v>11.630801626887456</v>
      </c>
      <c r="AC35" s="8">
        <f t="shared" si="20"/>
        <v>11.742220439999999</v>
      </c>
      <c r="AD35" s="8">
        <f t="shared" si="20"/>
        <v>11.814777297732208</v>
      </c>
      <c r="AE35" s="8">
        <f t="shared" si="20"/>
        <v>11.841997916666667</v>
      </c>
      <c r="AF35" s="8">
        <f t="shared" si="20"/>
        <v>11.696721786347331</v>
      </c>
      <c r="AG35" s="8">
        <f t="shared" si="20"/>
        <v>11.62575273114185</v>
      </c>
      <c r="AH35" s="8">
        <f t="shared" si="20"/>
        <v>11.637354659718508</v>
      </c>
      <c r="AI35" s="8">
        <f t="shared" si="20"/>
        <v>11.499627481324497</v>
      </c>
      <c r="AJ35" s="8">
        <f t="shared" si="20"/>
        <v>12.485542684456005</v>
      </c>
      <c r="AK35" s="8">
        <f t="shared" si="20"/>
        <v>13.090869868036826</v>
      </c>
      <c r="AL35" s="8">
        <f t="shared" si="20"/>
        <v>13.562227819045045</v>
      </c>
      <c r="AM35" s="8">
        <f t="shared" si="20"/>
        <v>14.491675503654593</v>
      </c>
      <c r="AN35" s="8">
        <f t="shared" si="20"/>
        <v>15.344044712783358</v>
      </c>
      <c r="AO35" s="8">
        <f t="shared" si="20"/>
        <v>15.084212681743507</v>
      </c>
      <c r="AP35" s="8">
        <f t="shared" si="20"/>
        <v>14.366724455547478</v>
      </c>
      <c r="AQ35" s="8">
        <f t="shared" si="20"/>
        <v>14.57884152336776</v>
      </c>
      <c r="AR35" s="240"/>
      <c r="AS35" s="192" t="s">
        <v>159</v>
      </c>
      <c r="AT35" s="193">
        <f t="shared" ref="AT35:BB35" si="21">+((AT29*AT19)+(AT31*AT28))/(AT34)</f>
        <v>1015.1511080356925</v>
      </c>
      <c r="AU35" s="194">
        <f t="shared" si="21"/>
        <v>1049.0799664441729</v>
      </c>
      <c r="AV35" s="194">
        <f t="shared" si="21"/>
        <v>1093.080861588048</v>
      </c>
      <c r="AW35" s="194">
        <f t="shared" si="21"/>
        <v>1133.4690665358264</v>
      </c>
      <c r="AX35" s="194">
        <f t="shared" si="21"/>
        <v>1204.9217278404051</v>
      </c>
      <c r="AY35" s="194">
        <f t="shared" si="21"/>
        <v>1280.7208105902992</v>
      </c>
      <c r="AZ35" s="194">
        <f t="shared" si="21"/>
        <v>1336.931906089718</v>
      </c>
      <c r="BA35" s="194">
        <f t="shared" si="21"/>
        <v>1364.2907471916872</v>
      </c>
      <c r="BB35" s="194">
        <f t="shared" si="21"/>
        <v>1406.7141607557435</v>
      </c>
    </row>
    <row r="36" spans="2:55" x14ac:dyDescent="0.35">
      <c r="B36" s="14" t="s">
        <v>126</v>
      </c>
      <c r="G36" s="21"/>
      <c r="H36" s="21"/>
      <c r="I36" s="21"/>
      <c r="J36" s="22"/>
      <c r="U36" s="28">
        <f t="shared" ref="U36:AQ36" si="22">+U35+U34</f>
        <v>537.29978041049662</v>
      </c>
      <c r="V36" s="28">
        <f t="shared" si="22"/>
        <v>1111.7686094265168</v>
      </c>
      <c r="W36" s="28">
        <f t="shared" si="22"/>
        <v>1132.8396762650993</v>
      </c>
      <c r="X36" s="28">
        <f t="shared" si="22"/>
        <v>1253.8852841908065</v>
      </c>
      <c r="Y36" s="28">
        <f t="shared" si="22"/>
        <v>1216.7832716080986</v>
      </c>
      <c r="Z36" s="28">
        <f t="shared" si="22"/>
        <v>1165.7480015122674</v>
      </c>
      <c r="AA36" s="28">
        <f t="shared" si="22"/>
        <v>1198.27111444</v>
      </c>
      <c r="AB36" s="28">
        <f t="shared" si="22"/>
        <v>1174.710964315633</v>
      </c>
      <c r="AC36" s="28">
        <f t="shared" si="22"/>
        <v>1185.9642644399999</v>
      </c>
      <c r="AD36" s="28">
        <f t="shared" si="22"/>
        <v>1193.292507070953</v>
      </c>
      <c r="AE36" s="28">
        <f t="shared" si="22"/>
        <v>1196.0417895833334</v>
      </c>
      <c r="AF36" s="28">
        <f t="shared" si="22"/>
        <v>1181.3689004210803</v>
      </c>
      <c r="AG36" s="28">
        <f t="shared" si="22"/>
        <v>1174.2010258453267</v>
      </c>
      <c r="AH36" s="28">
        <f t="shared" si="22"/>
        <v>1175.3728206315693</v>
      </c>
      <c r="AI36" s="28">
        <f t="shared" si="22"/>
        <v>1161.4623756137742</v>
      </c>
      <c r="AJ36" s="28">
        <f t="shared" si="22"/>
        <v>1261.0398111300565</v>
      </c>
      <c r="AK36" s="28">
        <f t="shared" si="22"/>
        <v>1322.1778566717194</v>
      </c>
      <c r="AL36" s="28">
        <f t="shared" si="22"/>
        <v>1369.7850097235496</v>
      </c>
      <c r="AM36" s="28">
        <f t="shared" si="22"/>
        <v>1463.6592258691137</v>
      </c>
      <c r="AN36" s="28">
        <f t="shared" si="22"/>
        <v>1549.7485159911191</v>
      </c>
      <c r="AO36" s="28">
        <f t="shared" si="22"/>
        <v>1523.5054808560942</v>
      </c>
      <c r="AP36" s="28">
        <f t="shared" si="22"/>
        <v>1451.0391700102953</v>
      </c>
      <c r="AQ36" s="28">
        <f t="shared" si="22"/>
        <v>1472.4629938601438</v>
      </c>
      <c r="AR36" s="235"/>
    </row>
    <row r="37" spans="2:55" x14ac:dyDescent="0.35">
      <c r="J37" s="26"/>
      <c r="AT37" s="208"/>
      <c r="AU37" s="208"/>
      <c r="AV37" s="208"/>
      <c r="AW37" s="209"/>
      <c r="AX37" s="229"/>
      <c r="AZ37" s="819" t="s">
        <v>160</v>
      </c>
      <c r="BA37" s="819"/>
    </row>
    <row r="38" spans="2:55" ht="15" thickBot="1" x14ac:dyDescent="0.4">
      <c r="B38" s="72" t="s">
        <v>127</v>
      </c>
      <c r="Y38" s="24">
        <f t="shared" ref="Y38:AQ38" si="23">+Y31</f>
        <v>1070.2457145299522</v>
      </c>
      <c r="Z38" s="24">
        <f t="shared" si="23"/>
        <v>1103.3117577063094</v>
      </c>
      <c r="AA38" s="24">
        <f t="shared" si="23"/>
        <v>1103.3117577063094</v>
      </c>
      <c r="AB38" s="24">
        <f t="shared" si="23"/>
        <v>1149.9846517001231</v>
      </c>
      <c r="AC38" s="24">
        <f t="shared" si="23"/>
        <v>1149.9846517001231</v>
      </c>
      <c r="AD38" s="24">
        <f t="shared" si="23"/>
        <v>1163.7351584349315</v>
      </c>
      <c r="AE38" s="24">
        <f t="shared" si="23"/>
        <v>1163.7351584349315</v>
      </c>
      <c r="AF38" s="24">
        <f t="shared" si="23"/>
        <v>6</v>
      </c>
      <c r="AG38" s="24">
        <f t="shared" si="23"/>
        <v>1125.2337117924039</v>
      </c>
      <c r="AH38" s="24">
        <f t="shared" si="23"/>
        <v>1153.6208952478003</v>
      </c>
      <c r="AI38" s="24">
        <f t="shared" si="23"/>
        <v>1197.5282466283243</v>
      </c>
      <c r="AJ38" s="24">
        <f t="shared" si="23"/>
        <v>1277.3813189985585</v>
      </c>
      <c r="AK38" s="24">
        <f t="shared" si="23"/>
        <v>1467.9414592909875</v>
      </c>
      <c r="AL38" s="24">
        <f t="shared" si="23"/>
        <v>1432.4780328621268</v>
      </c>
      <c r="AM38" s="24">
        <f t="shared" si="23"/>
        <v>1415.0274435548959</v>
      </c>
      <c r="AN38" s="24">
        <f t="shared" si="23"/>
        <v>1623.5225332915529</v>
      </c>
      <c r="AO38" s="24">
        <f t="shared" si="23"/>
        <v>1586.6292370018218</v>
      </c>
      <c r="AP38" s="24">
        <f t="shared" si="23"/>
        <v>1609.9821539163602</v>
      </c>
      <c r="AQ38" s="24">
        <f t="shared" si="23"/>
        <v>1643.8951960695449</v>
      </c>
      <c r="AR38" s="235"/>
      <c r="AT38" s="88"/>
      <c r="AU38" s="210"/>
      <c r="AV38" s="210"/>
      <c r="AW38" s="211"/>
      <c r="AX38" s="230"/>
      <c r="AZ38" s="178" t="s">
        <v>143</v>
      </c>
      <c r="BA38" s="178" t="s">
        <v>144</v>
      </c>
      <c r="BB38" s="178" t="s">
        <v>145</v>
      </c>
    </row>
    <row r="39" spans="2:55" x14ac:dyDescent="0.35">
      <c r="B39" s="10" t="s">
        <v>125</v>
      </c>
      <c r="Y39" s="8">
        <f t="shared" ref="Y39:AQ39" si="24">+Y38*1%</f>
        <v>10.702457145299523</v>
      </c>
      <c r="Z39" s="8">
        <f t="shared" si="24"/>
        <v>11.033117577063095</v>
      </c>
      <c r="AA39" s="8">
        <f t="shared" si="24"/>
        <v>11.033117577063095</v>
      </c>
      <c r="AB39" s="8">
        <f t="shared" si="24"/>
        <v>11.499846517001231</v>
      </c>
      <c r="AC39" s="8">
        <f t="shared" si="24"/>
        <v>11.499846517001231</v>
      </c>
      <c r="AD39" s="8">
        <f t="shared" si="24"/>
        <v>11.637351584349314</v>
      </c>
      <c r="AE39" s="8">
        <f t="shared" si="24"/>
        <v>11.637351584349314</v>
      </c>
      <c r="AF39" s="8">
        <f t="shared" si="24"/>
        <v>0.06</v>
      </c>
      <c r="AG39" s="8">
        <f t="shared" si="24"/>
        <v>11.252337117924039</v>
      </c>
      <c r="AH39" s="8">
        <f t="shared" si="24"/>
        <v>11.536208952478002</v>
      </c>
      <c r="AI39" s="8">
        <f t="shared" si="24"/>
        <v>11.975282466283243</v>
      </c>
      <c r="AJ39" s="8">
        <f t="shared" si="24"/>
        <v>12.773813189985585</v>
      </c>
      <c r="AK39" s="8">
        <f t="shared" si="24"/>
        <v>14.679414592909875</v>
      </c>
      <c r="AL39" s="8">
        <f t="shared" si="24"/>
        <v>14.324780328621269</v>
      </c>
      <c r="AM39" s="8">
        <f t="shared" si="24"/>
        <v>14.150274435548958</v>
      </c>
      <c r="AN39" s="8">
        <f t="shared" si="24"/>
        <v>16.23522533291553</v>
      </c>
      <c r="AO39" s="8">
        <f t="shared" si="24"/>
        <v>15.866292370018218</v>
      </c>
      <c r="AP39" s="8">
        <f t="shared" si="24"/>
        <v>16.099821539163603</v>
      </c>
      <c r="AQ39" s="8">
        <f t="shared" si="24"/>
        <v>16.438951960695448</v>
      </c>
      <c r="AS39" s="179" t="s">
        <v>161</v>
      </c>
      <c r="AT39" s="250"/>
      <c r="AU39" s="251"/>
      <c r="AV39" s="251"/>
      <c r="AW39" s="252"/>
      <c r="AX39" s="253"/>
      <c r="AY39" s="254"/>
      <c r="AZ39" s="259"/>
      <c r="BA39" s="259"/>
      <c r="BB39" s="261"/>
    </row>
    <row r="40" spans="2:55" x14ac:dyDescent="0.35">
      <c r="B40" s="14" t="s">
        <v>126</v>
      </c>
      <c r="Y40" s="73">
        <f t="shared" ref="Y40:AQ40" si="25">+Y39+Y38</f>
        <v>1080.9481716752518</v>
      </c>
      <c r="Z40" s="73">
        <f t="shared" si="25"/>
        <v>1114.3448752833726</v>
      </c>
      <c r="AA40" s="73">
        <f t="shared" si="25"/>
        <v>1114.3448752833726</v>
      </c>
      <c r="AB40" s="73">
        <f t="shared" si="25"/>
        <v>1161.4844982171244</v>
      </c>
      <c r="AC40" s="73">
        <f t="shared" si="25"/>
        <v>1161.4844982171244</v>
      </c>
      <c r="AD40" s="73">
        <f t="shared" si="25"/>
        <v>1175.3725100192808</v>
      </c>
      <c r="AE40" s="73">
        <f t="shared" si="25"/>
        <v>1175.3725100192808</v>
      </c>
      <c r="AF40" s="73">
        <f t="shared" si="25"/>
        <v>6.06</v>
      </c>
      <c r="AG40" s="73">
        <f t="shared" si="25"/>
        <v>1136.486048910328</v>
      </c>
      <c r="AH40" s="73">
        <f t="shared" si="25"/>
        <v>1165.1571042002784</v>
      </c>
      <c r="AI40" s="73">
        <f t="shared" si="25"/>
        <v>1209.5035290946075</v>
      </c>
      <c r="AJ40" s="73">
        <f t="shared" si="25"/>
        <v>1290.155132188544</v>
      </c>
      <c r="AK40" s="73">
        <f t="shared" si="25"/>
        <v>1482.6208738838973</v>
      </c>
      <c r="AL40" s="73">
        <f t="shared" si="25"/>
        <v>1446.8028131907481</v>
      </c>
      <c r="AM40" s="73">
        <f t="shared" si="25"/>
        <v>1429.1777179904448</v>
      </c>
      <c r="AN40" s="73">
        <f t="shared" si="25"/>
        <v>1639.7577586244684</v>
      </c>
      <c r="AO40" s="73">
        <f t="shared" si="25"/>
        <v>1602.4955293718401</v>
      </c>
      <c r="AP40" s="73">
        <f t="shared" si="25"/>
        <v>1626.0819754555239</v>
      </c>
      <c r="AQ40" s="73">
        <f t="shared" si="25"/>
        <v>1660.3341480302404</v>
      </c>
      <c r="AR40" s="235"/>
      <c r="AS40" s="182" t="s">
        <v>148</v>
      </c>
      <c r="AT40" s="143"/>
      <c r="AU40" s="143"/>
      <c r="AV40" s="143"/>
      <c r="AW40" s="143"/>
      <c r="AX40" s="255"/>
      <c r="AY40" s="143"/>
      <c r="AZ40" s="258"/>
      <c r="BA40" s="258"/>
      <c r="BB40" s="262"/>
      <c r="BC40" s="275"/>
    </row>
    <row r="41" spans="2:55" x14ac:dyDescent="0.35">
      <c r="AS41" s="182" t="s">
        <v>152</v>
      </c>
      <c r="AT41" s="143"/>
      <c r="AU41" s="143"/>
      <c r="AV41" s="143"/>
      <c r="AW41" s="143"/>
      <c r="AX41" s="255"/>
      <c r="AY41" s="143"/>
      <c r="AZ41" s="258"/>
      <c r="BA41" s="258"/>
      <c r="BB41" s="263"/>
    </row>
    <row r="42" spans="2:55" x14ac:dyDescent="0.35">
      <c r="B42" s="150" t="s">
        <v>128</v>
      </c>
      <c r="AH42" s="24">
        <f>+(AH25*25%)+(AH29*75%)</f>
        <v>1288.0475246525921</v>
      </c>
      <c r="AI42" s="24">
        <f>+(AI25*25%)+(AI29*75%)</f>
        <v>1272.2513740662248</v>
      </c>
      <c r="AJ42" s="24">
        <f t="shared" ref="AJ42:AO42" si="26">+(AJ26*25%)+(AJ29*75%)</f>
        <v>1321.5471342228002</v>
      </c>
      <c r="AK42" s="24">
        <f t="shared" si="26"/>
        <v>1351.8134934018412</v>
      </c>
      <c r="AL42" s="24">
        <f t="shared" si="26"/>
        <v>1375.3813909522523</v>
      </c>
      <c r="AM42" s="24">
        <f t="shared" si="26"/>
        <v>1467.0837751827296</v>
      </c>
      <c r="AN42" s="24">
        <f t="shared" si="26"/>
        <v>1509.7022356391678</v>
      </c>
      <c r="AO42" s="24">
        <f t="shared" si="26"/>
        <v>1496.7106340871753</v>
      </c>
      <c r="AP42" s="24">
        <f>+(AP27*25%)+(AP30*75%)</f>
        <v>1472.8632947362778</v>
      </c>
      <c r="AQ42" s="24">
        <f>+(AQ27*25%)+(AQ30*75%)</f>
        <v>1483.4691481272919</v>
      </c>
      <c r="AR42" s="243"/>
      <c r="AS42" s="182" t="s">
        <v>162</v>
      </c>
      <c r="AT42" s="281"/>
      <c r="AU42" s="143"/>
      <c r="AV42" s="143"/>
      <c r="AW42" s="143"/>
      <c r="AX42" s="143"/>
      <c r="AY42" s="143"/>
      <c r="AZ42" s="258"/>
      <c r="BA42" s="186"/>
      <c r="BB42" s="263"/>
    </row>
    <row r="43" spans="2:55" x14ac:dyDescent="0.35">
      <c r="B43" s="10" t="s">
        <v>125</v>
      </c>
      <c r="AH43" s="8">
        <f t="shared" ref="AH43:AQ43" si="27">+AH42*1%</f>
        <v>12.88047524652592</v>
      </c>
      <c r="AI43" s="8">
        <f t="shared" si="27"/>
        <v>12.722513740662249</v>
      </c>
      <c r="AJ43" s="8">
        <f t="shared" si="27"/>
        <v>13.215471342228001</v>
      </c>
      <c r="AK43" s="8">
        <f t="shared" si="27"/>
        <v>13.518134934018413</v>
      </c>
      <c r="AL43" s="8">
        <f t="shared" si="27"/>
        <v>13.753813909522524</v>
      </c>
      <c r="AM43" s="8">
        <f t="shared" si="27"/>
        <v>14.670837751827296</v>
      </c>
      <c r="AN43" s="8">
        <f t="shared" si="27"/>
        <v>15.097022356391678</v>
      </c>
      <c r="AO43" s="8">
        <f t="shared" si="27"/>
        <v>14.967106340871753</v>
      </c>
      <c r="AP43" s="8">
        <f t="shared" si="27"/>
        <v>14.728632947362778</v>
      </c>
      <c r="AQ43" s="8">
        <f t="shared" si="27"/>
        <v>14.83469148127292</v>
      </c>
      <c r="AR43" s="240"/>
      <c r="AS43" s="182" t="s">
        <v>163</v>
      </c>
      <c r="AT43" s="143"/>
      <c r="AU43" s="143"/>
      <c r="AV43" s="143"/>
      <c r="AW43" s="143"/>
      <c r="AX43" s="143"/>
      <c r="AY43" s="143"/>
      <c r="AZ43" s="258"/>
      <c r="BA43" s="258"/>
      <c r="BB43" s="263"/>
    </row>
    <row r="44" spans="2:55" x14ac:dyDescent="0.35">
      <c r="B44" s="14" t="s">
        <v>126</v>
      </c>
      <c r="AH44" s="151">
        <f t="shared" ref="AH44:AQ44" si="28">+AH43+AH42</f>
        <v>1300.927999899118</v>
      </c>
      <c r="AI44" s="151">
        <f t="shared" si="28"/>
        <v>1284.973887806887</v>
      </c>
      <c r="AJ44" s="151">
        <f t="shared" si="28"/>
        <v>1334.7626055650283</v>
      </c>
      <c r="AK44" s="151">
        <f t="shared" si="28"/>
        <v>1365.3316283358597</v>
      </c>
      <c r="AL44" s="151">
        <f t="shared" si="28"/>
        <v>1389.1352048617748</v>
      </c>
      <c r="AM44" s="151">
        <f t="shared" si="28"/>
        <v>1481.7546129345569</v>
      </c>
      <c r="AN44" s="151">
        <f t="shared" si="28"/>
        <v>1524.7992579955596</v>
      </c>
      <c r="AO44" s="151">
        <f t="shared" si="28"/>
        <v>1511.6777404280472</v>
      </c>
      <c r="AP44" s="151">
        <f t="shared" si="28"/>
        <v>1487.5919276836405</v>
      </c>
      <c r="AQ44" s="151">
        <f t="shared" si="28"/>
        <v>1498.3038396085649</v>
      </c>
      <c r="AR44" s="235"/>
      <c r="AS44" s="182" t="s">
        <v>164</v>
      </c>
      <c r="AT44" s="143"/>
      <c r="AU44" s="143"/>
      <c r="AV44" s="143"/>
      <c r="AW44" s="143"/>
      <c r="AX44" s="143"/>
      <c r="AY44" s="143"/>
      <c r="AZ44" s="258"/>
      <c r="BA44" s="186"/>
      <c r="BB44" s="263"/>
    </row>
    <row r="45" spans="2:55" x14ac:dyDescent="0.35">
      <c r="AS45" s="182" t="s">
        <v>165</v>
      </c>
      <c r="AT45" s="143"/>
      <c r="AU45" s="143"/>
      <c r="AV45" s="143"/>
      <c r="AW45" s="143"/>
      <c r="AX45" s="255"/>
      <c r="AY45" s="143"/>
      <c r="AZ45" s="258"/>
      <c r="BA45" s="258"/>
      <c r="BB45" s="263"/>
    </row>
    <row r="46" spans="2:55" x14ac:dyDescent="0.35">
      <c r="B46" s="30" t="s">
        <v>129</v>
      </c>
      <c r="U46" s="25">
        <f t="shared" ref="U46:AO46" si="29">+U29</f>
        <v>1063.9599612089041</v>
      </c>
      <c r="V46" s="25">
        <f t="shared" si="29"/>
        <v>1072.5363584211129</v>
      </c>
      <c r="W46" s="24">
        <f t="shared" si="29"/>
        <v>1092.8638664146681</v>
      </c>
      <c r="X46" s="24">
        <f t="shared" si="29"/>
        <v>1332.55813953488</v>
      </c>
      <c r="Y46" s="24">
        <f t="shared" si="29"/>
        <v>1386.3640879999998</v>
      </c>
      <c r="Z46" s="24">
        <f t="shared" si="29"/>
        <v>1386.3640879999998</v>
      </c>
      <c r="AA46" s="24">
        <f t="shared" si="29"/>
        <v>1386.3640879999998</v>
      </c>
      <c r="AB46" s="24">
        <f t="shared" si="29"/>
        <v>1386.3640879999998</v>
      </c>
      <c r="AC46" s="24">
        <f t="shared" si="29"/>
        <v>1386.3640879999998</v>
      </c>
      <c r="AD46" s="24">
        <f t="shared" si="29"/>
        <v>1412.3595833333334</v>
      </c>
      <c r="AE46" s="24">
        <f t="shared" si="29"/>
        <v>1412.3595833333334</v>
      </c>
      <c r="AF46" s="24">
        <f t="shared" si="29"/>
        <v>1412.3595833333334</v>
      </c>
      <c r="AG46" s="24">
        <f t="shared" si="29"/>
        <v>1412.3595833333334</v>
      </c>
      <c r="AH46" s="24">
        <f t="shared" si="29"/>
        <v>1412.3595833333334</v>
      </c>
      <c r="AI46" s="24">
        <f t="shared" si="29"/>
        <v>1394.54</v>
      </c>
      <c r="AJ46" s="24">
        <f t="shared" si="29"/>
        <v>1394.54</v>
      </c>
      <c r="AK46" s="24">
        <f t="shared" si="29"/>
        <v>1394.54</v>
      </c>
      <c r="AL46" s="24">
        <f t="shared" si="29"/>
        <v>1394.54</v>
      </c>
      <c r="AM46" s="24">
        <f t="shared" si="29"/>
        <v>1485</v>
      </c>
      <c r="AN46" s="24">
        <f t="shared" si="29"/>
        <v>1485</v>
      </c>
      <c r="AO46" s="24">
        <f t="shared" si="29"/>
        <v>1485</v>
      </c>
      <c r="AP46" s="24">
        <f>+AP30</f>
        <v>1509.0541439178082</v>
      </c>
      <c r="AQ46" s="24">
        <f>+AQ30</f>
        <v>1509.0541439178082</v>
      </c>
      <c r="AR46" s="243"/>
      <c r="AS46" s="182" t="s">
        <v>166</v>
      </c>
      <c r="AT46" s="282">
        <f>+(AT25+AI19)</f>
        <v>285.28617716899998</v>
      </c>
      <c r="AU46" s="282">
        <f>+(AU25+AJ19)</f>
        <v>285.28617716899998</v>
      </c>
      <c r="AV46" s="282">
        <f>+(AV25+AK19)</f>
        <v>326.28617716899998</v>
      </c>
      <c r="AW46" s="282">
        <f>+(AW25+AL19)</f>
        <v>326.28617716899998</v>
      </c>
      <c r="AX46" s="282">
        <f>+AX47/22</f>
        <v>309.09090909090907</v>
      </c>
      <c r="AY46" s="282">
        <f>+AY47/22</f>
        <v>309.09090909090907</v>
      </c>
      <c r="AZ46" s="258"/>
      <c r="BA46" s="258"/>
      <c r="BB46" s="264"/>
    </row>
    <row r="47" spans="2:55" ht="15" thickBot="1" x14ac:dyDescent="0.4">
      <c r="B47" s="10" t="s">
        <v>125</v>
      </c>
      <c r="U47" s="8">
        <f t="shared" ref="U47:AQ47" si="30">+U46*1%</f>
        <v>10.639599612089041</v>
      </c>
      <c r="V47" s="8">
        <f t="shared" si="30"/>
        <v>10.725363584211129</v>
      </c>
      <c r="W47" s="8">
        <f t="shared" si="30"/>
        <v>10.928638664146682</v>
      </c>
      <c r="X47" s="8">
        <f t="shared" si="30"/>
        <v>13.3255813953488</v>
      </c>
      <c r="Y47" s="8">
        <f t="shared" si="30"/>
        <v>13.863640879999998</v>
      </c>
      <c r="Z47" s="8">
        <f t="shared" si="30"/>
        <v>13.863640879999998</v>
      </c>
      <c r="AA47" s="8">
        <f t="shared" si="30"/>
        <v>13.863640879999998</v>
      </c>
      <c r="AB47" s="8">
        <f t="shared" si="30"/>
        <v>13.863640879999998</v>
      </c>
      <c r="AC47" s="8">
        <f t="shared" si="30"/>
        <v>13.863640879999998</v>
      </c>
      <c r="AD47" s="8">
        <f t="shared" si="30"/>
        <v>14.123595833333335</v>
      </c>
      <c r="AE47" s="8">
        <f t="shared" si="30"/>
        <v>14.123595833333335</v>
      </c>
      <c r="AF47" s="8">
        <f t="shared" si="30"/>
        <v>14.123595833333335</v>
      </c>
      <c r="AG47" s="8">
        <f t="shared" si="30"/>
        <v>14.123595833333335</v>
      </c>
      <c r="AH47" s="8">
        <f t="shared" si="30"/>
        <v>14.123595833333335</v>
      </c>
      <c r="AI47" s="8">
        <f t="shared" si="30"/>
        <v>13.945399999999999</v>
      </c>
      <c r="AJ47" s="8">
        <f t="shared" si="30"/>
        <v>13.945399999999999</v>
      </c>
      <c r="AK47" s="8">
        <f t="shared" si="30"/>
        <v>13.945399999999999</v>
      </c>
      <c r="AL47" s="8">
        <f t="shared" si="30"/>
        <v>13.945399999999999</v>
      </c>
      <c r="AM47" s="8">
        <f t="shared" si="30"/>
        <v>14.85</v>
      </c>
      <c r="AN47" s="8">
        <f t="shared" si="30"/>
        <v>14.85</v>
      </c>
      <c r="AO47" s="8">
        <f t="shared" si="30"/>
        <v>14.85</v>
      </c>
      <c r="AP47" s="8">
        <f t="shared" si="30"/>
        <v>15.090541439178082</v>
      </c>
      <c r="AQ47" s="8">
        <f t="shared" si="30"/>
        <v>15.090541439178082</v>
      </c>
      <c r="AR47" s="240"/>
      <c r="AS47" s="192" t="s">
        <v>164</v>
      </c>
      <c r="AT47" s="256">
        <f>+AT46*22</f>
        <v>6276.2958977179997</v>
      </c>
      <c r="AU47" s="256">
        <f>+AU46*22</f>
        <v>6276.2958977179997</v>
      </c>
      <c r="AV47" s="256">
        <f>+AV46*22</f>
        <v>7178.2958977179997</v>
      </c>
      <c r="AW47" s="256">
        <f>+AW46*22</f>
        <v>7178.2958977179997</v>
      </c>
      <c r="AX47" s="256">
        <v>6800</v>
      </c>
      <c r="AY47" s="256">
        <v>6800</v>
      </c>
      <c r="AZ47" s="260"/>
      <c r="BA47" s="194"/>
      <c r="BB47" s="265"/>
    </row>
    <row r="48" spans="2:55" x14ac:dyDescent="0.35">
      <c r="B48" s="14" t="s">
        <v>126</v>
      </c>
      <c r="U48" s="31">
        <f t="shared" ref="U48:AQ48" si="31">+U47+U46</f>
        <v>1074.5995608209932</v>
      </c>
      <c r="V48" s="31">
        <f t="shared" si="31"/>
        <v>1083.2617220053241</v>
      </c>
      <c r="W48" s="31">
        <f t="shared" si="31"/>
        <v>1103.7925050788149</v>
      </c>
      <c r="X48" s="31">
        <f t="shared" si="31"/>
        <v>1345.8837209302287</v>
      </c>
      <c r="Y48" s="31">
        <f t="shared" si="31"/>
        <v>1400.2277288799999</v>
      </c>
      <c r="Z48" s="31">
        <f t="shared" si="31"/>
        <v>1400.2277288799999</v>
      </c>
      <c r="AA48" s="31">
        <f t="shared" si="31"/>
        <v>1400.2277288799999</v>
      </c>
      <c r="AB48" s="31">
        <f t="shared" si="31"/>
        <v>1400.2277288799999</v>
      </c>
      <c r="AC48" s="31">
        <f t="shared" si="31"/>
        <v>1400.2277288799999</v>
      </c>
      <c r="AD48" s="31">
        <f t="shared" si="31"/>
        <v>1426.4831791666668</v>
      </c>
      <c r="AE48" s="31">
        <f t="shared" si="31"/>
        <v>1426.4831791666668</v>
      </c>
      <c r="AF48" s="31">
        <f t="shared" si="31"/>
        <v>1426.4831791666668</v>
      </c>
      <c r="AG48" s="31">
        <f t="shared" si="31"/>
        <v>1426.4831791666668</v>
      </c>
      <c r="AH48" s="31">
        <f t="shared" si="31"/>
        <v>1426.4831791666668</v>
      </c>
      <c r="AI48" s="31">
        <f t="shared" si="31"/>
        <v>1408.4854</v>
      </c>
      <c r="AJ48" s="31">
        <f t="shared" si="31"/>
        <v>1408.4854</v>
      </c>
      <c r="AK48" s="31">
        <f t="shared" si="31"/>
        <v>1408.4854</v>
      </c>
      <c r="AL48" s="31">
        <f t="shared" si="31"/>
        <v>1408.4854</v>
      </c>
      <c r="AM48" s="31">
        <f t="shared" si="31"/>
        <v>1499.85</v>
      </c>
      <c r="AN48" s="31">
        <f t="shared" si="31"/>
        <v>1499.85</v>
      </c>
      <c r="AO48" s="31">
        <f t="shared" si="31"/>
        <v>1499.85</v>
      </c>
      <c r="AP48" s="31">
        <f t="shared" si="31"/>
        <v>1524.1446853569864</v>
      </c>
      <c r="AQ48" s="31">
        <f t="shared" si="31"/>
        <v>1524.1446853569864</v>
      </c>
      <c r="AR48" s="235"/>
      <c r="AS48" s="88"/>
      <c r="AT48" s="143"/>
      <c r="AU48" s="143"/>
      <c r="AV48" s="143"/>
      <c r="AW48" s="143"/>
      <c r="AX48" s="143"/>
      <c r="AY48" s="143"/>
      <c r="AZ48" s="143"/>
      <c r="BA48" s="143"/>
      <c r="BB48" s="143"/>
    </row>
    <row r="49" spans="2:54" ht="14.15" customHeight="1" x14ac:dyDescent="0.35">
      <c r="I49" s="21"/>
      <c r="AS49" s="88"/>
      <c r="BA49" s="143"/>
      <c r="BB49" s="143"/>
    </row>
    <row r="50" spans="2:54" x14ac:dyDescent="0.35">
      <c r="B50" s="32" t="s">
        <v>130</v>
      </c>
      <c r="X50" s="24">
        <f t="shared" ref="X50:AI50" si="32">+X25</f>
        <v>1150.3830172785981</v>
      </c>
      <c r="Y50" s="24">
        <f t="shared" si="32"/>
        <v>1023.1077369665325</v>
      </c>
      <c r="Z50" s="24">
        <f t="shared" si="32"/>
        <v>922.04779618270766</v>
      </c>
      <c r="AA50" s="24">
        <f t="shared" si="32"/>
        <v>986.45</v>
      </c>
      <c r="AB50" s="24">
        <f t="shared" si="32"/>
        <v>939.79623737749137</v>
      </c>
      <c r="AC50" s="24">
        <f t="shared" si="32"/>
        <v>962.07999999999981</v>
      </c>
      <c r="AD50" s="24">
        <f t="shared" si="32"/>
        <v>950.59587621310789</v>
      </c>
      <c r="AE50" s="24">
        <f t="shared" si="32"/>
        <v>956.03999999999985</v>
      </c>
      <c r="AF50" s="24">
        <f t="shared" si="32"/>
        <v>926.98477393613234</v>
      </c>
      <c r="AG50" s="24">
        <f t="shared" si="32"/>
        <v>912.79096289503639</v>
      </c>
      <c r="AH50" s="24">
        <f t="shared" si="32"/>
        <v>915.11134861036817</v>
      </c>
      <c r="AI50" s="24">
        <f t="shared" si="32"/>
        <v>905.3854962648993</v>
      </c>
      <c r="AJ50" s="24">
        <f t="shared" ref="AJ50:AO50" si="33">+AJ26</f>
        <v>1102.5685368912009</v>
      </c>
      <c r="AK50" s="24">
        <f t="shared" si="33"/>
        <v>1223.6339736073651</v>
      </c>
      <c r="AL50" s="24">
        <f t="shared" si="33"/>
        <v>1317.905563809009</v>
      </c>
      <c r="AM50" s="24">
        <f t="shared" si="33"/>
        <v>1413.3351007309182</v>
      </c>
      <c r="AN50" s="24">
        <f t="shared" si="33"/>
        <v>1583.8089425566714</v>
      </c>
      <c r="AO50" s="24">
        <f t="shared" si="33"/>
        <v>1531.8425363487013</v>
      </c>
      <c r="AP50" s="24">
        <f>+AP27</f>
        <v>1364.2907471916872</v>
      </c>
      <c r="AQ50" s="24">
        <f>+AQ27</f>
        <v>1406.7141607557435</v>
      </c>
      <c r="AR50" s="243"/>
      <c r="AS50" s="88"/>
      <c r="AZ50" s="257"/>
      <c r="BA50" s="143"/>
      <c r="BB50" s="143"/>
    </row>
    <row r="51" spans="2:54" x14ac:dyDescent="0.35">
      <c r="B51" s="10" t="s">
        <v>125</v>
      </c>
      <c r="X51" s="8">
        <f t="shared" ref="X51:AQ51" si="34">+X50*1%</f>
        <v>11.503830172785982</v>
      </c>
      <c r="Y51" s="8">
        <f t="shared" si="34"/>
        <v>10.231077369665325</v>
      </c>
      <c r="Z51" s="8">
        <f t="shared" si="34"/>
        <v>9.2204779618270774</v>
      </c>
      <c r="AA51" s="8">
        <f t="shared" si="34"/>
        <v>9.8645000000000014</v>
      </c>
      <c r="AB51" s="8">
        <f t="shared" si="34"/>
        <v>9.3979623737749147</v>
      </c>
      <c r="AC51" s="8">
        <f t="shared" si="34"/>
        <v>9.6207999999999991</v>
      </c>
      <c r="AD51" s="8">
        <f t="shared" si="34"/>
        <v>9.5059587621310797</v>
      </c>
      <c r="AE51" s="8">
        <f t="shared" si="34"/>
        <v>9.5603999999999996</v>
      </c>
      <c r="AF51" s="8">
        <f t="shared" si="34"/>
        <v>9.2698477393613228</v>
      </c>
      <c r="AG51" s="8">
        <f t="shared" si="34"/>
        <v>9.1279096289503645</v>
      </c>
      <c r="AH51" s="8">
        <f t="shared" si="34"/>
        <v>9.1511134861036822</v>
      </c>
      <c r="AI51" s="8">
        <f t="shared" si="34"/>
        <v>9.0538549626489928</v>
      </c>
      <c r="AJ51" s="8">
        <f t="shared" si="34"/>
        <v>11.02568536891201</v>
      </c>
      <c r="AK51" s="8">
        <f t="shared" si="34"/>
        <v>12.236339736073651</v>
      </c>
      <c r="AL51" s="8">
        <f t="shared" si="34"/>
        <v>13.179055638090091</v>
      </c>
      <c r="AM51" s="8">
        <f t="shared" si="34"/>
        <v>14.133351007309182</v>
      </c>
      <c r="AN51" s="8">
        <f t="shared" si="34"/>
        <v>15.838089425566714</v>
      </c>
      <c r="AO51" s="8">
        <f t="shared" si="34"/>
        <v>15.318425363487012</v>
      </c>
      <c r="AP51" s="8">
        <f t="shared" si="34"/>
        <v>13.642907471916871</v>
      </c>
      <c r="AQ51" s="8">
        <f t="shared" si="34"/>
        <v>14.067141607557435</v>
      </c>
      <c r="AR51" s="240"/>
      <c r="BA51" s="143"/>
      <c r="BB51" s="143"/>
    </row>
    <row r="52" spans="2:54" x14ac:dyDescent="0.35">
      <c r="B52" s="14" t="s">
        <v>126</v>
      </c>
      <c r="X52" s="69">
        <f t="shared" ref="X52:AQ52" si="35">+X51+X50</f>
        <v>1161.886847451384</v>
      </c>
      <c r="Y52" s="69">
        <f t="shared" si="35"/>
        <v>1033.3388143361979</v>
      </c>
      <c r="Z52" s="69">
        <f t="shared" si="35"/>
        <v>931.26827414453476</v>
      </c>
      <c r="AA52" s="69">
        <f t="shared" si="35"/>
        <v>996.31450000000007</v>
      </c>
      <c r="AB52" s="69">
        <f t="shared" si="35"/>
        <v>949.1941997512663</v>
      </c>
      <c r="AC52" s="69">
        <f t="shared" si="35"/>
        <v>971.70079999999984</v>
      </c>
      <c r="AD52" s="69">
        <f t="shared" si="35"/>
        <v>960.10183497523894</v>
      </c>
      <c r="AE52" s="69">
        <f t="shared" si="35"/>
        <v>965.60039999999981</v>
      </c>
      <c r="AF52" s="69">
        <f t="shared" si="35"/>
        <v>936.25462167549369</v>
      </c>
      <c r="AG52" s="69">
        <f t="shared" si="35"/>
        <v>921.91887252398681</v>
      </c>
      <c r="AH52" s="69">
        <f t="shared" si="35"/>
        <v>924.26246209647184</v>
      </c>
      <c r="AI52" s="69">
        <f t="shared" si="35"/>
        <v>914.43935122754829</v>
      </c>
      <c r="AJ52" s="69">
        <f t="shared" si="35"/>
        <v>1113.5942222601129</v>
      </c>
      <c r="AK52" s="69">
        <f t="shared" si="35"/>
        <v>1235.8703133434387</v>
      </c>
      <c r="AL52" s="69">
        <f t="shared" si="35"/>
        <v>1331.0846194470992</v>
      </c>
      <c r="AM52" s="69">
        <f t="shared" si="35"/>
        <v>1427.4684517382273</v>
      </c>
      <c r="AN52" s="69">
        <f t="shared" si="35"/>
        <v>1599.6470319822381</v>
      </c>
      <c r="AO52" s="69">
        <f t="shared" si="35"/>
        <v>1547.1609617121883</v>
      </c>
      <c r="AP52" s="69">
        <f t="shared" si="35"/>
        <v>1377.9336546636041</v>
      </c>
      <c r="AQ52" s="69">
        <f t="shared" si="35"/>
        <v>1420.7813023633009</v>
      </c>
      <c r="AR52" s="235"/>
      <c r="AT52" s="143"/>
      <c r="AU52" s="143"/>
      <c r="AV52" s="143"/>
      <c r="AW52" s="143"/>
      <c r="AX52" s="143"/>
      <c r="AY52" s="143"/>
      <c r="AZ52" s="143"/>
      <c r="BA52" s="143"/>
      <c r="BB52" s="143"/>
    </row>
    <row r="54" spans="2:54" x14ac:dyDescent="0.35">
      <c r="B54" s="94" t="s">
        <v>131</v>
      </c>
      <c r="Y54" s="24">
        <f>+Y61</f>
        <v>0</v>
      </c>
      <c r="Z54" s="24">
        <f>+Z61</f>
        <v>0</v>
      </c>
      <c r="AA54" s="24">
        <f>+AA61</f>
        <v>0</v>
      </c>
      <c r="AB54" s="24">
        <f>+AB61</f>
        <v>0</v>
      </c>
      <c r="AC54" s="24">
        <f t="shared" ref="AC54:AI54" si="36">+(AC25*50%)+(AC31*50%)</f>
        <v>1056.0323258500614</v>
      </c>
      <c r="AD54" s="24">
        <f t="shared" si="36"/>
        <v>1057.1655173240197</v>
      </c>
      <c r="AE54" s="24">
        <f t="shared" si="36"/>
        <v>1059.8875792174656</v>
      </c>
      <c r="AF54" s="24">
        <f t="shared" si="36"/>
        <v>466.49238696806617</v>
      </c>
      <c r="AG54" s="24">
        <f t="shared" si="36"/>
        <v>1019.0123373437202</v>
      </c>
      <c r="AH54" s="24">
        <f t="shared" si="36"/>
        <v>1034.3661219290843</v>
      </c>
      <c r="AI54" s="24">
        <f t="shared" si="36"/>
        <v>1051.4568714466118</v>
      </c>
      <c r="AJ54" s="24">
        <f t="shared" ref="AJ54:AO54" si="37">+(AJ26*50%)+(AJ31*50%)</f>
        <v>1189.9749279448797</v>
      </c>
      <c r="AK54" s="24">
        <f t="shared" si="37"/>
        <v>1345.7877164491763</v>
      </c>
      <c r="AL54" s="24">
        <f t="shared" si="37"/>
        <v>1375.1917983355679</v>
      </c>
      <c r="AM54" s="24">
        <f t="shared" si="37"/>
        <v>1414.1812721429069</v>
      </c>
      <c r="AN54" s="24">
        <f t="shared" si="37"/>
        <v>1603.6657379241121</v>
      </c>
      <c r="AO54" s="24">
        <f t="shared" si="37"/>
        <v>1559.2358866752616</v>
      </c>
      <c r="AP54" s="24">
        <f>+(AP27*50%)+(AP31*50%)</f>
        <v>1487.1364505540237</v>
      </c>
      <c r="AQ54" s="24">
        <f>+(AQ27*50%)+(AQ31*50%)</f>
        <v>1525.3046784126441</v>
      </c>
      <c r="AR54" s="243"/>
    </row>
    <row r="55" spans="2:54" x14ac:dyDescent="0.35">
      <c r="B55" s="10" t="s">
        <v>125</v>
      </c>
      <c r="Y55" s="8">
        <f t="shared" ref="Y55:AQ55" si="38">+Y54*1%</f>
        <v>0</v>
      </c>
      <c r="Z55" s="8">
        <f t="shared" si="38"/>
        <v>0</v>
      </c>
      <c r="AA55" s="8">
        <f t="shared" si="38"/>
        <v>0</v>
      </c>
      <c r="AB55" s="8">
        <f t="shared" si="38"/>
        <v>0</v>
      </c>
      <c r="AC55" s="8">
        <f t="shared" si="38"/>
        <v>10.560323258500615</v>
      </c>
      <c r="AD55" s="8">
        <f t="shared" si="38"/>
        <v>10.571655173240197</v>
      </c>
      <c r="AE55" s="8">
        <f t="shared" si="38"/>
        <v>10.598875792174656</v>
      </c>
      <c r="AF55" s="8">
        <f t="shared" si="38"/>
        <v>4.6649238696806616</v>
      </c>
      <c r="AG55" s="8">
        <f t="shared" si="38"/>
        <v>10.190123373437203</v>
      </c>
      <c r="AH55" s="8">
        <f t="shared" si="38"/>
        <v>10.343661219290844</v>
      </c>
      <c r="AI55" s="8">
        <f t="shared" si="38"/>
        <v>10.514568714466119</v>
      </c>
      <c r="AJ55" s="8">
        <f t="shared" si="38"/>
        <v>11.899749279448796</v>
      </c>
      <c r="AK55" s="8">
        <f t="shared" si="38"/>
        <v>13.457877164491762</v>
      </c>
      <c r="AL55" s="8">
        <f t="shared" si="38"/>
        <v>13.75191798335568</v>
      </c>
      <c r="AM55" s="8">
        <f t="shared" si="38"/>
        <v>14.141812721429069</v>
      </c>
      <c r="AN55" s="8">
        <f t="shared" si="38"/>
        <v>16.03665737924112</v>
      </c>
      <c r="AO55" s="8">
        <f t="shared" si="38"/>
        <v>15.592358866752615</v>
      </c>
      <c r="AP55" s="8">
        <f t="shared" si="38"/>
        <v>14.871364505540237</v>
      </c>
      <c r="AQ55" s="8">
        <f t="shared" si="38"/>
        <v>15.253046784126441</v>
      </c>
      <c r="AR55" s="240"/>
    </row>
    <row r="56" spans="2:54" x14ac:dyDescent="0.35">
      <c r="B56" s="14" t="s">
        <v>126</v>
      </c>
      <c r="Y56" s="95">
        <f t="shared" ref="Y56:AQ56" si="39">+Y55+Y54</f>
        <v>0</v>
      </c>
      <c r="Z56" s="95">
        <f t="shared" si="39"/>
        <v>0</v>
      </c>
      <c r="AA56" s="95">
        <f t="shared" si="39"/>
        <v>0</v>
      </c>
      <c r="AB56" s="95">
        <f t="shared" si="39"/>
        <v>0</v>
      </c>
      <c r="AC56" s="95">
        <f t="shared" si="39"/>
        <v>1066.592649108562</v>
      </c>
      <c r="AD56" s="95">
        <f t="shared" si="39"/>
        <v>1067.73717249726</v>
      </c>
      <c r="AE56" s="95">
        <f t="shared" si="39"/>
        <v>1070.4864550096402</v>
      </c>
      <c r="AF56" s="95">
        <f t="shared" si="39"/>
        <v>471.15731083774682</v>
      </c>
      <c r="AG56" s="95">
        <f t="shared" si="39"/>
        <v>1029.2024607171575</v>
      </c>
      <c r="AH56" s="95">
        <f t="shared" si="39"/>
        <v>1044.7097831483752</v>
      </c>
      <c r="AI56" s="95">
        <f t="shared" si="39"/>
        <v>1061.9714401610779</v>
      </c>
      <c r="AJ56" s="95">
        <f t="shared" si="39"/>
        <v>1201.8746772243285</v>
      </c>
      <c r="AK56" s="95">
        <f t="shared" si="39"/>
        <v>1359.245593613668</v>
      </c>
      <c r="AL56" s="95">
        <f t="shared" si="39"/>
        <v>1388.9437163189236</v>
      </c>
      <c r="AM56" s="95">
        <f t="shared" si="39"/>
        <v>1428.3230848643359</v>
      </c>
      <c r="AN56" s="95">
        <f t="shared" si="39"/>
        <v>1619.7023953033533</v>
      </c>
      <c r="AO56" s="95">
        <f t="shared" si="39"/>
        <v>1574.8282455420142</v>
      </c>
      <c r="AP56" s="95">
        <f t="shared" si="39"/>
        <v>1502.0078150595639</v>
      </c>
      <c r="AQ56" s="95">
        <f t="shared" si="39"/>
        <v>1540.5577251967704</v>
      </c>
      <c r="AR56" s="235"/>
    </row>
    <row r="57" spans="2:54" x14ac:dyDescent="0.35">
      <c r="B57" s="267"/>
      <c r="Y57" s="119"/>
      <c r="Z57" s="119"/>
      <c r="AA57" s="119"/>
      <c r="AB57" s="119"/>
      <c r="AC57" s="119"/>
      <c r="AD57" s="119"/>
      <c r="AE57" s="119"/>
      <c r="AF57" s="119"/>
      <c r="AG57" s="119"/>
      <c r="AH57" s="119"/>
      <c r="AI57" s="119"/>
      <c r="AJ57" s="119"/>
      <c r="AK57" s="119"/>
      <c r="AL57" s="119"/>
      <c r="AM57" s="119"/>
      <c r="AN57" s="119"/>
      <c r="AO57" s="119"/>
      <c r="AP57" s="119"/>
      <c r="AQ57" s="119"/>
      <c r="AR57" s="235"/>
    </row>
    <row r="58" spans="2:54" x14ac:dyDescent="0.35">
      <c r="B58" s="268" t="s">
        <v>167</v>
      </c>
      <c r="Y58" s="24"/>
      <c r="Z58" s="24"/>
      <c r="AA58" s="24"/>
      <c r="AB58" s="24"/>
      <c r="AC58" s="24"/>
      <c r="AD58" s="24"/>
      <c r="AE58" s="24"/>
      <c r="AF58" s="24"/>
      <c r="AG58" s="24"/>
      <c r="AH58" s="24"/>
      <c r="AI58" s="24"/>
      <c r="AJ58" s="24"/>
      <c r="AK58" s="24"/>
      <c r="AL58" s="24"/>
      <c r="AM58" s="24"/>
      <c r="AN58" s="24"/>
      <c r="AO58" s="24"/>
      <c r="AP58" s="24"/>
      <c r="AQ58" s="24">
        <f>+(AQ31*75%)+(AQ27*25%)</f>
        <v>1584.5999372410945</v>
      </c>
      <c r="AR58" s="243"/>
    </row>
    <row r="59" spans="2:54" x14ac:dyDescent="0.35">
      <c r="B59" s="10" t="s">
        <v>125</v>
      </c>
      <c r="Y59" s="8"/>
      <c r="Z59" s="8"/>
      <c r="AA59" s="8"/>
      <c r="AB59" s="8"/>
      <c r="AC59" s="8"/>
      <c r="AD59" s="8"/>
      <c r="AE59" s="8"/>
      <c r="AF59" s="8"/>
      <c r="AG59" s="8"/>
      <c r="AH59" s="8"/>
      <c r="AI59" s="8"/>
      <c r="AJ59" s="8"/>
      <c r="AK59" s="8"/>
      <c r="AL59" s="8"/>
      <c r="AM59" s="8"/>
      <c r="AN59" s="8"/>
      <c r="AO59" s="8"/>
      <c r="AP59" s="8"/>
      <c r="AQ59" s="8">
        <f>+AQ58*1%</f>
        <v>15.845999372410946</v>
      </c>
      <c r="AR59" s="240"/>
    </row>
    <row r="60" spans="2:54" x14ac:dyDescent="0.35">
      <c r="B60" s="14" t="s">
        <v>126</v>
      </c>
      <c r="Y60" s="95"/>
      <c r="Z60" s="95"/>
      <c r="AA60" s="95"/>
      <c r="AB60" s="95"/>
      <c r="AC60" s="95"/>
      <c r="AD60" s="95"/>
      <c r="AE60" s="95"/>
      <c r="AF60" s="95"/>
      <c r="AG60" s="95"/>
      <c r="AH60" s="95"/>
      <c r="AI60" s="95"/>
      <c r="AJ60" s="95"/>
      <c r="AK60" s="95"/>
      <c r="AL60" s="95"/>
      <c r="AM60" s="95"/>
      <c r="AN60" s="95"/>
      <c r="AO60" s="269"/>
      <c r="AP60" s="269"/>
      <c r="AQ60" s="269">
        <f>+AQ59+AQ58</f>
        <v>1600.4459366135054</v>
      </c>
      <c r="AR60" s="235"/>
    </row>
    <row r="61" spans="2:54" hidden="1" x14ac:dyDescent="0.35">
      <c r="B61" s="14" t="s">
        <v>126</v>
      </c>
      <c r="C61" s="7">
        <f t="shared" ref="C61:AQ61" si="40">+C60+C59</f>
        <v>0</v>
      </c>
      <c r="D61" s="7">
        <f t="shared" si="40"/>
        <v>0</v>
      </c>
      <c r="E61" s="7">
        <f t="shared" si="40"/>
        <v>0</v>
      </c>
      <c r="F61" s="7">
        <f t="shared" si="40"/>
        <v>0</v>
      </c>
      <c r="G61" s="7">
        <f t="shared" si="40"/>
        <v>0</v>
      </c>
      <c r="H61" s="7">
        <f t="shared" si="40"/>
        <v>0</v>
      </c>
      <c r="I61" s="7">
        <f t="shared" si="40"/>
        <v>0</v>
      </c>
      <c r="J61" s="7">
        <f t="shared" si="40"/>
        <v>0</v>
      </c>
      <c r="K61" s="7">
        <f t="shared" si="40"/>
        <v>0</v>
      </c>
      <c r="L61" s="7">
        <f t="shared" si="40"/>
        <v>0</v>
      </c>
      <c r="M61" s="7">
        <f t="shared" si="40"/>
        <v>0</v>
      </c>
      <c r="N61" s="7">
        <f t="shared" si="40"/>
        <v>0</v>
      </c>
      <c r="O61" s="7">
        <f t="shared" si="40"/>
        <v>0</v>
      </c>
      <c r="P61" s="7">
        <f t="shared" si="40"/>
        <v>0</v>
      </c>
      <c r="Q61" s="7">
        <f t="shared" si="40"/>
        <v>0</v>
      </c>
      <c r="R61" s="7">
        <f t="shared" si="40"/>
        <v>0</v>
      </c>
      <c r="S61" s="7">
        <f t="shared" si="40"/>
        <v>0</v>
      </c>
      <c r="T61" s="7">
        <f t="shared" si="40"/>
        <v>0</v>
      </c>
      <c r="U61" s="27">
        <f t="shared" si="40"/>
        <v>0</v>
      </c>
      <c r="V61" s="27">
        <f t="shared" si="40"/>
        <v>0</v>
      </c>
      <c r="W61" s="27">
        <f t="shared" si="40"/>
        <v>0</v>
      </c>
      <c r="X61" s="27">
        <f t="shared" si="40"/>
        <v>0</v>
      </c>
      <c r="Y61" s="27">
        <f t="shared" si="40"/>
        <v>0</v>
      </c>
      <c r="Z61" s="27">
        <f t="shared" si="40"/>
        <v>0</v>
      </c>
      <c r="AA61" s="27">
        <f t="shared" si="40"/>
        <v>0</v>
      </c>
      <c r="AB61" s="27">
        <f t="shared" si="40"/>
        <v>0</v>
      </c>
      <c r="AC61" s="27">
        <f t="shared" si="40"/>
        <v>0</v>
      </c>
      <c r="AD61" s="27">
        <f t="shared" si="40"/>
        <v>0</v>
      </c>
      <c r="AE61" s="27">
        <f t="shared" si="40"/>
        <v>0</v>
      </c>
      <c r="AF61" s="27">
        <f t="shared" si="40"/>
        <v>0</v>
      </c>
      <c r="AG61" s="27">
        <f t="shared" si="40"/>
        <v>0</v>
      </c>
      <c r="AH61" s="27">
        <f t="shared" si="40"/>
        <v>0</v>
      </c>
      <c r="AI61" s="27">
        <f t="shared" si="40"/>
        <v>0</v>
      </c>
      <c r="AJ61" s="27">
        <f t="shared" si="40"/>
        <v>0</v>
      </c>
      <c r="AK61" s="27">
        <f t="shared" si="40"/>
        <v>0</v>
      </c>
      <c r="AL61" s="27">
        <f t="shared" si="40"/>
        <v>0</v>
      </c>
      <c r="AM61" s="27">
        <f t="shared" si="40"/>
        <v>0</v>
      </c>
      <c r="AN61" s="27">
        <f t="shared" si="40"/>
        <v>0</v>
      </c>
      <c r="AO61" s="27">
        <f t="shared" si="40"/>
        <v>0</v>
      </c>
      <c r="AP61" s="27">
        <f t="shared" si="40"/>
        <v>0</v>
      </c>
      <c r="AQ61" s="27">
        <f t="shared" si="40"/>
        <v>1616.2919359859163</v>
      </c>
      <c r="AR61" s="235"/>
    </row>
    <row r="62" spans="2:54" hidden="1" x14ac:dyDescent="0.35">
      <c r="B62" s="67" t="s">
        <v>133</v>
      </c>
      <c r="X62" s="24">
        <f t="shared" ref="X62:AI62" si="41">+(X25*90%)+(X29*10%)</f>
        <v>1168.6005295042264</v>
      </c>
      <c r="Y62" s="24">
        <f t="shared" si="41"/>
        <v>1059.4333720698792</v>
      </c>
      <c r="Z62" s="24">
        <f t="shared" si="41"/>
        <v>968.47942536443691</v>
      </c>
      <c r="AA62" s="24">
        <f t="shared" si="41"/>
        <v>1026.4414088000001</v>
      </c>
      <c r="AB62" s="24">
        <f t="shared" si="41"/>
        <v>984.45302243974231</v>
      </c>
      <c r="AC62" s="24">
        <f t="shared" si="41"/>
        <v>1004.5084087999999</v>
      </c>
      <c r="AD62" s="24">
        <f t="shared" si="41"/>
        <v>996.77224692513039</v>
      </c>
      <c r="AE62" s="24">
        <f t="shared" si="41"/>
        <v>1001.6719583333332</v>
      </c>
      <c r="AF62" s="24">
        <f t="shared" si="41"/>
        <v>975.52225487585247</v>
      </c>
      <c r="AG62" s="24">
        <f t="shared" si="41"/>
        <v>962.74782493886607</v>
      </c>
      <c r="AH62" s="24">
        <f t="shared" si="41"/>
        <v>964.83617208266469</v>
      </c>
      <c r="AI62" s="24">
        <f t="shared" si="41"/>
        <v>954.30094663840941</v>
      </c>
      <c r="AJ62" s="24">
        <f t="shared" ref="AJ62:AQ62" si="42">+(AJ27*90%)+(AJ29*10%)</f>
        <v>1083.6259697997557</v>
      </c>
      <c r="AK62" s="24">
        <f t="shared" si="42"/>
        <v>1123.2267754292432</v>
      </c>
      <c r="AL62" s="24">
        <f t="shared" si="42"/>
        <v>1159.5761598822437</v>
      </c>
      <c r="AM62" s="24">
        <f t="shared" si="42"/>
        <v>1232.9295550563645</v>
      </c>
      <c r="AN62" s="24">
        <f t="shared" si="42"/>
        <v>1301.1487295312693</v>
      </c>
      <c r="AO62" s="24">
        <f t="shared" si="42"/>
        <v>1351.7387154807464</v>
      </c>
      <c r="AP62" s="24">
        <f t="shared" si="42"/>
        <v>1378.7670868642992</v>
      </c>
      <c r="AQ62" s="24">
        <f t="shared" si="42"/>
        <v>1416.9481590719499</v>
      </c>
    </row>
    <row r="63" spans="2:54" hidden="1" x14ac:dyDescent="0.35">
      <c r="B63" s="10" t="s">
        <v>125</v>
      </c>
      <c r="X63" s="8">
        <f t="shared" ref="X63:AQ63" si="43">+X62*1%</f>
        <v>11.686005295042264</v>
      </c>
      <c r="Y63" s="8">
        <f t="shared" si="43"/>
        <v>10.594333720698792</v>
      </c>
      <c r="Z63" s="8">
        <f t="shared" si="43"/>
        <v>9.6847942536443696</v>
      </c>
      <c r="AA63" s="8">
        <f t="shared" si="43"/>
        <v>10.264414088000001</v>
      </c>
      <c r="AB63" s="8">
        <f t="shared" si="43"/>
        <v>9.844530224397424</v>
      </c>
      <c r="AC63" s="8">
        <f t="shared" si="43"/>
        <v>10.045084087999999</v>
      </c>
      <c r="AD63" s="8">
        <f t="shared" si="43"/>
        <v>9.9677224692513047</v>
      </c>
      <c r="AE63" s="8">
        <f t="shared" si="43"/>
        <v>10.016719583333332</v>
      </c>
      <c r="AF63" s="8">
        <f t="shared" si="43"/>
        <v>9.7552225487585247</v>
      </c>
      <c r="AG63" s="8">
        <f t="shared" si="43"/>
        <v>9.6274782493886608</v>
      </c>
      <c r="AH63" s="8">
        <f t="shared" si="43"/>
        <v>9.6483617208266477</v>
      </c>
      <c r="AI63" s="8">
        <f t="shared" si="43"/>
        <v>9.5430094663840936</v>
      </c>
      <c r="AJ63" s="8">
        <f t="shared" si="43"/>
        <v>10.836259697997557</v>
      </c>
      <c r="AK63" s="8">
        <f t="shared" si="43"/>
        <v>11.232267754292431</v>
      </c>
      <c r="AL63" s="8">
        <f t="shared" si="43"/>
        <v>11.595761598822437</v>
      </c>
      <c r="AM63" s="8">
        <f t="shared" si="43"/>
        <v>12.329295550563645</v>
      </c>
      <c r="AN63" s="8">
        <f t="shared" si="43"/>
        <v>13.011487295312692</v>
      </c>
      <c r="AO63" s="8">
        <f t="shared" si="43"/>
        <v>13.517387154807464</v>
      </c>
      <c r="AP63" s="8">
        <f t="shared" si="43"/>
        <v>13.787670868642993</v>
      </c>
      <c r="AQ63" s="8">
        <f t="shared" si="43"/>
        <v>14.169481590719499</v>
      </c>
    </row>
    <row r="64" spans="2:54" hidden="1" x14ac:dyDescent="0.35">
      <c r="B64" s="14" t="s">
        <v>126</v>
      </c>
      <c r="X64" s="70">
        <f t="shared" ref="X64:AQ64" si="44">+X63+X62</f>
        <v>1180.2865347992688</v>
      </c>
      <c r="Y64" s="70">
        <f t="shared" si="44"/>
        <v>1070.027705790578</v>
      </c>
      <c r="Z64" s="70">
        <f t="shared" si="44"/>
        <v>978.16421961808123</v>
      </c>
      <c r="AA64" s="70">
        <f t="shared" si="44"/>
        <v>1036.7058228880001</v>
      </c>
      <c r="AB64" s="70">
        <f t="shared" si="44"/>
        <v>994.29755266413974</v>
      </c>
      <c r="AC64" s="70">
        <f t="shared" si="44"/>
        <v>1014.5534928879998</v>
      </c>
      <c r="AD64" s="70">
        <f t="shared" si="44"/>
        <v>1006.7399693943817</v>
      </c>
      <c r="AE64" s="70">
        <f t="shared" si="44"/>
        <v>1011.6886779166666</v>
      </c>
      <c r="AF64" s="70">
        <f t="shared" si="44"/>
        <v>985.27747742461099</v>
      </c>
      <c r="AG64" s="70">
        <f t="shared" si="44"/>
        <v>972.37530318825475</v>
      </c>
      <c r="AH64" s="70">
        <f t="shared" si="44"/>
        <v>974.48453380349133</v>
      </c>
      <c r="AI64" s="70">
        <f t="shared" si="44"/>
        <v>963.84395610479351</v>
      </c>
      <c r="AJ64" s="70">
        <f t="shared" si="44"/>
        <v>1094.4622294977532</v>
      </c>
      <c r="AK64" s="70">
        <f t="shared" si="44"/>
        <v>1134.4590431835356</v>
      </c>
      <c r="AL64" s="70">
        <f t="shared" si="44"/>
        <v>1171.1719214810662</v>
      </c>
      <c r="AM64" s="70">
        <f t="shared" si="44"/>
        <v>1245.2588506069283</v>
      </c>
      <c r="AN64" s="70">
        <f t="shared" si="44"/>
        <v>1314.160216826582</v>
      </c>
      <c r="AO64" s="70">
        <f t="shared" si="44"/>
        <v>1365.2561026355538</v>
      </c>
      <c r="AP64" s="70">
        <f t="shared" si="44"/>
        <v>1392.5547577329423</v>
      </c>
      <c r="AQ64" s="70">
        <f t="shared" si="44"/>
        <v>1431.1176406626694</v>
      </c>
    </row>
    <row r="65" spans="2:43" hidden="1" x14ac:dyDescent="0.35"/>
    <row r="66" spans="2:43" hidden="1" x14ac:dyDescent="0.35">
      <c r="B66" s="68" t="s">
        <v>134</v>
      </c>
      <c r="Y66" s="24">
        <f t="shared" ref="Y66:AI66" si="45">+(Y25*75%)+(Y31*25%)</f>
        <v>1034.8922313573873</v>
      </c>
      <c r="Z66" s="24">
        <f t="shared" si="45"/>
        <v>967.36378656360807</v>
      </c>
      <c r="AA66" s="24">
        <f t="shared" si="45"/>
        <v>1015.6654394265774</v>
      </c>
      <c r="AB66" s="24">
        <f t="shared" si="45"/>
        <v>992.34334095814938</v>
      </c>
      <c r="AC66" s="24">
        <f t="shared" si="45"/>
        <v>1009.0561629250305</v>
      </c>
      <c r="AD66" s="24">
        <f t="shared" si="45"/>
        <v>1003.8806967685639</v>
      </c>
      <c r="AE66" s="24">
        <f t="shared" si="45"/>
        <v>1007.9637896087327</v>
      </c>
      <c r="AF66" s="24">
        <f t="shared" si="45"/>
        <v>696.73858045209931</v>
      </c>
      <c r="AG66" s="24">
        <f t="shared" si="45"/>
        <v>965.90165011937825</v>
      </c>
      <c r="AH66" s="24">
        <f t="shared" si="45"/>
        <v>974.73873526972625</v>
      </c>
      <c r="AI66" s="24">
        <f t="shared" si="45"/>
        <v>978.42118385575554</v>
      </c>
      <c r="AJ66" s="24">
        <f t="shared" ref="AJ66:AQ66" si="46">+(AJ27*75%)+(AJ31*25%)</f>
        <v>1106.1553045827693</v>
      </c>
      <c r="AK66" s="24">
        <f t="shared" si="46"/>
        <v>1186.7960110137828</v>
      </c>
      <c r="AL66" s="24">
        <f t="shared" si="46"/>
        <v>1208.2213081174013</v>
      </c>
      <c r="AM66" s="24">
        <f t="shared" si="46"/>
        <v>1257.4481567690277</v>
      </c>
      <c r="AN66" s="24">
        <f t="shared" si="46"/>
        <v>1366.4212412656125</v>
      </c>
      <c r="AO66" s="24">
        <f t="shared" si="46"/>
        <v>1399.356238817744</v>
      </c>
      <c r="AP66" s="24">
        <f t="shared" si="46"/>
        <v>1425.7135988728555</v>
      </c>
      <c r="AQ66" s="24">
        <f t="shared" si="46"/>
        <v>1466.0094195841939</v>
      </c>
    </row>
    <row r="67" spans="2:43" hidden="1" x14ac:dyDescent="0.35">
      <c r="B67" s="10" t="s">
        <v>125</v>
      </c>
      <c r="Y67" s="8">
        <f t="shared" ref="Y67:AQ67" si="47">+Y66*1%</f>
        <v>10.348922313573874</v>
      </c>
      <c r="Z67" s="8">
        <f t="shared" si="47"/>
        <v>9.6736378656360813</v>
      </c>
      <c r="AA67" s="8">
        <f t="shared" si="47"/>
        <v>10.156654394265775</v>
      </c>
      <c r="AB67" s="8">
        <f t="shared" si="47"/>
        <v>9.9234334095814933</v>
      </c>
      <c r="AC67" s="8">
        <f t="shared" si="47"/>
        <v>10.090561629250306</v>
      </c>
      <c r="AD67" s="8">
        <f t="shared" si="47"/>
        <v>10.038806967685639</v>
      </c>
      <c r="AE67" s="8">
        <f t="shared" si="47"/>
        <v>10.079637896087327</v>
      </c>
      <c r="AF67" s="8">
        <f t="shared" si="47"/>
        <v>6.9673858045209931</v>
      </c>
      <c r="AG67" s="8">
        <f t="shared" si="47"/>
        <v>9.6590165011937827</v>
      </c>
      <c r="AH67" s="8">
        <f t="shared" si="47"/>
        <v>9.7473873526972632</v>
      </c>
      <c r="AI67" s="8">
        <f t="shared" si="47"/>
        <v>9.7842118385575549</v>
      </c>
      <c r="AJ67" s="8">
        <f t="shared" si="47"/>
        <v>11.061553045827694</v>
      </c>
      <c r="AK67" s="8">
        <f t="shared" si="47"/>
        <v>11.867960110137828</v>
      </c>
      <c r="AL67" s="8">
        <f t="shared" si="47"/>
        <v>12.082213081174014</v>
      </c>
      <c r="AM67" s="8">
        <f t="shared" si="47"/>
        <v>12.574481567690277</v>
      </c>
      <c r="AN67" s="8">
        <f t="shared" si="47"/>
        <v>13.664212412656125</v>
      </c>
      <c r="AO67" s="8">
        <f t="shared" si="47"/>
        <v>13.993562388177441</v>
      </c>
      <c r="AP67" s="8">
        <f t="shared" si="47"/>
        <v>14.257135988728555</v>
      </c>
      <c r="AQ67" s="8">
        <f t="shared" si="47"/>
        <v>14.660094195841939</v>
      </c>
    </row>
    <row r="68" spans="2:43" hidden="1" x14ac:dyDescent="0.35">
      <c r="B68" s="14" t="s">
        <v>126</v>
      </c>
      <c r="Y68" s="71">
        <f t="shared" ref="Y68:AQ68" si="48">+Y67+Y66</f>
        <v>1045.2411536709612</v>
      </c>
      <c r="Z68" s="71">
        <f t="shared" si="48"/>
        <v>977.0374244292442</v>
      </c>
      <c r="AA68" s="71">
        <f t="shared" si="48"/>
        <v>1025.8220938208433</v>
      </c>
      <c r="AB68" s="71">
        <f t="shared" si="48"/>
        <v>1002.2667743677309</v>
      </c>
      <c r="AC68" s="71">
        <f t="shared" si="48"/>
        <v>1019.1467245542808</v>
      </c>
      <c r="AD68" s="71">
        <f t="shared" si="48"/>
        <v>1013.9195037362496</v>
      </c>
      <c r="AE68" s="71">
        <f t="shared" si="48"/>
        <v>1018.04342750482</v>
      </c>
      <c r="AF68" s="71">
        <f t="shared" si="48"/>
        <v>703.70596625662029</v>
      </c>
      <c r="AG68" s="71">
        <f t="shared" si="48"/>
        <v>975.56066662057208</v>
      </c>
      <c r="AH68" s="71">
        <f t="shared" si="48"/>
        <v>984.48612262242352</v>
      </c>
      <c r="AI68" s="71">
        <f t="shared" si="48"/>
        <v>988.2053956943131</v>
      </c>
      <c r="AJ68" s="71">
        <f t="shared" si="48"/>
        <v>1117.2168576285969</v>
      </c>
      <c r="AK68" s="71">
        <f t="shared" si="48"/>
        <v>1198.6639711239206</v>
      </c>
      <c r="AL68" s="71">
        <f t="shared" si="48"/>
        <v>1220.3035211985753</v>
      </c>
      <c r="AM68" s="71">
        <f t="shared" si="48"/>
        <v>1270.022638336718</v>
      </c>
      <c r="AN68" s="71">
        <f t="shared" si="48"/>
        <v>1380.0854536782685</v>
      </c>
      <c r="AO68" s="71">
        <f t="shared" si="48"/>
        <v>1413.3498012059215</v>
      </c>
      <c r="AP68" s="71">
        <f t="shared" si="48"/>
        <v>1439.9707348615841</v>
      </c>
      <c r="AQ68" s="71">
        <f t="shared" si="48"/>
        <v>1480.6695137800359</v>
      </c>
    </row>
  </sheetData>
  <mergeCells count="3">
    <mergeCell ref="AT14:BA14"/>
    <mergeCell ref="B16:B17"/>
    <mergeCell ref="AZ37:BA37"/>
  </mergeCells>
  <pageMargins left="0.7" right="0.7" top="0.75" bottom="0.75" header="0.3" footer="0.3"/>
  <pageSetup orientation="portrait" r:id="rId1"/>
  <customProperties>
    <customPr name="EpmWorksheetKeyString_GUID" r:id="rId2"/>
  </customProperties>
  <drawing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40D3-2959-4452-82FE-735EDCF4AA7D}">
  <dimension ref="A1:AN68"/>
  <sheetViews>
    <sheetView showGridLines="0" zoomScale="115" zoomScaleNormal="115" workbookViewId="0">
      <selection activeCell="D1" sqref="D1:D1048576"/>
    </sheetView>
  </sheetViews>
  <sheetFormatPr defaultColWidth="0" defaultRowHeight="14.25" customHeight="1" x14ac:dyDescent="0.35"/>
  <cols>
    <col min="1" max="1" width="1.1796875" customWidth="1"/>
    <col min="2" max="2" width="0.81640625" customWidth="1"/>
    <col min="3" max="3" width="0.453125" style="276" customWidth="1"/>
    <col min="4" max="4" width="30.81640625" customWidth="1"/>
    <col min="5" max="18" width="10.81640625" hidden="1" customWidth="1"/>
    <col min="19" max="19" width="12.453125" hidden="1" customWidth="1"/>
    <col min="20" max="20" width="15.81640625" hidden="1" customWidth="1"/>
    <col min="21" max="21" width="13.7265625" hidden="1" customWidth="1"/>
    <col min="22" max="22" width="9" hidden="1" customWidth="1"/>
    <col min="23" max="23" width="11.1796875" hidden="1" customWidth="1"/>
    <col min="24" max="25" width="9" hidden="1" customWidth="1"/>
    <col min="26" max="26" width="11.1796875" hidden="1" customWidth="1"/>
    <col min="27" max="29" width="11.54296875" customWidth="1"/>
    <col min="30" max="30" width="11.453125" hidden="1" customWidth="1"/>
    <col min="31" max="31" width="10.81640625" hidden="1" customWidth="1"/>
    <col min="32" max="32" width="12.26953125" hidden="1" customWidth="1"/>
    <col min="33" max="33" width="10.81640625" hidden="1" customWidth="1"/>
    <col min="34" max="34" width="9" hidden="1" customWidth="1"/>
    <col min="35" max="35" width="2" customWidth="1"/>
    <col min="36" max="36" width="1.54296875" hidden="1" customWidth="1"/>
    <col min="37" max="37" width="1" customWidth="1"/>
    <col min="38" max="40" width="0" hidden="1" customWidth="1"/>
    <col min="41" max="16384" width="10.81640625" hidden="1"/>
  </cols>
  <sheetData>
    <row r="1" spans="1:37" ht="7.5" customHeight="1" x14ac:dyDescent="0.35">
      <c r="A1" s="573"/>
      <c r="B1" s="573"/>
      <c r="C1" s="684"/>
      <c r="D1" s="573"/>
      <c r="E1" s="573"/>
      <c r="F1" s="573"/>
      <c r="G1" s="573"/>
      <c r="H1" s="573"/>
      <c r="I1" s="573"/>
      <c r="J1" s="573"/>
      <c r="K1" s="573"/>
      <c r="L1" s="573"/>
      <c r="M1" s="573"/>
      <c r="N1" s="573"/>
      <c r="O1" s="573"/>
      <c r="P1" s="573"/>
      <c r="Q1" s="573"/>
      <c r="R1" s="573"/>
      <c r="S1" s="573"/>
      <c r="T1" s="573"/>
      <c r="U1" s="573"/>
      <c r="V1" s="573"/>
      <c r="W1" s="573"/>
      <c r="X1" s="573"/>
      <c r="Y1" s="573"/>
      <c r="Z1" s="573"/>
      <c r="AA1" s="573"/>
      <c r="AB1" s="573"/>
      <c r="AC1" s="573"/>
      <c r="AD1" s="573"/>
      <c r="AE1" s="573"/>
      <c r="AF1" s="573"/>
      <c r="AG1" s="573"/>
      <c r="AH1" s="573"/>
      <c r="AI1" s="573"/>
      <c r="AJ1" s="573"/>
      <c r="AK1" s="573"/>
    </row>
    <row r="2" spans="1:37" ht="5.25" customHeight="1" x14ac:dyDescent="0.35">
      <c r="A2" s="573"/>
      <c r="AK2" s="573"/>
    </row>
    <row r="3" spans="1:37" ht="14.25" customHeight="1" x14ac:dyDescent="0.35">
      <c r="A3" s="573"/>
      <c r="D3" s="821"/>
      <c r="AK3" s="573"/>
    </row>
    <row r="4" spans="1:37" ht="14.25" customHeight="1" x14ac:dyDescent="0.35">
      <c r="A4" s="573"/>
      <c r="D4" s="822"/>
      <c r="AK4" s="573"/>
    </row>
    <row r="5" spans="1:37" ht="14.25" customHeight="1" x14ac:dyDescent="0.35">
      <c r="A5" s="573"/>
      <c r="D5" s="822"/>
      <c r="AK5" s="573"/>
    </row>
    <row r="6" spans="1:37" ht="14.25" customHeight="1" x14ac:dyDescent="0.35">
      <c r="A6" s="573"/>
      <c r="D6" s="823"/>
      <c r="F6" t="s">
        <v>466</v>
      </c>
      <c r="AK6" s="573"/>
    </row>
    <row r="7" spans="1:37" ht="4.5" customHeight="1" x14ac:dyDescent="0.35">
      <c r="A7" s="573"/>
      <c r="AK7" s="573"/>
    </row>
    <row r="8" spans="1:37" ht="14.25" customHeight="1" x14ac:dyDescent="0.35">
      <c r="A8" s="573"/>
      <c r="D8" s="585" t="s">
        <v>467</v>
      </c>
      <c r="E8" s="586">
        <v>45352</v>
      </c>
      <c r="F8" s="586">
        <v>45383</v>
      </c>
      <c r="G8" s="586">
        <v>45413</v>
      </c>
      <c r="H8" s="586">
        <v>45444</v>
      </c>
      <c r="I8" s="586">
        <v>45474</v>
      </c>
      <c r="J8" s="586">
        <v>45505</v>
      </c>
      <c r="K8" s="586">
        <v>45536</v>
      </c>
      <c r="L8" s="587">
        <v>45566</v>
      </c>
      <c r="M8" s="587">
        <v>45597</v>
      </c>
      <c r="N8" s="587">
        <v>45627</v>
      </c>
      <c r="O8" s="587">
        <v>45658</v>
      </c>
      <c r="P8" s="587">
        <v>45689</v>
      </c>
      <c r="Q8" s="587">
        <v>45717</v>
      </c>
      <c r="R8" s="587">
        <v>45748</v>
      </c>
      <c r="S8" s="597">
        <v>45778</v>
      </c>
      <c r="T8" s="597">
        <v>45809</v>
      </c>
      <c r="U8" s="597">
        <v>45839</v>
      </c>
      <c r="V8" s="696">
        <v>45870</v>
      </c>
      <c r="W8" s="696">
        <v>45901</v>
      </c>
      <c r="X8" s="696">
        <v>45931</v>
      </c>
      <c r="Y8" s="696">
        <v>45962</v>
      </c>
      <c r="Z8" s="696">
        <v>45992</v>
      </c>
      <c r="AA8" s="696">
        <v>46023</v>
      </c>
      <c r="AB8" s="696">
        <v>46054</v>
      </c>
      <c r="AC8" s="696">
        <v>46082</v>
      </c>
      <c r="AD8" s="257"/>
      <c r="AK8" s="573"/>
    </row>
    <row r="9" spans="1:37" ht="14.25" customHeight="1" x14ac:dyDescent="0.35">
      <c r="A9" s="573"/>
      <c r="D9" s="588" t="s">
        <v>202</v>
      </c>
      <c r="E9" s="589">
        <v>6919000</v>
      </c>
      <c r="F9" s="589">
        <v>6951000</v>
      </c>
      <c r="G9" s="589">
        <v>7065000</v>
      </c>
      <c r="H9" s="589">
        <v>7184000</v>
      </c>
      <c r="I9" s="589">
        <v>7628000</v>
      </c>
      <c r="J9" s="589">
        <v>7905000</v>
      </c>
      <c r="K9" s="589">
        <v>8235000</v>
      </c>
      <c r="L9" s="589">
        <v>8591000</v>
      </c>
      <c r="M9" s="589">
        <v>8882000</v>
      </c>
      <c r="N9" s="589">
        <v>8898000</v>
      </c>
      <c r="O9" s="589">
        <v>9038000</v>
      </c>
      <c r="P9" s="589">
        <v>9239000</v>
      </c>
      <c r="Q9" s="589">
        <v>9255000</v>
      </c>
      <c r="R9" s="589">
        <v>9278000</v>
      </c>
      <c r="S9" s="598">
        <v>9288000</v>
      </c>
      <c r="T9" s="598">
        <f>+' PCR Enkador'!AW129</f>
        <v>9280000</v>
      </c>
      <c r="U9" s="598">
        <f>+' PCR Enkador'!AX129</f>
        <v>9048000</v>
      </c>
      <c r="V9" s="598">
        <f>+' PCR Enkador'!AY129</f>
        <v>8873000</v>
      </c>
      <c r="W9" s="700">
        <f>+' PCR Enkador'!AZ129</f>
        <v>8620000</v>
      </c>
      <c r="X9" s="700">
        <f>+' PCR Enkador'!BA129</f>
        <v>8376000</v>
      </c>
      <c r="Y9" s="700">
        <f>+' PCR Enkador'!BB129</f>
        <v>8179000</v>
      </c>
      <c r="Z9" s="700">
        <f>+' PCR Enkador'!BC129</f>
        <v>8048000</v>
      </c>
      <c r="AA9" s="700">
        <f>+' PCR Enkador'!BD129</f>
        <v>7872000</v>
      </c>
      <c r="AB9" s="700">
        <f>+' PCR Enkador'!BE129</f>
        <v>7825000</v>
      </c>
      <c r="AC9" s="700">
        <f>+' PCR Enkador'!BF129</f>
        <v>7782000</v>
      </c>
      <c r="AD9" s="257"/>
      <c r="AI9" s="257">
        <f>+AB9/AB10</f>
        <v>2113.1520510358778</v>
      </c>
      <c r="AK9" s="573"/>
    </row>
    <row r="10" spans="1:37" ht="14.25" customHeight="1" x14ac:dyDescent="0.35">
      <c r="A10" s="573"/>
      <c r="D10" s="590" t="s">
        <v>203</v>
      </c>
      <c r="E10" s="591">
        <v>3931.5075862068961</v>
      </c>
      <c r="F10" s="591">
        <v>3899.3412903225803</v>
      </c>
      <c r="G10" s="591">
        <v>3867.9753333333342</v>
      </c>
      <c r="H10" s="591">
        <v>3869.1006451612907</v>
      </c>
      <c r="I10" s="591">
        <v>4042.7970000000005</v>
      </c>
      <c r="J10" s="591">
        <v>4035.1843333333331</v>
      </c>
      <c r="K10" s="591">
        <v>4065.5464516129036</v>
      </c>
      <c r="L10" s="591">
        <v>4182.5123333333349</v>
      </c>
      <c r="M10" s="591">
        <v>4249.4699999999984</v>
      </c>
      <c r="N10" s="591">
        <v>4408.6523333333334</v>
      </c>
      <c r="O10" s="591">
        <v>4385.1487096774199</v>
      </c>
      <c r="P10" s="591">
        <v>4308.3929032258065</v>
      </c>
      <c r="Q10" s="591">
        <v>4128.2444444444445</v>
      </c>
      <c r="R10" s="591">
        <v>4137.684516129033</v>
      </c>
      <c r="S10" s="599">
        <v>4282.0276666666641</v>
      </c>
      <c r="T10" s="599">
        <f>+'PCR Enka'!DQ22</f>
        <v>4203.377096774193</v>
      </c>
      <c r="U10" s="599">
        <f>+'PCR Enka'!DR22</f>
        <v>4113.4849999999997</v>
      </c>
      <c r="V10" s="599">
        <f>+' PCR Enkador'!AY130</f>
        <v>4040.8483870967739</v>
      </c>
      <c r="W10" s="599">
        <f>+' PCR Enkador'!AZ130</f>
        <v>4047.411612903225</v>
      </c>
      <c r="X10" s="599">
        <f>+' PCR Enkador'!BA130</f>
        <v>3922.2551612903212</v>
      </c>
      <c r="Y10" s="599">
        <f>+'PCR Enka'!EF63</f>
        <v>3877.8448387096769</v>
      </c>
      <c r="Z10" s="599">
        <f>+'PCR Enka'!EH63</f>
        <v>3786.1833333333334</v>
      </c>
      <c r="AA10" s="599">
        <f>+'PCR Enka'!EJ63</f>
        <v>3791.4719354838708</v>
      </c>
      <c r="AB10" s="599">
        <f>+' PCR Enkador'!BE130</f>
        <v>3702.9990322580647</v>
      </c>
      <c r="AC10" s="599">
        <f>+'PCR Enka'!EN63</f>
        <v>3672.2837037037034</v>
      </c>
      <c r="AK10" s="573"/>
    </row>
    <row r="11" spans="1:37" ht="14.25" customHeight="1" x14ac:dyDescent="0.35">
      <c r="A11" s="573"/>
      <c r="D11" s="588" t="s">
        <v>204</v>
      </c>
      <c r="E11" s="589">
        <f t="shared" ref="E11:S11" si="0">+E9/E10</f>
        <v>1759.8846875621637</v>
      </c>
      <c r="F11" s="589">
        <f t="shared" si="0"/>
        <v>1782.6087747823083</v>
      </c>
      <c r="G11" s="589">
        <f t="shared" si="0"/>
        <v>1826.5369841207187</v>
      </c>
      <c r="H11" s="589">
        <f t="shared" si="0"/>
        <v>1856.7622449894998</v>
      </c>
      <c r="I11" s="589">
        <f t="shared" si="0"/>
        <v>1886.8125211332647</v>
      </c>
      <c r="J11" s="589">
        <f t="shared" si="0"/>
        <v>1959.018311678946</v>
      </c>
      <c r="K11" s="589">
        <f t="shared" si="0"/>
        <v>2025.5579657029796</v>
      </c>
      <c r="L11" s="589">
        <f t="shared" si="0"/>
        <v>2054.0286113521715</v>
      </c>
      <c r="M11" s="589">
        <f t="shared" si="0"/>
        <v>2090.1430060689927</v>
      </c>
      <c r="N11" s="589">
        <f t="shared" si="0"/>
        <v>2018.3038550631911</v>
      </c>
      <c r="O11" s="589">
        <f t="shared" si="0"/>
        <v>2061.0475489814921</v>
      </c>
      <c r="P11" s="589">
        <f t="shared" si="0"/>
        <v>2144.4190925768444</v>
      </c>
      <c r="Q11" s="589">
        <f t="shared" si="0"/>
        <v>2241.8730587658997</v>
      </c>
      <c r="R11" s="589">
        <f t="shared" si="0"/>
        <v>2242.3169199666131</v>
      </c>
      <c r="S11" s="598">
        <f t="shared" si="0"/>
        <v>2169.0658545488159</v>
      </c>
      <c r="T11" s="598">
        <f t="shared" ref="T11:U11" si="1">+T9/T10</f>
        <v>2207.7486236297409</v>
      </c>
      <c r="U11" s="598">
        <f t="shared" si="1"/>
        <v>2199.5947475194394</v>
      </c>
      <c r="V11" s="598">
        <f t="shared" ref="V11:W11" si="2">+V9/V10</f>
        <v>2195.8260122634742</v>
      </c>
      <c r="W11" s="598">
        <f t="shared" si="2"/>
        <v>2129.7562057981145</v>
      </c>
      <c r="X11" s="598">
        <f t="shared" ref="X11:Y11" si="3">+X9/X10</f>
        <v>2135.5061452056352</v>
      </c>
      <c r="Y11" s="598">
        <f t="shared" si="3"/>
        <v>2109.1612326401123</v>
      </c>
      <c r="Z11" s="598">
        <f t="shared" ref="Z11:AA11" si="4">+Z9/Z10</f>
        <v>2125.6234290468415</v>
      </c>
      <c r="AA11" s="598">
        <f t="shared" si="4"/>
        <v>2076.2384989130533</v>
      </c>
      <c r="AB11" s="598">
        <f t="shared" ref="AB11:AC11" si="5">+AB9/AB10</f>
        <v>2113.1520510358778</v>
      </c>
      <c r="AC11" s="598">
        <f t="shared" si="5"/>
        <v>2119.1173198713973</v>
      </c>
      <c r="AJ11" s="257"/>
      <c r="AK11" s="573"/>
    </row>
    <row r="12" spans="1:37" ht="14.25" customHeight="1" x14ac:dyDescent="0.35">
      <c r="A12" s="573"/>
      <c r="D12" s="588" t="s">
        <v>205</v>
      </c>
      <c r="E12" s="592">
        <f>+((5.25274%+2.5%)/365)*210</f>
        <v>4.4604805479452052E-2</v>
      </c>
      <c r="F12" s="592">
        <f t="shared" ref="F12:K12" si="6">+((5.25274%+2.5%)/365)*210</f>
        <v>4.4604805479452052E-2</v>
      </c>
      <c r="G12" s="592">
        <f t="shared" si="6"/>
        <v>4.4604805479452052E-2</v>
      </c>
      <c r="H12" s="592">
        <f t="shared" si="6"/>
        <v>4.4604805479452052E-2</v>
      </c>
      <c r="I12" s="592">
        <f t="shared" si="6"/>
        <v>4.4604805479452052E-2</v>
      </c>
      <c r="J12" s="592">
        <f t="shared" si="6"/>
        <v>4.4604805479452052E-2</v>
      </c>
      <c r="K12" s="592">
        <f t="shared" si="6"/>
        <v>4.4604805479452052E-2</v>
      </c>
      <c r="L12" s="592">
        <v>4.4604805479452052E-2</v>
      </c>
      <c r="M12" s="592">
        <v>4.4604805479452052E-2</v>
      </c>
      <c r="N12" s="592">
        <v>4.4604805479452052E-2</v>
      </c>
      <c r="O12" s="592">
        <v>3.8765424657534242E-2</v>
      </c>
      <c r="P12" s="592">
        <v>3.8765424657534242E-2</v>
      </c>
      <c r="Q12" s="592">
        <v>3.8765424657534242E-2</v>
      </c>
      <c r="R12" s="592">
        <f>+' PCR Enkador'!AU132</f>
        <v>3.8240482191780827E-2</v>
      </c>
      <c r="S12" s="600">
        <f>+' PCR Enkador'!AV132</f>
        <v>3.8240482191780827E-2</v>
      </c>
      <c r="T12" s="600">
        <f>+' PCR Enkador'!AW132</f>
        <v>3.8240482191780827E-2</v>
      </c>
      <c r="U12" s="600">
        <f>+' PCR Enkador'!AX132</f>
        <v>3.8240482191780827E-2</v>
      </c>
      <c r="V12" s="600">
        <f>+' PCR Enkador'!AY132</f>
        <v>3.8240482191780827E-2</v>
      </c>
      <c r="W12" s="600">
        <f>+' PCR Enkador'!AZ132</f>
        <v>3.8240482191780827E-2</v>
      </c>
      <c r="X12" s="600">
        <f>+' PCR Enkador'!BA132</f>
        <v>3.8240482191780827E-2</v>
      </c>
      <c r="Y12" s="600">
        <f>+' PCR Enkador'!BB132</f>
        <v>3.8240482191780827E-2</v>
      </c>
      <c r="Z12" s="600">
        <f>+' PCR Enkador'!BC132</f>
        <v>3.8240482191780827E-2</v>
      </c>
      <c r="AA12" s="600">
        <f>+SOFR!$F$3</f>
        <v>3.4967128767123289E-2</v>
      </c>
      <c r="AB12" s="600">
        <f>+SOFR!$F$3</f>
        <v>3.4967128767123289E-2</v>
      </c>
      <c r="AC12" s="600">
        <f>+SOFR!$F$3</f>
        <v>3.4967128767123289E-2</v>
      </c>
      <c r="AD12" s="745"/>
      <c r="AE12" s="745"/>
      <c r="AF12" s="745"/>
      <c r="AG12" s="745"/>
      <c r="AH12" s="745"/>
      <c r="AI12" s="745"/>
      <c r="AK12" s="573"/>
    </row>
    <row r="13" spans="1:37" ht="14.25" customHeight="1" x14ac:dyDescent="0.35">
      <c r="A13" s="573"/>
      <c r="D13" s="588" t="s">
        <v>206</v>
      </c>
      <c r="E13" s="589">
        <f>+E12*E11</f>
        <v>78.49931415497656</v>
      </c>
      <c r="F13" s="589">
        <f t="shared" ref="F13:S13" si="7">+F12*F11</f>
        <v>79.512917645129207</v>
      </c>
      <c r="G13" s="589">
        <f t="shared" si="7"/>
        <v>81.472326877729657</v>
      </c>
      <c r="H13" s="589">
        <f t="shared" si="7"/>
        <v>82.820518759347337</v>
      </c>
      <c r="I13" s="589">
        <f t="shared" si="7"/>
        <v>84.160905481343789</v>
      </c>
      <c r="J13" s="589">
        <f t="shared" si="7"/>
        <v>87.381630723123962</v>
      </c>
      <c r="K13" s="589">
        <f t="shared" si="7"/>
        <v>90.349619047536009</v>
      </c>
      <c r="L13" s="589">
        <f t="shared" si="7"/>
        <v>91.619546658592625</v>
      </c>
      <c r="M13" s="589">
        <f t="shared" si="7"/>
        <v>93.230422209944592</v>
      </c>
      <c r="N13" s="589">
        <f t="shared" si="7"/>
        <v>90.026050853521824</v>
      </c>
      <c r="O13" s="589">
        <f t="shared" si="7"/>
        <v>79.897383475637653</v>
      </c>
      <c r="P13" s="589">
        <f t="shared" si="7"/>
        <v>83.12931676746561</v>
      </c>
      <c r="Q13" s="589">
        <f t="shared" si="7"/>
        <v>86.907161151345321</v>
      </c>
      <c r="R13" s="589">
        <f t="shared" si="7"/>
        <v>85.747280246312101</v>
      </c>
      <c r="S13" s="598">
        <f t="shared" si="7"/>
        <v>82.946124183673859</v>
      </c>
      <c r="T13" s="598">
        <f t="shared" ref="T13:U13" si="8">+T12*T11</f>
        <v>84.425371925841745</v>
      </c>
      <c r="U13" s="598">
        <f t="shared" si="8"/>
        <v>84.113563771651769</v>
      </c>
      <c r="V13" s="598">
        <f t="shared" ref="V13:W13" si="9">+V12*V11</f>
        <v>83.969445518210492</v>
      </c>
      <c r="W13" s="598">
        <f t="shared" si="9"/>
        <v>81.4429042606575</v>
      </c>
      <c r="X13" s="598">
        <f t="shared" ref="X13:Z13" si="10">+X12*X11</f>
        <v>81.662784716174613</v>
      </c>
      <c r="Y13" s="598">
        <f t="shared" si="10"/>
        <v>80.655342556368709</v>
      </c>
      <c r="Z13" s="598">
        <f t="shared" si="10"/>
        <v>81.284864884897843</v>
      </c>
      <c r="AA13" s="598">
        <f t="shared" ref="AA13:AB13" si="11">+AA12*AA11</f>
        <v>72.600098942751501</v>
      </c>
      <c r="AB13" s="598">
        <f t="shared" si="11"/>
        <v>73.890859873082221</v>
      </c>
      <c r="AC13" s="598">
        <f t="shared" ref="AC13" si="12">+AC12*AC11</f>
        <v>74.099448196584333</v>
      </c>
      <c r="AK13" s="573"/>
    </row>
    <row r="14" spans="1:37" ht="14.25" customHeight="1" x14ac:dyDescent="0.35">
      <c r="A14" s="573"/>
      <c r="D14" s="593" t="s">
        <v>465</v>
      </c>
      <c r="E14" s="594">
        <f t="shared" ref="E14:S14" si="13">+E11+E13</f>
        <v>1838.3840017171401</v>
      </c>
      <c r="F14" s="594">
        <f t="shared" si="13"/>
        <v>1862.1216924274374</v>
      </c>
      <c r="G14" s="594">
        <f t="shared" si="13"/>
        <v>1908.0093109984484</v>
      </c>
      <c r="H14" s="594">
        <f t="shared" si="13"/>
        <v>1939.5827637488471</v>
      </c>
      <c r="I14" s="594">
        <f t="shared" si="13"/>
        <v>1970.9734266146086</v>
      </c>
      <c r="J14" s="594">
        <f t="shared" si="13"/>
        <v>2046.3999424020699</v>
      </c>
      <c r="K14" s="594">
        <f t="shared" si="13"/>
        <v>2115.9075847505155</v>
      </c>
      <c r="L14" s="595">
        <f t="shared" si="13"/>
        <v>2145.6481580107643</v>
      </c>
      <c r="M14" s="595">
        <f t="shared" si="13"/>
        <v>2183.3734282789374</v>
      </c>
      <c r="N14" s="595">
        <f t="shared" si="13"/>
        <v>2108.329905916713</v>
      </c>
      <c r="O14" s="595">
        <f t="shared" si="13"/>
        <v>2140.9449324571297</v>
      </c>
      <c r="P14" s="595">
        <f t="shared" si="13"/>
        <v>2227.5484093443101</v>
      </c>
      <c r="Q14" s="595">
        <f t="shared" si="13"/>
        <v>2328.7802199172452</v>
      </c>
      <c r="R14" s="595">
        <f t="shared" si="13"/>
        <v>2328.0642002129252</v>
      </c>
      <c r="S14" s="601">
        <f t="shared" si="13"/>
        <v>2252.0119787324898</v>
      </c>
      <c r="T14" s="601">
        <f t="shared" ref="T14:U14" si="14">+T11+T13</f>
        <v>2292.1739955555827</v>
      </c>
      <c r="U14" s="601">
        <f t="shared" si="14"/>
        <v>2283.7083112910909</v>
      </c>
      <c r="V14" s="601">
        <f t="shared" ref="V14:W14" si="15">+V11+V13</f>
        <v>2279.7954577816849</v>
      </c>
      <c r="W14" s="601">
        <f t="shared" si="15"/>
        <v>2211.199110058772</v>
      </c>
      <c r="X14" s="601">
        <f t="shared" ref="X14:Y14" si="16">+X11+X13</f>
        <v>2217.1689299218096</v>
      </c>
      <c r="Y14" s="601">
        <f t="shared" si="16"/>
        <v>2189.8165751964812</v>
      </c>
      <c r="Z14" s="601">
        <f t="shared" ref="Z14:AA14" si="17">+Z11+Z13</f>
        <v>2206.9082939317395</v>
      </c>
      <c r="AA14" s="601">
        <f t="shared" si="17"/>
        <v>2148.8385978558049</v>
      </c>
      <c r="AB14" s="601">
        <f t="shared" ref="AB14:AC14" si="18">+AB11+AB13</f>
        <v>2187.04291090896</v>
      </c>
      <c r="AC14" s="601">
        <f t="shared" si="18"/>
        <v>2193.2167680679818</v>
      </c>
      <c r="AF14" s="257"/>
      <c r="AG14" s="257"/>
      <c r="AJ14" s="257"/>
      <c r="AK14" s="573"/>
    </row>
    <row r="15" spans="1:37" ht="4.5" customHeight="1" x14ac:dyDescent="0.35">
      <c r="A15" s="573"/>
      <c r="AK15" s="573"/>
    </row>
    <row r="16" spans="1:37" ht="14.25" customHeight="1" x14ac:dyDescent="0.35">
      <c r="A16" s="573"/>
      <c r="D16" s="574" t="s">
        <v>468</v>
      </c>
      <c r="E16" s="575">
        <v>45352</v>
      </c>
      <c r="F16" s="575">
        <v>45383</v>
      </c>
      <c r="G16" s="575">
        <v>45413</v>
      </c>
      <c r="H16" s="575">
        <v>45444</v>
      </c>
      <c r="I16" s="575">
        <v>45474</v>
      </c>
      <c r="J16" s="575">
        <v>45505</v>
      </c>
      <c r="K16" s="575">
        <v>45536</v>
      </c>
      <c r="L16" s="576">
        <v>45566</v>
      </c>
      <c r="M16" s="576">
        <v>45597</v>
      </c>
      <c r="N16" s="576">
        <v>45627</v>
      </c>
      <c r="O16" s="576">
        <v>45658</v>
      </c>
      <c r="P16" s="576">
        <v>45689</v>
      </c>
      <c r="Q16" s="576">
        <v>45717</v>
      </c>
      <c r="R16" s="576">
        <v>45748</v>
      </c>
      <c r="S16" s="576">
        <v>45778</v>
      </c>
      <c r="T16" s="576">
        <f t="shared" ref="T16:Y16" si="19">+T8</f>
        <v>45809</v>
      </c>
      <c r="U16" s="576">
        <f t="shared" si="19"/>
        <v>45839</v>
      </c>
      <c r="V16" s="697">
        <f t="shared" si="19"/>
        <v>45870</v>
      </c>
      <c r="W16" s="697">
        <f t="shared" si="19"/>
        <v>45901</v>
      </c>
      <c r="X16" s="697">
        <f t="shared" si="19"/>
        <v>45931</v>
      </c>
      <c r="Y16" s="697">
        <f t="shared" si="19"/>
        <v>45962</v>
      </c>
      <c r="Z16" s="697">
        <f t="shared" ref="Z16:AA16" si="20">+Z8</f>
        <v>45992</v>
      </c>
      <c r="AA16" s="697">
        <f t="shared" si="20"/>
        <v>46023</v>
      </c>
      <c r="AB16" s="697">
        <f t="shared" ref="AB16:AC16" si="21">+AB8</f>
        <v>46054</v>
      </c>
      <c r="AC16" s="697">
        <f t="shared" si="21"/>
        <v>46082</v>
      </c>
      <c r="AK16" s="573"/>
    </row>
    <row r="17" spans="1:37" ht="14.25" customHeight="1" x14ac:dyDescent="0.35">
      <c r="A17" s="573"/>
      <c r="D17" s="577" t="s">
        <v>204</v>
      </c>
      <c r="E17" s="579">
        <f t="shared" ref="E17:T17" si="22">+E14</f>
        <v>1838.3840017171401</v>
      </c>
      <c r="F17" s="579">
        <f t="shared" si="22"/>
        <v>1862.1216924274374</v>
      </c>
      <c r="G17" s="579">
        <f t="shared" si="22"/>
        <v>1908.0093109984484</v>
      </c>
      <c r="H17" s="579">
        <f t="shared" si="22"/>
        <v>1939.5827637488471</v>
      </c>
      <c r="I17" s="579">
        <f t="shared" si="22"/>
        <v>1970.9734266146086</v>
      </c>
      <c r="J17" s="579">
        <f t="shared" si="22"/>
        <v>2046.3999424020699</v>
      </c>
      <c r="K17" s="579">
        <f t="shared" si="22"/>
        <v>2115.9075847505155</v>
      </c>
      <c r="L17" s="579">
        <f t="shared" si="22"/>
        <v>2145.6481580107643</v>
      </c>
      <c r="M17" s="579">
        <f t="shared" si="22"/>
        <v>2183.3734282789374</v>
      </c>
      <c r="N17" s="579">
        <f t="shared" si="22"/>
        <v>2108.329905916713</v>
      </c>
      <c r="O17" s="579">
        <f t="shared" si="22"/>
        <v>2140.9449324571297</v>
      </c>
      <c r="P17" s="579">
        <f t="shared" si="22"/>
        <v>2227.5484093443101</v>
      </c>
      <c r="Q17" s="579">
        <f t="shared" si="22"/>
        <v>2328.7802199172452</v>
      </c>
      <c r="R17" s="579">
        <f t="shared" si="22"/>
        <v>2328.0642002129252</v>
      </c>
      <c r="S17" s="602">
        <f t="shared" si="22"/>
        <v>2252.0119787324898</v>
      </c>
      <c r="T17" s="602">
        <f t="shared" si="22"/>
        <v>2292.1739955555827</v>
      </c>
      <c r="U17" s="602">
        <f t="shared" ref="U17:V17" si="23">+U14</f>
        <v>2283.7083112910909</v>
      </c>
      <c r="V17" s="602">
        <f t="shared" si="23"/>
        <v>2279.7954577816849</v>
      </c>
      <c r="W17" s="602">
        <f t="shared" ref="W17:X17" si="24">+W14</f>
        <v>2211.199110058772</v>
      </c>
      <c r="X17" s="602">
        <f t="shared" si="24"/>
        <v>2217.1689299218096</v>
      </c>
      <c r="Y17" s="602">
        <f t="shared" ref="Y17:Z17" si="25">+Y14</f>
        <v>2189.8165751964812</v>
      </c>
      <c r="Z17" s="602">
        <f t="shared" si="25"/>
        <v>2206.9082939317395</v>
      </c>
      <c r="AA17" s="602">
        <f t="shared" ref="AA17:AB17" si="26">+AA14</f>
        <v>2148.8385978558049</v>
      </c>
      <c r="AB17" s="602">
        <f t="shared" si="26"/>
        <v>2187.04291090896</v>
      </c>
      <c r="AC17" s="602">
        <f t="shared" ref="AC17" si="27">+AC14</f>
        <v>2193.2167680679818</v>
      </c>
      <c r="AK17" s="573"/>
    </row>
    <row r="18" spans="1:37" ht="14.25" customHeight="1" x14ac:dyDescent="0.35">
      <c r="A18" s="573"/>
      <c r="D18" s="577" t="s">
        <v>208</v>
      </c>
      <c r="E18" s="579">
        <v>94.4</v>
      </c>
      <c r="F18" s="579">
        <v>94.4</v>
      </c>
      <c r="G18" s="579">
        <v>94.4</v>
      </c>
      <c r="H18" s="579">
        <v>94.4</v>
      </c>
      <c r="I18" s="579">
        <v>94.4</v>
      </c>
      <c r="J18" s="579">
        <v>94.4</v>
      </c>
      <c r="K18" s="579">
        <v>94.4</v>
      </c>
      <c r="L18" s="579">
        <v>94.4</v>
      </c>
      <c r="M18" s="579">
        <v>94.4</v>
      </c>
      <c r="N18" s="579">
        <v>94.4</v>
      </c>
      <c r="O18" s="579">
        <v>94.4</v>
      </c>
      <c r="P18" s="579">
        <v>94.4</v>
      </c>
      <c r="Q18" s="579">
        <v>94.4</v>
      </c>
      <c r="R18" s="579">
        <v>94.4</v>
      </c>
      <c r="S18" s="602">
        <v>94.4</v>
      </c>
      <c r="T18" s="602">
        <v>94.4</v>
      </c>
      <c r="U18" s="602">
        <v>94.4</v>
      </c>
      <c r="V18" s="602">
        <v>94.4</v>
      </c>
      <c r="W18" s="602">
        <v>94.4</v>
      </c>
      <c r="X18" s="602">
        <v>94.4</v>
      </c>
      <c r="Y18" s="602">
        <v>94.4</v>
      </c>
      <c r="Z18" s="602">
        <v>94.4</v>
      </c>
      <c r="AA18" s="602">
        <v>94.4</v>
      </c>
      <c r="AB18" s="602">
        <v>94.4</v>
      </c>
      <c r="AC18" s="602">
        <v>94.4</v>
      </c>
      <c r="AK18" s="573"/>
    </row>
    <row r="19" spans="1:37" ht="14.25" customHeight="1" x14ac:dyDescent="0.35">
      <c r="A19" s="573"/>
      <c r="D19" s="577" t="s">
        <v>195</v>
      </c>
      <c r="E19" s="579">
        <f t="shared" ref="E19:U19" si="28">+E18*E12</f>
        <v>4.2106936372602739</v>
      </c>
      <c r="F19" s="579">
        <f t="shared" si="28"/>
        <v>4.2106936372602739</v>
      </c>
      <c r="G19" s="579">
        <f t="shared" si="28"/>
        <v>4.2106936372602739</v>
      </c>
      <c r="H19" s="579">
        <f t="shared" si="28"/>
        <v>4.2106936372602739</v>
      </c>
      <c r="I19" s="579">
        <f t="shared" si="28"/>
        <v>4.2106936372602739</v>
      </c>
      <c r="J19" s="579">
        <f t="shared" si="28"/>
        <v>4.2106936372602739</v>
      </c>
      <c r="K19" s="579">
        <f t="shared" si="28"/>
        <v>4.2106936372602739</v>
      </c>
      <c r="L19" s="579">
        <f t="shared" si="28"/>
        <v>4.2106936372602739</v>
      </c>
      <c r="M19" s="579">
        <f t="shared" si="28"/>
        <v>4.2106936372602739</v>
      </c>
      <c r="N19" s="579">
        <f t="shared" si="28"/>
        <v>4.2106936372602739</v>
      </c>
      <c r="O19" s="579">
        <f t="shared" si="28"/>
        <v>3.6594560876712325</v>
      </c>
      <c r="P19" s="579">
        <f t="shared" si="28"/>
        <v>3.6594560876712325</v>
      </c>
      <c r="Q19" s="579">
        <f t="shared" si="28"/>
        <v>3.6594560876712325</v>
      </c>
      <c r="R19" s="579">
        <f t="shared" si="28"/>
        <v>3.6099015189041102</v>
      </c>
      <c r="S19" s="602">
        <f t="shared" si="28"/>
        <v>3.6099015189041102</v>
      </c>
      <c r="T19" s="602">
        <f t="shared" si="28"/>
        <v>3.6099015189041102</v>
      </c>
      <c r="U19" s="602">
        <f t="shared" si="28"/>
        <v>3.6099015189041102</v>
      </c>
      <c r="V19" s="602">
        <f t="shared" ref="V19:W19" si="29">+V18*V12</f>
        <v>3.6099015189041102</v>
      </c>
      <c r="W19" s="602">
        <f t="shared" si="29"/>
        <v>3.6099015189041102</v>
      </c>
      <c r="X19" s="602">
        <f t="shared" ref="X19:Y19" si="30">+X18*X12</f>
        <v>3.6099015189041102</v>
      </c>
      <c r="Y19" s="602">
        <f t="shared" si="30"/>
        <v>3.6099015189041102</v>
      </c>
      <c r="Z19" s="602">
        <f t="shared" ref="Z19:AA19" si="31">+Z18*Z12</f>
        <v>3.6099015189041102</v>
      </c>
      <c r="AA19" s="602">
        <f t="shared" si="31"/>
        <v>3.3008969556164387</v>
      </c>
      <c r="AB19" s="602">
        <f t="shared" ref="AB19:AC19" si="32">+AB18*AB12</f>
        <v>3.3008969556164387</v>
      </c>
      <c r="AC19" s="602">
        <f t="shared" si="32"/>
        <v>3.3008969556164387</v>
      </c>
      <c r="AK19" s="573"/>
    </row>
    <row r="20" spans="1:37" ht="14.25" customHeight="1" x14ac:dyDescent="0.35">
      <c r="A20" s="573"/>
      <c r="D20" s="577" t="s">
        <v>209</v>
      </c>
      <c r="E20" s="579">
        <f>+E18+E19</f>
        <v>98.610693637260283</v>
      </c>
      <c r="F20" s="579">
        <f t="shared" ref="F20:S20" si="33">+F18+F19</f>
        <v>98.610693637260283</v>
      </c>
      <c r="G20" s="579">
        <f t="shared" si="33"/>
        <v>98.610693637260283</v>
      </c>
      <c r="H20" s="579">
        <f t="shared" si="33"/>
        <v>98.610693637260283</v>
      </c>
      <c r="I20" s="579">
        <f t="shared" si="33"/>
        <v>98.610693637260283</v>
      </c>
      <c r="J20" s="579">
        <f t="shared" si="33"/>
        <v>98.610693637260283</v>
      </c>
      <c r="K20" s="579">
        <f t="shared" si="33"/>
        <v>98.610693637260283</v>
      </c>
      <c r="L20" s="579">
        <f t="shared" si="33"/>
        <v>98.610693637260283</v>
      </c>
      <c r="M20" s="579">
        <f t="shared" si="33"/>
        <v>98.610693637260283</v>
      </c>
      <c r="N20" s="579">
        <f t="shared" si="33"/>
        <v>98.610693637260283</v>
      </c>
      <c r="O20" s="579">
        <f t="shared" si="33"/>
        <v>98.059456087671236</v>
      </c>
      <c r="P20" s="579">
        <f t="shared" si="33"/>
        <v>98.059456087671236</v>
      </c>
      <c r="Q20" s="579">
        <f t="shared" si="33"/>
        <v>98.059456087671236</v>
      </c>
      <c r="R20" s="579">
        <f t="shared" si="33"/>
        <v>98.009901518904115</v>
      </c>
      <c r="S20" s="602">
        <f t="shared" si="33"/>
        <v>98.009901518904115</v>
      </c>
      <c r="T20" s="602">
        <f t="shared" ref="T20:U20" si="34">+T18+T19</f>
        <v>98.009901518904115</v>
      </c>
      <c r="U20" s="602">
        <f t="shared" si="34"/>
        <v>98.009901518904115</v>
      </c>
      <c r="V20" s="602">
        <f t="shared" ref="V20:W20" si="35">+V18+V19</f>
        <v>98.009901518904115</v>
      </c>
      <c r="W20" s="602">
        <f t="shared" si="35"/>
        <v>98.009901518904115</v>
      </c>
      <c r="X20" s="602">
        <f t="shared" ref="X20:Y20" si="36">+X18+X19</f>
        <v>98.009901518904115</v>
      </c>
      <c r="Y20" s="602">
        <f t="shared" si="36"/>
        <v>98.009901518904115</v>
      </c>
      <c r="Z20" s="602">
        <f t="shared" ref="Z20:AA20" si="37">+Z18+Z19</f>
        <v>98.009901518904115</v>
      </c>
      <c r="AA20" s="602">
        <f t="shared" si="37"/>
        <v>97.700896955616443</v>
      </c>
      <c r="AB20" s="602">
        <f t="shared" ref="AB20:AC20" si="38">+AB18+AB19</f>
        <v>97.700896955616443</v>
      </c>
      <c r="AC20" s="602">
        <f t="shared" si="38"/>
        <v>97.700896955616443</v>
      </c>
      <c r="AK20" s="573"/>
    </row>
    <row r="21" spans="1:37" ht="14.25" customHeight="1" x14ac:dyDescent="0.35">
      <c r="A21" s="573"/>
      <c r="D21" s="580" t="s">
        <v>465</v>
      </c>
      <c r="E21" s="581">
        <f>+E20+E17</f>
        <v>1936.9946953544004</v>
      </c>
      <c r="F21" s="581">
        <f t="shared" ref="F21:S21" si="39">+F20+F17</f>
        <v>1960.7323860646977</v>
      </c>
      <c r="G21" s="581">
        <f t="shared" si="39"/>
        <v>2006.6200046357087</v>
      </c>
      <c r="H21" s="581">
        <f t="shared" si="39"/>
        <v>2038.1934573861074</v>
      </c>
      <c r="I21" s="581">
        <f t="shared" si="39"/>
        <v>2069.5841202518686</v>
      </c>
      <c r="J21" s="581">
        <f t="shared" si="39"/>
        <v>2145.0106360393302</v>
      </c>
      <c r="K21" s="581">
        <f t="shared" si="39"/>
        <v>2214.5182783877758</v>
      </c>
      <c r="L21" s="578">
        <f t="shared" si="39"/>
        <v>2244.2588516480246</v>
      </c>
      <c r="M21" s="578">
        <f t="shared" si="39"/>
        <v>2281.9841219161976</v>
      </c>
      <c r="N21" s="578">
        <f t="shared" si="39"/>
        <v>2206.9405995539732</v>
      </c>
      <c r="O21" s="578">
        <f t="shared" si="39"/>
        <v>2239.0043885448008</v>
      </c>
      <c r="P21" s="578">
        <f t="shared" si="39"/>
        <v>2325.6078654319813</v>
      </c>
      <c r="Q21" s="578">
        <f t="shared" si="39"/>
        <v>2426.8396760049163</v>
      </c>
      <c r="R21" s="578">
        <f t="shared" si="39"/>
        <v>2426.0741017318292</v>
      </c>
      <c r="S21" s="603">
        <f t="shared" si="39"/>
        <v>2350.0218802513937</v>
      </c>
      <c r="T21" s="603">
        <f t="shared" ref="T21:U21" si="40">+T20+T17</f>
        <v>2390.1838970744866</v>
      </c>
      <c r="U21" s="603">
        <f t="shared" si="40"/>
        <v>2381.7182128099948</v>
      </c>
      <c r="V21" s="603">
        <f t="shared" ref="V21:W21" si="41">+V20+V17</f>
        <v>2377.8053593005889</v>
      </c>
      <c r="W21" s="603">
        <f t="shared" si="41"/>
        <v>2309.2090115776759</v>
      </c>
      <c r="X21" s="603">
        <f t="shared" ref="X21:Y21" si="42">+X20+X17</f>
        <v>2315.1788314407136</v>
      </c>
      <c r="Y21" s="603">
        <f t="shared" si="42"/>
        <v>2287.8264767153851</v>
      </c>
      <c r="Z21" s="603">
        <f t="shared" ref="Z21:AA21" si="43">+Z20+Z17</f>
        <v>2304.9181954506435</v>
      </c>
      <c r="AA21" s="603">
        <f t="shared" si="43"/>
        <v>2246.5394948114213</v>
      </c>
      <c r="AB21" s="603">
        <f t="shared" ref="AB21:AC21" si="44">+AB20+AB17</f>
        <v>2284.7438078645764</v>
      </c>
      <c r="AC21" s="603">
        <f t="shared" si="44"/>
        <v>2290.9176650235981</v>
      </c>
      <c r="AD21" s="257"/>
      <c r="AJ21" s="257"/>
      <c r="AK21" s="573"/>
    </row>
    <row r="22" spans="1:37" ht="5.25" customHeight="1" thickBot="1" x14ac:dyDescent="0.4">
      <c r="A22" s="573"/>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K22" s="573"/>
    </row>
    <row r="23" spans="1:37" ht="14.25" customHeight="1" x14ac:dyDescent="0.35">
      <c r="A23" s="573"/>
      <c r="D23" s="555" t="s">
        <v>451</v>
      </c>
      <c r="E23" s="556">
        <v>45352</v>
      </c>
      <c r="F23" s="556">
        <v>45383</v>
      </c>
      <c r="G23" s="556">
        <v>45413</v>
      </c>
      <c r="H23" s="556">
        <v>45444</v>
      </c>
      <c r="I23" s="556">
        <v>45474</v>
      </c>
      <c r="J23" s="556">
        <v>45505</v>
      </c>
      <c r="K23" s="556">
        <v>45536</v>
      </c>
      <c r="L23" s="557">
        <v>45566</v>
      </c>
      <c r="M23" s="557">
        <v>45597</v>
      </c>
      <c r="N23" s="557">
        <v>45627</v>
      </c>
      <c r="O23" s="557">
        <v>45658</v>
      </c>
      <c r="P23" s="557">
        <v>45689</v>
      </c>
      <c r="Q23" s="557">
        <v>45717</v>
      </c>
      <c r="R23" s="557">
        <v>45748</v>
      </c>
      <c r="S23" s="557">
        <v>45778</v>
      </c>
      <c r="T23" s="557">
        <f t="shared" ref="T23:Y23" si="45">+T8</f>
        <v>45809</v>
      </c>
      <c r="U23" s="557">
        <f t="shared" si="45"/>
        <v>45839</v>
      </c>
      <c r="V23" s="698">
        <f t="shared" si="45"/>
        <v>45870</v>
      </c>
      <c r="W23" s="698">
        <f t="shared" si="45"/>
        <v>45901</v>
      </c>
      <c r="X23" s="698">
        <f t="shared" si="45"/>
        <v>45931</v>
      </c>
      <c r="Y23" s="698">
        <f t="shared" si="45"/>
        <v>45962</v>
      </c>
      <c r="Z23" s="698">
        <f t="shared" ref="Z23:AA23" si="46">+Z8</f>
        <v>45992</v>
      </c>
      <c r="AA23" s="698">
        <f t="shared" si="46"/>
        <v>46023</v>
      </c>
      <c r="AB23" s="698">
        <f t="shared" ref="AB23:AC23" si="47">+AB8</f>
        <v>46054</v>
      </c>
      <c r="AC23" s="698">
        <f t="shared" si="47"/>
        <v>46082</v>
      </c>
      <c r="AD23" s="824"/>
      <c r="AE23" s="824"/>
      <c r="AF23" s="824"/>
      <c r="AG23" s="824"/>
      <c r="AH23" s="824"/>
      <c r="AI23" s="824"/>
      <c r="AK23" s="573"/>
    </row>
    <row r="24" spans="1:37" ht="14.25" customHeight="1" x14ac:dyDescent="0.35">
      <c r="A24" s="573"/>
      <c r="D24" s="558" t="s">
        <v>452</v>
      </c>
      <c r="E24" s="559">
        <v>1850</v>
      </c>
      <c r="F24" s="559">
        <v>1845.645999527</v>
      </c>
      <c r="G24" s="559">
        <v>1926.2517160000007</v>
      </c>
      <c r="H24" s="559">
        <v>2008.0632348387107</v>
      </c>
      <c r="I24" s="559">
        <v>2211.409959000001</v>
      </c>
      <c r="J24" s="559">
        <v>2470</v>
      </c>
      <c r="K24" s="559">
        <v>2744</v>
      </c>
      <c r="L24" s="559">
        <v>2993</v>
      </c>
      <c r="M24" s="559">
        <v>3197</v>
      </c>
      <c r="N24" s="559">
        <v>3208</v>
      </c>
      <c r="O24" s="559">
        <v>3306</v>
      </c>
      <c r="P24" s="559">
        <v>3222</v>
      </c>
      <c r="Q24" s="559">
        <v>3220</v>
      </c>
      <c r="R24" s="207">
        <f>+R25*R26/1000</f>
        <v>3278.2874421290326</v>
      </c>
      <c r="S24" s="691">
        <f>+S25*S26/1000</f>
        <v>3232.9144306566664</v>
      </c>
      <c r="T24" s="694">
        <f>+T25*T26/1000</f>
        <v>3131.5159370967735</v>
      </c>
      <c r="U24" s="694">
        <f>+U25*U26/1000</f>
        <v>3011.0710199999994</v>
      </c>
      <c r="V24" s="694">
        <v>2600</v>
      </c>
      <c r="W24" s="694">
        <v>2100</v>
      </c>
      <c r="X24" s="694">
        <v>1980</v>
      </c>
      <c r="Y24" s="694">
        <v>1896</v>
      </c>
      <c r="Z24" s="694">
        <v>1790</v>
      </c>
      <c r="AA24" s="694">
        <v>1750</v>
      </c>
      <c r="AB24" s="694">
        <v>1733</v>
      </c>
      <c r="AC24" s="694">
        <v>1784.99</v>
      </c>
      <c r="AD24" s="721"/>
      <c r="AE24" s="704"/>
      <c r="AF24" s="704"/>
      <c r="AG24" s="704"/>
      <c r="AH24" s="704"/>
      <c r="AI24" s="721"/>
      <c r="AK24" s="573"/>
    </row>
    <row r="25" spans="1:37" ht="14.25" customHeight="1" x14ac:dyDescent="0.35">
      <c r="A25" s="573"/>
      <c r="D25" s="558" t="s">
        <v>453</v>
      </c>
      <c r="E25" s="559">
        <f>E24/E26*1000</f>
        <v>470.55740309148763</v>
      </c>
      <c r="F25" s="559">
        <f t="shared" ref="F25:Q25" si="48">F24/F26*1000</f>
        <v>473</v>
      </c>
      <c r="G25" s="559">
        <f t="shared" si="48"/>
        <v>498.00000000000006</v>
      </c>
      <c r="H25" s="559">
        <f t="shared" si="48"/>
        <v>519.00000000000023</v>
      </c>
      <c r="I25" s="559">
        <f t="shared" si="48"/>
        <v>547.00000000000011</v>
      </c>
      <c r="J25" s="560">
        <f t="shared" si="48"/>
        <v>612.11577860177067</v>
      </c>
      <c r="K25" s="560">
        <f t="shared" si="48"/>
        <v>674.94001917291757</v>
      </c>
      <c r="L25" s="560">
        <f t="shared" si="48"/>
        <v>715.59860712106263</v>
      </c>
      <c r="M25" s="560">
        <f t="shared" si="48"/>
        <v>752.32911398362648</v>
      </c>
      <c r="N25" s="560">
        <f t="shared" si="48"/>
        <v>727.66000978227885</v>
      </c>
      <c r="O25" s="560">
        <f t="shared" si="48"/>
        <v>753.90829795671755</v>
      </c>
      <c r="P25" s="560">
        <f t="shared" si="48"/>
        <v>747.84265789399205</v>
      </c>
      <c r="Q25" s="560">
        <f t="shared" si="48"/>
        <v>779.99257149931896</v>
      </c>
      <c r="R25" s="560">
        <v>792.3</v>
      </c>
      <c r="S25" s="560">
        <v>754.99615656928302</v>
      </c>
      <c r="T25" s="569">
        <v>745</v>
      </c>
      <c r="U25" s="693">
        <v>732</v>
      </c>
      <c r="V25" s="693">
        <f t="shared" ref="V25:AA25" si="49">+V24/V26*1000</f>
        <v>643.42923835061799</v>
      </c>
      <c r="W25" s="693">
        <f t="shared" si="49"/>
        <v>518.85011974200017</v>
      </c>
      <c r="X25" s="693">
        <f t="shared" si="49"/>
        <v>504.811624582994</v>
      </c>
      <c r="Y25" s="693">
        <f t="shared" si="49"/>
        <v>488.9313726721669</v>
      </c>
      <c r="Z25" s="693">
        <f t="shared" si="49"/>
        <v>472.77161257378805</v>
      </c>
      <c r="AA25" s="693">
        <f t="shared" si="49"/>
        <v>461.56216629799832</v>
      </c>
      <c r="AB25" s="693">
        <f>+AB24/AB26*1000</f>
        <v>467.99904210161998</v>
      </c>
      <c r="AC25" s="693">
        <f>+AC24/AC26*1000</f>
        <v>486.07083330727903</v>
      </c>
      <c r="AD25" s="704"/>
      <c r="AE25" s="704"/>
      <c r="AF25" s="704"/>
      <c r="AG25" s="704"/>
      <c r="AH25" s="704"/>
      <c r="AI25" s="704"/>
      <c r="AJ25" s="714"/>
      <c r="AK25" s="573"/>
    </row>
    <row r="26" spans="1:37" ht="14.25" customHeight="1" x14ac:dyDescent="0.35">
      <c r="A26" s="573"/>
      <c r="D26" s="561" t="s">
        <v>258</v>
      </c>
      <c r="E26" s="562">
        <v>3931.5075862068961</v>
      </c>
      <c r="F26" s="562">
        <v>3901.9999990000001</v>
      </c>
      <c r="G26" s="562">
        <v>3867.9753333333342</v>
      </c>
      <c r="H26" s="562">
        <v>3869.1006451612907</v>
      </c>
      <c r="I26" s="562">
        <v>4042.7970000000005</v>
      </c>
      <c r="J26" s="562">
        <v>4035.1843333333331</v>
      </c>
      <c r="K26" s="562">
        <v>4065.5464516129036</v>
      </c>
      <c r="L26" s="563">
        <v>4182.5123333333349</v>
      </c>
      <c r="M26" s="563">
        <v>4249.4699999999984</v>
      </c>
      <c r="N26" s="563">
        <v>4408.6523333333334</v>
      </c>
      <c r="O26" s="563">
        <v>4385.1487096774199</v>
      </c>
      <c r="P26" s="563">
        <v>4308.3929032258065</v>
      </c>
      <c r="Q26" s="563">
        <v>4128.2444444444445</v>
      </c>
      <c r="R26" s="563">
        <f>+R10</f>
        <v>4137.684516129033</v>
      </c>
      <c r="S26" s="563">
        <f>+S10</f>
        <v>4282.0276666666641</v>
      </c>
      <c r="T26" s="563">
        <f>+'PCR Enka'!DV63</f>
        <v>4203.377096774193</v>
      </c>
      <c r="U26" s="563">
        <f>+'PCR Enka'!DR22</f>
        <v>4113.4849999999997</v>
      </c>
      <c r="V26" s="563">
        <f t="shared" ref="V26:AA26" si="50">+V10</f>
        <v>4040.8483870967739</v>
      </c>
      <c r="W26" s="563">
        <f t="shared" si="50"/>
        <v>4047.411612903225</v>
      </c>
      <c r="X26" s="563">
        <f t="shared" si="50"/>
        <v>3922.2551612903212</v>
      </c>
      <c r="Y26" s="563">
        <f t="shared" si="50"/>
        <v>3877.8448387096769</v>
      </c>
      <c r="Z26" s="563">
        <f t="shared" si="50"/>
        <v>3786.1833333333334</v>
      </c>
      <c r="AA26" s="563">
        <f t="shared" si="50"/>
        <v>3791.4719354838708</v>
      </c>
      <c r="AB26" s="563">
        <f t="shared" ref="AB26:AC26" si="51">+AB10</f>
        <v>3702.9990322580647</v>
      </c>
      <c r="AC26" s="563">
        <f t="shared" si="51"/>
        <v>3672.2837037037034</v>
      </c>
      <c r="AD26" s="704"/>
      <c r="AE26" s="704"/>
      <c r="AF26" s="704"/>
      <c r="AG26" s="704"/>
      <c r="AH26" s="704"/>
      <c r="AI26" s="704"/>
      <c r="AJ26" s="714"/>
      <c r="AK26" s="573"/>
    </row>
    <row r="27" spans="1:37" ht="14.25" customHeight="1" x14ac:dyDescent="0.35">
      <c r="A27" s="573"/>
      <c r="D27" s="558" t="s">
        <v>454</v>
      </c>
      <c r="E27" s="559">
        <f>549/E26*1000</f>
        <v>139.64108880931173</v>
      </c>
      <c r="F27" s="559">
        <f t="shared" ref="F27:Q27" si="52">549/F26*1000</f>
        <v>140.69707845738009</v>
      </c>
      <c r="G27" s="559">
        <f t="shared" si="52"/>
        <v>141.93472105906221</v>
      </c>
      <c r="H27" s="559">
        <f t="shared" si="52"/>
        <v>141.8934399358624</v>
      </c>
      <c r="I27" s="559">
        <f t="shared" si="52"/>
        <v>135.79707316494</v>
      </c>
      <c r="J27" s="560">
        <f t="shared" si="52"/>
        <v>136.05326415075794</v>
      </c>
      <c r="K27" s="560">
        <f t="shared" si="52"/>
        <v>135.03719771353198</v>
      </c>
      <c r="L27" s="560">
        <f t="shared" si="52"/>
        <v>131.26082035063931</v>
      </c>
      <c r="M27" s="560">
        <f t="shared" si="52"/>
        <v>129.19258166312508</v>
      </c>
      <c r="N27" s="560">
        <f t="shared" si="52"/>
        <v>124.52785080126904</v>
      </c>
      <c r="O27" s="560">
        <f t="shared" si="52"/>
        <v>125.19529811803932</v>
      </c>
      <c r="P27" s="560">
        <f t="shared" si="52"/>
        <v>127.42570427802657</v>
      </c>
      <c r="Q27" s="560">
        <f t="shared" si="52"/>
        <v>132.98631110345534</v>
      </c>
      <c r="R27" s="560">
        <f t="shared" ref="R27:S27" si="53">549/R26*1000</f>
        <v>132.68290461971014</v>
      </c>
      <c r="S27" s="560">
        <f t="shared" si="53"/>
        <v>128.21028791422265</v>
      </c>
      <c r="T27" s="560">
        <f t="shared" ref="T27:U27" si="54">549/T26*1000</f>
        <v>130.6092666349922</v>
      </c>
      <c r="U27" s="560">
        <f t="shared" si="54"/>
        <v>133.46347440187577</v>
      </c>
      <c r="V27" s="560">
        <f t="shared" ref="V27:W27" si="55">549/V26*1000</f>
        <v>135.8625584055728</v>
      </c>
      <c r="W27" s="560">
        <f t="shared" si="55"/>
        <v>135.64224558969431</v>
      </c>
      <c r="X27" s="560">
        <f t="shared" ref="X27:AC27" si="56">549/X26*1000</f>
        <v>139.97049590710287</v>
      </c>
      <c r="Y27" s="560">
        <f t="shared" si="56"/>
        <v>141.57348290982046</v>
      </c>
      <c r="Z27" s="560">
        <f t="shared" si="56"/>
        <v>145.000902403916</v>
      </c>
      <c r="AA27" s="560">
        <f t="shared" si="56"/>
        <v>144.79864531291491</v>
      </c>
      <c r="AB27" s="560">
        <f t="shared" si="56"/>
        <v>148.25820779791655</v>
      </c>
      <c r="AC27" s="560">
        <f t="shared" si="56"/>
        <v>149.49825348360281</v>
      </c>
      <c r="AD27" s="704"/>
      <c r="AE27" s="704"/>
      <c r="AF27" s="704"/>
      <c r="AG27" s="704"/>
      <c r="AH27" s="704"/>
      <c r="AI27" s="704"/>
      <c r="AJ27" s="714"/>
      <c r="AK27" s="573"/>
    </row>
    <row r="28" spans="1:37" ht="14.25" customHeight="1" x14ac:dyDescent="0.35">
      <c r="A28" s="573"/>
      <c r="D28" s="558" t="s">
        <v>455</v>
      </c>
      <c r="E28" s="559">
        <f>4500000/18/E26</f>
        <v>63.58883825560644</v>
      </c>
      <c r="F28" s="559">
        <f t="shared" ref="F28:Q28" si="57">4500000/18/F26</f>
        <v>64.069707858551951</v>
      </c>
      <c r="G28" s="559">
        <f t="shared" si="57"/>
        <v>64.633297385729605</v>
      </c>
      <c r="H28" s="559">
        <f t="shared" si="57"/>
        <v>64.614499060046626</v>
      </c>
      <c r="I28" s="559">
        <f t="shared" si="57"/>
        <v>61.838375758169398</v>
      </c>
      <c r="J28" s="560">
        <f t="shared" si="57"/>
        <v>61.955038320017273</v>
      </c>
      <c r="K28" s="560">
        <f t="shared" si="57"/>
        <v>61.492348685579223</v>
      </c>
      <c r="L28" s="560">
        <f t="shared" si="57"/>
        <v>59.772686862768346</v>
      </c>
      <c r="M28" s="560">
        <f t="shared" si="57"/>
        <v>58.830865966814706</v>
      </c>
      <c r="N28" s="560">
        <f t="shared" si="57"/>
        <v>56.706671585277341</v>
      </c>
      <c r="O28" s="560">
        <f t="shared" si="57"/>
        <v>57.010609343369453</v>
      </c>
      <c r="P28" s="560">
        <f t="shared" si="57"/>
        <v>58.026276993636877</v>
      </c>
      <c r="Q28" s="560">
        <f t="shared" si="57"/>
        <v>60.558429464232844</v>
      </c>
      <c r="R28" s="560">
        <f t="shared" ref="R28:S28" si="58">4500000/18/R26</f>
        <v>60.420266220268736</v>
      </c>
      <c r="S28" s="560">
        <f t="shared" si="58"/>
        <v>58.38355551649483</v>
      </c>
      <c r="T28" s="560">
        <f t="shared" ref="T28:U28" si="59">4500000/18/T26</f>
        <v>59.475986627956374</v>
      </c>
      <c r="U28" s="560">
        <f t="shared" si="59"/>
        <v>60.7757169407449</v>
      </c>
      <c r="V28" s="560">
        <f t="shared" ref="V28:W28" si="60">4500000/18/V26</f>
        <v>61.868195995251718</v>
      </c>
      <c r="W28" s="560">
        <f t="shared" si="60"/>
        <v>61.767871397857157</v>
      </c>
      <c r="X28" s="560">
        <f t="shared" ref="X28:Y28" si="61">4500000/18/X26</f>
        <v>63.738841487751763</v>
      </c>
      <c r="Y28" s="560">
        <f t="shared" si="61"/>
        <v>64.468799139262515</v>
      </c>
      <c r="Z28" s="560">
        <f t="shared" ref="Z28:AA28" si="62">4500000/18/Z26</f>
        <v>66.02955482874134</v>
      </c>
      <c r="AA28" s="560">
        <f t="shared" si="62"/>
        <v>65.937452328285474</v>
      </c>
      <c r="AB28" s="560">
        <f t="shared" ref="AB28:AC28" si="63">4500000/18/AB26</f>
        <v>67.512845081018455</v>
      </c>
      <c r="AC28" s="560">
        <f t="shared" si="63"/>
        <v>68.077528908744455</v>
      </c>
      <c r="AD28" s="704"/>
      <c r="AE28" s="704"/>
      <c r="AF28" s="704"/>
      <c r="AG28" s="704"/>
      <c r="AH28" s="704"/>
      <c r="AI28" s="704"/>
      <c r="AJ28" s="714"/>
      <c r="AK28" s="573"/>
    </row>
    <row r="29" spans="1:37" ht="14.25" customHeight="1" x14ac:dyDescent="0.35">
      <c r="A29" s="573"/>
      <c r="C29" s="685">
        <v>0.7</v>
      </c>
      <c r="D29" s="564" t="s">
        <v>456</v>
      </c>
      <c r="E29" s="565">
        <f>+E25+E27+E28</f>
        <v>673.7873301564058</v>
      </c>
      <c r="F29" s="565">
        <f t="shared" ref="F29:S29" si="64">+F25+F27+F28</f>
        <v>677.76678631593199</v>
      </c>
      <c r="G29" s="565">
        <f t="shared" si="64"/>
        <v>704.56801844479185</v>
      </c>
      <c r="H29" s="565">
        <f t="shared" si="64"/>
        <v>725.50793899590917</v>
      </c>
      <c r="I29" s="565">
        <f t="shared" si="64"/>
        <v>744.63544892310949</v>
      </c>
      <c r="J29" s="565">
        <f t="shared" si="64"/>
        <v>810.12408107254589</v>
      </c>
      <c r="K29" s="565">
        <f t="shared" si="64"/>
        <v>871.46956557202884</v>
      </c>
      <c r="L29" s="565">
        <f t="shared" si="64"/>
        <v>906.6321143344702</v>
      </c>
      <c r="M29" s="565">
        <f>+M25+M27+M28</f>
        <v>940.35256161356631</v>
      </c>
      <c r="N29" s="565">
        <f t="shared" si="64"/>
        <v>908.89453216882532</v>
      </c>
      <c r="O29" s="565">
        <f t="shared" si="64"/>
        <v>936.11420541812629</v>
      </c>
      <c r="P29" s="565">
        <f t="shared" si="64"/>
        <v>933.29463916565555</v>
      </c>
      <c r="Q29" s="565">
        <f t="shared" si="64"/>
        <v>973.53731206700718</v>
      </c>
      <c r="R29" s="565">
        <f t="shared" si="64"/>
        <v>985.40317083997888</v>
      </c>
      <c r="S29" s="596">
        <f t="shared" si="64"/>
        <v>941.5900000000006</v>
      </c>
      <c r="T29" s="596">
        <f t="shared" ref="T29:U29" si="65">+T25+T27+T28</f>
        <v>935.08525326294853</v>
      </c>
      <c r="U29" s="596">
        <f t="shared" si="65"/>
        <v>926.23919134262076</v>
      </c>
      <c r="V29" s="596">
        <f t="shared" ref="V29:W29" si="66">+V25+V27+V28</f>
        <v>841.15999275144259</v>
      </c>
      <c r="W29" s="596">
        <f t="shared" si="66"/>
        <v>716.26023672955159</v>
      </c>
      <c r="X29" s="596">
        <f t="shared" ref="X29:Y29" si="67">+X25+X27+X28</f>
        <v>708.52096197784863</v>
      </c>
      <c r="Y29" s="596">
        <f t="shared" si="67"/>
        <v>694.97365472124989</v>
      </c>
      <c r="Z29" s="596">
        <f t="shared" ref="Z29:AA29" si="68">+Z25+Z27+Z28</f>
        <v>683.80206980644539</v>
      </c>
      <c r="AA29" s="596">
        <f t="shared" si="68"/>
        <v>672.2982639391987</v>
      </c>
      <c r="AB29" s="596">
        <f t="shared" ref="AB29:AC29" si="69">+AB25+AB27+AB28</f>
        <v>683.77009498055497</v>
      </c>
      <c r="AC29" s="596">
        <f t="shared" si="69"/>
        <v>703.64661569962618</v>
      </c>
      <c r="AD29" s="704"/>
      <c r="AE29" s="704"/>
      <c r="AF29" s="704"/>
      <c r="AG29" s="704"/>
      <c r="AH29" s="704"/>
      <c r="AI29" s="704"/>
      <c r="AJ29" s="714"/>
      <c r="AK29" s="573"/>
    </row>
    <row r="30" spans="1:37" ht="14.25" customHeight="1" x14ac:dyDescent="0.35">
      <c r="A30" s="573"/>
      <c r="C30" s="685">
        <v>0.72</v>
      </c>
      <c r="D30" s="566" t="s">
        <v>457</v>
      </c>
      <c r="E30" s="567">
        <f t="shared" ref="E30:K30" si="70">+E29/$C$29</f>
        <v>962.55332879486548</v>
      </c>
      <c r="F30" s="567">
        <f t="shared" si="70"/>
        <v>968.23826616561723</v>
      </c>
      <c r="G30" s="567">
        <f t="shared" si="70"/>
        <v>1006.525740635417</v>
      </c>
      <c r="H30" s="567">
        <f t="shared" si="70"/>
        <v>1036.4399128512989</v>
      </c>
      <c r="I30" s="567">
        <f t="shared" si="70"/>
        <v>1063.7649270330137</v>
      </c>
      <c r="J30" s="567">
        <f t="shared" si="70"/>
        <v>1157.3201158179227</v>
      </c>
      <c r="K30" s="567">
        <f t="shared" si="70"/>
        <v>1244.9565222457557</v>
      </c>
      <c r="L30" s="567">
        <f t="shared" ref="L30:W30" si="71">+L29/$C$30</f>
        <v>1259.2112699089864</v>
      </c>
      <c r="M30" s="567">
        <f t="shared" si="71"/>
        <v>1306.0452244632866</v>
      </c>
      <c r="N30" s="567">
        <f t="shared" si="71"/>
        <v>1262.3535169011463</v>
      </c>
      <c r="O30" s="567">
        <f t="shared" si="71"/>
        <v>1300.1586186362865</v>
      </c>
      <c r="P30" s="567">
        <f t="shared" si="71"/>
        <v>1296.2425543967438</v>
      </c>
      <c r="Q30" s="567">
        <f t="shared" si="71"/>
        <v>1352.1351556486211</v>
      </c>
      <c r="R30" s="567">
        <f t="shared" si="71"/>
        <v>1368.6155150555262</v>
      </c>
      <c r="S30" s="567">
        <f t="shared" si="71"/>
        <v>1307.7638888888898</v>
      </c>
      <c r="T30" s="567">
        <f t="shared" si="71"/>
        <v>1298.7295184207619</v>
      </c>
      <c r="U30" s="567">
        <f t="shared" si="71"/>
        <v>1286.4433213091957</v>
      </c>
      <c r="V30" s="567">
        <f t="shared" si="71"/>
        <v>1168.277767710337</v>
      </c>
      <c r="W30" s="567">
        <f t="shared" si="71"/>
        <v>994.80588434659944</v>
      </c>
      <c r="X30" s="713">
        <f t="shared" ref="X30:Y30" si="72">+X29/$C$30</f>
        <v>984.05689163590091</v>
      </c>
      <c r="Y30" s="713">
        <f t="shared" si="72"/>
        <v>965.24118711284711</v>
      </c>
      <c r="Z30" s="713">
        <f t="shared" ref="Z30:AA30" si="73">+Z29/$C$30</f>
        <v>949.72509695339636</v>
      </c>
      <c r="AA30" s="713">
        <f t="shared" si="73"/>
        <v>933.74758880444267</v>
      </c>
      <c r="AB30" s="713">
        <f t="shared" ref="AB30:AC30" si="74">+AB29/$C$30</f>
        <v>949.6806874729931</v>
      </c>
      <c r="AC30" s="713">
        <f t="shared" si="74"/>
        <v>977.28696624948088</v>
      </c>
      <c r="AD30" s="704"/>
      <c r="AE30" s="704"/>
      <c r="AF30" s="704"/>
      <c r="AG30" s="704"/>
      <c r="AH30" s="704"/>
      <c r="AI30" s="704"/>
      <c r="AJ30" s="714"/>
      <c r="AK30" s="573"/>
    </row>
    <row r="31" spans="1:37" ht="14.25" customHeight="1" x14ac:dyDescent="0.35">
      <c r="A31" s="573"/>
      <c r="D31" s="558" t="s">
        <v>458</v>
      </c>
      <c r="E31" s="559">
        <v>601.25</v>
      </c>
      <c r="F31" s="559">
        <v>601.25</v>
      </c>
      <c r="G31" s="559">
        <v>601.25</v>
      </c>
      <c r="H31" s="559">
        <v>601.25</v>
      </c>
      <c r="I31" s="559">
        <v>601.25</v>
      </c>
      <c r="J31" s="560">
        <v>601.25</v>
      </c>
      <c r="K31" s="560">
        <v>601.25</v>
      </c>
      <c r="L31" s="560">
        <v>601.25</v>
      </c>
      <c r="M31" s="560">
        <v>601.25</v>
      </c>
      <c r="N31" s="560">
        <v>601.25</v>
      </c>
      <c r="O31" s="560">
        <v>601.25</v>
      </c>
      <c r="P31" s="560">
        <v>601.25</v>
      </c>
      <c r="Q31" s="560">
        <v>601.25</v>
      </c>
      <c r="R31" s="560">
        <v>601.25</v>
      </c>
      <c r="S31" s="560">
        <v>601.25</v>
      </c>
      <c r="T31" s="560">
        <v>601.25</v>
      </c>
      <c r="U31" s="560">
        <v>601.25</v>
      </c>
      <c r="V31" s="560">
        <v>601.25</v>
      </c>
      <c r="W31" s="560">
        <v>601.25</v>
      </c>
      <c r="X31" s="560">
        <v>601.25</v>
      </c>
      <c r="Y31" s="560">
        <v>601.25</v>
      </c>
      <c r="Z31" s="560">
        <v>601.25</v>
      </c>
      <c r="AA31" s="560">
        <v>601.25</v>
      </c>
      <c r="AB31" s="560">
        <v>601.25</v>
      </c>
      <c r="AC31" s="560">
        <v>601.25</v>
      </c>
      <c r="AD31" s="704"/>
      <c r="AE31" s="704"/>
      <c r="AF31" s="704"/>
      <c r="AG31" s="704"/>
      <c r="AH31" s="704"/>
      <c r="AI31" s="704"/>
      <c r="AJ31" s="714"/>
      <c r="AK31" s="573"/>
    </row>
    <row r="32" spans="1:37" ht="14.25" customHeight="1" x14ac:dyDescent="0.35">
      <c r="A32" s="573"/>
      <c r="D32" s="558" t="s">
        <v>459</v>
      </c>
      <c r="E32" s="559">
        <v>463.43766794226093</v>
      </c>
      <c r="F32" s="559">
        <v>467.2606400909068</v>
      </c>
      <c r="G32" s="559">
        <v>471.04972246006162</v>
      </c>
      <c r="H32" s="559">
        <v>470.9127196077572</v>
      </c>
      <c r="I32" s="559">
        <v>450.68023629408827</v>
      </c>
      <c r="J32" s="560">
        <v>451.5304771080755</v>
      </c>
      <c r="K32" s="560">
        <v>448.15837893727547</v>
      </c>
      <c r="L32" s="560">
        <v>299.39891661754973</v>
      </c>
      <c r="M32" s="560">
        <v>294.68137469838376</v>
      </c>
      <c r="N32" s="560">
        <v>284.04137288656096</v>
      </c>
      <c r="O32" s="560">
        <v>305.05351284298143</v>
      </c>
      <c r="P32" s="560">
        <v>310.48816769343142</v>
      </c>
      <c r="Q32" s="560">
        <f>1388045.05261181/Q26</f>
        <v>336.23131364707865</v>
      </c>
      <c r="R32" s="560">
        <f t="shared" ref="R32" si="75">1388045.05261181/R26</f>
        <v>335.46420641812989</v>
      </c>
      <c r="S32" s="560">
        <f t="shared" ref="S32:X32" si="76">1252239/S26</f>
        <v>292.44066070567987</v>
      </c>
      <c r="T32" s="560">
        <f t="shared" si="76"/>
        <v>297.91260007602187</v>
      </c>
      <c r="U32" s="560">
        <f t="shared" si="76"/>
        <v>304.42289202464582</v>
      </c>
      <c r="V32" s="560">
        <f t="shared" si="76"/>
        <v>309.8950715395921</v>
      </c>
      <c r="W32" s="560">
        <f t="shared" si="76"/>
        <v>309.39255004552496</v>
      </c>
      <c r="X32" s="560">
        <f t="shared" si="76"/>
        <v>319.26505250312312</v>
      </c>
      <c r="Y32" s="560">
        <f t="shared" ref="Y32:Z32" si="77">1252239/Y26</f>
        <v>322.92137826140379</v>
      </c>
      <c r="Z32" s="560">
        <f t="shared" si="77"/>
        <v>330.73913483675295</v>
      </c>
      <c r="AA32" s="560">
        <f t="shared" ref="AA32:AB32" si="78">1252239/AA26</f>
        <v>330.27779746447953</v>
      </c>
      <c r="AB32" s="560">
        <f t="shared" si="78"/>
        <v>338.16887044563788</v>
      </c>
      <c r="AC32" s="560">
        <f t="shared" ref="AC32" si="79">1252239/AC26</f>
        <v>340.99734689262897</v>
      </c>
      <c r="AD32" s="704"/>
      <c r="AE32" s="704"/>
      <c r="AF32" s="704"/>
      <c r="AG32" s="704"/>
      <c r="AH32" s="704"/>
      <c r="AI32" s="704"/>
      <c r="AJ32" s="714"/>
      <c r="AK32" s="573"/>
    </row>
    <row r="33" spans="1:37" ht="14.25" customHeight="1" x14ac:dyDescent="0.35">
      <c r="A33" s="573"/>
      <c r="D33" s="564" t="s">
        <v>460</v>
      </c>
      <c r="E33" s="565">
        <f>+E32+E31</f>
        <v>1064.687667942261</v>
      </c>
      <c r="F33" s="565">
        <f t="shared" ref="F33:S33" si="80">+F32+F31</f>
        <v>1068.5106400909067</v>
      </c>
      <c r="G33" s="565">
        <f t="shared" si="80"/>
        <v>1072.2997224600617</v>
      </c>
      <c r="H33" s="565">
        <f t="shared" si="80"/>
        <v>1072.1627196077573</v>
      </c>
      <c r="I33" s="565">
        <f t="shared" si="80"/>
        <v>1051.9302362940882</v>
      </c>
      <c r="J33" s="565">
        <f t="shared" si="80"/>
        <v>1052.7804771080755</v>
      </c>
      <c r="K33" s="565">
        <f t="shared" si="80"/>
        <v>1049.4083789372755</v>
      </c>
      <c r="L33" s="565">
        <f t="shared" si="80"/>
        <v>900.64891661754973</v>
      </c>
      <c r="M33" s="565">
        <f t="shared" si="80"/>
        <v>895.93137469838371</v>
      </c>
      <c r="N33" s="565">
        <f t="shared" si="80"/>
        <v>885.29137288656102</v>
      </c>
      <c r="O33" s="565">
        <f t="shared" si="80"/>
        <v>906.30351284298149</v>
      </c>
      <c r="P33" s="565">
        <f t="shared" si="80"/>
        <v>911.73816769343148</v>
      </c>
      <c r="Q33" s="565">
        <f t="shared" si="80"/>
        <v>937.48131364707865</v>
      </c>
      <c r="R33" s="565">
        <f t="shared" si="80"/>
        <v>936.71420641812983</v>
      </c>
      <c r="S33" s="565">
        <f t="shared" si="80"/>
        <v>893.69066070567987</v>
      </c>
      <c r="T33" s="565">
        <f t="shared" ref="T33:U33" si="81">+T32+T31</f>
        <v>899.16260007602182</v>
      </c>
      <c r="U33" s="565">
        <f t="shared" si="81"/>
        <v>905.67289202464576</v>
      </c>
      <c r="V33" s="565">
        <f t="shared" ref="V33:W33" si="82">+V32+V31</f>
        <v>911.1450715395921</v>
      </c>
      <c r="W33" s="565">
        <f t="shared" si="82"/>
        <v>910.64255004552501</v>
      </c>
      <c r="X33" s="565">
        <f t="shared" ref="X33:Y33" si="83">+X32+X31</f>
        <v>920.51505250312312</v>
      </c>
      <c r="Y33" s="565">
        <f t="shared" si="83"/>
        <v>924.17137826140379</v>
      </c>
      <c r="Z33" s="565">
        <f t="shared" ref="Z33:AA33" si="84">+Z32+Z31</f>
        <v>931.98913483675301</v>
      </c>
      <c r="AA33" s="565">
        <f t="shared" si="84"/>
        <v>931.52779746447959</v>
      </c>
      <c r="AB33" s="565">
        <f t="shared" ref="AB33:AC33" si="85">+AB32+AB31</f>
        <v>939.41887044563782</v>
      </c>
      <c r="AC33" s="565">
        <f t="shared" si="85"/>
        <v>942.24734689262891</v>
      </c>
      <c r="AD33" s="704"/>
      <c r="AE33" s="704"/>
      <c r="AF33" s="704"/>
      <c r="AG33" s="704"/>
      <c r="AH33" s="704"/>
      <c r="AI33" s="704"/>
      <c r="AJ33" s="714"/>
      <c r="AK33" s="573"/>
    </row>
    <row r="34" spans="1:37" ht="14.25" customHeight="1" x14ac:dyDescent="0.35">
      <c r="A34" s="573"/>
      <c r="D34" s="566" t="s">
        <v>461</v>
      </c>
      <c r="E34" s="567">
        <f>+E33/100%</f>
        <v>1064.687667942261</v>
      </c>
      <c r="F34" s="567">
        <f t="shared" ref="F34:Q34" si="86">+F33/100%</f>
        <v>1068.5106400909067</v>
      </c>
      <c r="G34" s="567">
        <f t="shared" si="86"/>
        <v>1072.2997224600617</v>
      </c>
      <c r="H34" s="567">
        <f t="shared" si="86"/>
        <v>1072.1627196077573</v>
      </c>
      <c r="I34" s="567">
        <f t="shared" si="86"/>
        <v>1051.9302362940882</v>
      </c>
      <c r="J34" s="567">
        <f t="shared" si="86"/>
        <v>1052.7804771080755</v>
      </c>
      <c r="K34" s="567">
        <f t="shared" si="86"/>
        <v>1049.4083789372755</v>
      </c>
      <c r="L34" s="567">
        <f t="shared" si="86"/>
        <v>900.64891661754973</v>
      </c>
      <c r="M34" s="567">
        <f t="shared" si="86"/>
        <v>895.93137469838371</v>
      </c>
      <c r="N34" s="567">
        <f t="shared" si="86"/>
        <v>885.29137288656102</v>
      </c>
      <c r="O34" s="567">
        <f t="shared" si="86"/>
        <v>906.30351284298149</v>
      </c>
      <c r="P34" s="567">
        <f t="shared" si="86"/>
        <v>911.73816769343148</v>
      </c>
      <c r="Q34" s="567">
        <f t="shared" si="86"/>
        <v>937.48131364707865</v>
      </c>
      <c r="R34" s="567">
        <f>+R33/100%</f>
        <v>936.71420641812983</v>
      </c>
      <c r="S34" s="567">
        <f>+S33/100%</f>
        <v>893.69066070567987</v>
      </c>
      <c r="T34" s="567">
        <f t="shared" ref="T34:U34" si="87">+T33/100%</f>
        <v>899.16260007602182</v>
      </c>
      <c r="U34" s="567">
        <f t="shared" si="87"/>
        <v>905.67289202464576</v>
      </c>
      <c r="V34" s="567">
        <f t="shared" ref="V34:W34" si="88">+V33/100%</f>
        <v>911.1450715395921</v>
      </c>
      <c r="W34" s="567">
        <f t="shared" si="88"/>
        <v>910.64255004552501</v>
      </c>
      <c r="X34" s="567">
        <f t="shared" ref="X34:Y34" si="89">+X33/100%</f>
        <v>920.51505250312312</v>
      </c>
      <c r="Y34" s="567">
        <f t="shared" si="89"/>
        <v>924.17137826140379</v>
      </c>
      <c r="Z34" s="567">
        <f t="shared" ref="Z34:AA34" si="90">+Z33/100%</f>
        <v>931.98913483675301</v>
      </c>
      <c r="AA34" s="567">
        <f t="shared" si="90"/>
        <v>931.52779746447959</v>
      </c>
      <c r="AB34" s="567">
        <f t="shared" ref="AB34:AC34" si="91">+AB33/100%</f>
        <v>939.41887044563782</v>
      </c>
      <c r="AC34" s="567">
        <f t="shared" si="91"/>
        <v>942.24734689262891</v>
      </c>
      <c r="AD34" s="704"/>
      <c r="AE34" s="704"/>
      <c r="AF34" s="704"/>
      <c r="AG34" s="704"/>
      <c r="AH34" s="704"/>
      <c r="AI34" s="704"/>
      <c r="AJ34" s="714"/>
      <c r="AK34" s="573"/>
    </row>
    <row r="35" spans="1:37" ht="14.25" customHeight="1" x14ac:dyDescent="0.35">
      <c r="A35" s="573"/>
      <c r="D35" s="558" t="s">
        <v>462</v>
      </c>
      <c r="E35" s="559">
        <f t="shared" ref="E35:Q35" si="92">780000/10/E26</f>
        <v>19.839717535749209</v>
      </c>
      <c r="F35" s="559">
        <f t="shared" si="92"/>
        <v>19.989748851868207</v>
      </c>
      <c r="G35" s="559">
        <f t="shared" si="92"/>
        <v>20.165588784347637</v>
      </c>
      <c r="H35" s="559">
        <f t="shared" si="92"/>
        <v>20.159723706734546</v>
      </c>
      <c r="I35" s="559">
        <f t="shared" si="92"/>
        <v>19.293573236548852</v>
      </c>
      <c r="J35" s="560">
        <f t="shared" si="92"/>
        <v>19.329971955845387</v>
      </c>
      <c r="K35" s="560">
        <f t="shared" si="92"/>
        <v>19.185612789900716</v>
      </c>
      <c r="L35" s="560">
        <f t="shared" si="92"/>
        <v>18.649078301183724</v>
      </c>
      <c r="M35" s="560">
        <f t="shared" si="92"/>
        <v>18.355230181646188</v>
      </c>
      <c r="N35" s="560">
        <f t="shared" si="92"/>
        <v>17.692481534606532</v>
      </c>
      <c r="O35" s="560">
        <f t="shared" si="92"/>
        <v>17.78731011513127</v>
      </c>
      <c r="P35" s="560">
        <f t="shared" si="92"/>
        <v>18.104198422014704</v>
      </c>
      <c r="Q35" s="560">
        <f t="shared" si="92"/>
        <v>18.894229992840646</v>
      </c>
      <c r="R35" s="560">
        <f t="shared" ref="R35:S35" si="93">780000/10/R26</f>
        <v>18.851123060723847</v>
      </c>
      <c r="S35" s="560">
        <f t="shared" si="93"/>
        <v>18.215669321146386</v>
      </c>
      <c r="T35" s="560">
        <f t="shared" ref="T35:U35" si="94">780000/10/T26</f>
        <v>18.556507827922388</v>
      </c>
      <c r="U35" s="560">
        <f t="shared" si="94"/>
        <v>18.962023685512406</v>
      </c>
      <c r="V35" s="560">
        <f t="shared" ref="V35:W35" si="95">780000/10/V26</f>
        <v>19.302877150518537</v>
      </c>
      <c r="W35" s="560">
        <f t="shared" si="95"/>
        <v>19.271575876131433</v>
      </c>
      <c r="X35" s="560">
        <f t="shared" ref="X35:Y35" si="96">780000/10/X26</f>
        <v>19.88651854417855</v>
      </c>
      <c r="Y35" s="560">
        <f t="shared" si="96"/>
        <v>20.114265331449904</v>
      </c>
      <c r="Z35" s="560">
        <f t="shared" ref="Z35:AA35" si="97">780000/10/Z26</f>
        <v>20.601221106567298</v>
      </c>
      <c r="AA35" s="560">
        <f t="shared" si="97"/>
        <v>20.572485126425068</v>
      </c>
      <c r="AB35" s="560">
        <f t="shared" ref="AB35:AC35" si="98">780000/10/AB26</f>
        <v>21.06400766527776</v>
      </c>
      <c r="AC35" s="560">
        <f t="shared" si="98"/>
        <v>21.240189019528266</v>
      </c>
      <c r="AD35" s="704"/>
      <c r="AE35" s="704"/>
      <c r="AF35" s="704"/>
      <c r="AG35" s="704"/>
      <c r="AH35" s="704"/>
      <c r="AI35" s="704"/>
      <c r="AJ35" s="714"/>
      <c r="AK35" s="573"/>
    </row>
    <row r="36" spans="1:37" ht="14.25" customHeight="1" x14ac:dyDescent="0.35">
      <c r="A36" s="573"/>
      <c r="D36" s="558" t="s">
        <v>463</v>
      </c>
      <c r="E36" s="568">
        <f>+((5.25274%+2.5%)/365)*210</f>
        <v>4.4604805479452052E-2</v>
      </c>
      <c r="F36" s="568">
        <f t="shared" ref="F36:N36" si="99">+((5.25274%+2.5%)/365)*210</f>
        <v>4.4604805479452052E-2</v>
      </c>
      <c r="G36" s="568">
        <f t="shared" si="99"/>
        <v>4.4604805479452052E-2</v>
      </c>
      <c r="H36" s="568">
        <f t="shared" si="99"/>
        <v>4.4604805479452052E-2</v>
      </c>
      <c r="I36" s="568">
        <f t="shared" si="99"/>
        <v>4.4604805479452052E-2</v>
      </c>
      <c r="J36" s="568">
        <f t="shared" si="99"/>
        <v>4.4604805479452052E-2</v>
      </c>
      <c r="K36" s="568">
        <f t="shared" si="99"/>
        <v>4.4604805479452052E-2</v>
      </c>
      <c r="L36" s="568">
        <f t="shared" si="99"/>
        <v>4.4604805479452052E-2</v>
      </c>
      <c r="M36" s="568">
        <f t="shared" si="99"/>
        <v>4.4604805479452052E-2</v>
      </c>
      <c r="N36" s="568">
        <f t="shared" si="99"/>
        <v>4.4604805479452052E-2</v>
      </c>
      <c r="O36" s="568">
        <f>+((4.2378%+2.5%)/365)*210</f>
        <v>3.8765424657534242E-2</v>
      </c>
      <c r="P36" s="568">
        <f t="shared" ref="P36:Z36" si="100">+((4.2378%+2.5%)/365)*210</f>
        <v>3.8765424657534242E-2</v>
      </c>
      <c r="Q36" s="568">
        <f t="shared" si="100"/>
        <v>3.8765424657534242E-2</v>
      </c>
      <c r="R36" s="568">
        <f t="shared" si="100"/>
        <v>3.8765424657534242E-2</v>
      </c>
      <c r="S36" s="568">
        <f t="shared" si="100"/>
        <v>3.8765424657534242E-2</v>
      </c>
      <c r="T36" s="568">
        <f t="shared" si="100"/>
        <v>3.8765424657534242E-2</v>
      </c>
      <c r="U36" s="568">
        <f t="shared" si="100"/>
        <v>3.8765424657534242E-2</v>
      </c>
      <c r="V36" s="568">
        <f t="shared" si="100"/>
        <v>3.8765424657534242E-2</v>
      </c>
      <c r="W36" s="568">
        <f t="shared" si="100"/>
        <v>3.8765424657534242E-2</v>
      </c>
      <c r="X36" s="568">
        <f t="shared" si="100"/>
        <v>3.8765424657534242E-2</v>
      </c>
      <c r="Y36" s="568">
        <f t="shared" si="100"/>
        <v>3.8765424657534242E-2</v>
      </c>
      <c r="Z36" s="568">
        <f t="shared" si="100"/>
        <v>3.8765424657534242E-2</v>
      </c>
      <c r="AA36" s="568">
        <f>+((3.497%+2.5%)/365)*210</f>
        <v>3.4503287671232875E-2</v>
      </c>
      <c r="AB36" s="568">
        <f>+((3.497%+2.5%)/365)*210</f>
        <v>3.4503287671232875E-2</v>
      </c>
      <c r="AC36" s="568">
        <f>+((3.497%+2.5%)/365)*210</f>
        <v>3.4503287671232875E-2</v>
      </c>
      <c r="AD36" s="704"/>
      <c r="AE36" s="704"/>
      <c r="AF36" s="704"/>
      <c r="AG36" s="704"/>
      <c r="AH36" s="704"/>
      <c r="AI36" s="704"/>
      <c r="AJ36" s="714"/>
      <c r="AK36" s="573"/>
    </row>
    <row r="37" spans="1:37" ht="14.25" customHeight="1" x14ac:dyDescent="0.35">
      <c r="A37" s="573"/>
      <c r="D37" s="558" t="s">
        <v>464</v>
      </c>
      <c r="E37" s="569">
        <f>(E30+E34+E35)*E36</f>
        <v>91.309637060879382</v>
      </c>
      <c r="F37" s="569">
        <f t="shared" ref="F37:Q37" si="101">(F30+F34+F35)*F36</f>
        <v>91.740427633179664</v>
      </c>
      <c r="G37" s="569">
        <f t="shared" si="101"/>
        <v>93.625087572210106</v>
      </c>
      <c r="H37" s="569">
        <f t="shared" si="101"/>
        <v>94.953030808755116</v>
      </c>
      <c r="I37" s="569">
        <f t="shared" si="101"/>
        <v>95.230757295242753</v>
      </c>
      <c r="J37" s="569">
        <f t="shared" si="101"/>
        <v>99.443316676499535</v>
      </c>
      <c r="K37" s="569">
        <f t="shared" si="101"/>
        <v>103.19547064264896</v>
      </c>
      <c r="L37" s="569">
        <f t="shared" si="101"/>
        <v>97.171981992824541</v>
      </c>
      <c r="M37" s="569">
        <f t="shared" si="101"/>
        <v>99.037469347694568</v>
      </c>
      <c r="N37" s="569">
        <f t="shared" si="101"/>
        <v>96.584452245219836</v>
      </c>
      <c r="O37" s="569">
        <f t="shared" si="101"/>
        <v>86.223974147690299</v>
      </c>
      <c r="P37" s="569">
        <f t="shared" si="101"/>
        <v>86.295127267388395</v>
      </c>
      <c r="Q37" s="569">
        <f t="shared" si="101"/>
        <v>89.490397584381611</v>
      </c>
      <c r="R37" s="569">
        <f t="shared" ref="R37:S37" si="102">(R30+R34+R35)*R36</f>
        <v>90.097857419281794</v>
      </c>
      <c r="S37" s="569">
        <f t="shared" si="102"/>
        <v>86.046458635949719</v>
      </c>
      <c r="T37" s="569">
        <f t="shared" ref="T37:U37" si="103">(T30+T34+T35)*T36</f>
        <v>85.921572231085676</v>
      </c>
      <c r="U37" s="569">
        <f t="shared" si="103"/>
        <v>85.713386809087396</v>
      </c>
      <c r="V37" s="569">
        <f t="shared" ref="V37:W37" si="104">(V30+V34+V35)*V36</f>
        <v>81.357993635951132</v>
      </c>
      <c r="W37" s="569">
        <f t="shared" si="104"/>
        <v>74.612588544902607</v>
      </c>
      <c r="X37" s="569">
        <f t="shared" ref="X37:Y37" si="105">(X30+X34+X35)*X36</f>
        <v>74.602449541699855</v>
      </c>
      <c r="Y37" s="569">
        <f t="shared" si="105"/>
        <v>74.023618487261984</v>
      </c>
      <c r="Z37" s="569">
        <f t="shared" ref="Z37:AA37" si="106">(Z30+Z34+Z35)*Z36</f>
        <v>73.744066364130802</v>
      </c>
      <c r="AA37" s="569">
        <f t="shared" si="106"/>
        <v>65.06795161093585</v>
      </c>
      <c r="AB37" s="569">
        <f t="shared" ref="AB37:AC37" si="107">(AB30+AB34+AB35)*AB36</f>
        <v>65.906923002449517</v>
      </c>
      <c r="AC37" s="569">
        <f t="shared" si="107"/>
        <v>66.963100953076776</v>
      </c>
      <c r="AD37" s="704"/>
      <c r="AE37" s="704"/>
      <c r="AF37" s="704"/>
      <c r="AG37" s="704"/>
      <c r="AH37" s="704"/>
      <c r="AI37" s="704"/>
      <c r="AJ37" s="682"/>
      <c r="AK37" s="573"/>
    </row>
    <row r="38" spans="1:37" ht="14.25" customHeight="1" x14ac:dyDescent="0.35">
      <c r="A38" s="573"/>
      <c r="D38" s="558" t="s">
        <v>478</v>
      </c>
      <c r="E38" s="569"/>
      <c r="F38" s="569"/>
      <c r="G38" s="569"/>
      <c r="H38" s="569"/>
      <c r="I38" s="569"/>
      <c r="J38" s="569"/>
      <c r="K38" s="569"/>
      <c r="L38" s="569"/>
      <c r="M38" s="569"/>
      <c r="N38" s="569"/>
      <c r="O38" s="569">
        <f t="shared" ref="O38:R38" si="108">O30+O34</f>
        <v>2206.462131479268</v>
      </c>
      <c r="P38" s="569">
        <f t="shared" si="108"/>
        <v>2207.9807220901753</v>
      </c>
      <c r="Q38" s="569">
        <f t="shared" si="108"/>
        <v>2289.6164692957</v>
      </c>
      <c r="R38" s="569">
        <f t="shared" si="108"/>
        <v>2305.3297214736558</v>
      </c>
      <c r="S38" s="569">
        <f t="shared" ref="S38:X38" si="109">S30+S34</f>
        <v>2201.4545495945695</v>
      </c>
      <c r="T38" s="569">
        <f t="shared" si="109"/>
        <v>2197.892118496784</v>
      </c>
      <c r="U38" s="569">
        <f t="shared" si="109"/>
        <v>2192.1162133338412</v>
      </c>
      <c r="V38" s="569">
        <f t="shared" si="109"/>
        <v>2079.422839249929</v>
      </c>
      <c r="W38" s="569">
        <f t="shared" si="109"/>
        <v>1905.4484343921245</v>
      </c>
      <c r="X38" s="569">
        <f t="shared" si="109"/>
        <v>1904.571944139024</v>
      </c>
      <c r="Y38" s="569">
        <f t="shared" ref="Y38:Z38" si="110">Y30+Y34</f>
        <v>1889.4125653742508</v>
      </c>
      <c r="Z38" s="569">
        <f t="shared" si="110"/>
        <v>1881.7142317901494</v>
      </c>
      <c r="AA38" s="569">
        <f t="shared" ref="AA38:AB38" si="111">AA30+AA34</f>
        <v>1865.2753862689224</v>
      </c>
      <c r="AB38" s="569">
        <f t="shared" si="111"/>
        <v>1889.099557918631</v>
      </c>
      <c r="AC38" s="569">
        <f t="shared" ref="AC38" si="112">AC30+AC34</f>
        <v>1919.5343131421098</v>
      </c>
      <c r="AD38" s="704"/>
      <c r="AE38" s="704"/>
      <c r="AF38" s="704"/>
      <c r="AG38" s="704"/>
      <c r="AH38" s="704"/>
      <c r="AI38" s="704"/>
      <c r="AJ38" s="682"/>
      <c r="AK38" s="573"/>
    </row>
    <row r="39" spans="1:37" ht="14.25" customHeight="1" x14ac:dyDescent="0.35">
      <c r="A39" s="573"/>
      <c r="D39" s="558" t="s">
        <v>485</v>
      </c>
      <c r="E39" s="569"/>
      <c r="F39" s="569"/>
      <c r="G39" s="569"/>
      <c r="H39" s="569"/>
      <c r="I39" s="569"/>
      <c r="J39" s="569"/>
      <c r="K39" s="569"/>
      <c r="L39" s="569"/>
      <c r="M39" s="569"/>
      <c r="N39" s="569"/>
      <c r="O39" s="569"/>
      <c r="P39" s="569"/>
      <c r="Q39" s="569"/>
      <c r="R39" s="569"/>
      <c r="S39" s="690"/>
      <c r="T39" s="690"/>
      <c r="U39" s="690">
        <v>-25</v>
      </c>
      <c r="V39" s="690">
        <v>-25</v>
      </c>
      <c r="W39" s="690">
        <v>-25</v>
      </c>
      <c r="X39" s="690">
        <v>-25</v>
      </c>
      <c r="Y39" s="690">
        <v>-25</v>
      </c>
      <c r="Z39" s="690">
        <v>-25</v>
      </c>
      <c r="AA39" s="690">
        <v>-25</v>
      </c>
      <c r="AB39" s="690">
        <v>-25</v>
      </c>
      <c r="AC39" s="690">
        <v>-25</v>
      </c>
      <c r="AD39" s="704"/>
      <c r="AE39" s="704"/>
      <c r="AF39" s="704"/>
      <c r="AG39" s="704"/>
      <c r="AH39" s="704"/>
      <c r="AI39" s="704"/>
      <c r="AJ39" s="681"/>
      <c r="AK39" s="573"/>
    </row>
    <row r="40" spans="1:37" ht="14.25" customHeight="1" thickBot="1" x14ac:dyDescent="0.4">
      <c r="A40" s="573"/>
      <c r="D40" s="570" t="s">
        <v>465</v>
      </c>
      <c r="E40" s="571">
        <f t="shared" ref="E40:N40" si="113">E30+E34+E35+E37</f>
        <v>2138.390351333755</v>
      </c>
      <c r="F40" s="571">
        <f t="shared" si="113"/>
        <v>2148.4790827415718</v>
      </c>
      <c r="G40" s="571">
        <f t="shared" si="113"/>
        <v>2192.6161394520368</v>
      </c>
      <c r="H40" s="571">
        <f t="shared" si="113"/>
        <v>2223.7153869745457</v>
      </c>
      <c r="I40" s="571">
        <f t="shared" si="113"/>
        <v>2230.2194938588937</v>
      </c>
      <c r="J40" s="571">
        <f t="shared" si="113"/>
        <v>2328.8738815583429</v>
      </c>
      <c r="K40" s="571">
        <f t="shared" si="113"/>
        <v>2416.7459846155812</v>
      </c>
      <c r="L40" s="572">
        <f t="shared" si="113"/>
        <v>2275.6812468205444</v>
      </c>
      <c r="M40" s="572">
        <f t="shared" si="113"/>
        <v>2319.3692986910114</v>
      </c>
      <c r="N40" s="572">
        <f t="shared" si="113"/>
        <v>2261.9218235675335</v>
      </c>
      <c r="O40" s="572">
        <f>+O38+O35+O37</f>
        <v>2310.4734157420894</v>
      </c>
      <c r="P40" s="572">
        <f t="shared" ref="P40:S40" si="114">+P38+P35+P37</f>
        <v>2312.3800477795785</v>
      </c>
      <c r="Q40" s="572">
        <f t="shared" si="114"/>
        <v>2398.0010968729225</v>
      </c>
      <c r="R40" s="572">
        <f t="shared" si="114"/>
        <v>2414.2787019536613</v>
      </c>
      <c r="S40" s="572">
        <f t="shared" si="114"/>
        <v>2305.7166775516657</v>
      </c>
      <c r="T40" s="572">
        <f t="shared" ref="T40" si="115">+T38+T35+T37</f>
        <v>2302.3701985557918</v>
      </c>
      <c r="U40" s="572">
        <f t="shared" ref="U40:Z40" si="116">+U38+U35+U37+U39</f>
        <v>2271.7916238284411</v>
      </c>
      <c r="V40" s="572">
        <f t="shared" si="116"/>
        <v>2155.0837100363988</v>
      </c>
      <c r="W40" s="712">
        <f t="shared" si="116"/>
        <v>1974.3325988131585</v>
      </c>
      <c r="X40" s="712">
        <f t="shared" si="116"/>
        <v>1974.0609122249023</v>
      </c>
      <c r="Y40" s="712">
        <f t="shared" si="116"/>
        <v>1958.5504491929626</v>
      </c>
      <c r="Z40" s="712">
        <f t="shared" si="116"/>
        <v>1951.0595192608473</v>
      </c>
      <c r="AA40" s="712">
        <f t="shared" ref="AA40:AB40" si="117">+AA38+AA35+AA37+AA39</f>
        <v>1925.9158230062833</v>
      </c>
      <c r="AB40" s="712">
        <f t="shared" si="117"/>
        <v>1951.0704885863584</v>
      </c>
      <c r="AC40" s="712">
        <f t="shared" ref="AC40" si="118">+AC38+AC35+AC37+AC39</f>
        <v>1982.7376031147148</v>
      </c>
      <c r="AD40" s="257"/>
      <c r="AE40" s="728"/>
      <c r="AF40" s="728"/>
      <c r="AG40" s="721"/>
      <c r="AH40" s="721"/>
      <c r="AI40" s="728"/>
      <c r="AJ40" s="497"/>
      <c r="AK40" s="573"/>
    </row>
    <row r="41" spans="1:37" ht="6.75" customHeight="1" x14ac:dyDescent="0.35">
      <c r="A41" s="573"/>
      <c r="D41" s="733"/>
      <c r="E41" s="734"/>
      <c r="F41" s="734"/>
      <c r="G41" s="734"/>
      <c r="H41" s="734"/>
      <c r="I41" s="734"/>
      <c r="J41" s="734"/>
      <c r="K41" s="734"/>
      <c r="L41" s="735"/>
      <c r="M41" s="735"/>
      <c r="N41" s="735"/>
      <c r="O41" s="735"/>
      <c r="P41" s="735"/>
      <c r="Q41" s="735"/>
      <c r="R41" s="735"/>
      <c r="S41" s="735"/>
      <c r="T41" s="735"/>
      <c r="U41" s="735"/>
      <c r="V41" s="735"/>
      <c r="W41" s="736"/>
      <c r="X41" s="736"/>
      <c r="Y41" s="736"/>
      <c r="Z41" s="736"/>
      <c r="AA41" s="736"/>
      <c r="AB41" s="736"/>
      <c r="AC41" s="736"/>
      <c r="AD41" s="257"/>
      <c r="AE41" s="722"/>
      <c r="AF41" s="721"/>
      <c r="AG41" s="721"/>
      <c r="AH41" s="721"/>
      <c r="AI41" s="728"/>
      <c r="AJ41" s="737"/>
      <c r="AK41" s="573"/>
    </row>
    <row r="42" spans="1:37" ht="14.25" customHeight="1" x14ac:dyDescent="0.35">
      <c r="A42" s="573"/>
      <c r="D42" s="729" t="s">
        <v>510</v>
      </c>
      <c r="E42" s="730"/>
      <c r="F42" s="730"/>
      <c r="G42" s="730"/>
      <c r="H42" s="730"/>
      <c r="I42" s="730"/>
      <c r="J42" s="730"/>
      <c r="K42" s="730"/>
      <c r="L42" s="731"/>
      <c r="M42" s="731"/>
      <c r="N42" s="731"/>
      <c r="O42" s="731"/>
      <c r="P42" s="731"/>
      <c r="Q42" s="731"/>
      <c r="R42" s="731"/>
      <c r="S42" s="731"/>
      <c r="T42" s="731"/>
      <c r="U42" s="731"/>
      <c r="V42" s="731"/>
      <c r="W42" s="732"/>
      <c r="X42" s="732"/>
      <c r="Y42" s="732"/>
      <c r="Z42" s="732"/>
      <c r="AA42" s="732">
        <f>+AA40-100</f>
        <v>1825.9158230062833</v>
      </c>
      <c r="AB42" s="732">
        <f>+AB40-100</f>
        <v>1851.0704885863584</v>
      </c>
      <c r="AC42" s="732">
        <f>+AC40-100</f>
        <v>1882.7376031147148</v>
      </c>
      <c r="AD42" s="257"/>
      <c r="AE42" s="722"/>
      <c r="AF42" s="721"/>
      <c r="AG42" s="721"/>
      <c r="AH42" s="721"/>
      <c r="AI42" s="728"/>
      <c r="AJ42" s="497"/>
      <c r="AK42" s="573"/>
    </row>
    <row r="43" spans="1:37" ht="4.5" customHeight="1" x14ac:dyDescent="0.35">
      <c r="A43" s="573"/>
      <c r="D43" s="701"/>
      <c r="S43" s="257"/>
      <c r="T43" s="257"/>
      <c r="U43" s="257"/>
      <c r="V43" s="257"/>
      <c r="W43" s="257"/>
      <c r="X43" s="257"/>
      <c r="Y43" s="257"/>
      <c r="Z43" s="257"/>
      <c r="AA43" s="257"/>
      <c r="AB43" s="257"/>
      <c r="AC43" s="257"/>
      <c r="AK43" s="573"/>
    </row>
    <row r="44" spans="1:37" ht="14.25" customHeight="1" x14ac:dyDescent="0.35">
      <c r="A44" s="573"/>
      <c r="D44" s="582" t="s">
        <v>469</v>
      </c>
      <c r="E44" s="583">
        <f t="shared" ref="E44:T44" si="119">+E21-E40</f>
        <v>-201.39565597935461</v>
      </c>
      <c r="F44" s="583">
        <f t="shared" si="119"/>
        <v>-187.74669667687408</v>
      </c>
      <c r="G44" s="583">
        <f t="shared" si="119"/>
        <v>-185.99613481632809</v>
      </c>
      <c r="H44" s="583">
        <f t="shared" si="119"/>
        <v>-185.5219295884383</v>
      </c>
      <c r="I44" s="583">
        <f t="shared" si="119"/>
        <v>-160.63537360702503</v>
      </c>
      <c r="J44" s="583">
        <f t="shared" si="119"/>
        <v>-183.86324551901271</v>
      </c>
      <c r="K44" s="583">
        <f t="shared" si="119"/>
        <v>-202.22770622780536</v>
      </c>
      <c r="L44" s="583">
        <f t="shared" si="119"/>
        <v>-31.422395172519828</v>
      </c>
      <c r="M44" s="583">
        <f t="shared" si="119"/>
        <v>-37.385176774813772</v>
      </c>
      <c r="N44" s="583">
        <f t="shared" si="119"/>
        <v>-54.981224013560222</v>
      </c>
      <c r="O44" s="583">
        <f t="shared" si="119"/>
        <v>-71.469027197288597</v>
      </c>
      <c r="P44" s="583">
        <f t="shared" si="119"/>
        <v>13.227817652402791</v>
      </c>
      <c r="Q44" s="583">
        <f t="shared" si="119"/>
        <v>28.838579131993811</v>
      </c>
      <c r="R44" s="583">
        <f t="shared" si="119"/>
        <v>11.795399778167848</v>
      </c>
      <c r="S44" s="583">
        <f>+S21-S40</f>
        <v>44.305202699727943</v>
      </c>
      <c r="T44" s="583">
        <f t="shared" si="119"/>
        <v>87.813698518694764</v>
      </c>
      <c r="U44" s="583">
        <f t="shared" ref="U44:V44" si="120">+U21-U40</f>
        <v>109.92658898155378</v>
      </c>
      <c r="V44" s="583">
        <f t="shared" si="120"/>
        <v>222.72164926419009</v>
      </c>
      <c r="W44" s="583">
        <f t="shared" ref="W44:X44" si="121">+W21-W40</f>
        <v>334.87641276451745</v>
      </c>
      <c r="X44" s="583">
        <f t="shared" si="121"/>
        <v>341.1179192158113</v>
      </c>
      <c r="Y44" s="583">
        <f t="shared" ref="Y44:Z44" si="122">+Y21-Y40</f>
        <v>329.27602752242251</v>
      </c>
      <c r="Z44" s="583">
        <f t="shared" si="122"/>
        <v>353.85867618979614</v>
      </c>
      <c r="AA44" s="583">
        <f t="shared" ref="AA44:AB44" si="123">+AA21-AA40</f>
        <v>320.62367180513797</v>
      </c>
      <c r="AB44" s="583">
        <f t="shared" si="123"/>
        <v>333.67331927821806</v>
      </c>
      <c r="AC44" s="583">
        <f t="shared" ref="AC44" si="124">+AC21-AC40</f>
        <v>308.18006190888332</v>
      </c>
      <c r="AD44" s="257"/>
      <c r="AJ44" s="22"/>
      <c r="AK44" s="573"/>
    </row>
    <row r="45" spans="1:37" ht="5.25" customHeight="1" x14ac:dyDescent="0.35">
      <c r="A45" s="573"/>
      <c r="F45" s="257"/>
      <c r="G45" s="257"/>
      <c r="H45" s="257"/>
      <c r="I45" s="257"/>
      <c r="AK45" s="573"/>
    </row>
    <row r="46" spans="1:37" ht="14.25" hidden="1" customHeight="1" thickBot="1" x14ac:dyDescent="0.4">
      <c r="A46" s="573"/>
      <c r="AK46" s="573"/>
    </row>
    <row r="47" spans="1:37" ht="14.25" hidden="1" customHeight="1" x14ac:dyDescent="0.35">
      <c r="A47" s="573"/>
      <c r="D47" s="555" t="s">
        <v>470</v>
      </c>
      <c r="E47" s="556">
        <v>45352</v>
      </c>
      <c r="F47" s="556">
        <v>45383</v>
      </c>
      <c r="G47" s="556">
        <v>45413</v>
      </c>
      <c r="H47" s="556">
        <v>45444</v>
      </c>
      <c r="I47" s="556">
        <v>45474</v>
      </c>
      <c r="J47" s="556">
        <v>45505</v>
      </c>
      <c r="K47" s="556">
        <v>45536</v>
      </c>
      <c r="L47" s="557">
        <v>45566</v>
      </c>
      <c r="M47" s="557">
        <v>45597</v>
      </c>
      <c r="N47" s="557">
        <v>45627</v>
      </c>
      <c r="O47" s="557">
        <v>45658</v>
      </c>
      <c r="P47" s="557">
        <v>45689</v>
      </c>
      <c r="Q47" s="557">
        <v>45717</v>
      </c>
      <c r="R47" s="557">
        <v>45748</v>
      </c>
      <c r="S47" s="557">
        <v>45778</v>
      </c>
      <c r="T47" s="557">
        <v>45778</v>
      </c>
      <c r="U47" s="557">
        <v>45778</v>
      </c>
      <c r="V47" s="557">
        <v>45778</v>
      </c>
      <c r="W47" s="557">
        <v>45778</v>
      </c>
      <c r="X47" s="557">
        <v>45778</v>
      </c>
      <c r="Y47" s="557">
        <v>45778</v>
      </c>
      <c r="Z47" s="557">
        <v>45778</v>
      </c>
      <c r="AA47" s="557">
        <v>45778</v>
      </c>
      <c r="AB47" s="557">
        <v>45778</v>
      </c>
      <c r="AC47" s="557">
        <v>45778</v>
      </c>
      <c r="AD47" s="824"/>
      <c r="AE47" s="824"/>
      <c r="AF47" s="824"/>
      <c r="AG47" s="824"/>
      <c r="AH47" s="824"/>
      <c r="AI47" s="824"/>
      <c r="AK47" s="573"/>
    </row>
    <row r="48" spans="1:37" ht="14.25" hidden="1" customHeight="1" x14ac:dyDescent="0.35">
      <c r="A48" s="573"/>
      <c r="D48" s="558" t="s">
        <v>452</v>
      </c>
      <c r="E48" s="560">
        <v>1175</v>
      </c>
      <c r="F48" s="560">
        <v>1200</v>
      </c>
      <c r="G48" s="560">
        <v>1300</v>
      </c>
      <c r="H48" s="560">
        <v>1300</v>
      </c>
      <c r="I48" s="560">
        <v>1300</v>
      </c>
      <c r="J48" s="560">
        <v>1301</v>
      </c>
      <c r="K48" s="560">
        <v>1302</v>
      </c>
      <c r="L48" s="584">
        <v>1302</v>
      </c>
      <c r="M48" s="584">
        <v>1302</v>
      </c>
      <c r="N48" s="584">
        <v>1302</v>
      </c>
      <c r="O48" s="584">
        <v>1302</v>
      </c>
      <c r="P48" s="584">
        <v>1302</v>
      </c>
      <c r="Q48" s="584">
        <v>1302</v>
      </c>
      <c r="R48" s="584"/>
      <c r="S48" s="584"/>
      <c r="T48" s="584"/>
      <c r="U48" s="584"/>
      <c r="V48" s="584"/>
      <c r="W48" s="584"/>
      <c r="X48" s="584"/>
      <c r="Y48" s="584"/>
      <c r="Z48" s="584"/>
      <c r="AA48" s="584"/>
      <c r="AB48" s="584"/>
      <c r="AC48" s="584"/>
      <c r="AD48" s="825"/>
      <c r="AE48" s="825"/>
      <c r="AF48" s="825"/>
      <c r="AG48" s="825"/>
      <c r="AH48" s="825"/>
      <c r="AI48" s="825"/>
      <c r="AK48" s="573"/>
    </row>
    <row r="49" spans="1:37" ht="14.25" hidden="1" customHeight="1" x14ac:dyDescent="0.35">
      <c r="A49" s="573"/>
      <c r="D49" s="558" t="s">
        <v>453</v>
      </c>
      <c r="E49" s="559">
        <f>E48/E50*1000</f>
        <v>298.86753980135029</v>
      </c>
      <c r="F49" s="559">
        <f t="shared" ref="F49:Q49" si="125">F48/F50*1000</f>
        <v>307.53459772104935</v>
      </c>
      <c r="G49" s="559">
        <f t="shared" si="125"/>
        <v>336.09314640579396</v>
      </c>
      <c r="H49" s="559">
        <f t="shared" si="125"/>
        <v>335.99539511224248</v>
      </c>
      <c r="I49" s="559">
        <f t="shared" si="125"/>
        <v>321.55955394248087</v>
      </c>
      <c r="J49" s="560">
        <f t="shared" si="125"/>
        <v>322.41401941736984</v>
      </c>
      <c r="K49" s="560">
        <f t="shared" si="125"/>
        <v>320.25215195449658</v>
      </c>
      <c r="L49" s="560">
        <f t="shared" si="125"/>
        <v>311.29615318129754</v>
      </c>
      <c r="M49" s="560">
        <f t="shared" si="125"/>
        <v>306.39114995517099</v>
      </c>
      <c r="N49" s="560">
        <f t="shared" si="125"/>
        <v>295.32834561612441</v>
      </c>
      <c r="O49" s="560">
        <f t="shared" si="125"/>
        <v>296.91125346026809</v>
      </c>
      <c r="P49" s="560">
        <f t="shared" si="125"/>
        <v>302.20085058286082</v>
      </c>
      <c r="Q49" s="560">
        <f t="shared" si="125"/>
        <v>315.38830064972467</v>
      </c>
      <c r="R49" s="560"/>
      <c r="S49" s="560"/>
      <c r="T49" s="560"/>
      <c r="U49" s="560"/>
      <c r="V49" s="560"/>
      <c r="W49" s="560"/>
      <c r="X49" s="560"/>
      <c r="Y49" s="560"/>
      <c r="Z49" s="560"/>
      <c r="AA49" s="560"/>
      <c r="AB49" s="560"/>
      <c r="AC49" s="560"/>
      <c r="AD49" s="825"/>
      <c r="AE49" s="825"/>
      <c r="AF49" s="825"/>
      <c r="AG49" s="825"/>
      <c r="AH49" s="825"/>
      <c r="AI49" s="825"/>
      <c r="AK49" s="573"/>
    </row>
    <row r="50" spans="1:37" ht="14.25" hidden="1" customHeight="1" x14ac:dyDescent="0.35">
      <c r="A50" s="573"/>
      <c r="D50" s="561" t="s">
        <v>258</v>
      </c>
      <c r="E50" s="562">
        <f t="shared" ref="E50:Q50" si="126">+E26</f>
        <v>3931.5075862068961</v>
      </c>
      <c r="F50" s="562">
        <f t="shared" si="126"/>
        <v>3901.9999990000001</v>
      </c>
      <c r="G50" s="562">
        <f t="shared" si="126"/>
        <v>3867.9753333333342</v>
      </c>
      <c r="H50" s="562">
        <f t="shared" si="126"/>
        <v>3869.1006451612907</v>
      </c>
      <c r="I50" s="562">
        <f t="shared" si="126"/>
        <v>4042.7970000000005</v>
      </c>
      <c r="J50" s="562">
        <f t="shared" si="126"/>
        <v>4035.1843333333331</v>
      </c>
      <c r="K50" s="562">
        <f t="shared" si="126"/>
        <v>4065.5464516129036</v>
      </c>
      <c r="L50" s="563">
        <f t="shared" si="126"/>
        <v>4182.5123333333349</v>
      </c>
      <c r="M50" s="563">
        <f t="shared" si="126"/>
        <v>4249.4699999999984</v>
      </c>
      <c r="N50" s="563">
        <f t="shared" si="126"/>
        <v>4408.6523333333334</v>
      </c>
      <c r="O50" s="563">
        <f t="shared" si="126"/>
        <v>4385.1487096774199</v>
      </c>
      <c r="P50" s="563">
        <f t="shared" si="126"/>
        <v>4308.3929032258065</v>
      </c>
      <c r="Q50" s="563">
        <f t="shared" si="126"/>
        <v>4128.2444444444445</v>
      </c>
      <c r="R50" s="563"/>
      <c r="S50" s="563"/>
      <c r="T50" s="563"/>
      <c r="U50" s="563"/>
      <c r="V50" s="563"/>
      <c r="W50" s="563"/>
      <c r="X50" s="563"/>
      <c r="Y50" s="563"/>
      <c r="Z50" s="563"/>
      <c r="AA50" s="563"/>
      <c r="AB50" s="563"/>
      <c r="AC50" s="563"/>
      <c r="AD50" s="825"/>
      <c r="AE50" s="825"/>
      <c r="AF50" s="825"/>
      <c r="AG50" s="825"/>
      <c r="AH50" s="825"/>
      <c r="AI50" s="825"/>
      <c r="AK50" s="573"/>
    </row>
    <row r="51" spans="1:37" ht="14.25" hidden="1" customHeight="1" x14ac:dyDescent="0.35">
      <c r="A51" s="573"/>
      <c r="D51" s="558" t="s">
        <v>454</v>
      </c>
      <c r="E51" s="559">
        <f>549/E50*1000</f>
        <v>139.64108880931173</v>
      </c>
      <c r="F51" s="559">
        <f t="shared" ref="F51:Q51" si="127">549/F50*1000</f>
        <v>140.69707845738009</v>
      </c>
      <c r="G51" s="559">
        <f t="shared" si="127"/>
        <v>141.93472105906221</v>
      </c>
      <c r="H51" s="559">
        <f t="shared" si="127"/>
        <v>141.8934399358624</v>
      </c>
      <c r="I51" s="559">
        <f t="shared" si="127"/>
        <v>135.79707316494</v>
      </c>
      <c r="J51" s="560">
        <f t="shared" si="127"/>
        <v>136.05326415075794</v>
      </c>
      <c r="K51" s="560">
        <f t="shared" si="127"/>
        <v>135.03719771353198</v>
      </c>
      <c r="L51" s="560">
        <f t="shared" si="127"/>
        <v>131.26082035063931</v>
      </c>
      <c r="M51" s="560">
        <f t="shared" si="127"/>
        <v>129.19258166312508</v>
      </c>
      <c r="N51" s="560">
        <f t="shared" si="127"/>
        <v>124.52785080126904</v>
      </c>
      <c r="O51" s="560">
        <f t="shared" si="127"/>
        <v>125.19529811803932</v>
      </c>
      <c r="P51" s="560">
        <f t="shared" si="127"/>
        <v>127.42570427802657</v>
      </c>
      <c r="Q51" s="560">
        <f t="shared" si="127"/>
        <v>132.98631110345534</v>
      </c>
      <c r="R51" s="560"/>
      <c r="S51" s="560"/>
      <c r="T51" s="560"/>
      <c r="U51" s="560"/>
      <c r="V51" s="560"/>
      <c r="W51" s="560"/>
      <c r="X51" s="560"/>
      <c r="Y51" s="560"/>
      <c r="Z51" s="560"/>
      <c r="AA51" s="560"/>
      <c r="AB51" s="560"/>
      <c r="AC51" s="560"/>
      <c r="AD51" s="825"/>
      <c r="AE51" s="825"/>
      <c r="AF51" s="825"/>
      <c r="AG51" s="825"/>
      <c r="AH51" s="825"/>
      <c r="AI51" s="825"/>
      <c r="AK51" s="573"/>
    </row>
    <row r="52" spans="1:37" ht="14.25" hidden="1" customHeight="1" x14ac:dyDescent="0.35">
      <c r="A52" s="573"/>
      <c r="D52" s="558" t="s">
        <v>455</v>
      </c>
      <c r="E52" s="559">
        <f>4500000/18/E50</f>
        <v>63.58883825560644</v>
      </c>
      <c r="F52" s="559">
        <f t="shared" ref="F52:Q52" si="128">4500000/18/F50</f>
        <v>64.069707858551951</v>
      </c>
      <c r="G52" s="559">
        <f t="shared" si="128"/>
        <v>64.633297385729605</v>
      </c>
      <c r="H52" s="559">
        <f t="shared" si="128"/>
        <v>64.614499060046626</v>
      </c>
      <c r="I52" s="559">
        <f t="shared" si="128"/>
        <v>61.838375758169398</v>
      </c>
      <c r="J52" s="560">
        <f t="shared" si="128"/>
        <v>61.955038320017273</v>
      </c>
      <c r="K52" s="560">
        <f t="shared" si="128"/>
        <v>61.492348685579223</v>
      </c>
      <c r="L52" s="560">
        <f t="shared" si="128"/>
        <v>59.772686862768346</v>
      </c>
      <c r="M52" s="560">
        <f t="shared" si="128"/>
        <v>58.830865966814706</v>
      </c>
      <c r="N52" s="560">
        <f t="shared" si="128"/>
        <v>56.706671585277341</v>
      </c>
      <c r="O52" s="560">
        <f t="shared" si="128"/>
        <v>57.010609343369453</v>
      </c>
      <c r="P52" s="560">
        <f t="shared" si="128"/>
        <v>58.026276993636877</v>
      </c>
      <c r="Q52" s="560">
        <f t="shared" si="128"/>
        <v>60.558429464232844</v>
      </c>
      <c r="R52" s="560"/>
      <c r="S52" s="560"/>
      <c r="T52" s="560"/>
      <c r="U52" s="560"/>
      <c r="V52" s="560"/>
      <c r="W52" s="560"/>
      <c r="X52" s="560"/>
      <c r="Y52" s="560"/>
      <c r="Z52" s="560"/>
      <c r="AA52" s="560"/>
      <c r="AB52" s="560"/>
      <c r="AC52" s="560"/>
      <c r="AD52" s="825"/>
      <c r="AE52" s="825"/>
      <c r="AF52" s="825"/>
      <c r="AG52" s="825"/>
      <c r="AH52" s="825"/>
      <c r="AI52" s="825"/>
      <c r="AK52" s="573"/>
    </row>
    <row r="53" spans="1:37" ht="14.25" hidden="1" customHeight="1" x14ac:dyDescent="0.35">
      <c r="A53" s="573"/>
      <c r="D53" s="564" t="s">
        <v>456</v>
      </c>
      <c r="E53" s="565">
        <f>SUM(E49+E51+E52)</f>
        <v>502.09746686626846</v>
      </c>
      <c r="F53" s="565">
        <f t="shared" ref="F53:Q53" si="129">SUM(F49+F51+F52)</f>
        <v>512.3013840369814</v>
      </c>
      <c r="G53" s="565">
        <f t="shared" si="129"/>
        <v>542.66116485058581</v>
      </c>
      <c r="H53" s="565">
        <f t="shared" si="129"/>
        <v>542.50333410815142</v>
      </c>
      <c r="I53" s="565">
        <f t="shared" si="129"/>
        <v>519.19500286559025</v>
      </c>
      <c r="J53" s="565">
        <f t="shared" si="129"/>
        <v>520.42232188814501</v>
      </c>
      <c r="K53" s="565">
        <f t="shared" si="129"/>
        <v>516.78169835360779</v>
      </c>
      <c r="L53" s="565">
        <f t="shared" si="129"/>
        <v>502.32966039470517</v>
      </c>
      <c r="M53" s="565">
        <f t="shared" si="129"/>
        <v>494.41459758511076</v>
      </c>
      <c r="N53" s="565">
        <f t="shared" si="129"/>
        <v>476.56286800267077</v>
      </c>
      <c r="O53" s="565">
        <f t="shared" si="129"/>
        <v>479.11716092167683</v>
      </c>
      <c r="P53" s="565">
        <f t="shared" si="129"/>
        <v>487.65283185452427</v>
      </c>
      <c r="Q53" s="565">
        <f t="shared" si="129"/>
        <v>508.93304121741289</v>
      </c>
      <c r="R53" s="565"/>
      <c r="S53" s="565"/>
      <c r="T53" s="565"/>
      <c r="U53" s="565"/>
      <c r="V53" s="565"/>
      <c r="W53" s="565"/>
      <c r="X53" s="565"/>
      <c r="Y53" s="565"/>
      <c r="Z53" s="565"/>
      <c r="AA53" s="565"/>
      <c r="AB53" s="565"/>
      <c r="AC53" s="565"/>
      <c r="AD53" s="825"/>
      <c r="AE53" s="825"/>
      <c r="AF53" s="825"/>
      <c r="AG53" s="825"/>
      <c r="AH53" s="825"/>
      <c r="AI53" s="825"/>
      <c r="AK53" s="573"/>
    </row>
    <row r="54" spans="1:37" ht="14.25" hidden="1" customHeight="1" x14ac:dyDescent="0.35">
      <c r="A54" s="573"/>
      <c r="C54" s="685">
        <v>0.7</v>
      </c>
      <c r="D54" s="566" t="s">
        <v>471</v>
      </c>
      <c r="E54" s="567">
        <f t="shared" ref="E54:Q54" si="130">E53/$C$54</f>
        <v>717.28209552324074</v>
      </c>
      <c r="F54" s="567">
        <f t="shared" si="130"/>
        <v>731.85912005283058</v>
      </c>
      <c r="G54" s="567">
        <f t="shared" si="130"/>
        <v>775.2302355008369</v>
      </c>
      <c r="H54" s="567">
        <f t="shared" si="130"/>
        <v>775.00476301164497</v>
      </c>
      <c r="I54" s="567">
        <f t="shared" si="130"/>
        <v>741.70714695084325</v>
      </c>
      <c r="J54" s="567">
        <f t="shared" si="130"/>
        <v>743.46045984020725</v>
      </c>
      <c r="K54" s="567">
        <f t="shared" si="130"/>
        <v>738.25956907658258</v>
      </c>
      <c r="L54" s="567">
        <f t="shared" si="130"/>
        <v>717.61380056386463</v>
      </c>
      <c r="M54" s="567">
        <f t="shared" si="130"/>
        <v>706.30656797872973</v>
      </c>
      <c r="N54" s="567">
        <f t="shared" si="130"/>
        <v>680.80409714667258</v>
      </c>
      <c r="O54" s="567">
        <f t="shared" si="130"/>
        <v>684.45308703096691</v>
      </c>
      <c r="P54" s="567">
        <f t="shared" si="130"/>
        <v>696.6469026493204</v>
      </c>
      <c r="Q54" s="567">
        <f t="shared" si="130"/>
        <v>727.04720173916132</v>
      </c>
      <c r="R54" s="567"/>
      <c r="S54" s="567"/>
      <c r="T54" s="567"/>
      <c r="U54" s="567"/>
      <c r="V54" s="567"/>
      <c r="W54" s="567"/>
      <c r="X54" s="567"/>
      <c r="Y54" s="567"/>
      <c r="Z54" s="567"/>
      <c r="AA54" s="567"/>
      <c r="AB54" s="567"/>
      <c r="AC54" s="567"/>
      <c r="AD54" s="825"/>
      <c r="AE54" s="825"/>
      <c r="AF54" s="825"/>
      <c r="AG54" s="825"/>
      <c r="AH54" s="825"/>
      <c r="AI54" s="825"/>
      <c r="AK54" s="573"/>
    </row>
    <row r="55" spans="1:37" ht="14.25" hidden="1" customHeight="1" x14ac:dyDescent="0.35">
      <c r="A55" s="573"/>
      <c r="D55" s="558" t="s">
        <v>458</v>
      </c>
      <c r="E55" s="559">
        <f t="shared" ref="E55:Q55" si="131">+E31</f>
        <v>601.25</v>
      </c>
      <c r="F55" s="559">
        <f t="shared" si="131"/>
        <v>601.25</v>
      </c>
      <c r="G55" s="559">
        <f t="shared" si="131"/>
        <v>601.25</v>
      </c>
      <c r="H55" s="559">
        <f t="shared" si="131"/>
        <v>601.25</v>
      </c>
      <c r="I55" s="559">
        <f t="shared" si="131"/>
        <v>601.25</v>
      </c>
      <c r="J55" s="560">
        <f t="shared" si="131"/>
        <v>601.25</v>
      </c>
      <c r="K55" s="560">
        <f t="shared" si="131"/>
        <v>601.25</v>
      </c>
      <c r="L55" s="560">
        <f t="shared" si="131"/>
        <v>601.25</v>
      </c>
      <c r="M55" s="560">
        <f t="shared" si="131"/>
        <v>601.25</v>
      </c>
      <c r="N55" s="560">
        <f t="shared" si="131"/>
        <v>601.25</v>
      </c>
      <c r="O55" s="560">
        <f t="shared" si="131"/>
        <v>601.25</v>
      </c>
      <c r="P55" s="560">
        <f t="shared" si="131"/>
        <v>601.25</v>
      </c>
      <c r="Q55" s="560">
        <f t="shared" si="131"/>
        <v>601.25</v>
      </c>
      <c r="R55" s="560"/>
      <c r="S55" s="560"/>
      <c r="T55" s="560"/>
      <c r="U55" s="560"/>
      <c r="V55" s="560"/>
      <c r="W55" s="560"/>
      <c r="X55" s="560"/>
      <c r="Y55" s="560"/>
      <c r="Z55" s="560"/>
      <c r="AA55" s="560"/>
      <c r="AB55" s="560"/>
      <c r="AC55" s="560"/>
      <c r="AD55" s="825"/>
      <c r="AE55" s="825"/>
      <c r="AF55" s="825"/>
      <c r="AG55" s="825"/>
      <c r="AH55" s="825"/>
      <c r="AI55" s="825"/>
      <c r="AK55" s="573"/>
    </row>
    <row r="56" spans="1:37" ht="14.25" hidden="1" customHeight="1" x14ac:dyDescent="0.35">
      <c r="A56" s="573"/>
      <c r="D56" s="558" t="s">
        <v>459</v>
      </c>
      <c r="E56" s="559">
        <f t="shared" ref="E56:Q56" si="132">+E32</f>
        <v>463.43766794226093</v>
      </c>
      <c r="F56" s="559">
        <f t="shared" si="132"/>
        <v>467.2606400909068</v>
      </c>
      <c r="G56" s="559">
        <f t="shared" si="132"/>
        <v>471.04972246006162</v>
      </c>
      <c r="H56" s="559">
        <f t="shared" si="132"/>
        <v>470.9127196077572</v>
      </c>
      <c r="I56" s="559">
        <f t="shared" si="132"/>
        <v>450.68023629408827</v>
      </c>
      <c r="J56" s="560">
        <f t="shared" si="132"/>
        <v>451.5304771080755</v>
      </c>
      <c r="K56" s="560">
        <f t="shared" si="132"/>
        <v>448.15837893727547</v>
      </c>
      <c r="L56" s="560">
        <f t="shared" si="132"/>
        <v>299.39891661754973</v>
      </c>
      <c r="M56" s="560">
        <f t="shared" si="132"/>
        <v>294.68137469838376</v>
      </c>
      <c r="N56" s="560">
        <f t="shared" si="132"/>
        <v>284.04137288656096</v>
      </c>
      <c r="O56" s="560">
        <f t="shared" si="132"/>
        <v>305.05351284298143</v>
      </c>
      <c r="P56" s="560">
        <f t="shared" si="132"/>
        <v>310.48816769343142</v>
      </c>
      <c r="Q56" s="560">
        <f t="shared" si="132"/>
        <v>336.23131364707865</v>
      </c>
      <c r="R56" s="560"/>
      <c r="S56" s="560"/>
      <c r="T56" s="560"/>
      <c r="U56" s="560"/>
      <c r="V56" s="560"/>
      <c r="W56" s="560"/>
      <c r="X56" s="560"/>
      <c r="Y56" s="560"/>
      <c r="Z56" s="560"/>
      <c r="AA56" s="560"/>
      <c r="AB56" s="560"/>
      <c r="AC56" s="560"/>
      <c r="AD56" s="825"/>
      <c r="AE56" s="825"/>
      <c r="AF56" s="825"/>
      <c r="AG56" s="825"/>
      <c r="AH56" s="825"/>
      <c r="AI56" s="825"/>
      <c r="AK56" s="573"/>
    </row>
    <row r="57" spans="1:37" ht="14.25" hidden="1" customHeight="1" x14ac:dyDescent="0.35">
      <c r="A57" s="573"/>
      <c r="C57" s="685">
        <v>0.82</v>
      </c>
      <c r="D57" s="564" t="s">
        <v>460</v>
      </c>
      <c r="E57" s="565">
        <f>+E56+E55</f>
        <v>1064.687667942261</v>
      </c>
      <c r="F57" s="565">
        <f t="shared" ref="F57:Q57" si="133">+F56+F55</f>
        <v>1068.5106400909067</v>
      </c>
      <c r="G57" s="565">
        <f t="shared" si="133"/>
        <v>1072.2997224600617</v>
      </c>
      <c r="H57" s="565">
        <f t="shared" si="133"/>
        <v>1072.1627196077573</v>
      </c>
      <c r="I57" s="565">
        <f t="shared" si="133"/>
        <v>1051.9302362940882</v>
      </c>
      <c r="J57" s="565">
        <f t="shared" si="133"/>
        <v>1052.7804771080755</v>
      </c>
      <c r="K57" s="565">
        <f t="shared" si="133"/>
        <v>1049.4083789372755</v>
      </c>
      <c r="L57" s="565">
        <f t="shared" si="133"/>
        <v>900.64891661754973</v>
      </c>
      <c r="M57" s="565">
        <f t="shared" si="133"/>
        <v>895.93137469838371</v>
      </c>
      <c r="N57" s="565">
        <f t="shared" si="133"/>
        <v>885.29137288656102</v>
      </c>
      <c r="O57" s="565">
        <f t="shared" si="133"/>
        <v>906.30351284298149</v>
      </c>
      <c r="P57" s="565">
        <f t="shared" si="133"/>
        <v>911.73816769343148</v>
      </c>
      <c r="Q57" s="565">
        <f t="shared" si="133"/>
        <v>937.48131364707865</v>
      </c>
      <c r="R57" s="565"/>
      <c r="S57" s="565"/>
      <c r="T57" s="565"/>
      <c r="U57" s="565"/>
      <c r="V57" s="565"/>
      <c r="W57" s="565"/>
      <c r="X57" s="565"/>
      <c r="Y57" s="565"/>
      <c r="Z57" s="565"/>
      <c r="AA57" s="565"/>
      <c r="AB57" s="565"/>
      <c r="AC57" s="565"/>
      <c r="AD57" s="825"/>
      <c r="AE57" s="825"/>
      <c r="AF57" s="825"/>
      <c r="AG57" s="825"/>
      <c r="AH57" s="825"/>
      <c r="AI57" s="825"/>
      <c r="AK57" s="573"/>
    </row>
    <row r="58" spans="1:37" ht="14.25" hidden="1" customHeight="1" x14ac:dyDescent="0.35">
      <c r="A58" s="573"/>
      <c r="C58" s="685">
        <v>0.85</v>
      </c>
      <c r="D58" s="566" t="s">
        <v>472</v>
      </c>
      <c r="E58" s="567">
        <f t="shared" ref="E58:K58" si="134">+E57/$C$57</f>
        <v>1298.399595051538</v>
      </c>
      <c r="F58" s="567">
        <f t="shared" si="134"/>
        <v>1303.0617562084228</v>
      </c>
      <c r="G58" s="567">
        <f t="shared" si="134"/>
        <v>1307.682588365929</v>
      </c>
      <c r="H58" s="567">
        <f t="shared" si="134"/>
        <v>1307.5155117167772</v>
      </c>
      <c r="I58" s="567">
        <f t="shared" si="134"/>
        <v>1282.8417515781564</v>
      </c>
      <c r="J58" s="567">
        <f t="shared" si="134"/>
        <v>1283.8786306196043</v>
      </c>
      <c r="K58" s="567">
        <f t="shared" si="134"/>
        <v>1279.7663157771653</v>
      </c>
      <c r="L58" s="567">
        <f t="shared" ref="L58:Q58" si="135">+L57/$C$58</f>
        <v>1059.586960726529</v>
      </c>
      <c r="M58" s="567">
        <f t="shared" si="135"/>
        <v>1054.0369114098633</v>
      </c>
      <c r="N58" s="567">
        <f t="shared" si="135"/>
        <v>1041.5192622194836</v>
      </c>
      <c r="O58" s="567">
        <f t="shared" si="135"/>
        <v>1066.2394268740959</v>
      </c>
      <c r="P58" s="567">
        <f t="shared" si="135"/>
        <v>1072.6331384628606</v>
      </c>
      <c r="Q58" s="567">
        <f t="shared" si="135"/>
        <v>1102.9191925259749</v>
      </c>
      <c r="R58" s="567"/>
      <c r="S58" s="567"/>
      <c r="T58" s="567"/>
      <c r="U58" s="567"/>
      <c r="V58" s="567"/>
      <c r="W58" s="567"/>
      <c r="X58" s="567"/>
      <c r="Y58" s="567"/>
      <c r="Z58" s="567"/>
      <c r="AA58" s="567"/>
      <c r="AB58" s="567"/>
      <c r="AC58" s="567"/>
      <c r="AD58" s="825"/>
      <c r="AE58" s="825"/>
      <c r="AF58" s="825"/>
      <c r="AG58" s="825"/>
      <c r="AH58" s="825"/>
      <c r="AI58" s="825"/>
      <c r="AK58" s="573"/>
    </row>
    <row r="59" spans="1:37" ht="14.25" hidden="1" customHeight="1" x14ac:dyDescent="0.35">
      <c r="A59" s="573"/>
      <c r="D59" s="558" t="s">
        <v>462</v>
      </c>
      <c r="E59" s="559">
        <f t="shared" ref="E59:Q59" si="136">+E35</f>
        <v>19.839717535749209</v>
      </c>
      <c r="F59" s="559">
        <f t="shared" si="136"/>
        <v>19.989748851868207</v>
      </c>
      <c r="G59" s="559">
        <f t="shared" si="136"/>
        <v>20.165588784347637</v>
      </c>
      <c r="H59" s="559">
        <f t="shared" si="136"/>
        <v>20.159723706734546</v>
      </c>
      <c r="I59" s="559">
        <f t="shared" si="136"/>
        <v>19.293573236548852</v>
      </c>
      <c r="J59" s="560">
        <f t="shared" si="136"/>
        <v>19.329971955845387</v>
      </c>
      <c r="K59" s="560">
        <f t="shared" si="136"/>
        <v>19.185612789900716</v>
      </c>
      <c r="L59" s="560">
        <f t="shared" si="136"/>
        <v>18.649078301183724</v>
      </c>
      <c r="M59" s="560">
        <f t="shared" si="136"/>
        <v>18.355230181646188</v>
      </c>
      <c r="N59" s="560">
        <f t="shared" si="136"/>
        <v>17.692481534606532</v>
      </c>
      <c r="O59" s="560">
        <f t="shared" si="136"/>
        <v>17.78731011513127</v>
      </c>
      <c r="P59" s="560">
        <f t="shared" si="136"/>
        <v>18.104198422014704</v>
      </c>
      <c r="Q59" s="560">
        <f t="shared" si="136"/>
        <v>18.894229992840646</v>
      </c>
      <c r="R59" s="560"/>
      <c r="S59" s="560"/>
      <c r="T59" s="560"/>
      <c r="U59" s="560"/>
      <c r="V59" s="560"/>
      <c r="W59" s="560"/>
      <c r="X59" s="560"/>
      <c r="Y59" s="560"/>
      <c r="Z59" s="560"/>
      <c r="AA59" s="560"/>
      <c r="AB59" s="560"/>
      <c r="AC59" s="560"/>
      <c r="AD59" s="825"/>
      <c r="AE59" s="825"/>
      <c r="AF59" s="825"/>
      <c r="AG59" s="825"/>
      <c r="AH59" s="825"/>
      <c r="AI59" s="825"/>
      <c r="AK59" s="573"/>
    </row>
    <row r="60" spans="1:37" ht="14.25" hidden="1" customHeight="1" x14ac:dyDescent="0.35">
      <c r="A60" s="573"/>
      <c r="D60" s="558" t="s">
        <v>463</v>
      </c>
      <c r="E60" s="568">
        <f t="shared" ref="E60:Q60" si="137">+E36</f>
        <v>4.4604805479452052E-2</v>
      </c>
      <c r="F60" s="568">
        <f t="shared" si="137"/>
        <v>4.4604805479452052E-2</v>
      </c>
      <c r="G60" s="568">
        <f t="shared" si="137"/>
        <v>4.4604805479452052E-2</v>
      </c>
      <c r="H60" s="568">
        <f t="shared" si="137"/>
        <v>4.4604805479452052E-2</v>
      </c>
      <c r="I60" s="568">
        <f t="shared" si="137"/>
        <v>4.4604805479452052E-2</v>
      </c>
      <c r="J60" s="568">
        <f t="shared" si="137"/>
        <v>4.4604805479452052E-2</v>
      </c>
      <c r="K60" s="568">
        <f t="shared" si="137"/>
        <v>4.4604805479452052E-2</v>
      </c>
      <c r="L60" s="568">
        <f t="shared" si="137"/>
        <v>4.4604805479452052E-2</v>
      </c>
      <c r="M60" s="568">
        <f t="shared" si="137"/>
        <v>4.4604805479452052E-2</v>
      </c>
      <c r="N60" s="568">
        <f t="shared" si="137"/>
        <v>4.4604805479452052E-2</v>
      </c>
      <c r="O60" s="568">
        <f t="shared" si="137"/>
        <v>3.8765424657534242E-2</v>
      </c>
      <c r="P60" s="568">
        <f t="shared" si="137"/>
        <v>3.8765424657534242E-2</v>
      </c>
      <c r="Q60" s="568">
        <f t="shared" si="137"/>
        <v>3.8765424657534242E-2</v>
      </c>
      <c r="R60" s="568"/>
      <c r="S60" s="568"/>
      <c r="T60" s="568"/>
      <c r="U60" s="568"/>
      <c r="V60" s="568"/>
      <c r="W60" s="568"/>
      <c r="X60" s="568"/>
      <c r="Y60" s="568"/>
      <c r="Z60" s="568"/>
      <c r="AA60" s="568"/>
      <c r="AB60" s="568"/>
      <c r="AC60" s="568"/>
      <c r="AD60" s="825"/>
      <c r="AE60" s="825"/>
      <c r="AF60" s="825"/>
      <c r="AG60" s="825"/>
      <c r="AH60" s="825"/>
      <c r="AI60" s="825"/>
      <c r="AK60" s="573"/>
    </row>
    <row r="61" spans="1:37" ht="14.25" hidden="1" customHeight="1" x14ac:dyDescent="0.35">
      <c r="A61" s="573"/>
      <c r="D61" s="558" t="s">
        <v>464</v>
      </c>
      <c r="E61" s="569">
        <f>(E54+E58+E59)*E60</f>
        <v>90.794036458030433</v>
      </c>
      <c r="F61" s="569">
        <f t="shared" ref="F61:Q61" si="138">(F54+F58+F59)*F60</f>
        <v>91.658888710830013</v>
      </c>
      <c r="G61" s="569">
        <f t="shared" si="138"/>
        <v>93.807403504337714</v>
      </c>
      <c r="H61" s="569">
        <f t="shared" si="138"/>
        <v>93.789632315734693</v>
      </c>
      <c r="I61" s="569">
        <f t="shared" si="138"/>
        <v>91.165195883744758</v>
      </c>
      <c r="J61" s="569">
        <f t="shared" si="138"/>
        <v>91.291275409862891</v>
      </c>
      <c r="K61" s="569">
        <f t="shared" si="138"/>
        <v>90.869422572898131</v>
      </c>
      <c r="L61" s="569">
        <f t="shared" si="138"/>
        <v>80.103532765287468</v>
      </c>
      <c r="M61" s="569">
        <f t="shared" si="138"/>
        <v>79.338509946932902</v>
      </c>
      <c r="N61" s="569">
        <f t="shared" si="138"/>
        <v>77.613068114543708</v>
      </c>
      <c r="O61" s="569">
        <f t="shared" si="138"/>
        <v>68.55587137642425</v>
      </c>
      <c r="P61" s="569">
        <f t="shared" si="138"/>
        <v>69.288709071726998</v>
      </c>
      <c r="Q61" s="569">
        <f t="shared" si="138"/>
        <v>71.671867231954337</v>
      </c>
      <c r="R61" s="569"/>
      <c r="S61" s="569"/>
      <c r="T61" s="569"/>
      <c r="U61" s="569"/>
      <c r="V61" s="569"/>
      <c r="W61" s="569"/>
      <c r="X61" s="569"/>
      <c r="Y61" s="569"/>
      <c r="Z61" s="569"/>
      <c r="AA61" s="569"/>
      <c r="AB61" s="569"/>
      <c r="AC61" s="569"/>
      <c r="AD61" s="825"/>
      <c r="AE61" s="825"/>
      <c r="AF61" s="825"/>
      <c r="AG61" s="825"/>
      <c r="AH61" s="825"/>
      <c r="AI61" s="825"/>
      <c r="AK61" s="573"/>
    </row>
    <row r="62" spans="1:37" ht="14.25" hidden="1" customHeight="1" thickBot="1" x14ac:dyDescent="0.4">
      <c r="A62" s="573"/>
      <c r="D62" s="570" t="s">
        <v>465</v>
      </c>
      <c r="E62" s="571">
        <f t="shared" ref="E62:Q62" si="139">E54+E58+E59+E61</f>
        <v>2126.3154445685586</v>
      </c>
      <c r="F62" s="571">
        <f t="shared" si="139"/>
        <v>2146.5695138239516</v>
      </c>
      <c r="G62" s="571">
        <f t="shared" si="139"/>
        <v>2196.8858161554513</v>
      </c>
      <c r="H62" s="571">
        <f t="shared" si="139"/>
        <v>2196.4696307508912</v>
      </c>
      <c r="I62" s="571">
        <f t="shared" si="139"/>
        <v>2135.0076676492931</v>
      </c>
      <c r="J62" s="571">
        <f t="shared" si="139"/>
        <v>2137.9603378255197</v>
      </c>
      <c r="K62" s="571">
        <f t="shared" si="139"/>
        <v>2128.0809202165465</v>
      </c>
      <c r="L62" s="572">
        <f t="shared" si="139"/>
        <v>1875.9533723568647</v>
      </c>
      <c r="M62" s="572">
        <f t="shared" si="139"/>
        <v>1858.0372195171722</v>
      </c>
      <c r="N62" s="572">
        <f t="shared" si="139"/>
        <v>1817.6289090153064</v>
      </c>
      <c r="O62" s="572">
        <f t="shared" si="139"/>
        <v>1837.0356953966182</v>
      </c>
      <c r="P62" s="572">
        <f t="shared" si="139"/>
        <v>1856.6729486059228</v>
      </c>
      <c r="Q62" s="572">
        <f t="shared" si="139"/>
        <v>1920.5324914899313</v>
      </c>
      <c r="R62" s="572"/>
      <c r="S62" s="604"/>
      <c r="T62" s="604"/>
      <c r="U62" s="604"/>
      <c r="V62" s="604"/>
      <c r="W62" s="604"/>
      <c r="X62" s="604"/>
      <c r="Y62" s="604"/>
      <c r="Z62" s="604"/>
      <c r="AA62" s="604"/>
      <c r="AB62" s="604"/>
      <c r="AC62" s="604"/>
      <c r="AD62" s="825"/>
      <c r="AE62" s="825"/>
      <c r="AF62" s="825"/>
      <c r="AG62" s="825"/>
      <c r="AH62" s="825"/>
      <c r="AI62" s="825"/>
      <c r="AK62" s="573"/>
    </row>
    <row r="63" spans="1:37" ht="14.25" hidden="1" customHeight="1" x14ac:dyDescent="0.35">
      <c r="A63" s="573"/>
      <c r="AK63" s="573"/>
    </row>
    <row r="64" spans="1:37" ht="14.25" hidden="1" customHeight="1" x14ac:dyDescent="0.35">
      <c r="A64" s="573"/>
      <c r="AK64" s="573"/>
    </row>
    <row r="65" spans="1:37" ht="14.25" hidden="1" customHeight="1" x14ac:dyDescent="0.35">
      <c r="A65" s="573"/>
      <c r="D65" s="582" t="s">
        <v>473</v>
      </c>
      <c r="E65" s="583">
        <f t="shared" ref="E65:Q65" si="140">(+E62+E40)/2</f>
        <v>2132.3528979511566</v>
      </c>
      <c r="F65" s="583">
        <f t="shared" si="140"/>
        <v>2147.5242982827617</v>
      </c>
      <c r="G65" s="583">
        <f t="shared" si="140"/>
        <v>2194.7509778037438</v>
      </c>
      <c r="H65" s="583">
        <f t="shared" si="140"/>
        <v>2210.0925088627182</v>
      </c>
      <c r="I65" s="583">
        <f t="shared" si="140"/>
        <v>2182.6135807540932</v>
      </c>
      <c r="J65" s="583">
        <f t="shared" si="140"/>
        <v>2233.4171096919313</v>
      </c>
      <c r="K65" s="583">
        <f t="shared" si="140"/>
        <v>2272.4134524160636</v>
      </c>
      <c r="L65" s="583">
        <f t="shared" si="140"/>
        <v>2075.8173095887046</v>
      </c>
      <c r="M65" s="583">
        <f t="shared" si="140"/>
        <v>2088.7032591040916</v>
      </c>
      <c r="N65" s="583">
        <f t="shared" si="140"/>
        <v>2039.7753662914199</v>
      </c>
      <c r="O65" s="583">
        <f t="shared" si="140"/>
        <v>2073.7545555693537</v>
      </c>
      <c r="P65" s="583">
        <f t="shared" si="140"/>
        <v>2084.5264981927508</v>
      </c>
      <c r="Q65" s="583">
        <f t="shared" si="140"/>
        <v>2159.266794181427</v>
      </c>
      <c r="R65" s="583"/>
      <c r="S65" s="583"/>
      <c r="T65" s="583"/>
      <c r="U65" s="583"/>
      <c r="V65" s="583"/>
      <c r="W65" s="583"/>
      <c r="X65" s="583"/>
      <c r="Y65" s="583"/>
      <c r="Z65" s="583"/>
      <c r="AA65" s="583"/>
      <c r="AB65" s="583"/>
      <c r="AC65" s="583"/>
      <c r="AK65" s="573"/>
    </row>
    <row r="66" spans="1:37" ht="14.25" hidden="1" customHeight="1" x14ac:dyDescent="0.35">
      <c r="A66" s="573"/>
      <c r="AK66" s="573"/>
    </row>
    <row r="67" spans="1:37" ht="3.75" customHeight="1" x14ac:dyDescent="0.35">
      <c r="A67" s="573"/>
      <c r="AK67" s="573"/>
    </row>
    <row r="68" spans="1:37" ht="9.75" customHeight="1" x14ac:dyDescent="0.35">
      <c r="A68" s="573"/>
      <c r="B68" s="573"/>
      <c r="C68" s="684"/>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row>
  </sheetData>
  <mergeCells count="4">
    <mergeCell ref="D3:D6"/>
    <mergeCell ref="AD23:AI23"/>
    <mergeCell ref="AD47:AI47"/>
    <mergeCell ref="AD48:AI62"/>
  </mergeCells>
  <pageMargins left="0.7" right="0.7" top="0.75" bottom="0.75" header="0.3" footer="0.3"/>
  <customProperties>
    <customPr name="EpmWorksheetKeyString_GUID" r:id="rId1"/>
  </customProperties>
  <ignoredErrors>
    <ignoredError sqref="V23:W23 V16:W16 X16:Y16 X23:Y23 Z23:AA23 AB23:AC23"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B1:BG144"/>
  <sheetViews>
    <sheetView showGridLines="0" topLeftCell="A125" zoomScale="85" zoomScaleNormal="85" workbookViewId="0">
      <selection activeCell="BI134" sqref="BI134"/>
    </sheetView>
  </sheetViews>
  <sheetFormatPr defaultColWidth="10.81640625" defaultRowHeight="14.5" x14ac:dyDescent="0.35"/>
  <cols>
    <col min="1" max="1" width="4.26953125" customWidth="1"/>
    <col min="2" max="2" width="29" bestFit="1" customWidth="1"/>
    <col min="3" max="3" width="11.1796875" hidden="1" customWidth="1"/>
    <col min="4" max="4" width="11.26953125" hidden="1" customWidth="1"/>
    <col min="5" max="5" width="11.81640625" hidden="1" customWidth="1"/>
    <col min="6" max="6" width="12.1796875" hidden="1" customWidth="1"/>
    <col min="7" max="7" width="10.453125" hidden="1" customWidth="1"/>
    <col min="8" max="8" width="12.1796875" hidden="1" customWidth="1"/>
    <col min="9" max="15" width="10.453125" hidden="1" customWidth="1"/>
    <col min="16" max="16" width="13.26953125" hidden="1" customWidth="1"/>
    <col min="17" max="17" width="10.453125" hidden="1" customWidth="1"/>
    <col min="18" max="18" width="13" hidden="1" customWidth="1"/>
    <col min="19" max="19" width="12.26953125" hidden="1" customWidth="1"/>
    <col min="20" max="27" width="10.453125" hidden="1" customWidth="1"/>
    <col min="28" max="28" width="13.26953125" hidden="1" customWidth="1"/>
    <col min="29" max="29" width="10.453125" hidden="1" customWidth="1"/>
    <col min="30" max="30" width="13" hidden="1" customWidth="1"/>
    <col min="31" max="31" width="12.26953125" hidden="1" customWidth="1"/>
    <col min="32" max="37" width="10.453125" hidden="1" customWidth="1"/>
    <col min="38" max="39" width="11.1796875" hidden="1" customWidth="1"/>
    <col min="40" max="40" width="14.1796875" hidden="1" customWidth="1"/>
    <col min="41" max="43" width="13.54296875" hidden="1" customWidth="1"/>
    <col min="44" max="44" width="10.54296875" hidden="1" customWidth="1"/>
    <col min="45" max="45" width="10.7265625" hidden="1" customWidth="1"/>
    <col min="46" max="55" width="10.54296875" hidden="1" customWidth="1"/>
  </cols>
  <sheetData>
    <row r="1" spans="2:14" hidden="1" x14ac:dyDescent="0.35">
      <c r="B1" s="830" t="s">
        <v>168</v>
      </c>
      <c r="C1" s="830"/>
      <c r="D1" s="830"/>
      <c r="E1" s="830"/>
      <c r="F1" s="830"/>
      <c r="G1" s="830"/>
      <c r="H1" s="830"/>
      <c r="I1" s="830"/>
      <c r="J1" s="830"/>
      <c r="K1" s="830"/>
      <c r="L1" s="830"/>
      <c r="M1" s="830"/>
      <c r="N1" s="830"/>
    </row>
    <row r="2" spans="2:14" hidden="1" x14ac:dyDescent="0.35"/>
    <row r="3" spans="2:14" hidden="1" x14ac:dyDescent="0.35"/>
    <row r="4" spans="2:14" hidden="1" x14ac:dyDescent="0.35"/>
    <row r="5" spans="2:14" hidden="1" x14ac:dyDescent="0.35"/>
    <row r="6" spans="2:14" hidden="1" x14ac:dyDescent="0.35"/>
    <row r="7" spans="2:14" hidden="1" x14ac:dyDescent="0.35"/>
    <row r="8" spans="2:14" hidden="1" x14ac:dyDescent="0.35"/>
    <row r="9" spans="2:14" hidden="1" x14ac:dyDescent="0.35"/>
    <row r="10" spans="2:14" hidden="1" x14ac:dyDescent="0.35"/>
    <row r="11" spans="2:14" hidden="1" x14ac:dyDescent="0.35"/>
    <row r="12" spans="2:14" hidden="1" x14ac:dyDescent="0.35"/>
    <row r="13" spans="2:14" hidden="1" x14ac:dyDescent="0.35"/>
    <row r="14" spans="2:14" hidden="1" x14ac:dyDescent="0.35"/>
    <row r="15" spans="2:14" hidden="1" x14ac:dyDescent="0.35"/>
    <row r="16" spans="2:14" hidden="1" x14ac:dyDescent="0.35"/>
    <row r="17" spans="2:14" hidden="1" x14ac:dyDescent="0.35"/>
    <row r="18" spans="2:14" hidden="1" x14ac:dyDescent="0.35"/>
    <row r="19" spans="2:14" hidden="1" x14ac:dyDescent="0.35"/>
    <row r="20" spans="2:14" hidden="1" x14ac:dyDescent="0.35">
      <c r="B20" s="830" t="s">
        <v>169</v>
      </c>
      <c r="C20" s="830"/>
      <c r="D20" s="830"/>
      <c r="E20" s="830"/>
      <c r="F20" s="830"/>
      <c r="G20" s="830"/>
      <c r="H20" s="830"/>
      <c r="I20" s="830"/>
      <c r="J20" s="830"/>
      <c r="K20" s="830"/>
      <c r="L20" s="830"/>
      <c r="M20" s="830"/>
      <c r="N20" s="830"/>
    </row>
    <row r="21" spans="2:14" hidden="1" x14ac:dyDescent="0.35"/>
    <row r="22" spans="2:14" ht="18.5" hidden="1" x14ac:dyDescent="0.45">
      <c r="B22" s="829" t="s">
        <v>170</v>
      </c>
      <c r="C22" s="829"/>
      <c r="D22" s="829"/>
      <c r="E22" s="829"/>
      <c r="F22" s="829"/>
      <c r="H22" s="34" t="s">
        <v>171</v>
      </c>
    </row>
    <row r="23" spans="2:14" hidden="1" x14ac:dyDescent="0.35">
      <c r="B23" s="57" t="s">
        <v>172</v>
      </c>
      <c r="C23" s="57"/>
      <c r="D23" s="57" t="s">
        <v>173</v>
      </c>
      <c r="E23" s="57" t="s">
        <v>174</v>
      </c>
      <c r="F23" s="57" t="s">
        <v>175</v>
      </c>
    </row>
    <row r="24" spans="2:14" hidden="1" x14ac:dyDescent="0.35">
      <c r="B24" s="58" t="s">
        <v>176</v>
      </c>
      <c r="C24" s="58"/>
      <c r="D24" s="59">
        <v>1293</v>
      </c>
      <c r="E24" s="59">
        <v>1337</v>
      </c>
      <c r="F24" s="59">
        <f>+(D24+E24)/2</f>
        <v>1315</v>
      </c>
    </row>
    <row r="25" spans="2:14" hidden="1" x14ac:dyDescent="0.35">
      <c r="B25" s="58" t="s">
        <v>177</v>
      </c>
      <c r="C25" s="58"/>
      <c r="D25" s="59">
        <v>1212.54</v>
      </c>
      <c r="E25" s="59">
        <v>1322.77</v>
      </c>
      <c r="F25" s="59">
        <f>+(D25+E25)/2</f>
        <v>1267.655</v>
      </c>
    </row>
    <row r="26" spans="2:14" hidden="1" x14ac:dyDescent="0.35">
      <c r="B26" s="60" t="s">
        <v>178</v>
      </c>
      <c r="C26" s="60"/>
      <c r="D26" s="61">
        <f>+(D24+D25)/2</f>
        <v>1252.77</v>
      </c>
      <c r="E26" s="61">
        <f>+(E24+E25)/2</f>
        <v>1329.885</v>
      </c>
      <c r="F26" s="61">
        <f>+IF(((F24+F25)/2)&gt;D30,D30,((F24+F25)/2))</f>
        <v>1291.3274999999999</v>
      </c>
    </row>
    <row r="27" spans="2:14" hidden="1" x14ac:dyDescent="0.35">
      <c r="B27" s="62"/>
      <c r="C27" s="62"/>
      <c r="D27" s="62"/>
      <c r="E27" s="62"/>
      <c r="F27" s="62"/>
    </row>
    <row r="28" spans="2:14" hidden="1" x14ac:dyDescent="0.35">
      <c r="B28" s="62"/>
      <c r="C28" s="62"/>
      <c r="D28" s="62"/>
      <c r="E28" s="62"/>
      <c r="F28" s="62"/>
    </row>
    <row r="29" spans="2:14" hidden="1" x14ac:dyDescent="0.35">
      <c r="B29" s="58" t="s">
        <v>179</v>
      </c>
      <c r="C29" s="58"/>
      <c r="D29" s="59">
        <v>1275</v>
      </c>
      <c r="E29" s="62"/>
      <c r="F29" s="62"/>
    </row>
    <row r="30" spans="2:14" hidden="1" x14ac:dyDescent="0.35">
      <c r="B30" s="58" t="s">
        <v>180</v>
      </c>
      <c r="C30" s="58"/>
      <c r="D30" s="59">
        <v>1400</v>
      </c>
      <c r="E30" s="62"/>
      <c r="F30" s="62"/>
    </row>
    <row r="31" spans="2:14" hidden="1" x14ac:dyDescent="0.35"/>
    <row r="32" spans="2:14" hidden="1" x14ac:dyDescent="0.35"/>
    <row r="33" spans="2:14" hidden="1" x14ac:dyDescent="0.35"/>
    <row r="34" spans="2:14" hidden="1" x14ac:dyDescent="0.35"/>
    <row r="35" spans="2:14" hidden="1" x14ac:dyDescent="0.35"/>
    <row r="36" spans="2:14" hidden="1" x14ac:dyDescent="0.35"/>
    <row r="37" spans="2:14" hidden="1" x14ac:dyDescent="0.35"/>
    <row r="38" spans="2:14" hidden="1" x14ac:dyDescent="0.35"/>
    <row r="39" spans="2:14" hidden="1" x14ac:dyDescent="0.35"/>
    <row r="40" spans="2:14" hidden="1" x14ac:dyDescent="0.35"/>
    <row r="41" spans="2:14" hidden="1" x14ac:dyDescent="0.35"/>
    <row r="42" spans="2:14" hidden="1" x14ac:dyDescent="0.35">
      <c r="B42" s="830" t="s">
        <v>181</v>
      </c>
      <c r="C42" s="830"/>
      <c r="D42" s="830"/>
      <c r="E42" s="830"/>
      <c r="F42" s="830"/>
      <c r="G42" s="830"/>
      <c r="H42" s="830"/>
      <c r="I42" s="830"/>
      <c r="J42" s="830"/>
      <c r="K42" s="830"/>
      <c r="L42" s="830"/>
      <c r="M42" s="830"/>
      <c r="N42" s="830"/>
    </row>
    <row r="43" spans="2:14" hidden="1" x14ac:dyDescent="0.35">
      <c r="I43" s="77"/>
      <c r="J43" s="77"/>
      <c r="K43" s="77"/>
    </row>
    <row r="44" spans="2:14" hidden="1" x14ac:dyDescent="0.35">
      <c r="B44" s="35" t="s">
        <v>182</v>
      </c>
      <c r="C44" s="35"/>
      <c r="D44" s="826" t="s">
        <v>183</v>
      </c>
      <c r="E44" s="826"/>
      <c r="F44" s="37" t="s">
        <v>184</v>
      </c>
      <c r="G44" s="36"/>
      <c r="H44" s="827" t="s">
        <v>185</v>
      </c>
    </row>
    <row r="45" spans="2:14" hidden="1" x14ac:dyDescent="0.35">
      <c r="B45" s="37" t="s">
        <v>186</v>
      </c>
      <c r="C45" s="37"/>
      <c r="D45" s="37" t="s">
        <v>187</v>
      </c>
      <c r="E45" s="37" t="s">
        <v>188</v>
      </c>
      <c r="F45" s="37" t="s">
        <v>189</v>
      </c>
      <c r="G45" s="37"/>
      <c r="H45" s="828"/>
    </row>
    <row r="46" spans="2:14" hidden="1" x14ac:dyDescent="0.35">
      <c r="B46" s="38">
        <v>43800</v>
      </c>
      <c r="C46" s="38"/>
      <c r="D46" s="39">
        <f>+'ICIS PCR'!C21</f>
        <v>1212.54</v>
      </c>
      <c r="E46" s="39">
        <f>+'ICIS PCR'!D21</f>
        <v>1322.77</v>
      </c>
      <c r="F46" s="39">
        <f>+'IHS PCR'!S16</f>
        <v>1295.2025000000001</v>
      </c>
      <c r="G46" s="37"/>
      <c r="H46" s="83">
        <f>+AVERAGE(D46,E46,F46)</f>
        <v>1276.8374999999999</v>
      </c>
    </row>
    <row r="47" spans="2:14" hidden="1" x14ac:dyDescent="0.35">
      <c r="B47" s="38">
        <v>43831</v>
      </c>
      <c r="C47" s="38"/>
      <c r="D47" s="39">
        <f>+'ICIS PCR'!C22</f>
        <v>1212.54</v>
      </c>
      <c r="E47" s="39">
        <f>+'ICIS PCR'!D22</f>
        <v>1322.77</v>
      </c>
      <c r="F47" s="39">
        <f>+'IHS PCR'!T16</f>
        <v>1324.9645559999999</v>
      </c>
      <c r="G47" s="37"/>
      <c r="H47" s="83">
        <f>+AVERAGE(D47,E47,F47)</f>
        <v>1286.7581853333334</v>
      </c>
    </row>
    <row r="48" spans="2:14" hidden="1" x14ac:dyDescent="0.35">
      <c r="B48" s="38">
        <v>43862</v>
      </c>
      <c r="C48" s="38"/>
      <c r="D48" s="39">
        <f>+'ICIS PCR'!C23</f>
        <v>1212.54</v>
      </c>
      <c r="E48" s="39">
        <f>+'ICIS PCR'!D23</f>
        <v>1322.77</v>
      </c>
      <c r="F48" s="39">
        <f>+'IHS PCR'!U16</f>
        <v>1322.76</v>
      </c>
      <c r="G48" s="37"/>
      <c r="H48" s="83">
        <f>+AVERAGE(D48,E48,F48)</f>
        <v>1286.0233333333333</v>
      </c>
    </row>
    <row r="49" spans="2:11" hidden="1" x14ac:dyDescent="0.35">
      <c r="B49" s="38">
        <v>43891</v>
      </c>
      <c r="C49" s="38"/>
      <c r="D49" s="39">
        <f>+'ICIS PCR'!C24</f>
        <v>1295.21</v>
      </c>
      <c r="E49" s="39">
        <f>+'ICIS PCR'!D24</f>
        <v>1405.45</v>
      </c>
      <c r="F49" s="39">
        <f>+'IHS PCR'!V16</f>
        <v>1366.8520000000001</v>
      </c>
      <c r="G49" s="37"/>
      <c r="H49" s="83">
        <f>+AVERAGE(D49,E49,F49)</f>
        <v>1355.8373333333332</v>
      </c>
    </row>
    <row r="50" spans="2:11" hidden="1" x14ac:dyDescent="0.35">
      <c r="B50" s="63"/>
      <c r="C50" s="63"/>
      <c r="D50" s="82">
        <f>+AVERAGE(D46:D49)</f>
        <v>1233.2075</v>
      </c>
      <c r="E50" s="82">
        <f>+AVERAGE(E46:E49)</f>
        <v>1343.44</v>
      </c>
      <c r="F50" s="82">
        <f>+AVERAGE(F46:F49)</f>
        <v>1327.4447640000001</v>
      </c>
      <c r="G50" s="65" t="s">
        <v>178</v>
      </c>
      <c r="H50" s="66">
        <f>+AVERAGE(H46:H49)</f>
        <v>1301.3640879999998</v>
      </c>
    </row>
    <row r="51" spans="2:11" hidden="1" x14ac:dyDescent="0.35">
      <c r="B51" s="63"/>
      <c r="C51" s="63"/>
      <c r="D51" s="64"/>
      <c r="E51" s="64"/>
      <c r="F51" s="64"/>
      <c r="G51" s="65" t="s">
        <v>1</v>
      </c>
      <c r="H51" s="66">
        <f>+IF(H50&gt;$D$30,$D$30,IF(H50&lt;$D$29,$D$29,H50))</f>
        <v>1301.3640879999998</v>
      </c>
    </row>
    <row r="52" spans="2:11" hidden="1" x14ac:dyDescent="0.35">
      <c r="B52" s="63"/>
      <c r="C52" s="63"/>
      <c r="D52" s="64"/>
      <c r="E52" s="64"/>
      <c r="F52" s="64"/>
      <c r="G52" s="64"/>
      <c r="H52" s="64"/>
      <c r="I52" s="84"/>
      <c r="J52" s="84"/>
      <c r="K52" s="84"/>
    </row>
    <row r="53" spans="2:11" ht="15" hidden="1" thickBot="1" x14ac:dyDescent="0.4">
      <c r="D53" s="40" t="s">
        <v>190</v>
      </c>
      <c r="E53" s="40"/>
      <c r="F53" s="40"/>
      <c r="H53" s="41">
        <f>+H51</f>
        <v>1301.3640879999998</v>
      </c>
      <c r="I53" s="42"/>
    </row>
    <row r="54" spans="2:11" hidden="1" x14ac:dyDescent="0.35">
      <c r="D54" t="s">
        <v>191</v>
      </c>
      <c r="E54" s="42"/>
      <c r="H54" s="43">
        <v>85</v>
      </c>
      <c r="I54" s="42"/>
    </row>
    <row r="55" spans="2:11" ht="15" hidden="1" thickBot="1" x14ac:dyDescent="0.4">
      <c r="D55" s="44" t="s">
        <v>192</v>
      </c>
      <c r="E55" s="44"/>
      <c r="F55" s="44"/>
      <c r="H55" s="45">
        <f>+H54+H53</f>
        <v>1386.3640879999998</v>
      </c>
      <c r="I55" s="42"/>
    </row>
    <row r="56" spans="2:11" hidden="1" x14ac:dyDescent="0.35"/>
    <row r="57" spans="2:11" hidden="1" x14ac:dyDescent="0.35"/>
    <row r="58" spans="2:11" hidden="1" x14ac:dyDescent="0.35">
      <c r="B58" s="35" t="s">
        <v>182</v>
      </c>
      <c r="C58" s="35"/>
      <c r="D58" s="826" t="s">
        <v>183</v>
      </c>
      <c r="E58" s="826"/>
      <c r="F58" s="37" t="s">
        <v>184</v>
      </c>
      <c r="G58" s="36"/>
      <c r="H58" s="827" t="s">
        <v>185</v>
      </c>
    </row>
    <row r="59" spans="2:11" hidden="1" x14ac:dyDescent="0.35">
      <c r="B59" s="37" t="s">
        <v>186</v>
      </c>
      <c r="C59" s="37"/>
      <c r="D59" s="37" t="s">
        <v>187</v>
      </c>
      <c r="E59" s="37" t="s">
        <v>188</v>
      </c>
      <c r="F59" s="37" t="s">
        <v>189</v>
      </c>
      <c r="G59" s="37"/>
      <c r="H59" s="828"/>
    </row>
    <row r="60" spans="2:11" hidden="1" x14ac:dyDescent="0.35">
      <c r="B60" s="38">
        <v>43922</v>
      </c>
      <c r="C60" s="38"/>
      <c r="D60" s="39">
        <f>+'ICIS PCR'!C25</f>
        <v>1322.77</v>
      </c>
      <c r="E60" s="39">
        <f>+'ICIS PCR'!D25</f>
        <v>1433</v>
      </c>
      <c r="F60" s="39">
        <f>+'IHS PCR'!W16</f>
        <v>1311.7370000000001</v>
      </c>
      <c r="G60" s="37"/>
      <c r="H60" s="83">
        <f>+AVERAGE(D60,E60,F60)</f>
        <v>1355.8356666666666</v>
      </c>
    </row>
    <row r="61" spans="2:11" hidden="1" x14ac:dyDescent="0.35">
      <c r="B61" s="38">
        <v>43952</v>
      </c>
      <c r="C61" s="38"/>
      <c r="D61" s="39">
        <f>+'ICIS PCR'!C26</f>
        <v>1322.77</v>
      </c>
      <c r="E61" s="39">
        <f>+'ICIS PCR'!D26</f>
        <v>1433</v>
      </c>
      <c r="F61" s="39">
        <f>+'IHS PCR'!X16</f>
        <v>1278.6679999999999</v>
      </c>
      <c r="G61" s="37"/>
      <c r="H61" s="83">
        <f>+AVERAGE(D61,E61,F61)</f>
        <v>1344.8126666666667</v>
      </c>
    </row>
    <row r="62" spans="2:11" hidden="1" x14ac:dyDescent="0.35">
      <c r="B62" s="38">
        <v>43983</v>
      </c>
      <c r="C62" s="38"/>
      <c r="D62" s="39">
        <f>+'ICIS PCR'!C27</f>
        <v>1322.77</v>
      </c>
      <c r="E62" s="39">
        <f>+'ICIS PCR'!D27</f>
        <v>1433</v>
      </c>
      <c r="F62" s="39">
        <f>+'IHS PCR'!Y16</f>
        <v>1267.645</v>
      </c>
      <c r="G62" s="37"/>
      <c r="H62" s="83">
        <f>+AVERAGE(D62,E62,F62)</f>
        <v>1341.1383333333333</v>
      </c>
    </row>
    <row r="63" spans="2:11" hidden="1" x14ac:dyDescent="0.35">
      <c r="B63" s="38">
        <v>44013</v>
      </c>
      <c r="C63" s="38"/>
      <c r="D63" s="39">
        <f>+'ICIS PCR'!C28</f>
        <v>1212.54</v>
      </c>
      <c r="E63" s="39">
        <f>+'ICIS PCR'!D28</f>
        <v>1322.77</v>
      </c>
      <c r="F63" s="39">
        <f>+'IHS PCR'!Z16</f>
        <v>1267.645</v>
      </c>
      <c r="G63" s="37"/>
      <c r="H63" s="83">
        <f>+AVERAGE(D63,E63,F63)</f>
        <v>1267.6516666666666</v>
      </c>
    </row>
    <row r="64" spans="2:11" hidden="1" x14ac:dyDescent="0.35">
      <c r="B64" s="63"/>
      <c r="C64" s="63"/>
      <c r="D64" s="82">
        <f>+AVERAGE(D60:D63)</f>
        <v>1295.2125000000001</v>
      </c>
      <c r="E64" s="82">
        <f>+AVERAGE(E60:E63)</f>
        <v>1405.4425000000001</v>
      </c>
      <c r="F64" s="82">
        <f>+AVERAGE(F60:F63)</f>
        <v>1281.4237499999999</v>
      </c>
      <c r="G64" s="65" t="s">
        <v>178</v>
      </c>
      <c r="H64" s="66">
        <f>+AVERAGE(H60:H63)</f>
        <v>1327.3595833333334</v>
      </c>
    </row>
    <row r="65" spans="2:11" hidden="1" x14ac:dyDescent="0.35">
      <c r="B65" s="63"/>
      <c r="C65" s="63"/>
      <c r="D65" s="64"/>
      <c r="E65" s="64"/>
      <c r="F65" s="64"/>
      <c r="G65" s="65" t="s">
        <v>1</v>
      </c>
      <c r="H65" s="66">
        <f>+IF(H64&gt;$D$30,$D$30,IF(H64&lt;$D$29,$D$29,H64))</f>
        <v>1327.3595833333334</v>
      </c>
    </row>
    <row r="66" spans="2:11" hidden="1" x14ac:dyDescent="0.35"/>
    <row r="67" spans="2:11" ht="15" hidden="1" thickBot="1" x14ac:dyDescent="0.4">
      <c r="D67" s="40" t="s">
        <v>193</v>
      </c>
      <c r="E67" s="40"/>
      <c r="F67" s="40"/>
      <c r="H67" s="41">
        <f>+H65</f>
        <v>1327.3595833333334</v>
      </c>
    </row>
    <row r="68" spans="2:11" hidden="1" x14ac:dyDescent="0.35">
      <c r="D68" t="s">
        <v>191</v>
      </c>
      <c r="E68" s="42"/>
      <c r="H68" s="43">
        <v>85</v>
      </c>
    </row>
    <row r="69" spans="2:11" ht="15" hidden="1" thickBot="1" x14ac:dyDescent="0.4">
      <c r="D69" s="44" t="s">
        <v>194</v>
      </c>
      <c r="E69" s="44"/>
      <c r="F69" s="44"/>
      <c r="H69" s="45">
        <f>+H68+H67</f>
        <v>1412.3595833333334</v>
      </c>
      <c r="K69" s="87"/>
    </row>
    <row r="70" spans="2:11" ht="8.5" hidden="1" customHeight="1" thickTop="1" x14ac:dyDescent="0.35"/>
    <row r="71" spans="2:11" hidden="1" x14ac:dyDescent="0.35">
      <c r="D71" t="s">
        <v>195</v>
      </c>
      <c r="E71" t="s">
        <v>196</v>
      </c>
      <c r="H71" s="121">
        <v>5.8999999999999997E-2</v>
      </c>
    </row>
    <row r="72" spans="2:11" hidden="1" x14ac:dyDescent="0.35">
      <c r="D72" t="s">
        <v>195</v>
      </c>
      <c r="E72" t="s">
        <v>197</v>
      </c>
      <c r="H72" s="122">
        <f>+H69*H71</f>
        <v>83.329215416666671</v>
      </c>
    </row>
    <row r="73" spans="2:11" ht="15" hidden="1" thickBot="1" x14ac:dyDescent="0.4">
      <c r="D73" s="44" t="s">
        <v>192</v>
      </c>
      <c r="E73" s="44"/>
      <c r="F73" s="44"/>
      <c r="H73" s="45">
        <f>+H69+H72</f>
        <v>1495.6887987499999</v>
      </c>
    </row>
    <row r="74" spans="2:11" hidden="1" x14ac:dyDescent="0.35"/>
    <row r="75" spans="2:11" hidden="1" x14ac:dyDescent="0.35"/>
    <row r="76" spans="2:11" hidden="1" x14ac:dyDescent="0.35"/>
    <row r="77" spans="2:11" hidden="1" x14ac:dyDescent="0.35">
      <c r="B77" s="35" t="s">
        <v>182</v>
      </c>
      <c r="C77" s="35"/>
      <c r="D77" s="826" t="s">
        <v>183</v>
      </c>
      <c r="E77" s="826"/>
      <c r="F77" s="37" t="s">
        <v>184</v>
      </c>
      <c r="G77" s="36"/>
      <c r="H77" s="827" t="s">
        <v>185</v>
      </c>
    </row>
    <row r="78" spans="2:11" hidden="1" x14ac:dyDescent="0.35">
      <c r="B78" s="37" t="s">
        <v>186</v>
      </c>
      <c r="C78" s="37"/>
      <c r="D78" s="37" t="s">
        <v>187</v>
      </c>
      <c r="E78" s="37" t="s">
        <v>188</v>
      </c>
      <c r="F78" s="37" t="s">
        <v>189</v>
      </c>
      <c r="G78" s="37"/>
      <c r="H78" s="828"/>
    </row>
    <row r="79" spans="2:11" hidden="1" x14ac:dyDescent="0.35">
      <c r="B79" s="38">
        <v>44044</v>
      </c>
      <c r="C79" s="38"/>
      <c r="D79" s="39">
        <f>+'ICIS PCR'!C29</f>
        <v>1212.54</v>
      </c>
      <c r="E79" s="39">
        <f>+'ICIS PCR'!D29</f>
        <v>1322.77</v>
      </c>
      <c r="F79" s="39">
        <f>+'IHS PCR'!AA16</f>
        <v>1267.645</v>
      </c>
      <c r="G79" s="37"/>
      <c r="H79" s="83">
        <f>+AVERAGE(D79,E79,F79)</f>
        <v>1267.6516666666666</v>
      </c>
    </row>
    <row r="80" spans="2:11" hidden="1" x14ac:dyDescent="0.35">
      <c r="B80" s="38">
        <v>44075</v>
      </c>
      <c r="C80" s="38"/>
      <c r="D80" s="39">
        <f>+'ICIS PCR'!C30</f>
        <v>1212.54</v>
      </c>
      <c r="E80" s="39">
        <f>+'ICIS PCR'!D30</f>
        <v>1322.77</v>
      </c>
      <c r="F80" s="39">
        <f>+'IHS PCR'!AB16</f>
        <v>1267.645</v>
      </c>
      <c r="G80" s="37"/>
      <c r="H80" s="83">
        <f>+AVERAGE(D80,E80,F80)</f>
        <v>1267.6516666666666</v>
      </c>
    </row>
    <row r="81" spans="2:10" hidden="1" x14ac:dyDescent="0.35">
      <c r="B81" s="38">
        <v>44105</v>
      </c>
      <c r="C81" s="38"/>
      <c r="D81" s="39">
        <f>+'ICIS PCR'!C31</f>
        <v>1287.5</v>
      </c>
      <c r="E81" s="39">
        <f>+'ICIS PCR'!D31</f>
        <v>1397.73</v>
      </c>
      <c r="F81" s="39">
        <f>+'IHS PCR'!AC16</f>
        <v>1267.645</v>
      </c>
      <c r="G81" s="37"/>
      <c r="H81" s="83">
        <f>+AVERAGE(D81,E81,F81)</f>
        <v>1317.625</v>
      </c>
    </row>
    <row r="82" spans="2:10" hidden="1" x14ac:dyDescent="0.35">
      <c r="B82" s="38">
        <v>44136</v>
      </c>
      <c r="C82" s="38"/>
      <c r="D82" s="39">
        <f>+'ICIS PCR'!C32</f>
        <v>1388.91</v>
      </c>
      <c r="E82" s="39">
        <f>+'ICIS PCR'!D32</f>
        <v>1499.14</v>
      </c>
      <c r="F82" s="39">
        <f>+'IHS PCR'!AD16</f>
        <v>1267.645</v>
      </c>
      <c r="G82" s="37"/>
      <c r="H82" s="83">
        <f>+AVERAGE(D82,E82,F82)</f>
        <v>1385.2316666666666</v>
      </c>
    </row>
    <row r="83" spans="2:10" hidden="1" x14ac:dyDescent="0.35">
      <c r="B83" s="63"/>
      <c r="C83" s="63"/>
      <c r="D83" s="82">
        <f>+AVERAGE(D79:D82)</f>
        <v>1275.3724999999999</v>
      </c>
      <c r="E83" s="82">
        <f>+AVERAGE(E79:E82)</f>
        <v>1385.6025</v>
      </c>
      <c r="F83" s="82">
        <f>+AVERAGE(F79:F82)</f>
        <v>1267.645</v>
      </c>
      <c r="G83" s="65" t="s">
        <v>178</v>
      </c>
      <c r="H83" s="66">
        <f>+AVERAGE(H79:H82)</f>
        <v>1309.54</v>
      </c>
    </row>
    <row r="84" spans="2:10" hidden="1" x14ac:dyDescent="0.35">
      <c r="B84" s="63"/>
      <c r="C84" s="63"/>
      <c r="D84" s="64"/>
      <c r="E84" s="64"/>
      <c r="F84" s="64"/>
      <c r="G84" s="65" t="s">
        <v>1</v>
      </c>
      <c r="H84" s="66">
        <f>+IF(H83&gt;$D$30,$D$30,IF(H83&lt;$D$29,$D$29,H83))</f>
        <v>1309.54</v>
      </c>
    </row>
    <row r="85" spans="2:10" hidden="1" x14ac:dyDescent="0.35"/>
    <row r="86" spans="2:10" ht="15" hidden="1" thickBot="1" x14ac:dyDescent="0.4">
      <c r="D86" s="40" t="s">
        <v>193</v>
      </c>
      <c r="E86" s="40"/>
      <c r="F86" s="40"/>
      <c r="H86" s="41">
        <f>+H84</f>
        <v>1309.54</v>
      </c>
    </row>
    <row r="87" spans="2:10" hidden="1" x14ac:dyDescent="0.35">
      <c r="D87" t="s">
        <v>191</v>
      </c>
      <c r="E87" s="42"/>
      <c r="H87" s="43">
        <v>85</v>
      </c>
    </row>
    <row r="88" spans="2:10" ht="15" hidden="1" thickBot="1" x14ac:dyDescent="0.4">
      <c r="D88" s="44" t="s">
        <v>194</v>
      </c>
      <c r="E88" s="44"/>
      <c r="F88" s="44"/>
      <c r="H88" s="45">
        <f>+H87+H86</f>
        <v>1394.54</v>
      </c>
    </row>
    <row r="89" spans="2:10" hidden="1" x14ac:dyDescent="0.35"/>
    <row r="90" spans="2:10" hidden="1" x14ac:dyDescent="0.35">
      <c r="D90" t="s">
        <v>195</v>
      </c>
      <c r="E90" t="s">
        <v>196</v>
      </c>
      <c r="H90" s="121">
        <f>(+SOFR!$F$3/365)*210</f>
        <v>2.0118074085194219E-2</v>
      </c>
    </row>
    <row r="91" spans="2:10" hidden="1" x14ac:dyDescent="0.35">
      <c r="D91" t="s">
        <v>195</v>
      </c>
      <c r="E91" t="s">
        <v>197</v>
      </c>
      <c r="H91" s="122">
        <f>+H88*H90</f>
        <v>28.055459034766745</v>
      </c>
    </row>
    <row r="92" spans="2:10" ht="15" hidden="1" thickBot="1" x14ac:dyDescent="0.4">
      <c r="D92" s="44" t="s">
        <v>192</v>
      </c>
      <c r="E92" s="44"/>
      <c r="F92" s="44"/>
      <c r="H92" s="45">
        <f>+H88+H91</f>
        <v>1422.5954590347667</v>
      </c>
    </row>
    <row r="93" spans="2:10" hidden="1" x14ac:dyDescent="0.35">
      <c r="B93" s="35" t="s">
        <v>182</v>
      </c>
      <c r="H93" s="87"/>
    </row>
    <row r="94" spans="2:10" hidden="1" x14ac:dyDescent="0.35">
      <c r="C94" s="35"/>
      <c r="D94" s="826" t="s">
        <v>183</v>
      </c>
      <c r="E94" s="826"/>
      <c r="F94" s="37" t="s">
        <v>184</v>
      </c>
      <c r="G94" s="36"/>
      <c r="H94" s="827" t="s">
        <v>185</v>
      </c>
    </row>
    <row r="95" spans="2:10" hidden="1" x14ac:dyDescent="0.35">
      <c r="B95" s="36" t="s">
        <v>198</v>
      </c>
      <c r="C95" s="37" t="s">
        <v>199</v>
      </c>
      <c r="D95" s="37" t="s">
        <v>187</v>
      </c>
      <c r="E95" s="37" t="s">
        <v>188</v>
      </c>
      <c r="F95" s="37" t="s">
        <v>189</v>
      </c>
      <c r="G95" s="37"/>
      <c r="H95" s="828"/>
    </row>
    <row r="96" spans="2:10" hidden="1" x14ac:dyDescent="0.35">
      <c r="B96" s="38">
        <v>44287</v>
      </c>
      <c r="C96" s="38">
        <v>44197</v>
      </c>
      <c r="D96" s="39">
        <f>+'ICIS PCR'!C34</f>
        <v>1455.05</v>
      </c>
      <c r="E96" s="224">
        <f>+'ICIS PCR'!D34</f>
        <v>1554.26</v>
      </c>
      <c r="F96" s="39">
        <f>+'IHS PCR'!AF16</f>
        <v>1278.6679999999999</v>
      </c>
      <c r="G96" s="37"/>
      <c r="H96" s="83">
        <f>+AVERAGE(D96,E96,F96)</f>
        <v>1429.326</v>
      </c>
      <c r="I96" s="87"/>
      <c r="J96" s="87"/>
    </row>
    <row r="97" spans="2:11" hidden="1" x14ac:dyDescent="0.35">
      <c r="B97" s="38">
        <v>44317</v>
      </c>
      <c r="C97" s="38">
        <v>44228</v>
      </c>
      <c r="D97" s="39">
        <f>+'ICIS PCR'!C35</f>
        <v>1592.84</v>
      </c>
      <c r="E97" s="224">
        <f>+'ICIS PCR'!D35</f>
        <v>1664.49</v>
      </c>
      <c r="F97" s="39">
        <f>+'IHS PCR'!AG16</f>
        <v>1306.2255</v>
      </c>
      <c r="G97" s="37"/>
      <c r="H97" s="83">
        <f>+AVERAGE(D97,E97,F97)</f>
        <v>1521.1851666666669</v>
      </c>
      <c r="I97" s="87"/>
      <c r="J97" s="87"/>
    </row>
    <row r="98" spans="2:11" hidden="1" x14ac:dyDescent="0.35">
      <c r="B98" s="38">
        <v>44348</v>
      </c>
      <c r="C98" s="38">
        <v>44256</v>
      </c>
      <c r="D98" s="39">
        <f>+'ICIS PCR'!C36</f>
        <v>1719.6</v>
      </c>
      <c r="E98" s="224">
        <f>+'ICIS PCR'!D36</f>
        <v>1785.74</v>
      </c>
      <c r="F98" s="39">
        <f>+'IHS PCR'!AH16</f>
        <v>1350.3175000000001</v>
      </c>
      <c r="G98" s="37"/>
      <c r="H98" s="83">
        <f>+AVERAGE(D98,E98,F98)</f>
        <v>1618.5525</v>
      </c>
      <c r="I98" s="87"/>
      <c r="J98" s="87"/>
    </row>
    <row r="99" spans="2:11" hidden="1" x14ac:dyDescent="0.35">
      <c r="B99" s="63"/>
      <c r="C99" s="63"/>
      <c r="D99" s="82">
        <f>+AVERAGE(D96:D98)</f>
        <v>1589.1633333333332</v>
      </c>
      <c r="E99" s="82">
        <f>+AVERAGE(E96:E98)</f>
        <v>1668.1633333333332</v>
      </c>
      <c r="F99" s="82">
        <f>+AVERAGE(F96:F98)</f>
        <v>1311.7370000000001</v>
      </c>
      <c r="G99" s="65" t="s">
        <v>178</v>
      </c>
      <c r="H99" s="66">
        <f>+AVERAGE(H96:H98)</f>
        <v>1523.0212222222224</v>
      </c>
      <c r="I99" s="87"/>
      <c r="J99" s="87"/>
      <c r="K99" s="87"/>
    </row>
    <row r="100" spans="2:11" hidden="1" x14ac:dyDescent="0.35">
      <c r="B100" s="63"/>
      <c r="C100" s="63"/>
      <c r="D100" s="64"/>
      <c r="E100" s="64"/>
      <c r="F100" s="266" t="s">
        <v>200</v>
      </c>
      <c r="G100" s="64"/>
      <c r="H100" s="66">
        <f>+IF(H99&gt;$D$30,$D$30,IF(H99&lt;$D$29,$D$29,H99))</f>
        <v>1400</v>
      </c>
    </row>
    <row r="101" spans="2:11" hidden="1" x14ac:dyDescent="0.35">
      <c r="J101" s="248"/>
    </row>
    <row r="102" spans="2:11" ht="15" hidden="1" thickBot="1" x14ac:dyDescent="0.4">
      <c r="D102" s="40" t="s">
        <v>193</v>
      </c>
      <c r="E102" s="40"/>
      <c r="F102" s="40"/>
      <c r="H102" s="41">
        <f>+H100</f>
        <v>1400</v>
      </c>
      <c r="J102" s="87"/>
    </row>
    <row r="103" spans="2:11" hidden="1" x14ac:dyDescent="0.35">
      <c r="D103" t="s">
        <v>191</v>
      </c>
      <c r="E103" s="42"/>
      <c r="H103" s="43">
        <v>85</v>
      </c>
      <c r="J103" s="87"/>
    </row>
    <row r="104" spans="2:11" ht="15" hidden="1" thickBot="1" x14ac:dyDescent="0.4">
      <c r="D104" s="44" t="s">
        <v>194</v>
      </c>
      <c r="E104" s="44"/>
      <c r="F104" s="44"/>
      <c r="H104" s="45">
        <f>+H103+H102</f>
        <v>1485</v>
      </c>
      <c r="J104" s="249"/>
    </row>
    <row r="105" spans="2:11" ht="7.5" hidden="1" customHeight="1" thickTop="1" x14ac:dyDescent="0.35"/>
    <row r="106" spans="2:11" hidden="1" x14ac:dyDescent="0.35">
      <c r="D106" t="s">
        <v>195</v>
      </c>
      <c r="E106" t="s">
        <v>196</v>
      </c>
      <c r="H106" s="121">
        <f>(+SOFR!$F$3/365)*210</f>
        <v>2.0118074085194219E-2</v>
      </c>
      <c r="J106" s="121"/>
    </row>
    <row r="107" spans="2:11" hidden="1" x14ac:dyDescent="0.35">
      <c r="D107" t="s">
        <v>195</v>
      </c>
      <c r="E107" t="s">
        <v>197</v>
      </c>
      <c r="H107" s="122">
        <f>+H104*H106</f>
        <v>29.875340016513416</v>
      </c>
      <c r="J107" s="122"/>
    </row>
    <row r="108" spans="2:11" ht="15" hidden="1" thickBot="1" x14ac:dyDescent="0.4">
      <c r="D108" s="44" t="s">
        <v>192</v>
      </c>
      <c r="E108" s="44"/>
      <c r="F108" s="44"/>
      <c r="H108" s="45">
        <f>+H104+H107</f>
        <v>1514.8753400165135</v>
      </c>
      <c r="J108" s="249"/>
    </row>
    <row r="109" spans="2:11" hidden="1" x14ac:dyDescent="0.35"/>
    <row r="110" spans="2:11" hidden="1" x14ac:dyDescent="0.35">
      <c r="B110" s="35" t="s">
        <v>182</v>
      </c>
      <c r="C110" s="35"/>
      <c r="D110" s="826" t="s">
        <v>183</v>
      </c>
      <c r="E110" s="826"/>
      <c r="F110" s="37" t="s">
        <v>184</v>
      </c>
      <c r="G110" s="36"/>
      <c r="H110" s="827" t="s">
        <v>185</v>
      </c>
    </row>
    <row r="111" spans="2:11" hidden="1" x14ac:dyDescent="0.35">
      <c r="C111" s="37" t="s">
        <v>198</v>
      </c>
      <c r="D111" s="37" t="s">
        <v>187</v>
      </c>
      <c r="E111" s="37" t="s">
        <v>188</v>
      </c>
      <c r="F111" s="37" t="s">
        <v>189</v>
      </c>
      <c r="G111" s="37"/>
      <c r="H111" s="828"/>
    </row>
    <row r="112" spans="2:11" hidden="1" x14ac:dyDescent="0.35">
      <c r="B112" s="38">
        <v>44287</v>
      </c>
      <c r="C112" s="38">
        <v>44378</v>
      </c>
      <c r="D112" s="39">
        <f>+'ICIS PCR'!D37</f>
        <v>1807.79</v>
      </c>
      <c r="E112" s="224">
        <f>+'ICIS PCR'!C37</f>
        <v>1741.65</v>
      </c>
      <c r="F112" s="39">
        <f>+'IHS PCR'!AI16</f>
        <v>1427.4784999999999</v>
      </c>
      <c r="G112" s="37"/>
      <c r="H112" s="83">
        <f>+AVERAGE(D112,E112,F112)</f>
        <v>1658.9728333333333</v>
      </c>
    </row>
    <row r="113" spans="2:58" hidden="1" x14ac:dyDescent="0.35">
      <c r="B113" s="38">
        <v>44317</v>
      </c>
      <c r="C113" s="38">
        <v>44409</v>
      </c>
      <c r="D113" s="39">
        <f>+'ICIS PCR'!D38</f>
        <v>1873.93</v>
      </c>
      <c r="E113" s="224">
        <f>+'ICIS PCR'!C38</f>
        <v>1763.7</v>
      </c>
      <c r="F113" s="39">
        <f>+'IHS PCR'!AJ16</f>
        <v>1554.2429999999999</v>
      </c>
      <c r="G113" s="37"/>
      <c r="H113" s="83">
        <f>+AVERAGE(D113,E113,F113)</f>
        <v>1730.6243333333332</v>
      </c>
    </row>
    <row r="114" spans="2:58" ht="16.5" hidden="1" customHeight="1" x14ac:dyDescent="0.35">
      <c r="B114" s="38">
        <v>44348</v>
      </c>
      <c r="C114" s="38">
        <v>44440</v>
      </c>
      <c r="D114" s="39">
        <f>+'ICIS PCR'!D39</f>
        <v>1873.93</v>
      </c>
      <c r="E114" s="224">
        <f>+'ICIS PCR'!C39</f>
        <v>1763.7</v>
      </c>
      <c r="F114" s="39">
        <f>+'IHS PCR'!AK16</f>
        <v>1686.519</v>
      </c>
      <c r="G114" s="37"/>
      <c r="H114" s="83">
        <f>+AVERAGE(D114,E114,F114)</f>
        <v>1774.7163333333335</v>
      </c>
    </row>
    <row r="115" spans="2:58" hidden="1" x14ac:dyDescent="0.35">
      <c r="B115" s="63"/>
      <c r="C115" s="63"/>
      <c r="D115" s="82">
        <f>+AVERAGE(D112:D114)</f>
        <v>1851.8833333333334</v>
      </c>
      <c r="E115" s="82">
        <f>+AVERAGE(E112:E114)</f>
        <v>1756.3500000000001</v>
      </c>
      <c r="F115" s="82">
        <f>+AVERAGE(F112:F114)</f>
        <v>1556.0801666666666</v>
      </c>
      <c r="G115" s="65" t="s">
        <v>178</v>
      </c>
      <c r="H115" s="66">
        <f>+AVERAGE(H112:H114)</f>
        <v>1721.4378333333334</v>
      </c>
    </row>
    <row r="116" spans="2:58" hidden="1" x14ac:dyDescent="0.35">
      <c r="B116" s="63"/>
      <c r="C116" s="63"/>
      <c r="D116" s="64"/>
      <c r="E116" s="64"/>
      <c r="F116" s="266" t="s">
        <v>200</v>
      </c>
      <c r="G116" s="247"/>
      <c r="H116" s="66">
        <f>+IF(H115&gt;$D$30,$D$30,IF(H115&lt;$D$29,$D$29,H115))</f>
        <v>1400</v>
      </c>
    </row>
    <row r="117" spans="2:58" hidden="1" x14ac:dyDescent="0.35">
      <c r="B117" s="63"/>
      <c r="C117" s="63"/>
      <c r="D117" s="64"/>
      <c r="E117" s="64"/>
      <c r="F117" s="64"/>
      <c r="G117" s="64"/>
      <c r="H117" s="64"/>
      <c r="I117" s="64"/>
      <c r="J117" s="64"/>
      <c r="K117" s="64"/>
      <c r="L117" s="64"/>
      <c r="M117" s="64"/>
    </row>
    <row r="118" spans="2:58" ht="15" hidden="1" thickBot="1" x14ac:dyDescent="0.4">
      <c r="D118" s="40" t="s">
        <v>193</v>
      </c>
      <c r="E118" s="40"/>
      <c r="F118" s="40"/>
      <c r="H118" s="41">
        <f>+H116</f>
        <v>1400</v>
      </c>
    </row>
    <row r="119" spans="2:58" hidden="1" x14ac:dyDescent="0.35">
      <c r="D119" t="s">
        <v>191</v>
      </c>
      <c r="E119" s="42"/>
      <c r="H119" s="43">
        <v>85</v>
      </c>
      <c r="I119" s="87">
        <f>100-H119</f>
        <v>15</v>
      </c>
    </row>
    <row r="120" spans="2:58" ht="15" hidden="1" thickBot="1" x14ac:dyDescent="0.4">
      <c r="D120" s="44" t="s">
        <v>194</v>
      </c>
      <c r="E120" s="44"/>
      <c r="F120" s="44"/>
      <c r="H120" s="45">
        <f>+H119+H118</f>
        <v>1485</v>
      </c>
    </row>
    <row r="121" spans="2:58" ht="10.5" hidden="1" customHeight="1" thickTop="1" x14ac:dyDescent="0.35"/>
    <row r="122" spans="2:58" hidden="1" x14ac:dyDescent="0.35">
      <c r="D122" t="s">
        <v>195</v>
      </c>
      <c r="E122" t="s">
        <v>196</v>
      </c>
      <c r="H122" s="121">
        <f>(+SOFR!$F$3/365)*210</f>
        <v>2.0118074085194219E-2</v>
      </c>
    </row>
    <row r="123" spans="2:58" hidden="1" x14ac:dyDescent="0.35">
      <c r="D123" t="s">
        <v>195</v>
      </c>
      <c r="E123" t="s">
        <v>197</v>
      </c>
      <c r="H123" s="122">
        <f>+H120*H122</f>
        <v>29.875340016513416</v>
      </c>
    </row>
    <row r="124" spans="2:58" ht="15" hidden="1" thickBot="1" x14ac:dyDescent="0.4">
      <c r="D124" s="44" t="s">
        <v>192</v>
      </c>
      <c r="E124" s="44"/>
      <c r="F124" s="44"/>
      <c r="H124" s="45">
        <f>+H120+H123</f>
        <v>1514.8753400165135</v>
      </c>
      <c r="I124" s="87"/>
    </row>
    <row r="126" spans="2:58" x14ac:dyDescent="0.35">
      <c r="B126" s="831" t="s">
        <v>201</v>
      </c>
      <c r="C126" s="831"/>
      <c r="D126" s="831"/>
      <c r="E126" s="831"/>
      <c r="F126" s="831"/>
      <c r="G126" s="831"/>
      <c r="H126" s="831"/>
      <c r="I126" s="831"/>
      <c r="J126" s="831"/>
      <c r="K126" s="831"/>
      <c r="L126" s="831"/>
      <c r="M126" s="831"/>
      <c r="N126" s="831"/>
      <c r="O126" s="831"/>
      <c r="P126" s="831"/>
      <c r="Q126" s="831"/>
      <c r="R126" s="831"/>
      <c r="S126" s="831"/>
      <c r="T126" s="831"/>
      <c r="U126" s="831"/>
      <c r="V126" s="831"/>
      <c r="W126" s="831"/>
      <c r="X126" s="831"/>
      <c r="Y126" s="831"/>
      <c r="Z126" s="831"/>
      <c r="AA126" s="831"/>
      <c r="AB126" s="831"/>
      <c r="AC126" s="831"/>
      <c r="AD126" s="831"/>
      <c r="AE126" s="831"/>
      <c r="AF126" s="831"/>
      <c r="AG126" s="831"/>
      <c r="AH126" s="831"/>
      <c r="AI126" s="831"/>
      <c r="AJ126" s="831"/>
      <c r="AK126" s="831"/>
      <c r="AL126" s="831"/>
      <c r="AM126" s="831"/>
      <c r="AN126" s="831"/>
      <c r="AO126" s="831"/>
      <c r="AP126" s="831"/>
      <c r="AQ126" s="831"/>
      <c r="AR126" s="831"/>
      <c r="AS126" s="831"/>
      <c r="AT126" s="831"/>
      <c r="AU126" s="831"/>
      <c r="AV126" s="831"/>
      <c r="AW126" s="831"/>
      <c r="AX126" s="831"/>
      <c r="AY126" s="831"/>
      <c r="AZ126" s="831"/>
      <c r="BA126" s="831"/>
      <c r="BB126" s="831"/>
      <c r="BC126" s="831"/>
      <c r="BD126" s="831"/>
      <c r="BE126" s="831"/>
      <c r="BF126" s="723"/>
    </row>
    <row r="127" spans="2:58" x14ac:dyDescent="0.35">
      <c r="T127" s="21"/>
      <c r="U127" s="21"/>
      <c r="V127" s="21"/>
      <c r="W127" s="21"/>
      <c r="X127" s="21"/>
      <c r="Y127" s="21"/>
      <c r="Z127" s="21"/>
      <c r="AA127" s="21"/>
      <c r="AB127" s="21"/>
      <c r="AC127" s="21"/>
      <c r="AD127" s="21"/>
      <c r="AE127" s="21"/>
      <c r="AF127" s="21"/>
      <c r="AG127" s="21"/>
      <c r="AH127" s="21"/>
      <c r="AI127" s="21"/>
      <c r="AJ127" s="21"/>
      <c r="AK127" s="21"/>
      <c r="AL127" s="21"/>
    </row>
    <row r="128" spans="2:58" x14ac:dyDescent="0.35">
      <c r="C128" s="322" t="str">
        <f>+'Fórmula Marzo 26'!AS14</f>
        <v>Ago-21</v>
      </c>
      <c r="D128" s="322" t="str">
        <f>+'Fórmula Marzo 26'!AT14</f>
        <v>Sep-21</v>
      </c>
      <c r="E128" s="322" t="str">
        <f>+'Fórmula Marzo 26'!AU14</f>
        <v>Oct-21</v>
      </c>
      <c r="F128" s="322" t="str">
        <f>+'Fórmula Marzo 26'!AV14</f>
        <v>Nov-21</v>
      </c>
      <c r="G128" s="322" t="str">
        <f>+'Fórmula Marzo 26'!AW14</f>
        <v>Dic-21</v>
      </c>
      <c r="H128" s="322" t="str">
        <f>+'Fórmula Marzo 26'!AX14</f>
        <v>Ene-22</v>
      </c>
      <c r="I128" s="322" t="str">
        <f>+'Fórmula Marzo 26'!AY14</f>
        <v>Feb-22</v>
      </c>
      <c r="J128" s="322" t="str">
        <f>+'Fórmula Marzo 26'!AZ14</f>
        <v>Mar-22</v>
      </c>
      <c r="K128" s="322" t="str">
        <f>+'Fórmula Marzo 26'!BA14</f>
        <v>Abr-22</v>
      </c>
      <c r="L128" s="322" t="str">
        <f>+'Fórmula Marzo 26'!BB14</f>
        <v>Mayo-22</v>
      </c>
      <c r="M128" s="322" t="str">
        <f>+'Fórmula Marzo 26'!BC14</f>
        <v>Junio-22</v>
      </c>
      <c r="N128" s="322" t="str">
        <f>+'Fórmula Marzo 26'!BD14</f>
        <v>Julio-22</v>
      </c>
      <c r="O128" s="322" t="str">
        <f>+'Fórmula Marzo 26'!BE14</f>
        <v>Agosto-22</v>
      </c>
      <c r="P128" s="322" t="str">
        <f>+'Fórmula Marzo 26'!BF14</f>
        <v>Septiembre-22</v>
      </c>
      <c r="Q128" s="322" t="str">
        <f>+'Fórmula Marzo 26'!BG14</f>
        <v>Octubre-22</v>
      </c>
      <c r="R128" s="322" t="str">
        <f>+'Fórmula Marzo 26'!BH14</f>
        <v>Noviembre-22</v>
      </c>
      <c r="S128" s="322" t="str">
        <f>+'Fórmula Marzo 26'!BI14</f>
        <v>Diciembre-22</v>
      </c>
      <c r="T128" s="322" t="str">
        <f>+'Fórmula Marzo 26'!BJ14</f>
        <v>Enero-23</v>
      </c>
      <c r="U128" s="322" t="str">
        <f>+'Fórmula Marzo 26'!BK14</f>
        <v>Febrero-23</v>
      </c>
      <c r="V128" s="322" t="str">
        <f>+'Fórmula Marzo 26'!BL14</f>
        <v>Marzo-23</v>
      </c>
      <c r="W128" s="322" t="str">
        <f>+'Fórmula Marzo 26'!BM14</f>
        <v>Abril-23</v>
      </c>
      <c r="X128" s="322" t="str">
        <f>+'Fórmula Marzo 26'!BN14</f>
        <v>Mayo-23</v>
      </c>
      <c r="Y128" s="322" t="str">
        <f>+'Fórmula Marzo 26'!BO14</f>
        <v>Junio-23</v>
      </c>
      <c r="Z128" s="322" t="str">
        <f>+'Fórmula Marzo 26'!BP14</f>
        <v>Julio-23</v>
      </c>
      <c r="AA128" s="322" t="str">
        <f>+'Fórmula Marzo 26'!BQ14</f>
        <v>Agosto-23</v>
      </c>
      <c r="AB128" s="322" t="str">
        <f>+'Fórmula Marzo 26'!BR14</f>
        <v>Septiembre-23</v>
      </c>
      <c r="AC128" s="322" t="str">
        <f>+'Fórmula Marzo 26'!BS14</f>
        <v>Octubre-23</v>
      </c>
      <c r="AD128" s="322" t="str">
        <f>+'Fórmula Marzo 26'!BT14</f>
        <v>Noviembre-23</v>
      </c>
      <c r="AE128" s="322" t="str">
        <f>+'Fórmula Marzo 26'!BU14</f>
        <v>Diciembre-23</v>
      </c>
      <c r="AF128" s="322" t="str">
        <f>+'Fórmula Marzo 26'!BV14</f>
        <v>Enero-24</v>
      </c>
      <c r="AG128" s="322" t="str">
        <f>+'Fórmula Marzo 26'!BW14</f>
        <v>Febrero-24</v>
      </c>
      <c r="AH128" s="322" t="str">
        <f>+'Fórmula Marzo 26'!BX14</f>
        <v>Marzo-24</v>
      </c>
      <c r="AI128" s="322" t="str">
        <f>+'Fórmula Marzo 26'!BY14</f>
        <v>Abril-24</v>
      </c>
      <c r="AJ128" s="322" t="str">
        <f>+'Fórmula Marzo 26'!BZ14</f>
        <v>Mayo-24</v>
      </c>
      <c r="AK128" s="322" t="str">
        <f>+'Fórmula Marzo 26'!CA14</f>
        <v>Junio-24</v>
      </c>
      <c r="AL128" s="322" t="str">
        <f>+'Fórmula Marzo 26'!CB14</f>
        <v>Julio-24</v>
      </c>
      <c r="AM128" s="322" t="str">
        <f>+'Fórmula Marzo 26'!CC14</f>
        <v>Agosto-24</v>
      </c>
      <c r="AN128" s="322" t="str">
        <f>+'Fórmula Marzo 26'!CD14</f>
        <v>Septiembre-24</v>
      </c>
      <c r="AO128" s="322" t="str">
        <f>+'Fórmula Marzo 26'!CE14</f>
        <v>Octubre-24</v>
      </c>
      <c r="AP128" s="322" t="str">
        <f>+'Fórmula Marzo 26'!CF14</f>
        <v>Noviembre-24</v>
      </c>
      <c r="AQ128" s="322" t="str">
        <f>+'Fórmula Marzo 26'!CG14</f>
        <v>Diciembre-24</v>
      </c>
      <c r="AR128" s="322" t="str">
        <f>+'Fórmula Marzo 26'!CH14</f>
        <v>Enero-25</v>
      </c>
      <c r="AS128" s="322" t="str">
        <f>+'Fórmula Marzo 26'!CI14</f>
        <v>Febrero-25</v>
      </c>
      <c r="AT128" s="322" t="str">
        <f>+'Fórmula Marzo 26'!CJ14</f>
        <v>Marzo-25</v>
      </c>
      <c r="AU128" s="322" t="str">
        <f>+'Fórmula Marzo 26'!CK14</f>
        <v>Abril-25</v>
      </c>
      <c r="AV128" s="322" t="str">
        <f>+'Fórmula Marzo 26'!CL14</f>
        <v>Mayo-25</v>
      </c>
      <c r="AW128" s="322" t="str">
        <f>+'Fórmula Marzo 26'!CM14</f>
        <v>Junio-25</v>
      </c>
      <c r="AX128" s="322" t="str">
        <f>+'Fórmula Marzo 26'!CN14</f>
        <v>Julio-25</v>
      </c>
      <c r="AY128" s="322" t="str">
        <f>+'Fórmula Marzo 26'!CO14</f>
        <v>Agosto-25</v>
      </c>
      <c r="AZ128" s="322" t="str">
        <f>+'Fórmula Marzo 26'!CP14</f>
        <v>Septie-25</v>
      </c>
      <c r="BA128" s="322" t="str">
        <f>+'Fórmula Marzo 26'!CQ14</f>
        <v>Oct-25</v>
      </c>
      <c r="BB128" s="322" t="str">
        <f>+'Fórmula Marzo 26'!CR14</f>
        <v>Nov-25</v>
      </c>
      <c r="BC128" s="322" t="str">
        <f>+'Fórmula Marzo 26'!CS14</f>
        <v>Dic-25</v>
      </c>
      <c r="BD128" s="322" t="str">
        <f>+'Fórmula Marzo 26'!CT14</f>
        <v>Ene-26</v>
      </c>
      <c r="BE128" s="322" t="str">
        <f>+'Fórmula Marzo 26'!CU14</f>
        <v>Feb-26</v>
      </c>
      <c r="BF128" s="322" t="str">
        <f>+'Fórmula Marzo 26'!CV14</f>
        <v>Mar-26</v>
      </c>
    </row>
    <row r="129" spans="2:59" x14ac:dyDescent="0.35">
      <c r="B129" s="36" t="s">
        <v>202</v>
      </c>
      <c r="C129" s="283">
        <f>+'PCR Enka'!R21</f>
        <v>5944440</v>
      </c>
      <c r="D129" s="283">
        <f>+'PCR Enka'!S21</f>
        <v>5944440</v>
      </c>
      <c r="E129" s="283">
        <f>+'PCR Enka'!T21</f>
        <v>5944440</v>
      </c>
      <c r="F129" s="283">
        <f>+'PCR Enka'!U21</f>
        <v>6787540</v>
      </c>
      <c r="G129" s="283">
        <f>+'PCR Enka'!V21</f>
        <v>6787540</v>
      </c>
      <c r="H129" s="283">
        <f>+'PCR Enka'!W21</f>
        <v>6787540</v>
      </c>
      <c r="I129" s="283">
        <f>+'PCR Enka'!X21</f>
        <v>7594650</v>
      </c>
      <c r="J129" s="283">
        <v>7672000</v>
      </c>
      <c r="K129" s="283">
        <f>+'PCR Enka'!Z21</f>
        <v>7672001</v>
      </c>
      <c r="L129" s="283">
        <f>+'PCR Enka'!AA21</f>
        <v>7785000</v>
      </c>
      <c r="M129" s="283">
        <f>+'PCR Enka'!AB21</f>
        <v>8095000</v>
      </c>
      <c r="N129" s="309">
        <f>+'PCR Enka'!AC21</f>
        <v>8341000</v>
      </c>
      <c r="O129" s="309">
        <f>+'PCR Enka'!AD21</f>
        <v>8381000</v>
      </c>
      <c r="P129" s="309">
        <f>+'PCR Enka'!AE21</f>
        <v>8106000</v>
      </c>
      <c r="Q129" s="309">
        <f>+'PCR Enka'!AF21</f>
        <v>7391000</v>
      </c>
      <c r="R129" s="309">
        <f>+'PCR Enka'!AG21</f>
        <v>6711000</v>
      </c>
      <c r="S129" s="309">
        <f>+'PCR Enka'!AH21</f>
        <v>6728000</v>
      </c>
      <c r="T129" s="309">
        <f>+'PCR Enka'!AI21</f>
        <v>6745000</v>
      </c>
      <c r="U129" s="309">
        <f>+'PCR Enka'!AJ21</f>
        <v>7442000</v>
      </c>
      <c r="V129" s="309">
        <f>+'PCR Enka'!AK21</f>
        <v>7320000</v>
      </c>
      <c r="W129" s="309">
        <f>+'PCR Enka'!AL21</f>
        <v>7071000</v>
      </c>
      <c r="X129" s="309">
        <f>+'PCR Enka'!AM21</f>
        <v>7042000</v>
      </c>
      <c r="Y129" s="309">
        <v>6945000</v>
      </c>
      <c r="Z129" s="309">
        <v>6868000</v>
      </c>
      <c r="AA129" s="309">
        <v>6822000</v>
      </c>
      <c r="AB129" s="309">
        <v>6672000</v>
      </c>
      <c r="AC129" s="309">
        <v>6528000</v>
      </c>
      <c r="AD129" s="309">
        <v>7008000</v>
      </c>
      <c r="AE129" s="309">
        <v>7100000</v>
      </c>
      <c r="AF129" s="309">
        <v>7217000</v>
      </c>
      <c r="AG129" s="309">
        <v>6297000</v>
      </c>
      <c r="AH129" s="309">
        <v>6919000</v>
      </c>
      <c r="AI129" s="309">
        <v>6951000</v>
      </c>
      <c r="AJ129" s="309">
        <v>7065000</v>
      </c>
      <c r="AK129" s="309">
        <v>7184000</v>
      </c>
      <c r="AL129" s="309">
        <v>7628000</v>
      </c>
      <c r="AM129" s="309">
        <v>7905000</v>
      </c>
      <c r="AN129" s="309">
        <v>8235000</v>
      </c>
      <c r="AO129" s="309">
        <v>8591000</v>
      </c>
      <c r="AP129" s="309">
        <v>8882000</v>
      </c>
      <c r="AQ129" s="309">
        <v>8898000</v>
      </c>
      <c r="AR129" s="309">
        <v>9038000</v>
      </c>
      <c r="AS129" s="309">
        <v>9239000</v>
      </c>
      <c r="AT129" s="309">
        <v>9255000</v>
      </c>
      <c r="AU129" s="309">
        <v>9278000</v>
      </c>
      <c r="AV129" s="309">
        <v>9288000</v>
      </c>
      <c r="AW129" s="309">
        <v>9280000</v>
      </c>
      <c r="AX129" s="309">
        <v>9048000</v>
      </c>
      <c r="AY129" s="309">
        <v>8873000</v>
      </c>
      <c r="AZ129" s="309">
        <v>8620000</v>
      </c>
      <c r="BA129" s="309">
        <v>8376000</v>
      </c>
      <c r="BB129" s="309">
        <v>8179000</v>
      </c>
      <c r="BC129" s="309">
        <v>8048000</v>
      </c>
      <c r="BD129" s="309">
        <v>7872000</v>
      </c>
      <c r="BE129" s="309">
        <v>7825000</v>
      </c>
      <c r="BF129" s="309">
        <v>7782000</v>
      </c>
      <c r="BG129" s="21"/>
    </row>
    <row r="130" spans="2:59" x14ac:dyDescent="0.35">
      <c r="B130" s="36" t="s">
        <v>203</v>
      </c>
      <c r="C130" s="283">
        <f>+'PCR Enka'!R22</f>
        <v>3829.4180645161296</v>
      </c>
      <c r="D130" s="283">
        <f>+'PCR Enka'!S22</f>
        <v>3881.1835483870973</v>
      </c>
      <c r="E130" s="283">
        <f>+'PCR Enka'!T22</f>
        <v>3820.3396428571427</v>
      </c>
      <c r="F130" s="283">
        <f>+'PCR Enka'!U22</f>
        <v>3773.3841935483888</v>
      </c>
      <c r="G130" s="283">
        <f>+'PCR Enka'!V22</f>
        <v>3886.6023076923066</v>
      </c>
      <c r="H130" s="283">
        <f>+'PCR Enka'!W22</f>
        <v>3963.1335483870962</v>
      </c>
      <c r="I130" s="283">
        <f>+'PCR Enka'!X22</f>
        <v>3999.6161290322589</v>
      </c>
      <c r="J130" s="283">
        <f>+'PCR Enka'!Y22</f>
        <v>3935.835714285713</v>
      </c>
      <c r="K130" s="283">
        <f>+'PCR Enka'!Z22</f>
        <v>3807.1709677419353</v>
      </c>
      <c r="L130" s="283">
        <f>+'PCR Enka'!AA22</f>
        <v>3773.003703703705</v>
      </c>
      <c r="M130" s="283">
        <f>+'PCR Enka'!AB22</f>
        <v>4019.0793548387101</v>
      </c>
      <c r="N130" s="283">
        <f>+'PCR Enka'!AC22</f>
        <v>3930.7666666666669</v>
      </c>
      <c r="O130" s="283">
        <f>+'PCR Enka'!AD22</f>
        <v>4367.8058064516135</v>
      </c>
      <c r="P130" s="283">
        <f>+'PCR Enka'!AE22</f>
        <v>4322.4693548387104</v>
      </c>
      <c r="Q130" s="283">
        <f>+'PCR Enka'!AF22</f>
        <v>4423.4851851851854</v>
      </c>
      <c r="R130" s="283">
        <f>+'PCR Enka'!AG22</f>
        <v>4711.8303225806467</v>
      </c>
      <c r="S130" s="283">
        <f>+'PCR Enka'!AH22</f>
        <v>4926.6606666666667</v>
      </c>
      <c r="T130" s="283">
        <f>+'PCR Enka'!AI22</f>
        <v>4788.4906451612896</v>
      </c>
      <c r="U130" s="283">
        <f>+'PCR Enka'!AJ22</f>
        <v>4715.2038709677445</v>
      </c>
      <c r="V130" s="283">
        <f>+'PCR Enka'!AK22</f>
        <v>4803.1125000000002</v>
      </c>
      <c r="W130" s="283">
        <f>+'PCR Enka'!AL22</f>
        <v>4766.3058064516117</v>
      </c>
      <c r="X130" s="283">
        <f>+'PCR Enka'!AM22</f>
        <v>4542.6743333333325</v>
      </c>
      <c r="Y130" s="283">
        <f>+'PCR Enka'!AN22</f>
        <v>4540.0890322580644</v>
      </c>
      <c r="Z130" s="283">
        <f>+'PCR Enka'!AO22</f>
        <v>4209.2680000000009</v>
      </c>
      <c r="AA130" s="283">
        <f>+'PCR Enka'!AP22</f>
        <v>4069.2335483870975</v>
      </c>
      <c r="AB130" s="283">
        <f>+'PCR Enka'!AQ22</f>
        <v>4069.8983870967745</v>
      </c>
      <c r="AC130" s="283">
        <f>+'PCR Enka'!AR22</f>
        <v>4004.5206666666659</v>
      </c>
      <c r="AD130" s="283">
        <f>+'PCR Enka'!CJ63</f>
        <v>4222.4332258064514</v>
      </c>
      <c r="AE130" s="283">
        <f>+'PCR Enka'!CL63</f>
        <v>4038.804666666666</v>
      </c>
      <c r="AF130" s="283">
        <f>+'PCR Enka'!CC22</f>
        <v>3948.2067741935471</v>
      </c>
      <c r="AG130" s="283">
        <f>+'PCR Enka'!CD22</f>
        <v>3914.9835483870957</v>
      </c>
      <c r="AH130" s="283">
        <f>+'PCR Enka'!CR63</f>
        <v>3931.5075862068961</v>
      </c>
      <c r="AI130" s="283">
        <f>+'PCR Enka'!DC22</f>
        <v>3899.3412903225803</v>
      </c>
      <c r="AJ130" s="283">
        <f>+'PCR Enka'!DD22</f>
        <v>3867.9753333333342</v>
      </c>
      <c r="AK130" s="283">
        <f>+'PCR Enka'!CX63</f>
        <v>3869.1006451612907</v>
      </c>
      <c r="AL130" s="283">
        <f>+'PCR Enka'!CZ63</f>
        <v>4042.7970000000005</v>
      </c>
      <c r="AM130" s="283">
        <f>+'PCR Enka'!DB63</f>
        <v>4035.1843333333331</v>
      </c>
      <c r="AN130" s="283">
        <f>+'PCR Enka'!DH22</f>
        <v>4065.5464516129036</v>
      </c>
      <c r="AO130" s="283">
        <f>+'PCR Enka'!DI22</f>
        <v>4182.5123333333349</v>
      </c>
      <c r="AP130" s="283">
        <f>+'PCR Enka'!DJ22</f>
        <v>4249.4699999999984</v>
      </c>
      <c r="AQ130" s="283">
        <f>+'PCR Enka'!DK22</f>
        <v>4408.6523333333334</v>
      </c>
      <c r="AR130" s="283">
        <f>+'PCR Enka'!DL22</f>
        <v>4385.1487096774199</v>
      </c>
      <c r="AS130" s="283">
        <f>+'PCR Enka'!DM22</f>
        <v>4308.3929032258065</v>
      </c>
      <c r="AT130" s="283">
        <f>+'PCR Enka'!DN22</f>
        <v>4128.2444444444445</v>
      </c>
      <c r="AU130" s="283">
        <f>+'PCR Enka'!DO22</f>
        <v>4137.684516129033</v>
      </c>
      <c r="AV130" s="283">
        <f>+'PCR Enka'!DP22</f>
        <v>4282.0276666666641</v>
      </c>
      <c r="AW130" s="283">
        <f>+'PCR Enka'!DQ22</f>
        <v>4203.377096774193</v>
      </c>
      <c r="AX130" s="283">
        <f>+'PCR Enka'!DR22</f>
        <v>4113.4849999999997</v>
      </c>
      <c r="AY130" s="283">
        <f>+'PCR Enka'!DZ63</f>
        <v>4040.8483870967739</v>
      </c>
      <c r="AZ130" s="283">
        <f>+'PCR Enka'!DT22</f>
        <v>4047.411612903225</v>
      </c>
      <c r="BA130" s="283">
        <f>+'PCR Enka'!ED63</f>
        <v>3922.2551612903212</v>
      </c>
      <c r="BB130" s="283">
        <f>+'PCR Enka'!EF63</f>
        <v>3877.8448387096769</v>
      </c>
      <c r="BC130" s="283">
        <f>+'PCR Enka'!EH63</f>
        <v>3786.1833333333334</v>
      </c>
      <c r="BD130" s="283">
        <f>+'PCR Enka'!EJ63</f>
        <v>3791.4719354838708</v>
      </c>
      <c r="BE130" s="283">
        <f>+'PCR Enka'!EI22</f>
        <v>3702.9990322580647</v>
      </c>
      <c r="BF130" s="283">
        <f>+'PCR Enka'!EN63</f>
        <v>3672.2837037037034</v>
      </c>
    </row>
    <row r="131" spans="2:59" x14ac:dyDescent="0.35">
      <c r="B131" s="36" t="s">
        <v>204</v>
      </c>
      <c r="C131" s="283">
        <f>+'PCR Enka'!R23</f>
        <v>1552.3089670156232</v>
      </c>
      <c r="D131" s="283">
        <f>+'PCR Enka'!S23</f>
        <v>1531.6049668587125</v>
      </c>
      <c r="E131" s="283">
        <f>+'PCR Enka'!T23</f>
        <v>1555.9977791802544</v>
      </c>
      <c r="F131" s="283">
        <f>+'PCR Enka'!U23</f>
        <v>1798.7937755198948</v>
      </c>
      <c r="G131" s="283">
        <f>+'PCR Enka'!V23</f>
        <v>1746.3942700199091</v>
      </c>
      <c r="H131" s="283">
        <f>+'PCR Enka'!W23</f>
        <v>1712.6700165737216</v>
      </c>
      <c r="I131" s="283">
        <f>+'PCR Enka'!X23</f>
        <v>1898.8447278408166</v>
      </c>
      <c r="J131" s="283">
        <f>+'PCR Enka'!Y23</f>
        <v>1949.2683528820351</v>
      </c>
      <c r="K131" s="283">
        <f>+'PCR Enka'!Z23</f>
        <v>2015.1448582174726</v>
      </c>
      <c r="L131" s="283">
        <f>+'PCR Enka'!AA23</f>
        <v>2063.3427930001731</v>
      </c>
      <c r="M131" s="283">
        <f>+'PCR Enka'!AB23</f>
        <v>2014.1428634033182</v>
      </c>
      <c r="N131" s="283">
        <f>+'PCR Enka'!AC23</f>
        <v>2121.9779008335945</v>
      </c>
      <c r="O131" s="283">
        <f>+'PCR Enka'!AD23</f>
        <v>1918.8124132305891</v>
      </c>
      <c r="P131" s="283">
        <f>+'PCR Enka'!AE23</f>
        <v>1875.316939130149</v>
      </c>
      <c r="Q131" s="283">
        <f>+'PCR Enka'!AF23</f>
        <v>1670.8544712104833</v>
      </c>
      <c r="R131" s="283">
        <f>+'PCR Enka'!AG23</f>
        <v>1424.2872812797762</v>
      </c>
      <c r="S131" s="283">
        <f>+'PCR Enka'!AH23</f>
        <v>1365.6308918373513</v>
      </c>
      <c r="T131" s="283">
        <f>+'PCR Enka'!AI23</f>
        <v>1408.5858154104862</v>
      </c>
      <c r="U131" s="283">
        <f>+'PCR Enka'!AJ23</f>
        <v>1578.2986703547583</v>
      </c>
      <c r="V131" s="283">
        <f>+'PCR Enka'!AK23</f>
        <v>1524.0117736155462</v>
      </c>
      <c r="W131" s="283">
        <f>+'PCR Enka'!AL23</f>
        <v>1483.5388846491519</v>
      </c>
      <c r="X131" s="283">
        <f>+'PCR Enka'!AM23</f>
        <v>1550.188167425312</v>
      </c>
      <c r="Y131" s="283">
        <f>+'PCR Enka'!AN23</f>
        <v>1529.7056843279186</v>
      </c>
      <c r="Z131" s="283">
        <f>+'PCR Enka'!AO23</f>
        <v>1631.6376149012128</v>
      </c>
      <c r="AA131" s="283">
        <f>+'PCR Enka'!AP23</f>
        <v>1676.4827869621795</v>
      </c>
      <c r="AB131" s="283">
        <f>+'PCR Enka'!AQ23</f>
        <v>1639.3529679151059</v>
      </c>
      <c r="AC131" s="283">
        <f>+'PCR Enka'!AR23</f>
        <v>1630.1576501623751</v>
      </c>
      <c r="AD131" s="283">
        <f>+'PCR Enka'!AS23</f>
        <v>1659.706530625248</v>
      </c>
      <c r="AE131" s="283">
        <f>+'PCR Enka'!AT23</f>
        <v>1757.9458740845273</v>
      </c>
      <c r="AF131" s="283">
        <f>+'PCR Enka'!CC23</f>
        <v>1827.9184482363212</v>
      </c>
      <c r="AG131" s="283">
        <f>+'PCR Enka'!CD23</f>
        <v>1608.4358777431526</v>
      </c>
      <c r="AH131" s="283">
        <f>+'PCR Enka'!DB23</f>
        <v>1759.8846875621637</v>
      </c>
      <c r="AI131" s="283">
        <f>+'PCR Enka'!DC23</f>
        <v>1782.6087747823083</v>
      </c>
      <c r="AJ131" s="283">
        <f>+'PCR Enka'!DD23</f>
        <v>1826.5369841207187</v>
      </c>
      <c r="AK131" s="283">
        <f>+'PCR Enka'!DE23</f>
        <v>1856.7622449894998</v>
      </c>
      <c r="AL131" s="283">
        <f>+'PCR Enka'!DF23</f>
        <v>1886.8125211332647</v>
      </c>
      <c r="AM131" s="283">
        <f>+'PCR Enka'!DG23</f>
        <v>1959.018311678946</v>
      </c>
      <c r="AN131" s="283">
        <f>+'PCR Enka'!DH23</f>
        <v>2025.5579657029796</v>
      </c>
      <c r="AO131" s="283">
        <f>+'PCR Enka'!DI23</f>
        <v>2054.0286113521715</v>
      </c>
      <c r="AP131" s="283">
        <f>+'PCR Enka'!DJ23</f>
        <v>2090.1430060689927</v>
      </c>
      <c r="AQ131" s="283">
        <f>+'PCR Enka'!DK23</f>
        <v>2018.3038550631911</v>
      </c>
      <c r="AR131" s="283">
        <f>+'PCR Enka'!DL23</f>
        <v>2061.0475489814921</v>
      </c>
      <c r="AS131" s="283">
        <f>+'PCR Enka'!DM23</f>
        <v>2144.4190925768444</v>
      </c>
      <c r="AT131" s="283">
        <f>+'PCR Enka'!DN23</f>
        <v>2241.8730587658997</v>
      </c>
      <c r="AU131" s="283">
        <f>+'PCR Enka'!DO23</f>
        <v>2242.3169199666131</v>
      </c>
      <c r="AV131" s="283">
        <f>+'PCR Enka'!DP23</f>
        <v>2169.0658545488159</v>
      </c>
      <c r="AW131" s="283">
        <f>+'PCR Enka'!DQ23</f>
        <v>2207.7486236297409</v>
      </c>
      <c r="AX131" s="283">
        <f>+'PCR Enka'!DR23</f>
        <v>2199.5947475194394</v>
      </c>
      <c r="AY131" s="283">
        <f>+'PCR Enka'!DS23</f>
        <v>2195.8260122634742</v>
      </c>
      <c r="AZ131" s="283">
        <f>+'PCR Enka'!DT23</f>
        <v>2129.7562057981145</v>
      </c>
      <c r="BA131" s="283">
        <f>+'PCR Enka'!DU23</f>
        <v>2135.5061452056352</v>
      </c>
      <c r="BB131" s="283">
        <f>+'PCR Enka'!DV23</f>
        <v>2109.1612326401123</v>
      </c>
      <c r="BC131" s="283">
        <f>+'PCR Enka'!DW23</f>
        <v>2125.6234290468415</v>
      </c>
      <c r="BD131" s="283">
        <f>+'PCR Enka'!DX23</f>
        <v>2076.2384989130533</v>
      </c>
      <c r="BE131" s="283">
        <f>+'PCR Enka'!EI23</f>
        <v>2113.1520510358778</v>
      </c>
      <c r="BF131" s="283">
        <f>+'PCR Enka'!EJ23</f>
        <v>2119.1173198713973</v>
      </c>
    </row>
    <row r="132" spans="2:59" x14ac:dyDescent="0.35">
      <c r="B132" s="36" t="s">
        <v>205</v>
      </c>
      <c r="C132" s="292">
        <f>+'PCR Enka'!R24</f>
        <v>5.8999999999999997E-2</v>
      </c>
      <c r="D132" s="292">
        <f>+'PCR Enka'!S24</f>
        <v>5.8999999999999997E-2</v>
      </c>
      <c r="E132" s="292">
        <f>+'PCR Enka'!T24</f>
        <v>5.9246575342465753E-2</v>
      </c>
      <c r="F132" s="292">
        <f>+'PCR Enka'!U24</f>
        <v>5.9246575342465753E-2</v>
      </c>
      <c r="G132" s="292">
        <f>+'PCR Enka'!V24</f>
        <v>5.9246575342465753E-2</v>
      </c>
      <c r="H132" s="292">
        <f>+'PCR Enka'!W24</f>
        <v>3.1030000000000002E-2</v>
      </c>
      <c r="I132" s="292">
        <f>+'PCR Enka'!X24</f>
        <v>3.1030000000000002E-2</v>
      </c>
      <c r="J132" s="292">
        <f>+'PCR Enka'!Y24</f>
        <v>0.03</v>
      </c>
      <c r="K132" s="292">
        <f>+'PCR Enka'!Z24</f>
        <v>3.1E-2</v>
      </c>
      <c r="L132" s="292">
        <f>+'PCR Enka'!AA24</f>
        <v>3.1E-2</v>
      </c>
      <c r="M132" s="292">
        <f>+'PCR Enka'!AB24</f>
        <v>3.1E-2</v>
      </c>
      <c r="N132" s="292">
        <f>+'PCR Enka'!AC24</f>
        <v>6.1190000000000001E-2</v>
      </c>
      <c r="O132" s="292">
        <f>+'PCR Enka'!AD24</f>
        <v>3.5205205479452058E-2</v>
      </c>
      <c r="P132" s="292">
        <f>+'PCR Enka'!AE24</f>
        <v>3.5205205479452058E-2</v>
      </c>
      <c r="Q132" s="292">
        <f>+'PCR Enka'!AF24</f>
        <v>3.5205205479452058E-2</v>
      </c>
      <c r="R132" s="292">
        <f>+'PCR Enka'!AG24</f>
        <v>3.5205205479452058E-2</v>
      </c>
      <c r="S132" s="292">
        <f>+'PCR Enka'!AH24</f>
        <v>3.5205205479452058E-2</v>
      </c>
      <c r="T132" s="292">
        <f>+'PCR Enka'!AI24</f>
        <v>4.5721660273972599E-2</v>
      </c>
      <c r="U132" s="292">
        <f>+'PCR Enka'!AJ24</f>
        <v>4.5721660273972599E-2</v>
      </c>
      <c r="V132" s="292">
        <f>+'PCR Enka'!AK24</f>
        <v>4.5721660273972599E-2</v>
      </c>
      <c r="W132" s="292">
        <f>+'PCR Enka'!AL24</f>
        <v>4.5721660273972599E-2</v>
      </c>
      <c r="X132" s="292">
        <f>+'PCR Enka'!AM24</f>
        <v>4.5721660273972599E-2</v>
      </c>
      <c r="Y132" s="292">
        <f>+'PCR Enka'!AN24</f>
        <v>4.5721660273972599E-2</v>
      </c>
      <c r="Z132" s="292">
        <f>+'PCR Enka'!AO24</f>
        <v>3.4967128767123289E-2</v>
      </c>
      <c r="AA132" s="292">
        <f>+'PCR Enka'!AP24</f>
        <v>3.4967128767123289E-2</v>
      </c>
      <c r="AB132" s="292">
        <f>+'PCR Enka'!AQ24</f>
        <v>3.4967128767123289E-2</v>
      </c>
      <c r="AC132" s="292">
        <f>+'PCR Enka'!AR24</f>
        <v>3.4967128767123289E-2</v>
      </c>
      <c r="AD132" s="292">
        <f>+'PCR Enka'!AS24</f>
        <v>3.4967128767123289E-2</v>
      </c>
      <c r="AE132" s="292">
        <f>+'PCR Enka'!AT24</f>
        <v>3.4967128767123289E-2</v>
      </c>
      <c r="AF132" s="292">
        <f>+'PCR Enka'!CC24</f>
        <v>3.4967128767123289E-2</v>
      </c>
      <c r="AG132" s="292">
        <f>+'PCR Enka'!CD24</f>
        <v>3.4967128767123289E-2</v>
      </c>
      <c r="AH132" s="292">
        <f>+'PCR Enka'!DB24</f>
        <v>4.4604805479452052E-2</v>
      </c>
      <c r="AI132" s="292">
        <f>+'PCR Enka'!DC24</f>
        <v>4.4604805479452052E-2</v>
      </c>
      <c r="AJ132" s="292">
        <f>+'PCR Enka'!DD24</f>
        <v>4.4604805479452052E-2</v>
      </c>
      <c r="AK132" s="292">
        <f>+'PCR Enka'!DE24</f>
        <v>4.4604805479452052E-2</v>
      </c>
      <c r="AL132" s="292">
        <f>+'PCR Enka'!DF24</f>
        <v>4.4604805479452052E-2</v>
      </c>
      <c r="AM132" s="292">
        <f>+'PCR Enka'!DG24</f>
        <v>4.4604805479452052E-2</v>
      </c>
      <c r="AN132" s="292">
        <f>+'PCR Enka'!DH24</f>
        <v>4.4604805479452052E-2</v>
      </c>
      <c r="AO132" s="292">
        <f>+'PCR Enka'!DI24</f>
        <v>4.4604805479452052E-2</v>
      </c>
      <c r="AP132" s="292">
        <f>+'PCR Enka'!DJ24</f>
        <v>4.4604805479452052E-2</v>
      </c>
      <c r="AQ132" s="292">
        <f>+'PCR Enka'!DK24</f>
        <v>4.4604805479452052E-2</v>
      </c>
      <c r="AR132" s="292">
        <f>+'PCR Enka'!DL24</f>
        <v>3.8240482191780827E-2</v>
      </c>
      <c r="AS132" s="292">
        <f>+'PCR Enka'!DM24</f>
        <v>3.8240482191780827E-2</v>
      </c>
      <c r="AT132" s="292">
        <f>+'PCR Enka'!DN24</f>
        <v>3.8240482191780827E-2</v>
      </c>
      <c r="AU132" s="292">
        <f>+'PCR Enka'!DO24</f>
        <v>3.8240482191780827E-2</v>
      </c>
      <c r="AV132" s="292">
        <f>+'PCR Enka'!DP24</f>
        <v>3.8240482191780827E-2</v>
      </c>
      <c r="AW132" s="292">
        <f>+'PCR Enka'!DQ24</f>
        <v>3.8240482191780827E-2</v>
      </c>
      <c r="AX132" s="292">
        <f>+'PCR Enka'!DR24</f>
        <v>3.8240482191780827E-2</v>
      </c>
      <c r="AY132" s="292">
        <f>+'PCR Enka'!DS24</f>
        <v>3.8240482191780827E-2</v>
      </c>
      <c r="AZ132" s="292">
        <f>+'PCR Enka'!DT24</f>
        <v>3.8240482191780827E-2</v>
      </c>
      <c r="BA132" s="292">
        <f>+'PCR Enka'!DU24</f>
        <v>3.8240482191780827E-2</v>
      </c>
      <c r="BB132" s="292">
        <f>+'PCR Enka'!DV24</f>
        <v>3.8240482191780827E-2</v>
      </c>
      <c r="BC132" s="292">
        <f>+'PCR Enka'!DW24</f>
        <v>3.8240482191780827E-2</v>
      </c>
      <c r="BD132" s="292">
        <f>+'PCR Enka'!DX24</f>
        <v>3.4967128767123289E-2</v>
      </c>
      <c r="BE132" s="292">
        <f>+'PCR Enka'!EI24</f>
        <v>3.4967128767123289E-2</v>
      </c>
      <c r="BF132" s="292">
        <f>+'PCR Enka'!EJ24</f>
        <v>3.4967128767123289E-2</v>
      </c>
    </row>
    <row r="133" spans="2:59" x14ac:dyDescent="0.35">
      <c r="B133" s="36" t="s">
        <v>206</v>
      </c>
      <c r="C133" s="283">
        <f>+'PCR Enka'!R25</f>
        <v>91.58622905392177</v>
      </c>
      <c r="D133" s="283">
        <f>+'PCR Enka'!S25</f>
        <v>90.364693044664037</v>
      </c>
      <c r="E133" s="283">
        <f>+'PCR Enka'!T25</f>
        <v>92.187539656912335</v>
      </c>
      <c r="F133" s="283">
        <f>+'PCR Enka'!U25</f>
        <v>106.57237094689788</v>
      </c>
      <c r="G133" s="283">
        <f>+'PCR Enka'!V25</f>
        <v>103.46787969638503</v>
      </c>
      <c r="H133" s="283">
        <f>+'PCR Enka'!W25</f>
        <v>53.144150614282587</v>
      </c>
      <c r="I133" s="283">
        <f>+'PCR Enka'!X25</f>
        <v>58.921151904900547</v>
      </c>
      <c r="J133" s="283">
        <f>+'PCR Enka'!Y25</f>
        <v>58.04024491440375</v>
      </c>
      <c r="K133" s="283">
        <f>+'PCR Enka'!Z25</f>
        <v>62.469490604741651</v>
      </c>
      <c r="L133" s="283">
        <f>+'PCR Enka'!AA25</f>
        <v>63.963626583005365</v>
      </c>
      <c r="M133" s="283">
        <f>+'PCR Enka'!AB25</f>
        <v>62.438428765502863</v>
      </c>
      <c r="N133" s="283">
        <f>+'PCR Enka'!AC25</f>
        <v>129.84382775200766</v>
      </c>
      <c r="O133" s="283">
        <f>+'PCR Enka'!AD25</f>
        <v>67.552185284306162</v>
      </c>
      <c r="P133" s="283">
        <f>+'PCR Enka'!AE25</f>
        <v>66.020918181173982</v>
      </c>
      <c r="Q133" s="283">
        <f>+'PCR Enka'!AF25</f>
        <v>58.822774985226275</v>
      </c>
      <c r="R133" s="283">
        <f>+'PCR Enka'!AG25</f>
        <v>50.14232639922465</v>
      </c>
      <c r="S133" s="283">
        <f>+'PCR Enka'!AH25</f>
        <v>48.077316156221322</v>
      </c>
      <c r="T133" s="283">
        <f>+'PCR Enka'!AI25</f>
        <v>64.402882118934926</v>
      </c>
      <c r="U133" s="283">
        <f>+'PCR Enka'!AJ25</f>
        <v>72.162435616822933</v>
      </c>
      <c r="V133" s="283">
        <f>+'PCR Enka'!AK25</f>
        <v>69.680348566784446</v>
      </c>
      <c r="W133" s="283">
        <f>+'PCR Enka'!AL25</f>
        <v>67.829860887156741</v>
      </c>
      <c r="X133" s="283">
        <f>+'PCR Enka'!AM25</f>
        <v>70.877176751752273</v>
      </c>
      <c r="Y133" s="283">
        <f>+'PCR Enka'!AN25</f>
        <v>69.940683618005863</v>
      </c>
      <c r="Z133" s="283">
        <f>+'PCR Enka'!AO25</f>
        <v>57.053682581532627</v>
      </c>
      <c r="AA133" s="283">
        <f>+'PCR Enka'!AP25</f>
        <v>58.621789487572251</v>
      </c>
      <c r="AB133" s="283">
        <f>+'PCR Enka'!AQ25</f>
        <v>57.323466323853239</v>
      </c>
      <c r="AC133" s="283">
        <f>+'PCR Enka'!AR25</f>
        <v>57.001932463938893</v>
      </c>
      <c r="AD133" s="283">
        <f>+'PCR Enka'!AS25</f>
        <v>58.035171972008499</v>
      </c>
      <c r="AE133" s="283">
        <f>+'PCR Enka'!AT25</f>
        <v>61.470319744746767</v>
      </c>
      <c r="AF133" s="283">
        <f>+'PCR Enka'!CC25</f>
        <v>63.917059755279631</v>
      </c>
      <c r="AG133" s="283">
        <f>+'PCR Enka'!CD25</f>
        <v>56.242384450705785</v>
      </c>
      <c r="AH133" s="283">
        <f>+'PCR Enka'!DB25</f>
        <v>78.49931415497656</v>
      </c>
      <c r="AI133" s="283">
        <f>+'PCR Enka'!DC25</f>
        <v>79.512917645129207</v>
      </c>
      <c r="AJ133" s="283">
        <f>+'PCR Enka'!DD25</f>
        <v>81.472326877729657</v>
      </c>
      <c r="AK133" s="283">
        <f>+'PCR Enka'!DE25</f>
        <v>82.820518759347337</v>
      </c>
      <c r="AL133" s="283">
        <f>+'PCR Enka'!DF25</f>
        <v>84.160905481343789</v>
      </c>
      <c r="AM133" s="283">
        <f>+'PCR Enka'!DG25</f>
        <v>87.381630723123962</v>
      </c>
      <c r="AN133" s="283">
        <f>+'PCR Enka'!DH25</f>
        <v>90.349619047536009</v>
      </c>
      <c r="AO133" s="283">
        <f>+'PCR Enka'!DI25</f>
        <v>91.619546658592625</v>
      </c>
      <c r="AP133" s="283">
        <f>+'PCR Enka'!DJ25</f>
        <v>93.230422209944592</v>
      </c>
      <c r="AQ133" s="283">
        <f>+'PCR Enka'!DK25</f>
        <v>90.026050853521824</v>
      </c>
      <c r="AR133" s="283">
        <f>+'PCR Enka'!DL25</f>
        <v>78.815452093240268</v>
      </c>
      <c r="AS133" s="283">
        <f>+'PCR Enka'!DM25</f>
        <v>82.003620121399621</v>
      </c>
      <c r="AT133" s="283">
        <f>+'PCR Enka'!DN25</f>
        <v>85.730306779970604</v>
      </c>
      <c r="AU133" s="283">
        <f>+'PCR Enka'!DO25</f>
        <v>85.747280246312101</v>
      </c>
      <c r="AV133" s="283">
        <f>+'PCR Enka'!DP25</f>
        <v>82.946124183673859</v>
      </c>
      <c r="AW133" s="283">
        <f>+'PCR Enka'!DQ25</f>
        <v>84.425371925841745</v>
      </c>
      <c r="AX133" s="283">
        <f>+'PCR Enka'!DR25</f>
        <v>84.113563771651769</v>
      </c>
      <c r="AY133" s="283">
        <f>+'PCR Enka'!DS25</f>
        <v>83.969445518210492</v>
      </c>
      <c r="AZ133" s="283">
        <f>+'PCR Enka'!DT25</f>
        <v>81.4429042606575</v>
      </c>
      <c r="BA133" s="283">
        <f>+'PCR Enka'!DU25</f>
        <v>81.662784716174613</v>
      </c>
      <c r="BB133" s="283">
        <f>+'PCR Enka'!DV25</f>
        <v>80.655342556368709</v>
      </c>
      <c r="BC133" s="283">
        <f>+'PCR Enka'!DW25</f>
        <v>81.284864884897843</v>
      </c>
      <c r="BD133" s="283">
        <f>+'PCR Enka'!DX25</f>
        <v>72.600098942751501</v>
      </c>
      <c r="BE133" s="283">
        <f>+'PCR Enka'!EI25</f>
        <v>73.890859873082221</v>
      </c>
      <c r="BF133" s="283">
        <f>+'PCR Enka'!EJ25</f>
        <v>74.099448196584333</v>
      </c>
    </row>
    <row r="134" spans="2:59" x14ac:dyDescent="0.35">
      <c r="B134" s="36" t="s">
        <v>207</v>
      </c>
      <c r="C134" s="283">
        <f>+'PCR Enka'!R26</f>
        <v>1643.8951960695449</v>
      </c>
      <c r="D134" s="283">
        <f>+'PCR Enka'!S26</f>
        <v>1621.9696599033766</v>
      </c>
      <c r="E134" s="283">
        <f>+'PCR Enka'!T26</f>
        <v>1648.1853188371667</v>
      </c>
      <c r="F134" s="283">
        <f>+'PCR Enka'!U26</f>
        <v>1905.3661464667925</v>
      </c>
      <c r="G134" s="283">
        <f>+'PCR Enka'!V26</f>
        <v>1849.8621497162942</v>
      </c>
      <c r="H134" s="283">
        <f>+'PCR Enka'!W26</f>
        <v>1765.8141671880041</v>
      </c>
      <c r="I134" s="283">
        <f>+'PCR Enka'!X26</f>
        <v>1957.7658797457173</v>
      </c>
      <c r="J134" s="283">
        <f>+'PCR Enka'!Y26</f>
        <v>2007.3085977964388</v>
      </c>
      <c r="K134" s="283">
        <f>+'PCR Enka'!Z26</f>
        <v>2077.6143488222142</v>
      </c>
      <c r="L134" s="283">
        <f>+'PCR Enka'!AA26</f>
        <v>2127.3064195831785</v>
      </c>
      <c r="M134" s="283">
        <f>+'PCR Enka'!AB26</f>
        <v>2076.5812921688212</v>
      </c>
      <c r="N134" s="283">
        <f>+'PCR Enka'!AC26</f>
        <v>2251.8217285856022</v>
      </c>
      <c r="O134" s="283">
        <f>+'PCR Enka'!AD26</f>
        <v>1986.3645985148953</v>
      </c>
      <c r="P134" s="283">
        <f>+'PCR Enka'!AE26</f>
        <v>1941.337857311323</v>
      </c>
      <c r="Q134" s="283">
        <f>+'PCR Enka'!AF26</f>
        <v>1729.6772461957096</v>
      </c>
      <c r="R134" s="283">
        <f>+'PCR Enka'!AG26</f>
        <v>1474.4296076790008</v>
      </c>
      <c r="S134" s="283">
        <f>+'PCR Enka'!AH26</f>
        <v>1413.7082079935726</v>
      </c>
      <c r="T134" s="283">
        <f>+'PCR Enka'!AI26</f>
        <v>1472.9886975294212</v>
      </c>
      <c r="U134" s="283">
        <f>+'PCR Enka'!AJ26</f>
        <v>1650.4611059715812</v>
      </c>
      <c r="V134" s="283">
        <f>+'PCR Enka'!AK26</f>
        <v>1593.6921221823306</v>
      </c>
      <c r="W134" s="283">
        <f>+'PCR Enka'!AL26</f>
        <v>1551.3687455363086</v>
      </c>
      <c r="X134" s="283">
        <f>+'PCR Enka'!AM26</f>
        <v>1621.0653441770644</v>
      </c>
      <c r="Y134" s="283">
        <f>+'PCR Enka'!AN26</f>
        <v>1599.6463679459243</v>
      </c>
      <c r="Z134" s="283">
        <f>+'PCR Enka'!AO26</f>
        <v>1688.6912974827455</v>
      </c>
      <c r="AA134" s="283">
        <f>+'PCR Enka'!AP26</f>
        <v>1735.1045764497517</v>
      </c>
      <c r="AB134" s="283">
        <f>+'PCR Enka'!AQ26</f>
        <v>1696.676434238959</v>
      </c>
      <c r="AC134" s="283">
        <f>+'PCR Enka'!AR26</f>
        <v>1687.159582626314</v>
      </c>
      <c r="AD134" s="283">
        <f>+'PCR Enka'!AS26</f>
        <v>1717.7417025972566</v>
      </c>
      <c r="AE134" s="283">
        <f>+'PCR Enka'!AT26</f>
        <v>1819.4161938292741</v>
      </c>
      <c r="AF134" s="283">
        <f>+'PCR Enka'!CC26</f>
        <v>1891.8355079916007</v>
      </c>
      <c r="AG134" s="283">
        <f>+'PCR Enka'!CD26</f>
        <v>1664.6782621938582</v>
      </c>
      <c r="AH134" s="283">
        <f>+'PCR Enka'!DB26</f>
        <v>1838.3840017171401</v>
      </c>
      <c r="AI134" s="283">
        <f>+'PCR Enka'!DC26</f>
        <v>1862.1216924274374</v>
      </c>
      <c r="AJ134" s="283">
        <f>+'PCR Enka'!DD26</f>
        <v>1908.0093109984484</v>
      </c>
      <c r="AK134" s="283">
        <f>+'PCR Enka'!DE26</f>
        <v>1939.5827637488471</v>
      </c>
      <c r="AL134" s="283">
        <f>+'PCR Enka'!DF26</f>
        <v>1970.9734266146086</v>
      </c>
      <c r="AM134" s="283">
        <f>+'PCR Enka'!DG26</f>
        <v>2046.3999424020699</v>
      </c>
      <c r="AN134" s="283">
        <f>+'PCR Enka'!DH26</f>
        <v>2115.9075847505155</v>
      </c>
      <c r="AO134" s="283">
        <f>+'PCR Enka'!DI26</f>
        <v>2145.6481580107643</v>
      </c>
      <c r="AP134" s="283">
        <f>+'PCR Enka'!DJ26</f>
        <v>2183.3734282789374</v>
      </c>
      <c r="AQ134" s="283">
        <f>+'PCR Enka'!DK26</f>
        <v>2108.329905916713</v>
      </c>
      <c r="AR134" s="283">
        <f>+'PCR Enka'!DL26</f>
        <v>2139.8630010747324</v>
      </c>
      <c r="AS134" s="283">
        <f>+'PCR Enka'!DM26</f>
        <v>2226.4227126982441</v>
      </c>
      <c r="AT134" s="283">
        <f>+'PCR Enka'!DN26</f>
        <v>2327.6033655458705</v>
      </c>
      <c r="AU134" s="283">
        <f>+'PCR Enka'!DO26</f>
        <v>2328.0642002129252</v>
      </c>
      <c r="AV134" s="283">
        <f>+'PCR Enka'!DP26</f>
        <v>2252.0119787324898</v>
      </c>
      <c r="AW134" s="283">
        <f>+'PCR Enka'!DQ26</f>
        <v>2292.1739955555827</v>
      </c>
      <c r="AX134" s="283">
        <f>+'PCR Enka'!DR26</f>
        <v>2283.7083112910909</v>
      </c>
      <c r="AY134" s="283">
        <f>+'PCR Enka'!DS26</f>
        <v>2279.7954577816849</v>
      </c>
      <c r="AZ134" s="283">
        <f>+'PCR Enka'!DT26</f>
        <v>2211.199110058772</v>
      </c>
      <c r="BA134" s="283">
        <f>+'PCR Enka'!DU26</f>
        <v>2217.1689299218096</v>
      </c>
      <c r="BB134" s="283">
        <f>+'PCR Enka'!DV26</f>
        <v>2189.8165751964812</v>
      </c>
      <c r="BC134" s="283">
        <f>+'PCR Enka'!DW26</f>
        <v>2206.9082939317395</v>
      </c>
      <c r="BD134" s="283">
        <f>+'PCR Enka'!DX26</f>
        <v>2148.8385978558049</v>
      </c>
      <c r="BE134" s="283">
        <f>+'PCR Enka'!EI26</f>
        <v>2187.04291090896</v>
      </c>
      <c r="BF134" s="283">
        <f>+'PCR Enka'!EJ26</f>
        <v>2193.2167680679818</v>
      </c>
      <c r="BG134" s="257"/>
    </row>
    <row r="136" spans="2:59" x14ac:dyDescent="0.35">
      <c r="B136" s="36" t="s">
        <v>208</v>
      </c>
      <c r="C136" s="293">
        <v>85</v>
      </c>
      <c r="D136" s="293">
        <v>85</v>
      </c>
      <c r="E136" s="293">
        <f>+'PCR INTERCIA'!C7</f>
        <v>94.4</v>
      </c>
      <c r="F136" s="293">
        <f>+'PCR INTERCIA'!D7</f>
        <v>94.4</v>
      </c>
      <c r="G136" s="293">
        <f>+'PCR INTERCIA'!E7</f>
        <v>94.4</v>
      </c>
      <c r="H136" s="293">
        <f>+'PCR INTERCIA'!F7</f>
        <v>94.4</v>
      </c>
      <c r="I136" s="293">
        <f>+'PCR INTERCIA'!G7</f>
        <v>94.4</v>
      </c>
      <c r="J136" s="293">
        <f t="shared" ref="J136:BF136" si="0">+I136</f>
        <v>94.4</v>
      </c>
      <c r="K136" s="293">
        <f t="shared" si="0"/>
        <v>94.4</v>
      </c>
      <c r="L136" s="293">
        <f t="shared" si="0"/>
        <v>94.4</v>
      </c>
      <c r="M136" s="293">
        <f t="shared" si="0"/>
        <v>94.4</v>
      </c>
      <c r="N136" s="293">
        <f t="shared" si="0"/>
        <v>94.4</v>
      </c>
      <c r="O136" s="293">
        <f t="shared" si="0"/>
        <v>94.4</v>
      </c>
      <c r="P136" s="293">
        <f t="shared" si="0"/>
        <v>94.4</v>
      </c>
      <c r="Q136" s="293">
        <f t="shared" si="0"/>
        <v>94.4</v>
      </c>
      <c r="R136" s="293">
        <f t="shared" si="0"/>
        <v>94.4</v>
      </c>
      <c r="S136" s="293">
        <f t="shared" si="0"/>
        <v>94.4</v>
      </c>
      <c r="T136" s="293">
        <f t="shared" si="0"/>
        <v>94.4</v>
      </c>
      <c r="U136" s="293">
        <f t="shared" si="0"/>
        <v>94.4</v>
      </c>
      <c r="V136" s="293">
        <f t="shared" si="0"/>
        <v>94.4</v>
      </c>
      <c r="W136" s="293">
        <f t="shared" si="0"/>
        <v>94.4</v>
      </c>
      <c r="X136" s="293">
        <f t="shared" si="0"/>
        <v>94.4</v>
      </c>
      <c r="Y136" s="293">
        <f t="shared" si="0"/>
        <v>94.4</v>
      </c>
      <c r="Z136" s="293">
        <f t="shared" si="0"/>
        <v>94.4</v>
      </c>
      <c r="AA136" s="293">
        <f t="shared" si="0"/>
        <v>94.4</v>
      </c>
      <c r="AB136" s="293">
        <f t="shared" si="0"/>
        <v>94.4</v>
      </c>
      <c r="AC136" s="293">
        <f t="shared" si="0"/>
        <v>94.4</v>
      </c>
      <c r="AD136" s="293">
        <f t="shared" si="0"/>
        <v>94.4</v>
      </c>
      <c r="AE136" s="293">
        <f t="shared" si="0"/>
        <v>94.4</v>
      </c>
      <c r="AF136" s="293">
        <f t="shared" si="0"/>
        <v>94.4</v>
      </c>
      <c r="AG136" s="293">
        <f t="shared" si="0"/>
        <v>94.4</v>
      </c>
      <c r="AH136" s="293">
        <f t="shared" si="0"/>
        <v>94.4</v>
      </c>
      <c r="AI136" s="293">
        <f t="shared" si="0"/>
        <v>94.4</v>
      </c>
      <c r="AJ136" s="293">
        <f t="shared" si="0"/>
        <v>94.4</v>
      </c>
      <c r="AK136" s="293">
        <f t="shared" si="0"/>
        <v>94.4</v>
      </c>
      <c r="AL136" s="293">
        <f t="shared" si="0"/>
        <v>94.4</v>
      </c>
      <c r="AM136" s="293">
        <f t="shared" si="0"/>
        <v>94.4</v>
      </c>
      <c r="AN136" s="293">
        <f t="shared" si="0"/>
        <v>94.4</v>
      </c>
      <c r="AO136" s="293">
        <f t="shared" si="0"/>
        <v>94.4</v>
      </c>
      <c r="AP136" s="293">
        <f t="shared" si="0"/>
        <v>94.4</v>
      </c>
      <c r="AQ136" s="293">
        <f t="shared" si="0"/>
        <v>94.4</v>
      </c>
      <c r="AR136" s="293">
        <f t="shared" si="0"/>
        <v>94.4</v>
      </c>
      <c r="AS136" s="293">
        <f t="shared" si="0"/>
        <v>94.4</v>
      </c>
      <c r="AT136" s="293">
        <f t="shared" si="0"/>
        <v>94.4</v>
      </c>
      <c r="AU136" s="293">
        <f t="shared" si="0"/>
        <v>94.4</v>
      </c>
      <c r="AV136" s="293">
        <f t="shared" si="0"/>
        <v>94.4</v>
      </c>
      <c r="AW136" s="293">
        <f t="shared" si="0"/>
        <v>94.4</v>
      </c>
      <c r="AX136" s="293">
        <f t="shared" si="0"/>
        <v>94.4</v>
      </c>
      <c r="AY136" s="293">
        <f t="shared" si="0"/>
        <v>94.4</v>
      </c>
      <c r="AZ136" s="293">
        <f t="shared" si="0"/>
        <v>94.4</v>
      </c>
      <c r="BA136" s="293">
        <f t="shared" si="0"/>
        <v>94.4</v>
      </c>
      <c r="BB136" s="293">
        <f t="shared" si="0"/>
        <v>94.4</v>
      </c>
      <c r="BC136" s="293">
        <f t="shared" si="0"/>
        <v>94.4</v>
      </c>
      <c r="BD136" s="293">
        <f t="shared" si="0"/>
        <v>94.4</v>
      </c>
      <c r="BE136" s="293">
        <f t="shared" si="0"/>
        <v>94.4</v>
      </c>
      <c r="BF136" s="293">
        <f t="shared" si="0"/>
        <v>94.4</v>
      </c>
      <c r="BG136" s="257"/>
    </row>
    <row r="137" spans="2:59" x14ac:dyDescent="0.35">
      <c r="B137" s="36" t="s">
        <v>195</v>
      </c>
      <c r="C137" s="294">
        <f t="shared" ref="C137:L137" si="1">+C136*C132</f>
        <v>5.0149999999999997</v>
      </c>
      <c r="D137" s="294">
        <f t="shared" si="1"/>
        <v>5.0149999999999997</v>
      </c>
      <c r="E137" s="294">
        <f t="shared" si="1"/>
        <v>5.592876712328767</v>
      </c>
      <c r="F137" s="294">
        <f t="shared" si="1"/>
        <v>5.592876712328767</v>
      </c>
      <c r="G137" s="294">
        <f t="shared" si="1"/>
        <v>5.592876712328767</v>
      </c>
      <c r="H137" s="294">
        <f t="shared" si="1"/>
        <v>2.9292320000000003</v>
      </c>
      <c r="I137" s="294">
        <f t="shared" si="1"/>
        <v>2.9292320000000003</v>
      </c>
      <c r="J137" s="294">
        <f t="shared" si="1"/>
        <v>2.8319999999999999</v>
      </c>
      <c r="K137" s="294">
        <f t="shared" si="1"/>
        <v>2.9264000000000001</v>
      </c>
      <c r="L137" s="294">
        <f t="shared" si="1"/>
        <v>2.9264000000000001</v>
      </c>
      <c r="M137" s="294">
        <f t="shared" ref="M137:N137" si="2">+M136*M132</f>
        <v>2.9264000000000001</v>
      </c>
      <c r="N137" s="294">
        <f t="shared" si="2"/>
        <v>5.7763360000000006</v>
      </c>
      <c r="O137" s="294">
        <f t="shared" ref="O137:P137" si="3">+O136*O132</f>
        <v>3.3233713972602743</v>
      </c>
      <c r="P137" s="294">
        <f t="shared" si="3"/>
        <v>3.3233713972602743</v>
      </c>
      <c r="Q137" s="294">
        <f t="shared" ref="Q137:R137" si="4">+Q136*Q132</f>
        <v>3.3233713972602743</v>
      </c>
      <c r="R137" s="294">
        <f t="shared" si="4"/>
        <v>3.3233713972602743</v>
      </c>
      <c r="S137" s="294">
        <f t="shared" ref="S137:X137" si="5">+S136*S132</f>
        <v>3.3233713972602743</v>
      </c>
      <c r="T137" s="294">
        <f t="shared" si="5"/>
        <v>4.3161247298630139</v>
      </c>
      <c r="U137" s="294">
        <f t="shared" si="5"/>
        <v>4.3161247298630139</v>
      </c>
      <c r="V137" s="294">
        <f t="shared" si="5"/>
        <v>4.3161247298630139</v>
      </c>
      <c r="W137" s="294">
        <f t="shared" si="5"/>
        <v>4.3161247298630139</v>
      </c>
      <c r="X137" s="294">
        <f t="shared" si="5"/>
        <v>4.3161247298630139</v>
      </c>
      <c r="Y137" s="294">
        <f t="shared" ref="Y137:Z137" si="6">+Y136*Y132</f>
        <v>4.3161247298630139</v>
      </c>
      <c r="Z137" s="294">
        <f t="shared" si="6"/>
        <v>3.3008969556164387</v>
      </c>
      <c r="AA137" s="294">
        <f t="shared" ref="AA137:AB137" si="7">+AA136*AA132</f>
        <v>3.3008969556164387</v>
      </c>
      <c r="AB137" s="294">
        <f t="shared" si="7"/>
        <v>3.3008969556164387</v>
      </c>
      <c r="AC137" s="294">
        <f t="shared" ref="AC137:AD137" si="8">+AC136*AC132</f>
        <v>3.3008969556164387</v>
      </c>
      <c r="AD137" s="294">
        <f t="shared" si="8"/>
        <v>3.3008969556164387</v>
      </c>
      <c r="AE137" s="294">
        <f t="shared" ref="AE137:AF137" si="9">+AE136*AE132</f>
        <v>3.3008969556164387</v>
      </c>
      <c r="AF137" s="294">
        <f t="shared" si="9"/>
        <v>3.3008969556164387</v>
      </c>
      <c r="AG137" s="294">
        <f t="shared" ref="AG137:AH137" si="10">+AG136*AG132</f>
        <v>3.3008969556164387</v>
      </c>
      <c r="AH137" s="294">
        <f t="shared" si="10"/>
        <v>4.2106936372602739</v>
      </c>
      <c r="AI137" s="294">
        <f t="shared" ref="AI137:AJ137" si="11">+AI136*AI132</f>
        <v>4.2106936372602739</v>
      </c>
      <c r="AJ137" s="294">
        <f t="shared" si="11"/>
        <v>4.2106936372602739</v>
      </c>
      <c r="AK137" s="294">
        <f t="shared" ref="AK137:AL137" si="12">+AK136*AK132</f>
        <v>4.2106936372602739</v>
      </c>
      <c r="AL137" s="294">
        <f t="shared" si="12"/>
        <v>4.2106936372602739</v>
      </c>
      <c r="AM137" s="294">
        <f t="shared" ref="AM137:AN137" si="13">+AM136*AM132</f>
        <v>4.2106936372602739</v>
      </c>
      <c r="AN137" s="294">
        <f t="shared" si="13"/>
        <v>4.2106936372602739</v>
      </c>
      <c r="AO137" s="294">
        <f t="shared" ref="AO137:AQ137" si="14">+AO136*AO132</f>
        <v>4.2106936372602739</v>
      </c>
      <c r="AP137" s="294">
        <f t="shared" si="14"/>
        <v>4.2106936372602739</v>
      </c>
      <c r="AQ137" s="294">
        <f t="shared" si="14"/>
        <v>4.2106936372602739</v>
      </c>
      <c r="AR137" s="294">
        <f t="shared" ref="AR137:AS137" si="15">+AR136*AR132</f>
        <v>3.6099015189041102</v>
      </c>
      <c r="AS137" s="294">
        <f t="shared" si="15"/>
        <v>3.6099015189041102</v>
      </c>
      <c r="AT137" s="294">
        <f t="shared" ref="AT137" si="16">+AT136*AT132</f>
        <v>3.6099015189041102</v>
      </c>
      <c r="AU137" s="294">
        <f t="shared" ref="AU137:AV137" si="17">+AU136*AU132</f>
        <v>3.6099015189041102</v>
      </c>
      <c r="AV137" s="294">
        <f t="shared" si="17"/>
        <v>3.6099015189041102</v>
      </c>
      <c r="AW137" s="294">
        <f t="shared" ref="AW137:AY137" si="18">+AW136*AW132</f>
        <v>3.6099015189041102</v>
      </c>
      <c r="AX137" s="294">
        <f t="shared" si="18"/>
        <v>3.6099015189041102</v>
      </c>
      <c r="AY137" s="294">
        <f t="shared" si="18"/>
        <v>3.6099015189041102</v>
      </c>
      <c r="AZ137" s="294">
        <f t="shared" ref="AZ137:BA137" si="19">+AZ136*AZ132</f>
        <v>3.6099015189041102</v>
      </c>
      <c r="BA137" s="294">
        <f t="shared" si="19"/>
        <v>3.6099015189041102</v>
      </c>
      <c r="BB137" s="294">
        <f t="shared" ref="BB137:BC137" si="20">+BB136*BB132</f>
        <v>3.6099015189041102</v>
      </c>
      <c r="BC137" s="294">
        <f t="shared" si="20"/>
        <v>3.6099015189041102</v>
      </c>
      <c r="BD137" s="294">
        <f t="shared" ref="BD137:BE137" si="21">+BD136*BD132</f>
        <v>3.3008969556164387</v>
      </c>
      <c r="BE137" s="294">
        <f t="shared" si="21"/>
        <v>3.3008969556164387</v>
      </c>
      <c r="BF137" s="294">
        <f t="shared" ref="BF137" si="22">+BF136*BF132</f>
        <v>3.3008969556164387</v>
      </c>
    </row>
    <row r="138" spans="2:59" x14ac:dyDescent="0.35">
      <c r="B138" s="36" t="s">
        <v>209</v>
      </c>
      <c r="C138" s="295">
        <f t="shared" ref="C138:L138" si="23">+C136+C137</f>
        <v>90.015000000000001</v>
      </c>
      <c r="D138" s="295">
        <f t="shared" si="23"/>
        <v>90.015000000000001</v>
      </c>
      <c r="E138" s="295">
        <f t="shared" si="23"/>
        <v>99.99287671232878</v>
      </c>
      <c r="F138" s="295">
        <f t="shared" si="23"/>
        <v>99.99287671232878</v>
      </c>
      <c r="G138" s="295">
        <f t="shared" si="23"/>
        <v>99.99287671232878</v>
      </c>
      <c r="H138" s="295">
        <f t="shared" si="23"/>
        <v>97.329232000000005</v>
      </c>
      <c r="I138" s="295">
        <f t="shared" si="23"/>
        <v>97.329232000000005</v>
      </c>
      <c r="J138" s="295">
        <f t="shared" si="23"/>
        <v>97.231999999999999</v>
      </c>
      <c r="K138" s="295">
        <f t="shared" si="23"/>
        <v>97.326400000000007</v>
      </c>
      <c r="L138" s="295">
        <f t="shared" si="23"/>
        <v>97.326400000000007</v>
      </c>
      <c r="M138" s="295">
        <f t="shared" ref="M138:N138" si="24">+M136+M137</f>
        <v>97.326400000000007</v>
      </c>
      <c r="N138" s="295">
        <f t="shared" si="24"/>
        <v>100.17633600000001</v>
      </c>
      <c r="O138" s="295">
        <f t="shared" ref="O138:P138" si="25">+O136+O137</f>
        <v>97.72337139726028</v>
      </c>
      <c r="P138" s="295">
        <f t="shared" si="25"/>
        <v>97.72337139726028</v>
      </c>
      <c r="Q138" s="295">
        <f t="shared" ref="Q138:R138" si="26">+Q136+Q137</f>
        <v>97.72337139726028</v>
      </c>
      <c r="R138" s="295">
        <f t="shared" si="26"/>
        <v>97.72337139726028</v>
      </c>
      <c r="S138" s="295">
        <f t="shared" ref="S138:T138" si="27">+S136+S137</f>
        <v>97.72337139726028</v>
      </c>
      <c r="T138" s="295">
        <f t="shared" si="27"/>
        <v>98.716124729863026</v>
      </c>
      <c r="U138" s="295">
        <f t="shared" ref="U138:V138" si="28">+U136+U137</f>
        <v>98.716124729863026</v>
      </c>
      <c r="V138" s="295">
        <f t="shared" si="28"/>
        <v>98.716124729863026</v>
      </c>
      <c r="W138" s="295">
        <f t="shared" ref="W138:X138" si="29">+W136+W137</f>
        <v>98.716124729863026</v>
      </c>
      <c r="X138" s="295">
        <f t="shared" si="29"/>
        <v>98.716124729863026</v>
      </c>
      <c r="Y138" s="295">
        <f t="shared" ref="Y138:Z138" si="30">+Y136+Y137</f>
        <v>98.716124729863026</v>
      </c>
      <c r="Z138" s="295">
        <f t="shared" si="30"/>
        <v>97.700896955616443</v>
      </c>
      <c r="AA138" s="295">
        <f t="shared" ref="AA138:AB138" si="31">+AA136+AA137</f>
        <v>97.700896955616443</v>
      </c>
      <c r="AB138" s="295">
        <f t="shared" si="31"/>
        <v>97.700896955616443</v>
      </c>
      <c r="AC138" s="295">
        <f t="shared" ref="AC138:AD138" si="32">+AC136+AC137</f>
        <v>97.700896955616443</v>
      </c>
      <c r="AD138" s="295">
        <f t="shared" si="32"/>
        <v>97.700896955616443</v>
      </c>
      <c r="AE138" s="295">
        <f t="shared" ref="AE138:AF138" si="33">+AE136+AE137</f>
        <v>97.700896955616443</v>
      </c>
      <c r="AF138" s="295">
        <f t="shared" si="33"/>
        <v>97.700896955616443</v>
      </c>
      <c r="AG138" s="295">
        <f t="shared" ref="AG138:AH138" si="34">+AG136+AG137</f>
        <v>97.700896955616443</v>
      </c>
      <c r="AH138" s="295">
        <f t="shared" si="34"/>
        <v>98.610693637260283</v>
      </c>
      <c r="AI138" s="295">
        <f t="shared" ref="AI138:AJ138" si="35">+AI136+AI137</f>
        <v>98.610693637260283</v>
      </c>
      <c r="AJ138" s="295">
        <f t="shared" si="35"/>
        <v>98.610693637260283</v>
      </c>
      <c r="AK138" s="295">
        <f t="shared" ref="AK138:AL138" si="36">+AK136+AK137</f>
        <v>98.610693637260283</v>
      </c>
      <c r="AL138" s="295">
        <f t="shared" si="36"/>
        <v>98.610693637260283</v>
      </c>
      <c r="AM138" s="295">
        <f t="shared" ref="AM138:AN138" si="37">+AM136+AM137</f>
        <v>98.610693637260283</v>
      </c>
      <c r="AN138" s="295">
        <f t="shared" si="37"/>
        <v>98.610693637260283</v>
      </c>
      <c r="AO138" s="295">
        <f t="shared" ref="AO138:AP138" si="38">+AO136+AO137</f>
        <v>98.610693637260283</v>
      </c>
      <c r="AP138" s="295">
        <f t="shared" si="38"/>
        <v>98.610693637260283</v>
      </c>
      <c r="AQ138" s="295">
        <f t="shared" ref="AQ138:AR138" si="39">+AQ136+AQ137</f>
        <v>98.610693637260283</v>
      </c>
      <c r="AR138" s="295">
        <f t="shared" si="39"/>
        <v>98.009901518904115</v>
      </c>
      <c r="AS138" s="295">
        <f t="shared" ref="AS138:AT138" si="40">+AS136+AS137</f>
        <v>98.009901518904115</v>
      </c>
      <c r="AT138" s="295">
        <f t="shared" si="40"/>
        <v>98.009901518904115</v>
      </c>
      <c r="AU138" s="295">
        <f t="shared" ref="AU138:AV138" si="41">+AU136+AU137</f>
        <v>98.009901518904115</v>
      </c>
      <c r="AV138" s="295">
        <f t="shared" si="41"/>
        <v>98.009901518904115</v>
      </c>
      <c r="AW138" s="295">
        <f t="shared" ref="AW138:AX138" si="42">+AW136+AW137</f>
        <v>98.009901518904115</v>
      </c>
      <c r="AX138" s="295">
        <f t="shared" si="42"/>
        <v>98.009901518904115</v>
      </c>
      <c r="AY138" s="295">
        <f t="shared" ref="AY138:AZ138" si="43">+AY136+AY137</f>
        <v>98.009901518904115</v>
      </c>
      <c r="AZ138" s="295">
        <f t="shared" si="43"/>
        <v>98.009901518904115</v>
      </c>
      <c r="BA138" s="295">
        <f t="shared" ref="BA138:BB138" si="44">+BA136+BA137</f>
        <v>98.009901518904115</v>
      </c>
      <c r="BB138" s="295">
        <f t="shared" si="44"/>
        <v>98.009901518904115</v>
      </c>
      <c r="BC138" s="295">
        <f t="shared" ref="BC138:BD138" si="45">+BC136+BC137</f>
        <v>98.009901518904115</v>
      </c>
      <c r="BD138" s="295">
        <f t="shared" si="45"/>
        <v>97.700896955616443</v>
      </c>
      <c r="BE138" s="295">
        <f t="shared" ref="BE138:BF138" si="46">+BE136+BE137</f>
        <v>97.700896955616443</v>
      </c>
      <c r="BF138" s="295">
        <f t="shared" si="46"/>
        <v>97.700896955616443</v>
      </c>
    </row>
    <row r="139" spans="2:59" x14ac:dyDescent="0.35">
      <c r="B139" s="296" t="s">
        <v>210</v>
      </c>
      <c r="C139" s="297">
        <f>+C138+C134</f>
        <v>1733.910196069545</v>
      </c>
      <c r="D139" s="297">
        <f t="shared" ref="D139:L139" si="47">+D138+D134</f>
        <v>1711.9846599033767</v>
      </c>
      <c r="E139" s="297">
        <f t="shared" si="47"/>
        <v>1748.1781955494955</v>
      </c>
      <c r="F139" s="297">
        <f t="shared" si="47"/>
        <v>2005.3590231791213</v>
      </c>
      <c r="G139" s="297">
        <f t="shared" si="47"/>
        <v>1949.855026428623</v>
      </c>
      <c r="H139" s="297">
        <f t="shared" si="47"/>
        <v>1863.1433991880042</v>
      </c>
      <c r="I139" s="297">
        <f t="shared" si="47"/>
        <v>2055.0951117457171</v>
      </c>
      <c r="J139" s="297">
        <f t="shared" si="47"/>
        <v>2104.5405977964388</v>
      </c>
      <c r="K139" s="297">
        <f t="shared" si="47"/>
        <v>2174.9407488222141</v>
      </c>
      <c r="L139" s="297">
        <f t="shared" si="47"/>
        <v>2224.6328195831784</v>
      </c>
      <c r="M139" s="297">
        <f t="shared" ref="M139:N139" si="48">+M138+M134</f>
        <v>2173.9076921688211</v>
      </c>
      <c r="N139" s="297">
        <f t="shared" si="48"/>
        <v>2351.9980645856022</v>
      </c>
      <c r="O139" s="297">
        <f t="shared" ref="O139:T139" si="49">+O138+O134</f>
        <v>2084.0879699121556</v>
      </c>
      <c r="P139" s="297">
        <f t="shared" si="49"/>
        <v>2039.0612287085833</v>
      </c>
      <c r="Q139" s="297">
        <f t="shared" si="49"/>
        <v>1827.4006175929699</v>
      </c>
      <c r="R139" s="297">
        <f t="shared" si="49"/>
        <v>1572.1529790762611</v>
      </c>
      <c r="S139" s="297">
        <f t="shared" si="49"/>
        <v>1511.4315793908329</v>
      </c>
      <c r="T139" s="297">
        <f t="shared" si="49"/>
        <v>1571.7048222592841</v>
      </c>
      <c r="U139" s="297">
        <f t="shared" ref="U139:V139" si="50">+U138+U134</f>
        <v>1749.1772307014442</v>
      </c>
      <c r="V139" s="297">
        <f t="shared" si="50"/>
        <v>1692.4082469121936</v>
      </c>
      <c r="W139" s="297">
        <f t="shared" ref="W139:X139" si="51">+W138+W134</f>
        <v>1650.0848702661715</v>
      </c>
      <c r="X139" s="297">
        <f t="shared" si="51"/>
        <v>1719.7814689069273</v>
      </c>
      <c r="Y139" s="297">
        <f t="shared" ref="Y139:Z139" si="52">+Y138+Y134</f>
        <v>1698.3624926757873</v>
      </c>
      <c r="Z139" s="297">
        <f t="shared" si="52"/>
        <v>1786.3921944383619</v>
      </c>
      <c r="AA139" s="297">
        <f t="shared" ref="AA139:AB139" si="53">+AA138+AA134</f>
        <v>1832.805473405368</v>
      </c>
      <c r="AB139" s="297">
        <f t="shared" si="53"/>
        <v>1794.3773311945754</v>
      </c>
      <c r="AC139" s="297">
        <f t="shared" ref="AC139:AD139" si="54">+AC138+AC134</f>
        <v>1784.8604795819303</v>
      </c>
      <c r="AD139" s="297">
        <f t="shared" si="54"/>
        <v>1815.4425995528729</v>
      </c>
      <c r="AE139" s="297">
        <f t="shared" ref="AE139:AF139" si="55">+AE138+AE134</f>
        <v>1917.1170907848905</v>
      </c>
      <c r="AF139" s="297">
        <f t="shared" si="55"/>
        <v>1989.5364049472171</v>
      </c>
      <c r="AG139" s="297">
        <f t="shared" ref="AG139:AH139" si="56">+AG138+AG134</f>
        <v>1762.3791591494746</v>
      </c>
      <c r="AH139" s="297">
        <f t="shared" si="56"/>
        <v>1936.9946953544004</v>
      </c>
      <c r="AI139" s="297">
        <f t="shared" ref="AI139:AJ139" si="57">+AI138+AI134</f>
        <v>1960.7323860646977</v>
      </c>
      <c r="AJ139" s="297">
        <f t="shared" si="57"/>
        <v>2006.6200046357087</v>
      </c>
      <c r="AK139" s="297">
        <f t="shared" ref="AK139:AL139" si="58">+AK138+AK134</f>
        <v>2038.1934573861074</v>
      </c>
      <c r="AL139" s="297">
        <f t="shared" si="58"/>
        <v>2069.5841202518686</v>
      </c>
      <c r="AM139" s="297">
        <f t="shared" ref="AM139:AN139" si="59">+AM138+AM134</f>
        <v>2145.0106360393302</v>
      </c>
      <c r="AN139" s="297">
        <f t="shared" si="59"/>
        <v>2214.5182783877758</v>
      </c>
      <c r="AO139" s="297">
        <f t="shared" ref="AO139:AP139" si="60">+AO138+AO134</f>
        <v>2244.2588516480246</v>
      </c>
      <c r="AP139" s="297">
        <f t="shared" si="60"/>
        <v>2281.9841219161976</v>
      </c>
      <c r="AQ139" s="297">
        <f t="shared" ref="AQ139:AR139" si="61">+AQ138+AQ134</f>
        <v>2206.9405995539732</v>
      </c>
      <c r="AR139" s="297">
        <f t="shared" si="61"/>
        <v>2237.8729025936364</v>
      </c>
      <c r="AS139" s="297">
        <f t="shared" ref="AS139:AT139" si="62">+AS138+AS134</f>
        <v>2324.4326142171481</v>
      </c>
      <c r="AT139" s="297">
        <f t="shared" si="62"/>
        <v>2425.6132670647744</v>
      </c>
      <c r="AU139" s="297">
        <f t="shared" ref="AU139:AV139" si="63">+AU138+AU134</f>
        <v>2426.0741017318292</v>
      </c>
      <c r="AV139" s="297">
        <f t="shared" si="63"/>
        <v>2350.0218802513937</v>
      </c>
      <c r="AW139" s="297">
        <f t="shared" ref="AW139:AX139" si="64">+AW138+AW134</f>
        <v>2390.1838970744866</v>
      </c>
      <c r="AX139" s="297">
        <f t="shared" si="64"/>
        <v>2381.7182128099948</v>
      </c>
      <c r="AY139" s="297">
        <f t="shared" ref="AY139:AZ139" si="65">+AY138+AY134</f>
        <v>2377.8053593005889</v>
      </c>
      <c r="AZ139" s="297">
        <f t="shared" si="65"/>
        <v>2309.2090115776759</v>
      </c>
      <c r="BA139" s="297">
        <f t="shared" ref="BA139:BB139" si="66">+BA138+BA134</f>
        <v>2315.1788314407136</v>
      </c>
      <c r="BB139" s="297">
        <f t="shared" si="66"/>
        <v>2287.8264767153851</v>
      </c>
      <c r="BC139" s="297">
        <f t="shared" ref="BC139:BD139" si="67">+BC138+BC134</f>
        <v>2304.9181954506435</v>
      </c>
      <c r="BD139" s="297">
        <f t="shared" si="67"/>
        <v>2246.5394948114213</v>
      </c>
      <c r="BE139" s="297">
        <f t="shared" ref="BE139:BF139" si="68">+BE138+BE134</f>
        <v>2284.7438078645764</v>
      </c>
      <c r="BF139" s="297">
        <f t="shared" si="68"/>
        <v>2290.9176650235981</v>
      </c>
      <c r="BG139" s="257"/>
    </row>
    <row r="140" spans="2:59" x14ac:dyDescent="0.35">
      <c r="Z140" s="257"/>
      <c r="AA140" s="257"/>
      <c r="AB140" s="257"/>
      <c r="AC140" s="257"/>
      <c r="AG140" s="21">
        <f>+AF139/AG139-1</f>
        <v>0.12889238085825339</v>
      </c>
      <c r="AH140" s="21">
        <f t="shared" ref="AH140:AT140" si="69">+AG139/AH139-1</f>
        <v>-9.0147658444143186E-2</v>
      </c>
      <c r="AI140" s="21">
        <f t="shared" si="69"/>
        <v>-1.2106542881122229E-2</v>
      </c>
      <c r="AJ140" s="21">
        <f t="shared" si="69"/>
        <v>-2.2868115769304143E-2</v>
      </c>
      <c r="AK140" s="21">
        <f t="shared" si="69"/>
        <v>-1.5490900844559841E-2</v>
      </c>
      <c r="AL140" s="21">
        <f t="shared" si="69"/>
        <v>-1.5167618730057231E-2</v>
      </c>
      <c r="AM140" s="21">
        <f t="shared" si="69"/>
        <v>-3.516370246384104E-2</v>
      </c>
      <c r="AN140" s="21">
        <f t="shared" si="69"/>
        <v>-3.1387251587306375E-2</v>
      </c>
      <c r="AO140" s="21">
        <f t="shared" si="69"/>
        <v>-1.3251846255795896E-2</v>
      </c>
      <c r="AP140" s="21">
        <f t="shared" si="69"/>
        <v>-1.6531784733232469E-2</v>
      </c>
      <c r="AQ140" s="21">
        <f t="shared" si="69"/>
        <v>3.4003417390296331E-2</v>
      </c>
      <c r="AR140" s="21">
        <f t="shared" si="69"/>
        <v>-1.3822189367328819E-2</v>
      </c>
      <c r="AS140" s="21">
        <f t="shared" si="69"/>
        <v>-3.7239071201323859E-2</v>
      </c>
      <c r="AT140" s="21">
        <f t="shared" si="69"/>
        <v>-4.1713431494404984E-2</v>
      </c>
      <c r="AU140" s="21">
        <f t="shared" ref="AU140" si="70">+AT139/AU139-1</f>
        <v>-1.8995077962613571E-4</v>
      </c>
      <c r="AV140" s="21">
        <f t="shared" ref="AV140:BC140" si="71">+AU139/AV139-1</f>
        <v>3.2362346120921925E-2</v>
      </c>
      <c r="AW140" s="21">
        <f t="shared" si="71"/>
        <v>-1.6802898250737108E-2</v>
      </c>
      <c r="AX140" s="196">
        <f t="shared" si="71"/>
        <v>3.5544441063428689E-3</v>
      </c>
      <c r="AY140" s="196">
        <f t="shared" si="71"/>
        <v>1.6455735092451018E-3</v>
      </c>
      <c r="AZ140" s="196">
        <f t="shared" si="71"/>
        <v>2.9705560379762685E-2</v>
      </c>
      <c r="BA140" s="196">
        <f t="shared" si="71"/>
        <v>-2.5785566894297451E-3</v>
      </c>
      <c r="BB140" s="196">
        <f t="shared" si="71"/>
        <v>1.1955607212220887E-2</v>
      </c>
      <c r="BC140" s="196">
        <f t="shared" si="71"/>
        <v>-7.4153255282523034E-3</v>
      </c>
      <c r="BD140" s="196"/>
      <c r="BE140" s="196"/>
      <c r="BF140" s="196"/>
    </row>
    <row r="141" spans="2:59" x14ac:dyDescent="0.35">
      <c r="C141" s="87"/>
      <c r="D141" s="87"/>
      <c r="AH141" s="257"/>
      <c r="AN141" s="21"/>
      <c r="AP141" s="21"/>
      <c r="AS141" s="21"/>
      <c r="AT141" s="21"/>
    </row>
    <row r="142" spans="2:59" x14ac:dyDescent="0.35">
      <c r="AV142" s="257"/>
      <c r="AW142" s="257"/>
      <c r="AX142" s="257"/>
      <c r="AY142" s="257"/>
      <c r="AZ142" s="257"/>
      <c r="BA142" s="257"/>
      <c r="BB142" s="257"/>
      <c r="BC142" s="257"/>
    </row>
    <row r="143" spans="2:59" x14ac:dyDescent="0.35">
      <c r="C143" s="87"/>
      <c r="D143" s="87"/>
      <c r="AZ143" s="257"/>
      <c r="BA143" s="257"/>
      <c r="BB143" s="257"/>
      <c r="BC143" s="257"/>
    </row>
    <row r="144" spans="2:59" x14ac:dyDescent="0.35">
      <c r="AV144" s="257"/>
      <c r="AW144" s="257"/>
      <c r="AX144" s="257"/>
      <c r="AY144" s="257"/>
      <c r="AZ144" s="257"/>
      <c r="BA144" s="257"/>
      <c r="BB144" s="257"/>
      <c r="BC144" s="257"/>
    </row>
  </sheetData>
  <mergeCells count="15">
    <mergeCell ref="D110:E110"/>
    <mergeCell ref="H110:H111"/>
    <mergeCell ref="D94:E94"/>
    <mergeCell ref="H94:H95"/>
    <mergeCell ref="B126:BE126"/>
    <mergeCell ref="B1:N1"/>
    <mergeCell ref="B20:N20"/>
    <mergeCell ref="B42:N42"/>
    <mergeCell ref="D44:E44"/>
    <mergeCell ref="H44:H45"/>
    <mergeCell ref="D77:E77"/>
    <mergeCell ref="H77:H78"/>
    <mergeCell ref="D58:E58"/>
    <mergeCell ref="H58:H59"/>
    <mergeCell ref="B22:F22"/>
  </mergeCells>
  <phoneticPr fontId="26" type="noConversion"/>
  <pageMargins left="0.7" right="0.7" top="0.75" bottom="0.75" header="0.3" footer="0.3"/>
  <customProperties>
    <customPr name="EpmWorksheetKeyString_GUID" r:id="rId1"/>
  </customPropertie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EN68"/>
  <sheetViews>
    <sheetView showGridLines="0" topLeftCell="A6" zoomScaleNormal="100" workbookViewId="0">
      <pane xSplit="2" topLeftCell="EI1" activePane="topRight" state="frozen"/>
      <selection activeCell="A7" sqref="A7"/>
      <selection pane="topRight" activeCell="A21" sqref="A21"/>
    </sheetView>
  </sheetViews>
  <sheetFormatPr defaultColWidth="10.54296875" defaultRowHeight="14.5" x14ac:dyDescent="0.35"/>
  <cols>
    <col min="1" max="1" width="13.36328125" customWidth="1"/>
    <col min="2" max="2" width="41.7265625" customWidth="1"/>
    <col min="3" max="3" width="16.54296875" hidden="1" customWidth="1"/>
    <col min="4" max="4" width="10.54296875" hidden="1" customWidth="1"/>
    <col min="5" max="9" width="11.453125" hidden="1" customWidth="1"/>
    <col min="10" max="10" width="14.54296875" hidden="1" customWidth="1"/>
    <col min="11" max="11" width="13.453125" hidden="1" customWidth="1"/>
    <col min="12" max="12" width="11.1796875" hidden="1" customWidth="1"/>
    <col min="13" max="13" width="11.453125" hidden="1" customWidth="1"/>
    <col min="14" max="14" width="11.453125" style="88" hidden="1" customWidth="1"/>
    <col min="15" max="20" width="11.453125" hidden="1" customWidth="1"/>
    <col min="21" max="21" width="10.453125" hidden="1" customWidth="1"/>
    <col min="22" max="30" width="11.453125" hidden="1" customWidth="1"/>
    <col min="31" max="31" width="14.1796875" hidden="1" customWidth="1"/>
    <col min="32" max="32" width="11.453125" hidden="1" customWidth="1"/>
    <col min="33" max="33" width="13.453125" hidden="1" customWidth="1"/>
    <col min="34" max="34" width="12.81640625" hidden="1" customWidth="1"/>
    <col min="35" max="38" width="10.54296875" hidden="1" customWidth="1"/>
    <col min="39" max="39" width="13.453125" hidden="1" customWidth="1"/>
    <col min="40" max="42" width="10.54296875" hidden="1" customWidth="1"/>
    <col min="43" max="43" width="13.81640625" hidden="1" customWidth="1"/>
    <col min="44" max="44" width="10.54296875" hidden="1" customWidth="1"/>
    <col min="45" max="45" width="13.7265625" hidden="1" customWidth="1"/>
    <col min="46" max="46" width="12.81640625" hidden="1" customWidth="1"/>
    <col min="47" max="57" width="10.54296875" hidden="1" customWidth="1"/>
    <col min="58" max="58" width="10.54296875" style="330" hidden="1" customWidth="1"/>
    <col min="59" max="59" width="10.54296875" hidden="1" customWidth="1"/>
    <col min="60" max="60" width="10.54296875" style="330" hidden="1" customWidth="1"/>
    <col min="61" max="62" width="10.54296875" hidden="1" customWidth="1"/>
    <col min="63" max="63" width="10.1796875" hidden="1" customWidth="1"/>
    <col min="64" max="89" width="10.54296875" hidden="1" customWidth="1"/>
    <col min="90" max="90" width="13.54296875" hidden="1" customWidth="1"/>
    <col min="91" max="91" width="15.26953125" hidden="1" customWidth="1"/>
    <col min="92" max="92" width="10.1796875" hidden="1" customWidth="1"/>
    <col min="93" max="98" width="10.54296875" hidden="1" customWidth="1"/>
    <col min="99" max="99" width="13.7265625" hidden="1" customWidth="1"/>
    <col min="100" max="100" width="10.54296875" hidden="1" customWidth="1"/>
    <col min="101" max="101" width="13.7265625" hidden="1" customWidth="1"/>
    <col min="102" max="102" width="12.81640625" hidden="1" customWidth="1"/>
    <col min="103" max="111" width="10.54296875" hidden="1" customWidth="1"/>
    <col min="112" max="112" width="14" hidden="1" customWidth="1"/>
    <col min="113" max="113" width="12.7265625" hidden="1" customWidth="1"/>
    <col min="114" max="114" width="13.54296875" hidden="1" customWidth="1"/>
    <col min="115" max="115" width="13.26953125" hidden="1" customWidth="1"/>
    <col min="116" max="116" width="12.54296875" hidden="1" customWidth="1"/>
    <col min="117" max="122" width="10.54296875" hidden="1" customWidth="1"/>
    <col min="123" max="123" width="13.1796875" hidden="1" customWidth="1"/>
    <col min="124" max="129" width="10.54296875" hidden="1" customWidth="1"/>
    <col min="130" max="130" width="9.7265625" hidden="1" customWidth="1"/>
    <col min="131" max="131" width="10.1796875" hidden="1" customWidth="1"/>
    <col min="132" max="132" width="9.7265625" hidden="1" customWidth="1"/>
    <col min="133" max="135" width="0" hidden="1" customWidth="1"/>
    <col min="136" max="136" width="10.81640625" style="330" hidden="1" customWidth="1"/>
    <col min="137" max="137" width="0" hidden="1" customWidth="1"/>
    <col min="138" max="138" width="10.81640625" hidden="1" customWidth="1"/>
    <col min="140" max="140" width="11.1796875" bestFit="1" customWidth="1"/>
  </cols>
  <sheetData>
    <row r="1" spans="2:58" hidden="1" x14ac:dyDescent="0.35"/>
    <row r="2" spans="2:58" hidden="1" x14ac:dyDescent="0.35"/>
    <row r="3" spans="2:58" hidden="1" x14ac:dyDescent="0.35"/>
    <row r="4" spans="2:58" hidden="1" x14ac:dyDescent="0.35"/>
    <row r="5" spans="2:58" hidden="1" x14ac:dyDescent="0.35"/>
    <row r="6" spans="2:58" ht="15" customHeight="1" x14ac:dyDescent="0.35">
      <c r="B6" s="837" t="str">
        <f>+'Fórmula Marzo 26'!D11</f>
        <v>PRECIOS DE RESINA ABI MARZO 2026</v>
      </c>
      <c r="C6" s="837"/>
      <c r="D6" s="837"/>
      <c r="E6" s="837"/>
      <c r="F6" s="837"/>
      <c r="G6" s="837"/>
      <c r="H6" s="837"/>
      <c r="I6" s="837"/>
      <c r="J6" s="837"/>
      <c r="K6" s="837"/>
      <c r="L6" s="837"/>
      <c r="M6" s="837"/>
      <c r="N6" s="837"/>
      <c r="O6" s="837"/>
      <c r="P6" s="837"/>
      <c r="Q6" s="837"/>
      <c r="R6" s="837"/>
      <c r="S6" s="837"/>
      <c r="T6" s="837"/>
      <c r="U6" s="837"/>
      <c r="V6" s="837"/>
      <c r="W6" s="837"/>
      <c r="X6" s="837"/>
      <c r="Y6" s="837"/>
      <c r="Z6" s="837"/>
      <c r="AA6" s="837"/>
      <c r="AB6" s="837"/>
      <c r="AC6" s="837"/>
      <c r="AD6" s="837"/>
      <c r="AE6" s="837"/>
      <c r="AF6" s="837"/>
      <c r="AG6" s="837"/>
      <c r="AH6" s="837"/>
      <c r="AI6" s="837"/>
      <c r="AJ6" s="837"/>
      <c r="AK6" s="837"/>
      <c r="AL6" s="837"/>
      <c r="AM6" s="837"/>
      <c r="AN6" s="837"/>
      <c r="AO6" s="837"/>
      <c r="AP6" s="837"/>
      <c r="AQ6" s="837"/>
      <c r="AR6" s="837"/>
      <c r="AS6" s="837"/>
      <c r="AT6" s="837"/>
      <c r="AU6" s="837"/>
      <c r="AV6" s="837"/>
      <c r="AW6" s="837"/>
      <c r="AX6" s="837"/>
      <c r="AY6" s="837"/>
      <c r="AZ6" s="837"/>
      <c r="BA6" s="837"/>
      <c r="BB6" s="837"/>
      <c r="BC6" s="837"/>
      <c r="BD6" s="837"/>
      <c r="BE6" s="837"/>
      <c r="BF6" s="837"/>
    </row>
    <row r="7" spans="2:58" ht="15" customHeight="1" x14ac:dyDescent="0.35">
      <c r="B7" s="837"/>
      <c r="C7" s="837"/>
      <c r="D7" s="837"/>
      <c r="E7" s="837"/>
      <c r="F7" s="837"/>
      <c r="G7" s="837"/>
      <c r="H7" s="837"/>
      <c r="I7" s="837"/>
      <c r="J7" s="837"/>
      <c r="K7" s="837"/>
      <c r="L7" s="837"/>
      <c r="M7" s="837"/>
      <c r="N7" s="837"/>
      <c r="O7" s="837"/>
      <c r="P7" s="837"/>
      <c r="Q7" s="837"/>
      <c r="R7" s="837"/>
      <c r="S7" s="837"/>
      <c r="T7" s="837"/>
      <c r="U7" s="837"/>
      <c r="V7" s="837"/>
      <c r="W7" s="837"/>
      <c r="X7" s="837"/>
      <c r="Y7" s="837"/>
      <c r="Z7" s="837"/>
      <c r="AA7" s="837"/>
      <c r="AB7" s="837"/>
      <c r="AC7" s="837"/>
      <c r="AD7" s="837"/>
      <c r="AE7" s="837"/>
      <c r="AF7" s="837"/>
      <c r="AG7" s="837"/>
      <c r="AH7" s="837"/>
      <c r="AI7" s="837"/>
      <c r="AJ7" s="837"/>
      <c r="AK7" s="837"/>
      <c r="AL7" s="837"/>
      <c r="AM7" s="837"/>
      <c r="AN7" s="837"/>
      <c r="AO7" s="837"/>
      <c r="AP7" s="837"/>
      <c r="AQ7" s="837"/>
      <c r="AR7" s="837"/>
      <c r="AS7" s="837"/>
      <c r="AT7" s="837"/>
      <c r="AU7" s="837"/>
      <c r="AV7" s="837"/>
      <c r="AW7" s="837"/>
      <c r="AX7" s="837"/>
      <c r="AY7" s="837"/>
      <c r="AZ7" s="837"/>
      <c r="BA7" s="837"/>
      <c r="BB7" s="837"/>
      <c r="BC7" s="837"/>
      <c r="BD7" s="837"/>
      <c r="BE7" s="837"/>
      <c r="BF7" s="837"/>
    </row>
    <row r="8" spans="2:58" ht="15" customHeight="1" x14ac:dyDescent="0.35">
      <c r="B8" s="837"/>
      <c r="C8" s="837"/>
      <c r="D8" s="837"/>
      <c r="E8" s="837"/>
      <c r="F8" s="837"/>
      <c r="G8" s="837"/>
      <c r="H8" s="837"/>
      <c r="I8" s="837"/>
      <c r="J8" s="837"/>
      <c r="K8" s="837"/>
      <c r="L8" s="837"/>
      <c r="M8" s="837"/>
      <c r="N8" s="837"/>
      <c r="O8" s="837"/>
      <c r="P8" s="837"/>
      <c r="Q8" s="837"/>
      <c r="R8" s="837"/>
      <c r="S8" s="837"/>
      <c r="T8" s="837"/>
      <c r="U8" s="837"/>
      <c r="V8" s="837"/>
      <c r="W8" s="837"/>
      <c r="X8" s="837"/>
      <c r="Y8" s="837"/>
      <c r="Z8" s="837"/>
      <c r="AA8" s="837"/>
      <c r="AB8" s="837"/>
      <c r="AC8" s="837"/>
      <c r="AD8" s="837"/>
      <c r="AE8" s="837"/>
      <c r="AF8" s="837"/>
      <c r="AG8" s="837"/>
      <c r="AH8" s="837"/>
      <c r="AI8" s="837"/>
      <c r="AJ8" s="837"/>
      <c r="AK8" s="837"/>
      <c r="AL8" s="837"/>
      <c r="AM8" s="837"/>
      <c r="AN8" s="837"/>
      <c r="AO8" s="837"/>
      <c r="AP8" s="837"/>
      <c r="AQ8" s="837"/>
      <c r="AR8" s="837"/>
      <c r="AS8" s="837"/>
      <c r="AT8" s="837"/>
      <c r="AU8" s="837"/>
      <c r="AV8" s="837"/>
      <c r="AW8" s="837"/>
      <c r="AX8" s="837"/>
      <c r="AY8" s="837"/>
      <c r="AZ8" s="837"/>
      <c r="BA8" s="837"/>
      <c r="BB8" s="837"/>
      <c r="BC8" s="837"/>
      <c r="BD8" s="837"/>
      <c r="BE8" s="837"/>
      <c r="BF8" s="837"/>
    </row>
    <row r="10" spans="2:58" hidden="1" x14ac:dyDescent="0.35"/>
    <row r="11" spans="2:58" hidden="1" x14ac:dyDescent="0.35"/>
    <row r="12" spans="2:58" hidden="1" x14ac:dyDescent="0.35"/>
    <row r="13" spans="2:58" hidden="1" x14ac:dyDescent="0.35"/>
    <row r="14" spans="2:58" hidden="1" x14ac:dyDescent="0.35"/>
    <row r="15" spans="2:58" hidden="1" x14ac:dyDescent="0.35"/>
    <row r="17" spans="1:144" x14ac:dyDescent="0.35">
      <c r="B17" s="74" t="s">
        <v>211</v>
      </c>
      <c r="C17" s="75"/>
      <c r="D17" s="75"/>
      <c r="G17" s="143"/>
      <c r="H17" s="143"/>
      <c r="I17" s="143"/>
    </row>
    <row r="18" spans="1:144" x14ac:dyDescent="0.35">
      <c r="B18" s="76"/>
      <c r="C18" s="77"/>
      <c r="D18" s="77"/>
      <c r="E18" s="77"/>
      <c r="F18" s="77"/>
      <c r="G18" s="77"/>
      <c r="H18" s="77"/>
      <c r="V18" s="276" t="s">
        <v>212</v>
      </c>
      <c r="AH18" s="270"/>
    </row>
    <row r="19" spans="1:144" x14ac:dyDescent="0.35">
      <c r="C19" s="835">
        <v>2020</v>
      </c>
      <c r="D19" s="835"/>
      <c r="E19" s="835"/>
      <c r="F19" s="835"/>
      <c r="G19" s="835"/>
      <c r="H19" s="835"/>
      <c r="I19" s="836"/>
      <c r="J19" s="836"/>
      <c r="K19" s="838">
        <v>2021</v>
      </c>
      <c r="L19" s="839"/>
      <c r="M19" s="839"/>
      <c r="N19" s="839"/>
      <c r="O19" s="839"/>
      <c r="P19" s="839"/>
      <c r="Q19" s="839"/>
      <c r="R19" s="839"/>
      <c r="S19" s="839"/>
      <c r="T19" s="839"/>
      <c r="AH19" s="270"/>
      <c r="DN19" s="196">
        <f t="shared" ref="DN19:DS19" si="0">+DN21/DM21-1</f>
        <v>1.7317891546704267E-3</v>
      </c>
      <c r="DO19" s="196">
        <f t="shared" si="0"/>
        <v>2.4851431658563516E-3</v>
      </c>
      <c r="DP19" s="196">
        <f t="shared" si="0"/>
        <v>1.077818495365479E-3</v>
      </c>
      <c r="DQ19" s="196">
        <f t="shared" si="0"/>
        <v>-8.6132644272174375E-4</v>
      </c>
      <c r="DR19" s="21">
        <f t="shared" si="0"/>
        <v>-2.5000000000000022E-2</v>
      </c>
      <c r="DS19" s="21">
        <f t="shared" si="0"/>
        <v>-1.9341290893015062E-2</v>
      </c>
      <c r="DT19" s="21">
        <f t="shared" ref="DT19" si="1">+DT21/DS21-1</f>
        <v>-2.8513467823734873E-2</v>
      </c>
      <c r="DU19" s="21">
        <f t="shared" ref="DU19" si="2">+DU21/DT21-1</f>
        <v>-2.8306264501160139E-2</v>
      </c>
      <c r="DV19" s="21">
        <f t="shared" ref="DV19:DX19" si="3">+DV21/DU21-1</f>
        <v>-2.3519579751671404E-2</v>
      </c>
      <c r="DW19" s="21">
        <f t="shared" si="3"/>
        <v>-1.6016627949627105E-2</v>
      </c>
      <c r="DX19" s="21">
        <f t="shared" si="3"/>
        <v>-2.1868787276341894E-2</v>
      </c>
      <c r="EI19" s="21">
        <f>+EI21/DX21-1</f>
        <v>-5.9705284552845628E-3</v>
      </c>
      <c r="EJ19" s="21">
        <f>+EJ21/EI21-1</f>
        <v>-5.4952076677315942E-3</v>
      </c>
    </row>
    <row r="20" spans="1:144" x14ac:dyDescent="0.35">
      <c r="B20" s="384"/>
      <c r="C20" s="385" t="s">
        <v>213</v>
      </c>
      <c r="D20" s="386" t="s">
        <v>214</v>
      </c>
      <c r="E20" s="387" t="s">
        <v>215</v>
      </c>
      <c r="F20" s="385" t="s">
        <v>216</v>
      </c>
      <c r="G20" s="386" t="s">
        <v>217</v>
      </c>
      <c r="H20" s="387" t="s">
        <v>218</v>
      </c>
      <c r="I20" s="385" t="s">
        <v>219</v>
      </c>
      <c r="J20" s="386" t="s">
        <v>220</v>
      </c>
      <c r="K20" s="386" t="s">
        <v>221</v>
      </c>
      <c r="L20" s="385" t="s">
        <v>222</v>
      </c>
      <c r="M20" s="386" t="s">
        <v>223</v>
      </c>
      <c r="N20" s="387" t="s">
        <v>224</v>
      </c>
      <c r="O20" s="385" t="s">
        <v>213</v>
      </c>
      <c r="P20" s="386" t="s">
        <v>214</v>
      </c>
      <c r="Q20" s="387" t="s">
        <v>215</v>
      </c>
      <c r="R20" s="385" t="s">
        <v>225</v>
      </c>
      <c r="S20" s="386" t="s">
        <v>226</v>
      </c>
      <c r="T20" s="386" t="s">
        <v>227</v>
      </c>
      <c r="U20" s="388" t="str">
        <f>+'Fórmula Marzo 26'!AV14</f>
        <v>Nov-21</v>
      </c>
      <c r="V20" s="388" t="str">
        <f>+'Fórmula Marzo 26'!AW14</f>
        <v>Dic-21</v>
      </c>
      <c r="W20" s="388" t="str">
        <f>+'Fórmula Marzo 26'!AX14</f>
        <v>Ene-22</v>
      </c>
      <c r="X20" s="388" t="str">
        <f>+'Fórmula Marzo 26'!AY14</f>
        <v>Feb-22</v>
      </c>
      <c r="Y20" s="388" t="str">
        <f>+'Fórmula Marzo 26'!AZ14</f>
        <v>Mar-22</v>
      </c>
      <c r="Z20" s="388" t="str">
        <f>+'Fórmula Marzo 26'!BA14</f>
        <v>Abr-22</v>
      </c>
      <c r="AA20" s="388" t="str">
        <f>+'Fórmula Marzo 26'!BB14</f>
        <v>Mayo-22</v>
      </c>
      <c r="AB20" s="388" t="str">
        <f>+'Fórmula Marzo 26'!BC14</f>
        <v>Junio-22</v>
      </c>
      <c r="AC20" s="388" t="str">
        <f>+'Fórmula Marzo 26'!BD14</f>
        <v>Julio-22</v>
      </c>
      <c r="AD20" s="388" t="str">
        <f>+'Fórmula Marzo 26'!BE14</f>
        <v>Agosto-22</v>
      </c>
      <c r="AE20" s="388" t="str">
        <f>+'Fórmula Marzo 26'!BF14</f>
        <v>Septiembre-22</v>
      </c>
      <c r="AF20" s="388" t="str">
        <f>+'Fórmula Marzo 26'!BG14</f>
        <v>Octubre-22</v>
      </c>
      <c r="AG20" s="388" t="str">
        <f>+'Fórmula Marzo 26'!BH14</f>
        <v>Noviembre-22</v>
      </c>
      <c r="AH20" s="388" t="str">
        <f>+'Fórmula Marzo 26'!BI14</f>
        <v>Diciembre-22</v>
      </c>
      <c r="AI20" s="388" t="str">
        <f>+'Fórmula Marzo 26'!BJ14</f>
        <v>Enero-23</v>
      </c>
      <c r="AJ20" s="388" t="str">
        <f>+'Fórmula Marzo 26'!BK14</f>
        <v>Febrero-23</v>
      </c>
      <c r="AK20" s="388" t="str">
        <f>+'Fórmula Marzo 26'!BL14</f>
        <v>Marzo-23</v>
      </c>
      <c r="AL20" s="388" t="str">
        <f>+'Fórmula Marzo 26'!BM14</f>
        <v>Abril-23</v>
      </c>
      <c r="AM20" s="388" t="str">
        <f>+'Fórmula Marzo 26'!BN14</f>
        <v>Mayo-23</v>
      </c>
      <c r="AN20" s="388" t="str">
        <f>+'Fórmula Marzo 26'!BO14</f>
        <v>Junio-23</v>
      </c>
      <c r="AO20" s="388" t="str">
        <f>+'Fórmula Marzo 26'!BP14</f>
        <v>Julio-23</v>
      </c>
      <c r="AP20" s="388" t="str">
        <f>+'Fórmula Marzo 26'!BQ14</f>
        <v>Agosto-23</v>
      </c>
      <c r="AQ20" s="388" t="str">
        <f>+'Fórmula Marzo 26'!BR14</f>
        <v>Septiembre-23</v>
      </c>
      <c r="AR20" s="388" t="str">
        <f>+'Fórmula Marzo 26'!BS14</f>
        <v>Octubre-23</v>
      </c>
      <c r="AS20" s="388" t="str">
        <f>+'Fórmula Marzo 26'!BT14</f>
        <v>Noviembre-23</v>
      </c>
      <c r="AT20" s="388" t="str">
        <f>+'Fórmula Marzo 26'!BU14</f>
        <v>Diciembre-23</v>
      </c>
      <c r="BF20"/>
      <c r="BH20"/>
      <c r="BU20" s="330"/>
      <c r="BW20" s="330"/>
      <c r="CC20" s="388" t="str">
        <f>+'Fórmula Marzo 26'!BV14</f>
        <v>Enero-24</v>
      </c>
      <c r="CD20" s="388" t="str">
        <f>+'Fórmula Marzo 26'!BW14</f>
        <v>Febrero-24</v>
      </c>
      <c r="DB20" s="388" t="str">
        <f>+'Fórmula Marzo 26'!BX14</f>
        <v>Marzo-24</v>
      </c>
      <c r="DC20" s="388" t="str">
        <f>+'Fórmula Marzo 26'!BY14</f>
        <v>Abril-24</v>
      </c>
      <c r="DD20" s="388" t="str">
        <f>+'Fórmula Marzo 26'!BZ14</f>
        <v>Mayo-24</v>
      </c>
      <c r="DE20" s="388" t="str">
        <f>+'Fórmula Marzo 26'!CA14</f>
        <v>Junio-24</v>
      </c>
      <c r="DF20" s="388" t="str">
        <f>+'Fórmula Marzo 26'!CB14</f>
        <v>Julio-24</v>
      </c>
      <c r="DG20" s="388" t="str">
        <f>+'Fórmula Marzo 26'!CC14</f>
        <v>Agosto-24</v>
      </c>
      <c r="DH20" s="388" t="str">
        <f>+'Fórmula Marzo 26'!CD14</f>
        <v>Septiembre-24</v>
      </c>
      <c r="DI20" s="388" t="str">
        <f>+'Fórmula Marzo 26'!CE14</f>
        <v>Octubre-24</v>
      </c>
      <c r="DJ20" s="388" t="str">
        <f>+'Fórmula Marzo 26'!CF14</f>
        <v>Noviembre-24</v>
      </c>
      <c r="DK20" s="388" t="str">
        <f>+'Fórmula Marzo 26'!CG14</f>
        <v>Diciembre-24</v>
      </c>
      <c r="DL20" s="388" t="str">
        <f>+'Fórmula Marzo 26'!CH14</f>
        <v>Enero-25</v>
      </c>
      <c r="DM20" s="388" t="str">
        <f>+'Fórmula Marzo 26'!CI14</f>
        <v>Febrero-25</v>
      </c>
      <c r="DN20" s="388" t="str">
        <f>+'Fórmula Marzo 26'!CJ14</f>
        <v>Marzo-25</v>
      </c>
      <c r="DO20" s="388" t="str">
        <f>+'Fórmula Marzo 26'!CK14</f>
        <v>Abril-25</v>
      </c>
      <c r="DP20" s="388" t="str">
        <f>+'Fórmula Marzo 26'!CL14</f>
        <v>Mayo-25</v>
      </c>
      <c r="DQ20" s="388" t="str">
        <f>+'Fórmula Marzo 26'!CM14</f>
        <v>Junio-25</v>
      </c>
      <c r="DR20" s="388" t="str">
        <f>+'Fórmula Marzo 26'!CN14</f>
        <v>Julio-25</v>
      </c>
      <c r="DS20" s="388" t="str">
        <f>+'Fórmula Marzo 26'!CO14</f>
        <v>Agosto-25</v>
      </c>
      <c r="DT20" s="388" t="str">
        <f>+'Fórmula Marzo 26'!CP14</f>
        <v>Septie-25</v>
      </c>
      <c r="DU20" s="388" t="str">
        <f>+'Fórmula Marzo 26'!CQ14</f>
        <v>Oct-25</v>
      </c>
      <c r="DV20" s="388" t="str">
        <f>+'Fórmula Marzo 26'!CR14</f>
        <v>Nov-25</v>
      </c>
      <c r="DW20" s="388" t="str">
        <f>+'Fórmula Marzo 26'!CS14</f>
        <v>Dic-25</v>
      </c>
      <c r="DX20" s="388" t="str">
        <f>+'Fórmula Marzo 26'!CT14</f>
        <v>Ene-26</v>
      </c>
      <c r="EF20"/>
      <c r="EH20" s="330"/>
      <c r="EI20" s="388" t="str">
        <f>+'Fórmula Marzo 26'!CU14</f>
        <v>Feb-26</v>
      </c>
      <c r="EJ20" s="388" t="str">
        <f>+'Fórmula Marzo 26'!CV14</f>
        <v>Mar-26</v>
      </c>
    </row>
    <row r="21" spans="1:144" x14ac:dyDescent="0.35">
      <c r="A21" t="e" cm="1">
        <f t="array" ref="A21">_xlfn.TRANSLATE(B21,,en)</f>
        <v>#NAME?</v>
      </c>
      <c r="B21" s="33" t="s">
        <v>202</v>
      </c>
      <c r="C21" s="156">
        <f>4019.63*1000</f>
        <v>4019630</v>
      </c>
      <c r="D21" s="87">
        <f>+C21</f>
        <v>4019630</v>
      </c>
      <c r="E21" s="157">
        <f>+D21</f>
        <v>4019630</v>
      </c>
      <c r="F21" s="172">
        <f>+E21</f>
        <v>4019630</v>
      </c>
      <c r="G21" s="87">
        <f>+F21</f>
        <v>4019630</v>
      </c>
      <c r="H21" s="157">
        <f>+G21</f>
        <v>4019630</v>
      </c>
      <c r="I21" s="172">
        <v>4174460</v>
      </c>
      <c r="J21" s="87">
        <v>4174460</v>
      </c>
      <c r="K21" s="87">
        <f>+J21</f>
        <v>4174460</v>
      </c>
      <c r="L21" s="172">
        <v>4808073</v>
      </c>
      <c r="M21" s="87">
        <v>4808073</v>
      </c>
      <c r="N21" s="219">
        <f>+M21</f>
        <v>4808073</v>
      </c>
      <c r="O21" s="172">
        <v>5596900</v>
      </c>
      <c r="P21" s="87">
        <f>+O21</f>
        <v>5596900</v>
      </c>
      <c r="Q21" s="157">
        <f>+P21</f>
        <v>5596900</v>
      </c>
      <c r="R21" s="172">
        <v>5944440</v>
      </c>
      <c r="S21" s="87">
        <f>+R21</f>
        <v>5944440</v>
      </c>
      <c r="T21" s="87">
        <f>+S21</f>
        <v>5944440</v>
      </c>
      <c r="U21" s="172">
        <v>6787540</v>
      </c>
      <c r="V21" s="87">
        <v>6787540</v>
      </c>
      <c r="W21" s="157">
        <v>6787540</v>
      </c>
      <c r="X21" s="311">
        <v>7594650</v>
      </c>
      <c r="Y21" s="311">
        <v>7672000</v>
      </c>
      <c r="Z21" s="311">
        <v>7672001</v>
      </c>
      <c r="AA21" s="311">
        <v>7785000</v>
      </c>
      <c r="AB21" s="311">
        <v>8095000</v>
      </c>
      <c r="AC21" s="311">
        <v>8341000</v>
      </c>
      <c r="AD21" s="311">
        <v>8381000</v>
      </c>
      <c r="AE21" s="311">
        <v>8106000</v>
      </c>
      <c r="AF21" s="311">
        <v>7391000</v>
      </c>
      <c r="AG21" s="311">
        <v>6711000</v>
      </c>
      <c r="AH21" s="311">
        <v>6728000</v>
      </c>
      <c r="AI21" s="311">
        <v>6745000</v>
      </c>
      <c r="AJ21" s="311">
        <v>7442000</v>
      </c>
      <c r="AK21" s="311">
        <v>7320000</v>
      </c>
      <c r="AL21" s="311">
        <v>7071000</v>
      </c>
      <c r="AM21" s="311">
        <v>7042000</v>
      </c>
      <c r="AN21" s="311">
        <f>+' PCR Enkador'!Y129</f>
        <v>6945000</v>
      </c>
      <c r="AO21" s="311">
        <f>+' PCR Enkador'!Z129</f>
        <v>6868000</v>
      </c>
      <c r="AP21" s="311">
        <f>+' PCR Enkador'!AA129</f>
        <v>6822000</v>
      </c>
      <c r="AQ21" s="311">
        <f>+' PCR Enkador'!AB129</f>
        <v>6672000</v>
      </c>
      <c r="AR21" s="311">
        <f>+' PCR Enkador'!AC129</f>
        <v>6528000</v>
      </c>
      <c r="AS21" s="311">
        <f>+' PCR Enkador'!AD129</f>
        <v>7008000</v>
      </c>
      <c r="AT21" s="311">
        <f>+' PCR Enkador'!AE129</f>
        <v>7100000</v>
      </c>
      <c r="BF21"/>
      <c r="BH21"/>
      <c r="BU21" s="330"/>
      <c r="BW21" s="330"/>
      <c r="CC21" s="311">
        <f>+' PCR Enkador'!AF129</f>
        <v>7217000</v>
      </c>
      <c r="CD21" s="311">
        <f>+' PCR Enkador'!AG129</f>
        <v>6297000</v>
      </c>
      <c r="DB21" s="311">
        <f>+' PCR Enkador'!AH129</f>
        <v>6919000</v>
      </c>
      <c r="DC21" s="311">
        <f>+' PCR Enkador'!AI129</f>
        <v>6951000</v>
      </c>
      <c r="DD21" s="311">
        <f>+' PCR Enkador'!AJ129</f>
        <v>7065000</v>
      </c>
      <c r="DE21" s="311">
        <f>+' PCR Enkador'!AK129</f>
        <v>7184000</v>
      </c>
      <c r="DF21" s="311">
        <f>+' PCR Enkador'!AL129</f>
        <v>7628000</v>
      </c>
      <c r="DG21" s="311">
        <f>+' PCR Enkador'!AM129</f>
        <v>7905000</v>
      </c>
      <c r="DH21" s="311">
        <f>+' PCR Enkador'!AN129</f>
        <v>8235000</v>
      </c>
      <c r="DI21" s="311">
        <f>+' PCR Enkador'!AO129</f>
        <v>8591000</v>
      </c>
      <c r="DJ21" s="311">
        <f>+' PCR Enkador'!AP129</f>
        <v>8882000</v>
      </c>
      <c r="DK21" s="311">
        <f>+' PCR Enkador'!AQ129</f>
        <v>8898000</v>
      </c>
      <c r="DL21" s="311">
        <f>+' PCR Enkador'!AR129</f>
        <v>9038000</v>
      </c>
      <c r="DM21" s="311">
        <f>+' PCR Enkador'!AS129</f>
        <v>9239000</v>
      </c>
      <c r="DN21" s="311">
        <f>+' PCR Enkador'!AT129</f>
        <v>9255000</v>
      </c>
      <c r="DO21" s="311">
        <f>+' PCR Enkador'!AU129</f>
        <v>9278000</v>
      </c>
      <c r="DP21" s="311">
        <f>+' PCR Enkador'!AV129</f>
        <v>9288000</v>
      </c>
      <c r="DQ21" s="311">
        <f>+' PCR Enkador'!AW129</f>
        <v>9280000</v>
      </c>
      <c r="DR21" s="311">
        <f>+' PCR Enkador'!AX129</f>
        <v>9048000</v>
      </c>
      <c r="DS21" s="311">
        <f>+' PCR Enkador'!AY129</f>
        <v>8873000</v>
      </c>
      <c r="DT21" s="311">
        <f>+' PCR Enkador'!AZ129</f>
        <v>8620000</v>
      </c>
      <c r="DU21" s="311">
        <f>+' PCR Enkador'!BA129</f>
        <v>8376000</v>
      </c>
      <c r="DV21" s="311">
        <f>+' PCR Enkador'!BB129</f>
        <v>8179000</v>
      </c>
      <c r="DW21" s="311">
        <f>+' PCR Enkador'!BC129</f>
        <v>8048000</v>
      </c>
      <c r="DX21" s="311">
        <f>+' PCR Enkador'!BD129</f>
        <v>7872000</v>
      </c>
      <c r="EF21"/>
      <c r="EH21" s="330"/>
      <c r="EI21" s="311">
        <f>+' PCR Enkador'!BE129</f>
        <v>7825000</v>
      </c>
      <c r="EJ21" s="311">
        <f>+' PCR Enkador'!BF129</f>
        <v>7782000</v>
      </c>
    </row>
    <row r="22" spans="1:144" x14ac:dyDescent="0.35">
      <c r="B22" s="33" t="s">
        <v>203</v>
      </c>
      <c r="C22" s="158">
        <f>+AVERAGE(D31:D60)</f>
        <v>3977.3933333333316</v>
      </c>
      <c r="D22" s="159">
        <f>+AVERAGE(F31:F61)</f>
        <v>3858.1916129032265</v>
      </c>
      <c r="E22" s="160">
        <f>+AVERAGE(H31:H60)</f>
        <v>3701.6043333333337</v>
      </c>
      <c r="F22" s="172">
        <f>+AVERAGE(J31:J61)</f>
        <v>3657.8667741935474</v>
      </c>
      <c r="G22" s="87">
        <f>+AVERAGE(L31:L61)</f>
        <v>3783.0258064516129</v>
      </c>
      <c r="H22" s="157">
        <f>+AVERAGE(N38:N61)</f>
        <v>3720.4329166666662</v>
      </c>
      <c r="I22" s="172">
        <f>+AVERAGE(P34:P61)</f>
        <v>3832.0675000000006</v>
      </c>
      <c r="J22" s="87">
        <f>+AVERAGE(R32:R61)</f>
        <v>3691.5648148148148</v>
      </c>
      <c r="K22" s="87">
        <f>+AVERAGE(T40:T61)</f>
        <v>3460.7936363636368</v>
      </c>
      <c r="L22" s="172">
        <f>+AVERAGE(V37:V61)</f>
        <v>3468.6324</v>
      </c>
      <c r="M22" s="87">
        <f>+AVERAGE(X34:X61)</f>
        <v>3554.5042857142862</v>
      </c>
      <c r="N22" s="157">
        <f>+AVERAGE(Z36:Z61)</f>
        <v>3598.3396153846161</v>
      </c>
      <c r="O22" s="172">
        <f>+AVERAGE(AB32:AB61)</f>
        <v>3650.7759999999985</v>
      </c>
      <c r="P22" s="87">
        <f>+AVERAGE(AD31:AD61)</f>
        <v>3735.6661290322577</v>
      </c>
      <c r="Q22" s="157">
        <f>+AVERAGE(AF34:AF61)</f>
        <v>3681.4799999999987</v>
      </c>
      <c r="R22" s="172">
        <f>+AVERAGE(AH31:AH61)</f>
        <v>3829.4180645161296</v>
      </c>
      <c r="S22" s="87">
        <f>+AVERAGE(AJ31:AJ61)</f>
        <v>3881.1835483870973</v>
      </c>
      <c r="T22" s="87">
        <f>+AVERAGE(AL31:AL61)</f>
        <v>3820.3396428571427</v>
      </c>
      <c r="U22" s="172">
        <v>3773.3841935483888</v>
      </c>
      <c r="V22" s="87">
        <v>3886.6023076923066</v>
      </c>
      <c r="W22" s="157">
        <v>3963.1335483870962</v>
      </c>
      <c r="X22" s="315">
        <v>3999.6161290322589</v>
      </c>
      <c r="Y22" s="315">
        <v>3935.835714285713</v>
      </c>
      <c r="Z22" s="315">
        <f>+AVERAGE(AX31:AX61)</f>
        <v>3807.1709677419353</v>
      </c>
      <c r="AA22" s="315">
        <f>+AVERAGE(AZ31:AZ61)</f>
        <v>3773.003703703705</v>
      </c>
      <c r="AB22" s="315">
        <f>+AVERAGE(BB31:BB61)</f>
        <v>4019.0793548387101</v>
      </c>
      <c r="AC22" s="315">
        <f>+AVERAGE(BD31:BD61)</f>
        <v>3930.7666666666669</v>
      </c>
      <c r="AD22" s="315">
        <f>+AVERAGE(BF31:BF61)</f>
        <v>4367.8058064516135</v>
      </c>
      <c r="AE22" s="315">
        <f>+AVERAGE(BH31:BH61)</f>
        <v>4322.4693548387104</v>
      </c>
      <c r="AF22" s="315">
        <f>+AVERAGE(BJ31:BJ61)</f>
        <v>4423.4851851851854</v>
      </c>
      <c r="AG22" s="315">
        <f>+AVERAGE(BL31:BL61)</f>
        <v>4711.8303225806467</v>
      </c>
      <c r="AH22" s="315">
        <f>+AVERAGE(BN31:BN61)</f>
        <v>4926.6606666666667</v>
      </c>
      <c r="AI22" s="315">
        <f>+AVERAGE(BP31:BP61)</f>
        <v>4788.4906451612896</v>
      </c>
      <c r="AJ22" s="315">
        <f>+BR63</f>
        <v>4715.2038709677445</v>
      </c>
      <c r="AK22" s="315">
        <f>+BT63</f>
        <v>4803.1125000000002</v>
      </c>
      <c r="AL22" s="315">
        <f>+BV63</f>
        <v>4766.3058064516117</v>
      </c>
      <c r="AM22" s="315">
        <f>+BX63</f>
        <v>4542.6743333333325</v>
      </c>
      <c r="AN22" s="315">
        <f>+BZ63</f>
        <v>4540.0890322580644</v>
      </c>
      <c r="AO22" s="315">
        <f>+CB63</f>
        <v>4209.2680000000009</v>
      </c>
      <c r="AP22" s="315">
        <f>+CD63</f>
        <v>4069.2335483870975</v>
      </c>
      <c r="AQ22" s="315">
        <f>+CF63</f>
        <v>4069.8983870967745</v>
      </c>
      <c r="AR22" s="315">
        <f>+CH63</f>
        <v>4004.5206666666659</v>
      </c>
      <c r="AS22" s="315">
        <f>+CJ63</f>
        <v>4222.4332258064514</v>
      </c>
      <c r="AT22" s="315">
        <f>+CL63</f>
        <v>4038.804666666666</v>
      </c>
      <c r="BF22"/>
      <c r="BH22"/>
      <c r="BU22" s="330"/>
      <c r="BW22" s="330"/>
      <c r="CC22" s="315">
        <f>+CN63</f>
        <v>3948.2067741935471</v>
      </c>
      <c r="CD22" s="315">
        <f>+CP63</f>
        <v>3914.9835483870957</v>
      </c>
      <c r="DB22" s="315">
        <f>+CR63</f>
        <v>3931.5075862068961</v>
      </c>
      <c r="DC22" s="315">
        <f>+CT63</f>
        <v>3899.3412903225803</v>
      </c>
      <c r="DD22" s="315">
        <f>+CV63</f>
        <v>3867.9753333333342</v>
      </c>
      <c r="DE22" s="315">
        <f>+CX63</f>
        <v>3869.1006451612907</v>
      </c>
      <c r="DF22" s="315">
        <f>+CZ63</f>
        <v>4042.7970000000005</v>
      </c>
      <c r="DG22" s="315">
        <f>+DB63</f>
        <v>4035.1843333333331</v>
      </c>
      <c r="DH22" s="315">
        <f>+DD63</f>
        <v>4065.5464516129036</v>
      </c>
      <c r="DI22" s="315">
        <f>+DF63</f>
        <v>4182.5123333333349</v>
      </c>
      <c r="DJ22" s="315">
        <f>+DH63</f>
        <v>4249.4699999999984</v>
      </c>
      <c r="DK22" s="315">
        <f>+DJ63</f>
        <v>4408.6523333333334</v>
      </c>
      <c r="DL22" s="315">
        <f>+DL63</f>
        <v>4385.1487096774199</v>
      </c>
      <c r="DM22" s="315">
        <f>+DN63</f>
        <v>4308.3929032258065</v>
      </c>
      <c r="DN22" s="315">
        <f>+DP63</f>
        <v>4128.2444444444445</v>
      </c>
      <c r="DO22" s="315">
        <f>+DR63</f>
        <v>4137.684516129033</v>
      </c>
      <c r="DP22" s="315">
        <f>+DT63</f>
        <v>4282.0276666666641</v>
      </c>
      <c r="DQ22" s="315">
        <f>+DV63</f>
        <v>4203.377096774193</v>
      </c>
      <c r="DR22" s="315">
        <f>+DX63</f>
        <v>4113.4849999999997</v>
      </c>
      <c r="DS22" s="315">
        <f>+DZ63</f>
        <v>4040.8483870967739</v>
      </c>
      <c r="DT22" s="315">
        <f>+EB63</f>
        <v>4047.411612903225</v>
      </c>
      <c r="DU22" s="315">
        <f>+ED63</f>
        <v>3922.2551612903212</v>
      </c>
      <c r="DV22" s="315">
        <f>+EF63</f>
        <v>3877.8448387096769</v>
      </c>
      <c r="DW22" s="315">
        <f>+EH63</f>
        <v>3786.1833333333334</v>
      </c>
      <c r="DX22" s="315">
        <f>+EJ63</f>
        <v>3791.4719354838708</v>
      </c>
      <c r="EF22"/>
      <c r="EH22" s="330"/>
      <c r="EI22" s="315">
        <f>+EL63</f>
        <v>3702.9990322580647</v>
      </c>
      <c r="EJ22" s="315">
        <f>+EN63</f>
        <v>3672.2837037037034</v>
      </c>
    </row>
    <row r="23" spans="1:144" x14ac:dyDescent="0.35">
      <c r="B23" s="33" t="s">
        <v>204</v>
      </c>
      <c r="C23" s="161">
        <f>+C21/C22</f>
        <v>1010.6191827478302</v>
      </c>
      <c r="D23" s="162">
        <f>+D21/D22</f>
        <v>1041.8430195527001</v>
      </c>
      <c r="E23" s="163">
        <f>+E21/E22</f>
        <v>1085.9156295563014</v>
      </c>
      <c r="F23" s="161">
        <f>+F21/F22</f>
        <v>1098.9000551793499</v>
      </c>
      <c r="G23" s="162">
        <f>+G21/G22</f>
        <v>1062.5436371977373</v>
      </c>
      <c r="H23" s="157">
        <f>+G23</f>
        <v>1062.5436371977373</v>
      </c>
      <c r="I23" s="161">
        <f t="shared" ref="I23:O23" si="4">+I21/I22</f>
        <v>1089.3492872972618</v>
      </c>
      <c r="J23" s="162">
        <f t="shared" si="4"/>
        <v>1130.8104311882194</v>
      </c>
      <c r="K23" s="162">
        <f t="shared" si="4"/>
        <v>1206.2146543895738</v>
      </c>
      <c r="L23" s="161">
        <f t="shared" si="4"/>
        <v>1386.1581296421034</v>
      </c>
      <c r="M23" s="162">
        <f t="shared" si="4"/>
        <v>1352.6704748462009</v>
      </c>
      <c r="N23" s="163">
        <f t="shared" si="4"/>
        <v>1336.1921091169932</v>
      </c>
      <c r="O23" s="161">
        <f t="shared" si="4"/>
        <v>1533.0713251100594</v>
      </c>
      <c r="P23" s="162">
        <f>+P21/P22</f>
        <v>1498.2334627023813</v>
      </c>
      <c r="Q23" s="163">
        <f>+Q21/Q22</f>
        <v>1520.2853200343345</v>
      </c>
      <c r="R23" s="161">
        <f>+R21/R22</f>
        <v>1552.3089670156232</v>
      </c>
      <c r="S23" s="162">
        <f>+S21/S22</f>
        <v>1531.6049668587125</v>
      </c>
      <c r="T23" s="162">
        <f>+T21/T22</f>
        <v>1555.9977791802544</v>
      </c>
      <c r="U23" s="161">
        <v>1798.7937755198948</v>
      </c>
      <c r="V23" s="162">
        <v>1746.3942700199091</v>
      </c>
      <c r="W23" s="163">
        <v>1712.6700165737216</v>
      </c>
      <c r="X23" s="312">
        <v>1898.8447278408166</v>
      </c>
      <c r="Y23" s="312">
        <v>1949.2683528820351</v>
      </c>
      <c r="Z23" s="312">
        <f t="shared" ref="Z23:AE23" si="5">+Z21/Z22</f>
        <v>2015.1448582174726</v>
      </c>
      <c r="AA23" s="312">
        <f t="shared" si="5"/>
        <v>2063.3427930001731</v>
      </c>
      <c r="AB23" s="312">
        <f t="shared" si="5"/>
        <v>2014.1428634033182</v>
      </c>
      <c r="AC23" s="312">
        <f t="shared" si="5"/>
        <v>2121.9779008335945</v>
      </c>
      <c r="AD23" s="312">
        <f t="shared" si="5"/>
        <v>1918.8124132305891</v>
      </c>
      <c r="AE23" s="312">
        <f t="shared" si="5"/>
        <v>1875.316939130149</v>
      </c>
      <c r="AF23" s="312">
        <f t="shared" ref="AF23:AG23" si="6">+AF21/AF22</f>
        <v>1670.8544712104833</v>
      </c>
      <c r="AG23" s="312">
        <f t="shared" si="6"/>
        <v>1424.2872812797762</v>
      </c>
      <c r="AH23" s="312">
        <f t="shared" ref="AH23:AI23" si="7">+AH21/AH22</f>
        <v>1365.6308918373513</v>
      </c>
      <c r="AI23" s="312">
        <f t="shared" si="7"/>
        <v>1408.5858154104862</v>
      </c>
      <c r="AJ23" s="312">
        <f t="shared" ref="AJ23:AK23" si="8">+AJ21/AJ22</f>
        <v>1578.2986703547583</v>
      </c>
      <c r="AK23" s="312">
        <f t="shared" si="8"/>
        <v>1524.0117736155462</v>
      </c>
      <c r="AL23" s="312">
        <f t="shared" ref="AL23:AM23" si="9">+AL21/AL22</f>
        <v>1483.5388846491519</v>
      </c>
      <c r="AM23" s="312">
        <f t="shared" si="9"/>
        <v>1550.188167425312</v>
      </c>
      <c r="AN23" s="312">
        <f t="shared" ref="AN23:AO23" si="10">+AN21/AN22</f>
        <v>1529.7056843279186</v>
      </c>
      <c r="AO23" s="312">
        <f t="shared" si="10"/>
        <v>1631.6376149012128</v>
      </c>
      <c r="AP23" s="312">
        <f t="shared" ref="AP23:AQ23" si="11">+AP21/AP22</f>
        <v>1676.4827869621795</v>
      </c>
      <c r="AQ23" s="312">
        <f t="shared" si="11"/>
        <v>1639.3529679151059</v>
      </c>
      <c r="AR23" s="312">
        <f t="shared" ref="AR23:AS23" si="12">+AR21/AR22</f>
        <v>1630.1576501623751</v>
      </c>
      <c r="AS23" s="312">
        <f t="shared" si="12"/>
        <v>1659.706530625248</v>
      </c>
      <c r="AT23" s="312">
        <f t="shared" ref="AT23" si="13">+AT21/AT22</f>
        <v>1757.9458740845273</v>
      </c>
      <c r="BF23"/>
      <c r="BH23"/>
      <c r="BU23" s="330"/>
      <c r="BW23" s="330"/>
      <c r="CC23" s="312">
        <f t="shared" ref="CC23:CD23" si="14">+CC21/CC22</f>
        <v>1827.9184482363212</v>
      </c>
      <c r="CD23" s="312">
        <f t="shared" si="14"/>
        <v>1608.4358777431526</v>
      </c>
      <c r="DB23" s="312">
        <f t="shared" ref="DB23:DC23" si="15">+DB21/DB22</f>
        <v>1759.8846875621637</v>
      </c>
      <c r="DC23" s="312">
        <f t="shared" si="15"/>
        <v>1782.6087747823083</v>
      </c>
      <c r="DD23" s="312">
        <f t="shared" ref="DD23:DE23" si="16">+DD21/DD22</f>
        <v>1826.5369841207187</v>
      </c>
      <c r="DE23" s="312">
        <f t="shared" si="16"/>
        <v>1856.7622449894998</v>
      </c>
      <c r="DF23" s="312">
        <f t="shared" ref="DF23:DG23" si="17">+DF21/DF22</f>
        <v>1886.8125211332647</v>
      </c>
      <c r="DG23" s="312">
        <f t="shared" si="17"/>
        <v>1959.018311678946</v>
      </c>
      <c r="DH23" s="312">
        <f t="shared" ref="DH23:DI23" si="18">+DH21/DH22</f>
        <v>2025.5579657029796</v>
      </c>
      <c r="DI23" s="312">
        <f t="shared" si="18"/>
        <v>2054.0286113521715</v>
      </c>
      <c r="DJ23" s="312">
        <f t="shared" ref="DJ23:DK23" si="19">+DJ21/DJ22</f>
        <v>2090.1430060689927</v>
      </c>
      <c r="DK23" s="312">
        <f t="shared" si="19"/>
        <v>2018.3038550631911</v>
      </c>
      <c r="DL23" s="312">
        <f t="shared" ref="DL23:DM23" si="20">+DL21/DL22</f>
        <v>2061.0475489814921</v>
      </c>
      <c r="DM23" s="312">
        <f t="shared" si="20"/>
        <v>2144.4190925768444</v>
      </c>
      <c r="DN23" s="312">
        <f t="shared" ref="DN23:DO23" si="21">+DN21/DN22</f>
        <v>2241.8730587658997</v>
      </c>
      <c r="DO23" s="312">
        <f t="shared" si="21"/>
        <v>2242.3169199666131</v>
      </c>
      <c r="DP23" s="312">
        <f t="shared" ref="DP23:DQ23" si="22">+DP21/DP22</f>
        <v>2169.0658545488159</v>
      </c>
      <c r="DQ23" s="312">
        <f t="shared" si="22"/>
        <v>2207.7486236297409</v>
      </c>
      <c r="DR23" s="312">
        <f t="shared" ref="DR23:DT23" si="23">+DR21/DR22</f>
        <v>2199.5947475194394</v>
      </c>
      <c r="DS23" s="312">
        <f t="shared" si="23"/>
        <v>2195.8260122634742</v>
      </c>
      <c r="DT23" s="312">
        <f t="shared" si="23"/>
        <v>2129.7562057981145</v>
      </c>
      <c r="DU23" s="312">
        <f t="shared" ref="DU23:DV23" si="24">+DU21/DU22</f>
        <v>2135.5061452056352</v>
      </c>
      <c r="DV23" s="312">
        <f t="shared" si="24"/>
        <v>2109.1612326401123</v>
      </c>
      <c r="DW23" s="312">
        <f t="shared" ref="DW23:DX23" si="25">+DW21/DW22</f>
        <v>2125.6234290468415</v>
      </c>
      <c r="DX23" s="312">
        <f t="shared" si="25"/>
        <v>2076.2384989130533</v>
      </c>
      <c r="EF23"/>
      <c r="EH23" s="330"/>
      <c r="EI23" s="312">
        <f t="shared" ref="EI23:EJ23" si="26">+EI21/EI22</f>
        <v>2113.1520510358778</v>
      </c>
      <c r="EJ23" s="312">
        <f t="shared" si="26"/>
        <v>2119.1173198713973</v>
      </c>
    </row>
    <row r="24" spans="1:144" x14ac:dyDescent="0.35">
      <c r="B24" s="33" t="s">
        <v>205</v>
      </c>
      <c r="C24" s="164">
        <v>5.8999999999999997E-2</v>
      </c>
      <c r="D24" s="121">
        <v>5.8999999999999997E-2</v>
      </c>
      <c r="E24" s="165">
        <v>5.8999999999999997E-2</v>
      </c>
      <c r="F24" s="173">
        <f t="shared" ref="F24:L24" si="27">+E24</f>
        <v>5.8999999999999997E-2</v>
      </c>
      <c r="G24" s="174">
        <f t="shared" si="27"/>
        <v>5.8999999999999997E-2</v>
      </c>
      <c r="H24" s="175">
        <f t="shared" si="27"/>
        <v>5.8999999999999997E-2</v>
      </c>
      <c r="I24" s="173">
        <f t="shared" si="27"/>
        <v>5.8999999999999997E-2</v>
      </c>
      <c r="J24" s="177">
        <f t="shared" si="27"/>
        <v>5.8999999999999997E-2</v>
      </c>
      <c r="K24" s="177">
        <f t="shared" si="27"/>
        <v>5.8999999999999997E-2</v>
      </c>
      <c r="L24" s="201">
        <f t="shared" si="27"/>
        <v>5.8999999999999997E-2</v>
      </c>
      <c r="M24" s="220">
        <f t="shared" ref="M24:S24" si="28">+L24</f>
        <v>5.8999999999999997E-2</v>
      </c>
      <c r="N24" s="206">
        <f t="shared" si="28"/>
        <v>5.8999999999999997E-2</v>
      </c>
      <c r="O24" s="201">
        <f t="shared" si="28"/>
        <v>5.8999999999999997E-2</v>
      </c>
      <c r="P24" s="220">
        <f t="shared" si="28"/>
        <v>5.8999999999999997E-2</v>
      </c>
      <c r="Q24" s="206">
        <f t="shared" si="28"/>
        <v>5.8999999999999997E-2</v>
      </c>
      <c r="R24" s="201">
        <f t="shared" si="28"/>
        <v>5.8999999999999997E-2</v>
      </c>
      <c r="S24" s="220">
        <f t="shared" si="28"/>
        <v>5.8999999999999997E-2</v>
      </c>
      <c r="T24" s="220">
        <v>5.9246575342465753E-2</v>
      </c>
      <c r="U24" s="310">
        <v>5.9246575342465753E-2</v>
      </c>
      <c r="V24" s="220">
        <v>5.9246575342465753E-2</v>
      </c>
      <c r="W24" s="206">
        <v>3.1030000000000002E-2</v>
      </c>
      <c r="X24" s="316">
        <v>3.1030000000000002E-2</v>
      </c>
      <c r="Y24" s="316">
        <v>0.03</v>
      </c>
      <c r="Z24" s="316">
        <v>3.1E-2</v>
      </c>
      <c r="AA24" s="316">
        <v>3.1E-2</v>
      </c>
      <c r="AB24" s="316">
        <v>3.1E-2</v>
      </c>
      <c r="AC24" s="316">
        <v>6.1190000000000001E-2</v>
      </c>
      <c r="AD24" s="316">
        <v>3.5205205479452058E-2</v>
      </c>
      <c r="AE24" s="316">
        <v>3.5205205479452058E-2</v>
      </c>
      <c r="AF24" s="316">
        <v>3.5205205479452058E-2</v>
      </c>
      <c r="AG24" s="316">
        <v>3.5205205479452058E-2</v>
      </c>
      <c r="AH24" s="316">
        <v>3.5205205479452058E-2</v>
      </c>
      <c r="AI24" s="316">
        <v>4.5721660273972599E-2</v>
      </c>
      <c r="AJ24" s="316">
        <v>4.5721660273972599E-2</v>
      </c>
      <c r="AK24" s="316">
        <v>4.5721660273972599E-2</v>
      </c>
      <c r="AL24" s="316">
        <v>4.5721660273972599E-2</v>
      </c>
      <c r="AM24" s="316">
        <v>4.5721660273972599E-2</v>
      </c>
      <c r="AN24" s="316">
        <v>4.5721660273972599E-2</v>
      </c>
      <c r="AO24" s="316">
        <f>+SOFR!$F$3</f>
        <v>3.4967128767123289E-2</v>
      </c>
      <c r="AP24" s="316">
        <f>+SOFR!$F$3</f>
        <v>3.4967128767123289E-2</v>
      </c>
      <c r="AQ24" s="316">
        <f>+SOFR!$F$3</f>
        <v>3.4967128767123289E-2</v>
      </c>
      <c r="AR24" s="316">
        <f>+SOFR!$F$3</f>
        <v>3.4967128767123289E-2</v>
      </c>
      <c r="AS24" s="316">
        <f>+SOFR!$F$3</f>
        <v>3.4967128767123289E-2</v>
      </c>
      <c r="AT24" s="316">
        <f>+SOFR!$F$3</f>
        <v>3.4967128767123289E-2</v>
      </c>
      <c r="BF24"/>
      <c r="BH24"/>
      <c r="BU24" s="330"/>
      <c r="BW24" s="330"/>
      <c r="CC24" s="316">
        <f>+SOFR!$F$3</f>
        <v>3.4967128767123289E-2</v>
      </c>
      <c r="CD24" s="316">
        <f>+SOFR!$F$3</f>
        <v>3.4967128767123289E-2</v>
      </c>
      <c r="DB24" s="316">
        <v>4.4604805479452052E-2</v>
      </c>
      <c r="DC24" s="316">
        <v>4.4604805479452052E-2</v>
      </c>
      <c r="DD24" s="316">
        <v>4.4604805479452052E-2</v>
      </c>
      <c r="DE24" s="316">
        <v>4.4604805479452052E-2</v>
      </c>
      <c r="DF24" s="316">
        <v>4.4604805479452052E-2</v>
      </c>
      <c r="DG24" s="316">
        <v>4.4604805479452052E-2</v>
      </c>
      <c r="DH24" s="316">
        <v>4.4604805479452052E-2</v>
      </c>
      <c r="DI24" s="316">
        <v>4.4604805479452052E-2</v>
      </c>
      <c r="DJ24" s="316">
        <v>4.4604805479452052E-2</v>
      </c>
      <c r="DK24" s="316">
        <v>4.4604805479452052E-2</v>
      </c>
      <c r="DL24" s="316">
        <v>3.8240482191780827E-2</v>
      </c>
      <c r="DM24" s="316">
        <v>3.8240482191780827E-2</v>
      </c>
      <c r="DN24" s="316">
        <v>3.8240482191780827E-2</v>
      </c>
      <c r="DO24" s="316">
        <v>3.8240482191780827E-2</v>
      </c>
      <c r="DP24" s="316">
        <v>3.8240482191780827E-2</v>
      </c>
      <c r="DQ24" s="316">
        <v>3.8240482191780827E-2</v>
      </c>
      <c r="DR24" s="316">
        <v>3.8240482191780827E-2</v>
      </c>
      <c r="DS24" s="316">
        <v>3.8240482191780827E-2</v>
      </c>
      <c r="DT24" s="316">
        <v>3.8240482191780827E-2</v>
      </c>
      <c r="DU24" s="316">
        <v>3.8240482191780827E-2</v>
      </c>
      <c r="DV24" s="316">
        <v>3.8240482191780827E-2</v>
      </c>
      <c r="DW24" s="316">
        <v>3.8240482191780827E-2</v>
      </c>
      <c r="DX24" s="316">
        <f>+SOFR!$F$3</f>
        <v>3.4967128767123289E-2</v>
      </c>
      <c r="EF24"/>
      <c r="EH24" s="330"/>
      <c r="EI24" s="316">
        <f>+SOFR!$F$3</f>
        <v>3.4967128767123289E-2</v>
      </c>
      <c r="EJ24" s="316">
        <f>+SOFR!$F$3</f>
        <v>3.4967128767123289E-2</v>
      </c>
    </row>
    <row r="25" spans="1:144" x14ac:dyDescent="0.35">
      <c r="B25" s="33" t="s">
        <v>206</v>
      </c>
      <c r="C25" s="166">
        <f>+C24*C23</f>
        <v>59.62653178212198</v>
      </c>
      <c r="D25" s="167">
        <f>+D24*D23</f>
        <v>61.468738153609301</v>
      </c>
      <c r="E25" s="168">
        <f>+E24*E23</f>
        <v>64.069022143821783</v>
      </c>
      <c r="F25" s="166">
        <f>+F24*F23</f>
        <v>64.835103255581643</v>
      </c>
      <c r="G25" s="167">
        <f>+G24*G23</f>
        <v>62.690074594666498</v>
      </c>
      <c r="H25" s="176">
        <f>+G25</f>
        <v>62.690074594666498</v>
      </c>
      <c r="I25" s="166">
        <f t="shared" ref="I25:N25" si="29">+I24*I23</f>
        <v>64.271607950538439</v>
      </c>
      <c r="J25" s="167">
        <f t="shared" si="29"/>
        <v>66.717815440104943</v>
      </c>
      <c r="K25" s="167">
        <f t="shared" si="29"/>
        <v>71.166664608984846</v>
      </c>
      <c r="L25" s="166">
        <f t="shared" si="29"/>
        <v>81.783329648884092</v>
      </c>
      <c r="M25" s="167">
        <f t="shared" si="29"/>
        <v>79.807558015925849</v>
      </c>
      <c r="N25" s="168">
        <f t="shared" si="29"/>
        <v>78.835334437902588</v>
      </c>
      <c r="O25" s="166">
        <f t="shared" ref="O25:T25" si="30">+O24*O23</f>
        <v>90.451208181493499</v>
      </c>
      <c r="P25" s="167">
        <f t="shared" si="30"/>
        <v>88.39577429944049</v>
      </c>
      <c r="Q25" s="168">
        <f t="shared" si="30"/>
        <v>89.696833882025729</v>
      </c>
      <c r="R25" s="166">
        <f t="shared" si="30"/>
        <v>91.58622905392177</v>
      </c>
      <c r="S25" s="167">
        <f t="shared" si="30"/>
        <v>90.364693044664037</v>
      </c>
      <c r="T25" s="167">
        <f t="shared" si="30"/>
        <v>92.187539656912335</v>
      </c>
      <c r="U25" s="166">
        <v>106.57237094689788</v>
      </c>
      <c r="V25" s="167">
        <v>103.46787969638503</v>
      </c>
      <c r="W25" s="168">
        <v>53.144150614282587</v>
      </c>
      <c r="X25" s="313">
        <v>58.921151904900547</v>
      </c>
      <c r="Y25" s="313">
        <v>58.04024491440375</v>
      </c>
      <c r="Z25" s="313">
        <f t="shared" ref="Z25:AE25" si="31">+Z24*Z23</f>
        <v>62.469490604741651</v>
      </c>
      <c r="AA25" s="313">
        <f t="shared" si="31"/>
        <v>63.963626583005365</v>
      </c>
      <c r="AB25" s="313">
        <f t="shared" si="31"/>
        <v>62.438428765502863</v>
      </c>
      <c r="AC25" s="313">
        <f t="shared" si="31"/>
        <v>129.84382775200766</v>
      </c>
      <c r="AD25" s="313">
        <f t="shared" si="31"/>
        <v>67.552185284306162</v>
      </c>
      <c r="AE25" s="313">
        <f t="shared" si="31"/>
        <v>66.020918181173982</v>
      </c>
      <c r="AF25" s="313">
        <f t="shared" ref="AF25:AG25" si="32">+AF24*AF23</f>
        <v>58.822774985226275</v>
      </c>
      <c r="AG25" s="313">
        <f t="shared" si="32"/>
        <v>50.14232639922465</v>
      </c>
      <c r="AH25" s="313">
        <f t="shared" ref="AH25:AI25" si="33">+AH24*AH23</f>
        <v>48.077316156221322</v>
      </c>
      <c r="AI25" s="313">
        <f t="shared" si="33"/>
        <v>64.402882118934926</v>
      </c>
      <c r="AJ25" s="313">
        <f t="shared" ref="AJ25:AK25" si="34">+AJ24*AJ23</f>
        <v>72.162435616822933</v>
      </c>
      <c r="AK25" s="313">
        <f t="shared" si="34"/>
        <v>69.680348566784446</v>
      </c>
      <c r="AL25" s="313">
        <f t="shared" ref="AL25:AM25" si="35">+AL24*AL23</f>
        <v>67.829860887156741</v>
      </c>
      <c r="AM25" s="313">
        <f t="shared" si="35"/>
        <v>70.877176751752273</v>
      </c>
      <c r="AN25" s="313">
        <f t="shared" ref="AN25:AO25" si="36">+AN24*AN23</f>
        <v>69.940683618005863</v>
      </c>
      <c r="AO25" s="313">
        <f t="shared" si="36"/>
        <v>57.053682581532627</v>
      </c>
      <c r="AP25" s="313">
        <f t="shared" ref="AP25:AQ25" si="37">+AP24*AP23</f>
        <v>58.621789487572251</v>
      </c>
      <c r="AQ25" s="313">
        <f t="shared" si="37"/>
        <v>57.323466323853239</v>
      </c>
      <c r="AR25" s="313">
        <f t="shared" ref="AR25:AS25" si="38">+AR24*AR23</f>
        <v>57.001932463938893</v>
      </c>
      <c r="AS25" s="313">
        <f t="shared" si="38"/>
        <v>58.035171972008499</v>
      </c>
      <c r="AT25" s="313">
        <f t="shared" ref="AT25" si="39">+AT24*AT23</f>
        <v>61.470319744746767</v>
      </c>
      <c r="AU25" s="207"/>
      <c r="BF25"/>
      <c r="BH25"/>
      <c r="BU25" s="330"/>
      <c r="BW25" s="330"/>
      <c r="CC25" s="313">
        <f t="shared" ref="CC25:CD25" si="40">+CC24*CC23</f>
        <v>63.917059755279631</v>
      </c>
      <c r="CD25" s="313">
        <f t="shared" si="40"/>
        <v>56.242384450705785</v>
      </c>
      <c r="DB25" s="313">
        <f t="shared" ref="DB25:DG25" si="41">+DB24*DB23</f>
        <v>78.49931415497656</v>
      </c>
      <c r="DC25" s="313">
        <f t="shared" si="41"/>
        <v>79.512917645129207</v>
      </c>
      <c r="DD25" s="313">
        <f t="shared" si="41"/>
        <v>81.472326877729657</v>
      </c>
      <c r="DE25" s="313">
        <f t="shared" si="41"/>
        <v>82.820518759347337</v>
      </c>
      <c r="DF25" s="313">
        <f t="shared" si="41"/>
        <v>84.160905481343789</v>
      </c>
      <c r="DG25" s="313">
        <f t="shared" si="41"/>
        <v>87.381630723123962</v>
      </c>
      <c r="DH25" s="313">
        <f t="shared" ref="DH25:DI25" si="42">+DH24*DH23</f>
        <v>90.349619047536009</v>
      </c>
      <c r="DI25" s="313">
        <f t="shared" si="42"/>
        <v>91.619546658592625</v>
      </c>
      <c r="DJ25" s="313">
        <f t="shared" ref="DJ25:DK25" si="43">+DJ24*DJ23</f>
        <v>93.230422209944592</v>
      </c>
      <c r="DK25" s="313">
        <f t="shared" si="43"/>
        <v>90.026050853521824</v>
      </c>
      <c r="DL25" s="313">
        <f t="shared" ref="DL25:DM25" si="44">+DL24*DL23</f>
        <v>78.815452093240268</v>
      </c>
      <c r="DM25" s="313">
        <f t="shared" si="44"/>
        <v>82.003620121399621</v>
      </c>
      <c r="DN25" s="313">
        <f t="shared" ref="DN25:DO25" si="45">+DN24*DN23</f>
        <v>85.730306779970604</v>
      </c>
      <c r="DO25" s="313">
        <f t="shared" si="45"/>
        <v>85.747280246312101</v>
      </c>
      <c r="DP25" s="313">
        <f t="shared" ref="DP25:DQ25" si="46">+DP24*DP23</f>
        <v>82.946124183673859</v>
      </c>
      <c r="DQ25" s="313">
        <f t="shared" si="46"/>
        <v>84.425371925841745</v>
      </c>
      <c r="DR25" s="313">
        <f t="shared" ref="DR25:DS25" si="47">+DR24*DR23</f>
        <v>84.113563771651769</v>
      </c>
      <c r="DS25" s="313">
        <f t="shared" si="47"/>
        <v>83.969445518210492</v>
      </c>
      <c r="DT25" s="313">
        <f t="shared" ref="DT25" si="48">+DT24*DT23</f>
        <v>81.4429042606575</v>
      </c>
      <c r="DU25" s="313">
        <f t="shared" ref="DU25:DV25" si="49">+DU24*DU23</f>
        <v>81.662784716174613</v>
      </c>
      <c r="DV25" s="313">
        <f t="shared" si="49"/>
        <v>80.655342556368709</v>
      </c>
      <c r="DW25" s="313">
        <f t="shared" ref="DW25:DX25" si="50">+DW24*DW23</f>
        <v>81.284864884897843</v>
      </c>
      <c r="DX25" s="313">
        <f t="shared" si="50"/>
        <v>72.600098942751501</v>
      </c>
      <c r="EF25"/>
      <c r="EH25" s="330"/>
      <c r="EI25" s="313">
        <f t="shared" ref="EI25:EJ25" si="51">+EI24*EI23</f>
        <v>73.890859873082221</v>
      </c>
      <c r="EJ25" s="313">
        <f t="shared" si="51"/>
        <v>74.099448196584333</v>
      </c>
    </row>
    <row r="26" spans="1:144" x14ac:dyDescent="0.35">
      <c r="B26" s="33" t="s">
        <v>207</v>
      </c>
      <c r="C26" s="169">
        <f t="shared" ref="C26:I26" si="52">+C23+C25</f>
        <v>1070.2457145299522</v>
      </c>
      <c r="D26" s="170">
        <f t="shared" si="52"/>
        <v>1103.3117577063094</v>
      </c>
      <c r="E26" s="171">
        <f t="shared" si="52"/>
        <v>1149.9846517001231</v>
      </c>
      <c r="F26" s="169">
        <f t="shared" si="52"/>
        <v>1163.7351584349315</v>
      </c>
      <c r="G26" s="170">
        <f t="shared" si="52"/>
        <v>1125.2337117924039</v>
      </c>
      <c r="H26" s="171">
        <f t="shared" si="52"/>
        <v>1125.2337117924039</v>
      </c>
      <c r="I26" s="169">
        <f t="shared" si="52"/>
        <v>1153.6208952478003</v>
      </c>
      <c r="J26" s="170">
        <f t="shared" ref="J26:T26" si="53">+J23+J25</f>
        <v>1197.5282466283243</v>
      </c>
      <c r="K26" s="170">
        <f t="shared" si="53"/>
        <v>1277.3813189985585</v>
      </c>
      <c r="L26" s="169">
        <f t="shared" si="53"/>
        <v>1467.9414592909875</v>
      </c>
      <c r="M26" s="170">
        <f t="shared" si="53"/>
        <v>1432.4780328621268</v>
      </c>
      <c r="N26" s="171">
        <f t="shared" si="53"/>
        <v>1415.0274435548959</v>
      </c>
      <c r="O26" s="169">
        <f t="shared" si="53"/>
        <v>1623.5225332915529</v>
      </c>
      <c r="P26" s="170">
        <f t="shared" si="53"/>
        <v>1586.6292370018218</v>
      </c>
      <c r="Q26" s="171">
        <f t="shared" si="53"/>
        <v>1609.9821539163602</v>
      </c>
      <c r="R26" s="169">
        <f t="shared" si="53"/>
        <v>1643.8951960695449</v>
      </c>
      <c r="S26" s="170">
        <f t="shared" si="53"/>
        <v>1621.9696599033766</v>
      </c>
      <c r="T26" s="170">
        <f t="shared" si="53"/>
        <v>1648.1853188371667</v>
      </c>
      <c r="U26" s="169">
        <v>1905.3661464667925</v>
      </c>
      <c r="V26" s="170">
        <v>1849.8621497162942</v>
      </c>
      <c r="W26" s="171">
        <v>1765.8141671880041</v>
      </c>
      <c r="X26" s="314">
        <v>1957.7658797457173</v>
      </c>
      <c r="Y26" s="314">
        <v>2007.3085977964388</v>
      </c>
      <c r="Z26" s="314">
        <f t="shared" ref="Z26:AE26" si="54">+Z23+Z25</f>
        <v>2077.6143488222142</v>
      </c>
      <c r="AA26" s="314">
        <f t="shared" si="54"/>
        <v>2127.3064195831785</v>
      </c>
      <c r="AB26" s="314">
        <f t="shared" si="54"/>
        <v>2076.5812921688212</v>
      </c>
      <c r="AC26" s="314">
        <f t="shared" si="54"/>
        <v>2251.8217285856022</v>
      </c>
      <c r="AD26" s="314">
        <f t="shared" si="54"/>
        <v>1986.3645985148953</v>
      </c>
      <c r="AE26" s="314">
        <f t="shared" si="54"/>
        <v>1941.337857311323</v>
      </c>
      <c r="AF26" s="314">
        <f t="shared" ref="AF26:AG26" si="55">+AF23+AF25</f>
        <v>1729.6772461957096</v>
      </c>
      <c r="AG26" s="314">
        <f t="shared" si="55"/>
        <v>1474.4296076790008</v>
      </c>
      <c r="AH26" s="314">
        <f t="shared" ref="AH26:AI26" si="56">+AH23+AH25</f>
        <v>1413.7082079935726</v>
      </c>
      <c r="AI26" s="314">
        <f t="shared" si="56"/>
        <v>1472.9886975294212</v>
      </c>
      <c r="AJ26" s="314">
        <f t="shared" ref="AJ26:AK26" si="57">+AJ23+AJ25</f>
        <v>1650.4611059715812</v>
      </c>
      <c r="AK26" s="314">
        <f t="shared" si="57"/>
        <v>1593.6921221823306</v>
      </c>
      <c r="AL26" s="314">
        <f t="shared" ref="AL26:AM26" si="58">+AL23+AL25</f>
        <v>1551.3687455363086</v>
      </c>
      <c r="AM26" s="314">
        <f t="shared" si="58"/>
        <v>1621.0653441770644</v>
      </c>
      <c r="AN26" s="314">
        <f t="shared" ref="AN26:AO26" si="59">+AN23+AN25</f>
        <v>1599.6463679459243</v>
      </c>
      <c r="AO26" s="314">
        <f t="shared" si="59"/>
        <v>1688.6912974827455</v>
      </c>
      <c r="AP26" s="314">
        <f t="shared" ref="AP26:AQ26" si="60">+AP23+AP25</f>
        <v>1735.1045764497517</v>
      </c>
      <c r="AQ26" s="314">
        <f t="shared" si="60"/>
        <v>1696.676434238959</v>
      </c>
      <c r="AR26" s="314">
        <f t="shared" ref="AR26:AS26" si="61">+AR23+AR25</f>
        <v>1687.159582626314</v>
      </c>
      <c r="AS26" s="314">
        <f t="shared" si="61"/>
        <v>1717.7417025972566</v>
      </c>
      <c r="AT26" s="314">
        <f t="shared" ref="AT26" si="62">+AT23+AT25</f>
        <v>1819.4161938292741</v>
      </c>
      <c r="AU26" s="352"/>
      <c r="BF26"/>
      <c r="BH26"/>
      <c r="BU26" s="330"/>
      <c r="BW26" s="330"/>
      <c r="CC26" s="314">
        <f t="shared" ref="CC26:CD26" si="63">+CC23+CC25</f>
        <v>1891.8355079916007</v>
      </c>
      <c r="CD26" s="314">
        <f t="shared" si="63"/>
        <v>1664.6782621938582</v>
      </c>
      <c r="DB26" s="314">
        <f t="shared" ref="DB26:DG26" si="64">+DB23+DB25</f>
        <v>1838.3840017171401</v>
      </c>
      <c r="DC26" s="314">
        <f t="shared" si="64"/>
        <v>1862.1216924274374</v>
      </c>
      <c r="DD26" s="314">
        <f t="shared" si="64"/>
        <v>1908.0093109984484</v>
      </c>
      <c r="DE26" s="314">
        <f t="shared" si="64"/>
        <v>1939.5827637488471</v>
      </c>
      <c r="DF26" s="314">
        <f t="shared" si="64"/>
        <v>1970.9734266146086</v>
      </c>
      <c r="DG26" s="314">
        <f t="shared" si="64"/>
        <v>2046.3999424020699</v>
      </c>
      <c r="DH26" s="314">
        <f t="shared" ref="DH26:DI26" si="65">+DH23+DH25</f>
        <v>2115.9075847505155</v>
      </c>
      <c r="DI26" s="314">
        <f t="shared" si="65"/>
        <v>2145.6481580107643</v>
      </c>
      <c r="DJ26" s="314">
        <f t="shared" ref="DJ26:DK26" si="66">+DJ23+DJ25</f>
        <v>2183.3734282789374</v>
      </c>
      <c r="DK26" s="314">
        <f t="shared" si="66"/>
        <v>2108.329905916713</v>
      </c>
      <c r="DL26" s="314">
        <f t="shared" ref="DL26:DM26" si="67">+DL23+DL25</f>
        <v>2139.8630010747324</v>
      </c>
      <c r="DM26" s="314">
        <f t="shared" si="67"/>
        <v>2226.4227126982441</v>
      </c>
      <c r="DN26" s="314">
        <f t="shared" ref="DN26:DO26" si="68">+DN23+DN25</f>
        <v>2327.6033655458705</v>
      </c>
      <c r="DO26" s="314">
        <f t="shared" si="68"/>
        <v>2328.0642002129252</v>
      </c>
      <c r="DP26" s="314">
        <f t="shared" ref="DP26:DQ26" si="69">+DP23+DP25</f>
        <v>2252.0119787324898</v>
      </c>
      <c r="DQ26" s="314">
        <f t="shared" si="69"/>
        <v>2292.1739955555827</v>
      </c>
      <c r="DR26" s="314">
        <f t="shared" ref="DR26:DS26" si="70">+DR23+DR25</f>
        <v>2283.7083112910909</v>
      </c>
      <c r="DS26" s="314">
        <f t="shared" si="70"/>
        <v>2279.7954577816849</v>
      </c>
      <c r="DT26" s="314">
        <f t="shared" ref="DT26" si="71">+DT23+DT25</f>
        <v>2211.199110058772</v>
      </c>
      <c r="DU26" s="314">
        <f t="shared" ref="DU26:DV26" si="72">+DU23+DU25</f>
        <v>2217.1689299218096</v>
      </c>
      <c r="DV26" s="314">
        <f t="shared" si="72"/>
        <v>2189.8165751964812</v>
      </c>
      <c r="DW26" s="314">
        <f t="shared" ref="DW26:DX26" si="73">+DW23+DW25</f>
        <v>2206.9082939317395</v>
      </c>
      <c r="DX26" s="314">
        <f t="shared" si="73"/>
        <v>2148.8385978558049</v>
      </c>
      <c r="EF26"/>
      <c r="EH26" s="330"/>
      <c r="EI26" s="314">
        <f t="shared" ref="EI26:EJ26" si="74">+EI23+EI25</f>
        <v>2187.04291090896</v>
      </c>
      <c r="EJ26" s="314">
        <f t="shared" si="74"/>
        <v>2193.2167680679818</v>
      </c>
    </row>
    <row r="27" spans="1:144" x14ac:dyDescent="0.35">
      <c r="M27" s="207"/>
      <c r="AA27" s="21"/>
      <c r="AB27" s="21">
        <f t="shared" ref="AB27:AJ27" si="75">+AB26/AA26-1</f>
        <v>-2.3844767705959447E-2</v>
      </c>
      <c r="AC27" s="21">
        <f t="shared" si="75"/>
        <v>8.4388912236494473E-2</v>
      </c>
      <c r="AD27" s="21">
        <f t="shared" si="75"/>
        <v>-0.11788549986034813</v>
      </c>
      <c r="AE27" s="21">
        <f t="shared" si="75"/>
        <v>-2.2667913653533933E-2</v>
      </c>
      <c r="AF27" s="21">
        <f t="shared" si="75"/>
        <v>-0.10902822005890056</v>
      </c>
      <c r="AG27" s="21">
        <f t="shared" si="75"/>
        <v>-0.14756951857816603</v>
      </c>
      <c r="AH27" s="21">
        <f t="shared" si="75"/>
        <v>-4.1182976365357837E-2</v>
      </c>
      <c r="AI27" s="21">
        <f t="shared" si="75"/>
        <v>4.1932620324800496E-2</v>
      </c>
      <c r="AJ27" s="21">
        <f t="shared" si="75"/>
        <v>0.12048456905326344</v>
      </c>
      <c r="AK27" s="21">
        <f t="shared" ref="AK27:AL27" si="76">+AK26/AJ26-1</f>
        <v>-3.4395832524530934E-2</v>
      </c>
      <c r="AL27" s="21">
        <f t="shared" si="76"/>
        <v>-2.6556808593661385E-2</v>
      </c>
      <c r="AO27" s="352"/>
    </row>
    <row r="29" spans="1:144" x14ac:dyDescent="0.35">
      <c r="C29" s="832" t="s">
        <v>224</v>
      </c>
      <c r="D29" s="832"/>
      <c r="E29" s="832" t="s">
        <v>213</v>
      </c>
      <c r="F29" s="832"/>
      <c r="G29" s="832" t="s">
        <v>214</v>
      </c>
      <c r="H29" s="832"/>
      <c r="I29" s="832" t="s">
        <v>215</v>
      </c>
      <c r="J29" s="832"/>
      <c r="K29" s="832" t="s">
        <v>216</v>
      </c>
      <c r="L29" s="832"/>
      <c r="M29" s="832" t="s">
        <v>226</v>
      </c>
      <c r="N29" s="832"/>
      <c r="O29" s="832" t="s">
        <v>227</v>
      </c>
      <c r="P29" s="832"/>
      <c r="Q29" s="832" t="s">
        <v>228</v>
      </c>
      <c r="R29" s="832"/>
      <c r="S29" s="832" t="s">
        <v>229</v>
      </c>
      <c r="T29" s="832"/>
      <c r="U29" s="832" t="s">
        <v>230</v>
      </c>
      <c r="V29" s="832"/>
      <c r="W29" s="832" t="s">
        <v>231</v>
      </c>
      <c r="X29" s="832"/>
      <c r="Y29" s="832" t="s">
        <v>232</v>
      </c>
      <c r="Z29" s="832"/>
      <c r="AA29" s="832" t="s">
        <v>233</v>
      </c>
      <c r="AB29" s="832"/>
      <c r="AC29" s="832" t="s">
        <v>234</v>
      </c>
      <c r="AD29" s="832"/>
      <c r="AE29" s="832" t="s">
        <v>235</v>
      </c>
      <c r="AF29" s="832"/>
      <c r="AG29" s="832" t="s">
        <v>236</v>
      </c>
      <c r="AH29" s="832"/>
      <c r="AI29" s="832" t="s">
        <v>225</v>
      </c>
      <c r="AJ29" s="832"/>
      <c r="AK29" s="832" t="s">
        <v>237</v>
      </c>
      <c r="AL29" s="832"/>
      <c r="AM29" s="832" t="s">
        <v>227</v>
      </c>
      <c r="AN29" s="832"/>
      <c r="AO29" s="832" t="s">
        <v>228</v>
      </c>
      <c r="AP29" s="832"/>
      <c r="AQ29" s="832" t="s">
        <v>229</v>
      </c>
      <c r="AR29" s="832"/>
      <c r="AS29" s="832" t="s">
        <v>238</v>
      </c>
      <c r="AT29" s="832"/>
      <c r="AU29" s="832" t="s">
        <v>231</v>
      </c>
      <c r="AV29" s="832"/>
      <c r="AW29" s="832" t="s">
        <v>232</v>
      </c>
      <c r="AX29" s="832"/>
      <c r="AY29" s="832" t="s">
        <v>233</v>
      </c>
      <c r="AZ29" s="832"/>
      <c r="BA29" s="832" t="s">
        <v>234</v>
      </c>
      <c r="BB29" s="832"/>
      <c r="BC29" s="832" t="s">
        <v>235</v>
      </c>
      <c r="BD29" s="832"/>
      <c r="BE29" s="832" t="s">
        <v>236</v>
      </c>
      <c r="BF29" s="832"/>
      <c r="BG29" s="832" t="s">
        <v>225</v>
      </c>
      <c r="BH29" s="832"/>
      <c r="BI29" s="832" t="s">
        <v>226</v>
      </c>
      <c r="BJ29" s="832"/>
      <c r="BK29" s="833" t="s">
        <v>227</v>
      </c>
      <c r="BL29" s="834"/>
      <c r="BM29" s="833" t="s">
        <v>228</v>
      </c>
      <c r="BN29" s="834"/>
      <c r="BO29" s="833" t="s">
        <v>229</v>
      </c>
      <c r="BP29" s="834"/>
      <c r="BQ29" s="833" t="s">
        <v>238</v>
      </c>
      <c r="BR29" s="834"/>
      <c r="BS29" s="833" t="s">
        <v>231</v>
      </c>
      <c r="BT29" s="834"/>
      <c r="BU29" s="833" t="s">
        <v>232</v>
      </c>
      <c r="BV29" s="834"/>
      <c r="BW29" s="833" t="s">
        <v>224</v>
      </c>
      <c r="BX29" s="834"/>
      <c r="BY29" s="833" t="s">
        <v>239</v>
      </c>
      <c r="BZ29" s="834"/>
      <c r="CA29" s="833" t="s">
        <v>214</v>
      </c>
      <c r="CB29" s="834"/>
      <c r="CC29" s="833" t="s">
        <v>215</v>
      </c>
      <c r="CD29" s="834"/>
      <c r="CE29" s="833" t="s">
        <v>216</v>
      </c>
      <c r="CF29" s="834"/>
      <c r="CG29" s="833" t="s">
        <v>217</v>
      </c>
      <c r="CH29" s="834"/>
      <c r="CI29" s="833" t="s">
        <v>218</v>
      </c>
      <c r="CJ29" s="834"/>
      <c r="CK29" s="833" t="s">
        <v>219</v>
      </c>
      <c r="CL29" s="834"/>
      <c r="CM29" s="833" t="s">
        <v>240</v>
      </c>
      <c r="CN29" s="834"/>
      <c r="CO29" s="833" t="s">
        <v>221</v>
      </c>
      <c r="CP29" s="834"/>
      <c r="CQ29" s="833" t="s">
        <v>241</v>
      </c>
      <c r="CR29" s="834"/>
      <c r="CS29" s="833" t="s">
        <v>223</v>
      </c>
      <c r="CT29" s="834"/>
      <c r="CU29" s="833" t="s">
        <v>224</v>
      </c>
      <c r="CV29" s="834"/>
      <c r="CW29" s="833" t="s">
        <v>213</v>
      </c>
      <c r="CX29" s="834"/>
      <c r="CY29" s="833" t="s">
        <v>214</v>
      </c>
      <c r="CZ29" s="834"/>
      <c r="DA29" s="833" t="s">
        <v>215</v>
      </c>
      <c r="DB29" s="834"/>
      <c r="DC29" s="833" t="s">
        <v>216</v>
      </c>
      <c r="DD29" s="834"/>
      <c r="DE29" s="833" t="s">
        <v>217</v>
      </c>
      <c r="DF29" s="834"/>
      <c r="DG29" s="833" t="s">
        <v>218</v>
      </c>
      <c r="DH29" s="834"/>
      <c r="DI29" s="833" t="s">
        <v>219</v>
      </c>
      <c r="DJ29" s="834"/>
      <c r="DK29" s="833" t="s">
        <v>240</v>
      </c>
      <c r="DL29" s="834"/>
      <c r="DM29" s="833" t="s">
        <v>444</v>
      </c>
      <c r="DN29" s="834"/>
      <c r="DO29" s="833" t="s">
        <v>241</v>
      </c>
      <c r="DP29" s="834"/>
      <c r="DQ29" s="833" t="s">
        <v>223</v>
      </c>
      <c r="DR29" s="834"/>
      <c r="DS29" s="833" t="s">
        <v>224</v>
      </c>
      <c r="DT29" s="834"/>
      <c r="DU29" s="833" t="s">
        <v>213</v>
      </c>
      <c r="DV29" s="834"/>
      <c r="DW29" s="833" t="s">
        <v>214</v>
      </c>
      <c r="DX29" s="834"/>
      <c r="DY29" s="833" t="s">
        <v>215</v>
      </c>
      <c r="DZ29" s="834"/>
      <c r="EA29" s="833" t="s">
        <v>216</v>
      </c>
      <c r="EB29" s="834"/>
      <c r="EC29" s="833" t="s">
        <v>217</v>
      </c>
      <c r="ED29" s="834"/>
      <c r="EE29" s="833" t="s">
        <v>218</v>
      </c>
      <c r="EF29" s="834"/>
      <c r="EG29" s="833" t="s">
        <v>219</v>
      </c>
      <c r="EH29" s="834"/>
      <c r="EI29" s="833" t="s">
        <v>220</v>
      </c>
      <c r="EJ29" s="834"/>
      <c r="EK29" s="833" t="s">
        <v>221</v>
      </c>
      <c r="EL29" s="834"/>
      <c r="EM29" s="840" t="s">
        <v>222</v>
      </c>
      <c r="EN29" s="841"/>
    </row>
    <row r="30" spans="1:144" x14ac:dyDescent="0.35">
      <c r="C30" s="85" t="s">
        <v>242</v>
      </c>
      <c r="D30" s="86" t="s">
        <v>243</v>
      </c>
      <c r="E30" s="85" t="s">
        <v>242</v>
      </c>
      <c r="F30" s="86" t="s">
        <v>243</v>
      </c>
      <c r="G30" s="85" t="s">
        <v>242</v>
      </c>
      <c r="H30" s="86" t="s">
        <v>243</v>
      </c>
      <c r="I30" s="85" t="s">
        <v>242</v>
      </c>
      <c r="J30" s="86" t="s">
        <v>243</v>
      </c>
      <c r="K30" s="85" t="s">
        <v>242</v>
      </c>
      <c r="L30" s="141" t="s">
        <v>243</v>
      </c>
      <c r="M30" s="142" t="s">
        <v>242</v>
      </c>
      <c r="N30" s="142" t="s">
        <v>243</v>
      </c>
      <c r="O30" s="142" t="s">
        <v>242</v>
      </c>
      <c r="P30" s="142" t="s">
        <v>243</v>
      </c>
      <c r="Q30" s="142" t="s">
        <v>242</v>
      </c>
      <c r="R30" s="142" t="s">
        <v>243</v>
      </c>
      <c r="S30" s="142" t="s">
        <v>242</v>
      </c>
      <c r="T30" s="142" t="s">
        <v>243</v>
      </c>
      <c r="U30" s="142" t="s">
        <v>242</v>
      </c>
      <c r="V30" s="142" t="s">
        <v>243</v>
      </c>
      <c r="W30" s="142" t="s">
        <v>242</v>
      </c>
      <c r="X30" s="142" t="s">
        <v>243</v>
      </c>
      <c r="Y30" s="142" t="s">
        <v>242</v>
      </c>
      <c r="Z30" s="142" t="s">
        <v>243</v>
      </c>
      <c r="AA30" s="142" t="s">
        <v>242</v>
      </c>
      <c r="AB30" s="142" t="s">
        <v>243</v>
      </c>
      <c r="AC30" s="142" t="s">
        <v>242</v>
      </c>
      <c r="AD30" s="142" t="s">
        <v>243</v>
      </c>
      <c r="AE30" s="142" t="s">
        <v>242</v>
      </c>
      <c r="AF30" s="142" t="s">
        <v>243</v>
      </c>
      <c r="AG30" s="142" t="s">
        <v>242</v>
      </c>
      <c r="AH30" s="142" t="s">
        <v>243</v>
      </c>
      <c r="AI30" s="142" t="s">
        <v>242</v>
      </c>
      <c r="AJ30" s="142" t="s">
        <v>243</v>
      </c>
      <c r="AK30" s="142" t="s">
        <v>242</v>
      </c>
      <c r="AL30" s="142" t="s">
        <v>243</v>
      </c>
      <c r="AM30" s="142" t="s">
        <v>242</v>
      </c>
      <c r="AN30" s="142" t="s">
        <v>243</v>
      </c>
      <c r="AO30" s="142" t="s">
        <v>242</v>
      </c>
      <c r="AP30" s="142" t="s">
        <v>243</v>
      </c>
      <c r="AQ30" s="142" t="s">
        <v>242</v>
      </c>
      <c r="AR30" s="142" t="s">
        <v>243</v>
      </c>
      <c r="AS30" s="142" t="s">
        <v>242</v>
      </c>
      <c r="AT30" s="142" t="s">
        <v>243</v>
      </c>
      <c r="AU30" s="142" t="s">
        <v>242</v>
      </c>
      <c r="AV30" s="142" t="s">
        <v>243</v>
      </c>
      <c r="AW30" s="142" t="s">
        <v>242</v>
      </c>
      <c r="AX30" s="142" t="s">
        <v>243</v>
      </c>
      <c r="AY30" s="142" t="s">
        <v>242</v>
      </c>
      <c r="AZ30" s="142" t="s">
        <v>243</v>
      </c>
      <c r="BA30" s="142" t="s">
        <v>242</v>
      </c>
      <c r="BB30" s="142" t="s">
        <v>243</v>
      </c>
      <c r="BC30" s="142" t="s">
        <v>242</v>
      </c>
      <c r="BD30" s="142" t="s">
        <v>243</v>
      </c>
      <c r="BE30" s="142" t="s">
        <v>242</v>
      </c>
      <c r="BF30" s="331" t="s">
        <v>243</v>
      </c>
      <c r="BG30" s="142" t="s">
        <v>242</v>
      </c>
      <c r="BH30" s="331" t="s">
        <v>243</v>
      </c>
      <c r="BI30" s="142" t="s">
        <v>242</v>
      </c>
      <c r="BJ30" s="331" t="s">
        <v>243</v>
      </c>
      <c r="BK30" s="142" t="s">
        <v>242</v>
      </c>
      <c r="BL30" s="331" t="s">
        <v>243</v>
      </c>
      <c r="BM30" s="142" t="s">
        <v>242</v>
      </c>
      <c r="BN30" s="353" t="s">
        <v>243</v>
      </c>
      <c r="BO30" s="142" t="s">
        <v>242</v>
      </c>
      <c r="BP30" s="353" t="s">
        <v>243</v>
      </c>
      <c r="BQ30" s="142" t="s">
        <v>242</v>
      </c>
      <c r="BR30" s="353" t="s">
        <v>243</v>
      </c>
      <c r="BS30" s="142" t="s">
        <v>242</v>
      </c>
      <c r="BT30" s="353" t="s">
        <v>243</v>
      </c>
      <c r="BU30" s="142" t="s">
        <v>242</v>
      </c>
      <c r="BV30" s="353" t="s">
        <v>243</v>
      </c>
      <c r="BW30" s="142" t="s">
        <v>242</v>
      </c>
      <c r="BX30" s="353" t="s">
        <v>243</v>
      </c>
      <c r="BY30" s="142" t="s">
        <v>242</v>
      </c>
      <c r="BZ30" s="353" t="s">
        <v>243</v>
      </c>
      <c r="CA30" s="142" t="s">
        <v>242</v>
      </c>
      <c r="CB30" s="353" t="s">
        <v>243</v>
      </c>
      <c r="CC30" s="142" t="s">
        <v>242</v>
      </c>
      <c r="CD30" s="353" t="s">
        <v>243</v>
      </c>
      <c r="CE30" s="142" t="s">
        <v>242</v>
      </c>
      <c r="CF30" s="353" t="s">
        <v>243</v>
      </c>
      <c r="CG30" s="142" t="s">
        <v>242</v>
      </c>
      <c r="CH30" s="353" t="s">
        <v>243</v>
      </c>
      <c r="CI30" s="142" t="s">
        <v>242</v>
      </c>
      <c r="CJ30" s="353" t="s">
        <v>243</v>
      </c>
      <c r="CK30" s="142" t="s">
        <v>242</v>
      </c>
      <c r="CL30" s="353" t="s">
        <v>243</v>
      </c>
      <c r="CM30" s="142" t="s">
        <v>242</v>
      </c>
      <c r="CN30" s="353" t="s">
        <v>243</v>
      </c>
      <c r="CO30" s="142" t="s">
        <v>242</v>
      </c>
      <c r="CP30" s="353" t="s">
        <v>243</v>
      </c>
      <c r="CQ30" s="142" t="s">
        <v>242</v>
      </c>
      <c r="CR30" s="353" t="s">
        <v>243</v>
      </c>
      <c r="CS30" s="142" t="s">
        <v>242</v>
      </c>
      <c r="CT30" s="353" t="s">
        <v>243</v>
      </c>
      <c r="CU30" s="142" t="s">
        <v>242</v>
      </c>
      <c r="CV30" s="353" t="s">
        <v>243</v>
      </c>
      <c r="CW30" s="495" t="s">
        <v>242</v>
      </c>
      <c r="CX30" s="353" t="s">
        <v>243</v>
      </c>
      <c r="CY30" s="495" t="s">
        <v>242</v>
      </c>
      <c r="CZ30" s="353" t="s">
        <v>243</v>
      </c>
      <c r="DA30" s="495" t="s">
        <v>242</v>
      </c>
      <c r="DB30" s="353" t="s">
        <v>243</v>
      </c>
      <c r="DC30" s="495" t="s">
        <v>242</v>
      </c>
      <c r="DD30" s="353" t="s">
        <v>243</v>
      </c>
      <c r="DE30" s="495" t="s">
        <v>242</v>
      </c>
      <c r="DF30" s="353" t="s">
        <v>243</v>
      </c>
      <c r="DG30" s="495" t="s">
        <v>242</v>
      </c>
      <c r="DH30" s="353" t="s">
        <v>243</v>
      </c>
      <c r="DI30" s="495" t="s">
        <v>242</v>
      </c>
      <c r="DJ30" s="353" t="s">
        <v>243</v>
      </c>
      <c r="DK30" s="495" t="s">
        <v>242</v>
      </c>
      <c r="DL30" s="353" t="s">
        <v>243</v>
      </c>
      <c r="DM30" s="495" t="s">
        <v>242</v>
      </c>
      <c r="DN30" s="353" t="s">
        <v>243</v>
      </c>
      <c r="DO30" s="495" t="s">
        <v>242</v>
      </c>
      <c r="DP30" s="353" t="s">
        <v>243</v>
      </c>
      <c r="DQ30" s="495" t="s">
        <v>242</v>
      </c>
      <c r="DR30" s="353" t="s">
        <v>243</v>
      </c>
      <c r="DS30" s="495" t="s">
        <v>242</v>
      </c>
      <c r="DT30" s="353" t="s">
        <v>243</v>
      </c>
      <c r="DU30" s="495" t="s">
        <v>242</v>
      </c>
      <c r="DV30" s="353" t="s">
        <v>243</v>
      </c>
      <c r="DW30" s="495" t="s">
        <v>242</v>
      </c>
      <c r="DX30" s="353" t="s">
        <v>243</v>
      </c>
      <c r="DY30" s="495" t="s">
        <v>242</v>
      </c>
      <c r="DZ30" s="353" t="s">
        <v>243</v>
      </c>
      <c r="EA30" s="495" t="s">
        <v>242</v>
      </c>
      <c r="EB30" s="353" t="s">
        <v>243</v>
      </c>
      <c r="EC30" s="495" t="s">
        <v>242</v>
      </c>
      <c r="ED30" s="353" t="s">
        <v>243</v>
      </c>
      <c r="EE30" s="495" t="s">
        <v>242</v>
      </c>
      <c r="EF30" s="353" t="s">
        <v>243</v>
      </c>
      <c r="EG30" s="495" t="s">
        <v>242</v>
      </c>
      <c r="EH30" s="353" t="s">
        <v>243</v>
      </c>
      <c r="EI30" s="495" t="s">
        <v>242</v>
      </c>
      <c r="EJ30" s="353" t="s">
        <v>243</v>
      </c>
      <c r="EK30" s="495" t="s">
        <v>242</v>
      </c>
      <c r="EL30" s="353" t="s">
        <v>243</v>
      </c>
      <c r="EM30" s="495" t="s">
        <v>242</v>
      </c>
      <c r="EN30" s="353" t="s">
        <v>243</v>
      </c>
    </row>
    <row r="31" spans="1:144" x14ac:dyDescent="0.35">
      <c r="C31" s="78">
        <v>43951</v>
      </c>
      <c r="D31" s="79">
        <v>3983.29</v>
      </c>
      <c r="E31" s="503">
        <v>43982</v>
      </c>
      <c r="F31" s="504">
        <v>3718.82</v>
      </c>
      <c r="G31" s="91">
        <v>44012</v>
      </c>
      <c r="H31" s="90">
        <v>3758.91</v>
      </c>
      <c r="I31" s="101">
        <v>44043</v>
      </c>
      <c r="J31" s="102">
        <v>3739.49</v>
      </c>
      <c r="K31" s="134">
        <v>44074</v>
      </c>
      <c r="L31" s="136">
        <v>3760.38</v>
      </c>
      <c r="N31"/>
      <c r="O31" s="144"/>
      <c r="P31" s="145"/>
      <c r="Q31" s="144"/>
      <c r="R31" s="145"/>
      <c r="AC31" s="231">
        <v>44347</v>
      </c>
      <c r="AD31" s="232">
        <v>3715.28</v>
      </c>
      <c r="AG31" s="505">
        <v>44408</v>
      </c>
      <c r="AH31" s="506">
        <v>3867.88</v>
      </c>
      <c r="AI31" s="273">
        <v>44439</v>
      </c>
      <c r="AJ31" s="274">
        <v>3806.87</v>
      </c>
      <c r="AK31" s="290">
        <v>44440</v>
      </c>
      <c r="AL31" s="291">
        <v>3774</v>
      </c>
      <c r="AM31" s="301">
        <v>44470</v>
      </c>
      <c r="AN31" s="302">
        <v>3812.77</v>
      </c>
      <c r="AO31" s="307">
        <v>44501</v>
      </c>
      <c r="AP31" s="308">
        <v>3784.44</v>
      </c>
      <c r="AQ31" s="507">
        <v>45261</v>
      </c>
      <c r="AR31" s="508">
        <v>4004.54</v>
      </c>
      <c r="AS31" s="305">
        <v>44562</v>
      </c>
      <c r="AT31" s="306">
        <v>3981.16</v>
      </c>
      <c r="AU31" s="509">
        <v>44593</v>
      </c>
      <c r="AV31" s="510">
        <v>3942.73</v>
      </c>
      <c r="AW31" s="317">
        <v>44621</v>
      </c>
      <c r="AX31" s="318">
        <v>3910.28</v>
      </c>
      <c r="AY31" s="511">
        <v>44652</v>
      </c>
      <c r="AZ31" s="512">
        <v>3756.03</v>
      </c>
      <c r="BA31" s="305">
        <v>44682</v>
      </c>
      <c r="BB31" s="306">
        <v>3966.27</v>
      </c>
      <c r="BC31" s="307">
        <v>44713</v>
      </c>
      <c r="BD31" s="308">
        <v>3776.52</v>
      </c>
      <c r="BE31" s="307">
        <v>44743</v>
      </c>
      <c r="BF31" s="328">
        <v>4151.21</v>
      </c>
      <c r="BG31" s="307">
        <v>44774</v>
      </c>
      <c r="BH31" s="328">
        <v>4300.3</v>
      </c>
      <c r="BI31" s="307">
        <v>44805</v>
      </c>
      <c r="BJ31" s="308">
        <v>4422.7700000000004</v>
      </c>
      <c r="BK31" s="307">
        <v>44835</v>
      </c>
      <c r="BL31" s="308">
        <v>4590.54</v>
      </c>
      <c r="BM31" s="307">
        <v>44866</v>
      </c>
      <c r="BN31" s="308">
        <v>4898.74</v>
      </c>
      <c r="BO31" s="307">
        <v>44896</v>
      </c>
      <c r="BP31" s="308">
        <v>4815.59</v>
      </c>
      <c r="BQ31" s="307">
        <v>44927</v>
      </c>
      <c r="BR31" s="308">
        <v>4810.2</v>
      </c>
      <c r="BS31" s="307">
        <v>44958</v>
      </c>
      <c r="BT31" s="308">
        <v>4648.7</v>
      </c>
      <c r="BU31" s="307">
        <v>44986</v>
      </c>
      <c r="BV31" s="308">
        <v>4814.1099999999997</v>
      </c>
      <c r="BW31" s="307">
        <v>45017</v>
      </c>
      <c r="BX31" s="308">
        <v>4646.08</v>
      </c>
      <c r="BY31" s="307">
        <v>45047</v>
      </c>
      <c r="BZ31" s="308">
        <v>4669</v>
      </c>
      <c r="CA31" s="307">
        <v>45078</v>
      </c>
      <c r="CB31" s="308">
        <v>4434.09</v>
      </c>
      <c r="CC31" s="307">
        <v>45108</v>
      </c>
      <c r="CD31" s="308">
        <v>4177.58</v>
      </c>
      <c r="CE31" s="307">
        <v>45139</v>
      </c>
      <c r="CF31" s="308">
        <v>3898.48</v>
      </c>
      <c r="CG31" s="307">
        <v>45170</v>
      </c>
      <c r="CH31" s="308">
        <v>4099.2</v>
      </c>
      <c r="CI31" s="307">
        <v>45200</v>
      </c>
      <c r="CJ31" s="308">
        <v>4053.76</v>
      </c>
      <c r="CK31" s="307">
        <v>45231</v>
      </c>
      <c r="CL31" s="308">
        <v>4114.29</v>
      </c>
      <c r="CM31" s="307">
        <v>45261</v>
      </c>
      <c r="CN31" s="308">
        <v>4045.22</v>
      </c>
      <c r="CO31" s="307">
        <v>45292</v>
      </c>
      <c r="CP31" s="308">
        <v>3822.05</v>
      </c>
      <c r="CQ31" s="307">
        <v>45323</v>
      </c>
      <c r="CR31" s="308">
        <v>3915.56</v>
      </c>
      <c r="CS31" s="307">
        <v>45352</v>
      </c>
      <c r="CT31" s="308">
        <v>3931.31</v>
      </c>
      <c r="CU31" s="307">
        <v>45383</v>
      </c>
      <c r="CV31" s="308">
        <v>3842.3</v>
      </c>
      <c r="CW31" s="307">
        <v>45413</v>
      </c>
      <c r="CX31" s="308">
        <v>3899.07</v>
      </c>
      <c r="CY31" s="307">
        <v>45444</v>
      </c>
      <c r="CZ31" s="308">
        <v>3860.92</v>
      </c>
      <c r="DA31" s="307">
        <v>45474</v>
      </c>
      <c r="DB31" s="308">
        <v>4148.04</v>
      </c>
      <c r="DC31" s="500">
        <v>45505</v>
      </c>
      <c r="DD31" s="308">
        <v>4060.34</v>
      </c>
      <c r="DE31" s="500">
        <v>45536</v>
      </c>
      <c r="DF31" s="308">
        <v>4160.3100000000004</v>
      </c>
      <c r="DG31" s="500">
        <v>45566</v>
      </c>
      <c r="DH31" s="308">
        <v>4178.3</v>
      </c>
      <c r="DI31" s="500">
        <v>45597</v>
      </c>
      <c r="DJ31" s="308">
        <v>4409.57</v>
      </c>
      <c r="DK31" s="500">
        <v>45627</v>
      </c>
      <c r="DL31" s="308">
        <v>4419.59</v>
      </c>
      <c r="DM31" s="500">
        <v>45658</v>
      </c>
      <c r="DN31" s="308">
        <v>4409.1499999999996</v>
      </c>
      <c r="DO31" s="500">
        <v>45689</v>
      </c>
      <c r="DP31" s="308">
        <v>4183.93</v>
      </c>
      <c r="DQ31" s="500">
        <v>45717</v>
      </c>
      <c r="DR31" s="308">
        <v>4134.04</v>
      </c>
      <c r="DS31" s="500">
        <v>45748</v>
      </c>
      <c r="DT31" s="308">
        <v>4191.79</v>
      </c>
      <c r="DU31" s="307">
        <v>45778</v>
      </c>
      <c r="DV31" s="308">
        <v>4222.25</v>
      </c>
      <c r="DW31" s="307">
        <v>45809</v>
      </c>
      <c r="DX31" s="308">
        <v>4148.72</v>
      </c>
      <c r="DY31" s="307">
        <v>45839</v>
      </c>
      <c r="DZ31" s="308">
        <v>4069.67</v>
      </c>
      <c r="EA31" s="307">
        <v>45870</v>
      </c>
      <c r="EB31" s="308">
        <v>4186.71</v>
      </c>
      <c r="EC31" s="307">
        <v>45901</v>
      </c>
      <c r="ED31" s="308">
        <v>4018.41</v>
      </c>
      <c r="EE31" s="305">
        <v>45931</v>
      </c>
      <c r="EF31" s="328">
        <v>3923.55</v>
      </c>
      <c r="EG31" s="305">
        <v>45962</v>
      </c>
      <c r="EH31" s="328">
        <v>3860.12</v>
      </c>
      <c r="EI31" s="305">
        <v>45992</v>
      </c>
      <c r="EJ31" s="328">
        <v>3744.43</v>
      </c>
      <c r="EK31" s="738">
        <v>46023</v>
      </c>
      <c r="EL31" s="739">
        <v>3757.08</v>
      </c>
      <c r="EM31" s="738">
        <v>46054</v>
      </c>
      <c r="EN31" s="739">
        <v>3670.47</v>
      </c>
    </row>
    <row r="32" spans="1:144" x14ac:dyDescent="0.35">
      <c r="C32" s="80">
        <v>43950</v>
      </c>
      <c r="D32" s="81">
        <v>4046.04</v>
      </c>
      <c r="E32" s="513">
        <v>43981</v>
      </c>
      <c r="F32" s="514">
        <v>3718.82</v>
      </c>
      <c r="G32" s="92">
        <v>44011</v>
      </c>
      <c r="H32" s="89">
        <v>3758.91</v>
      </c>
      <c r="I32" s="103">
        <v>44042</v>
      </c>
      <c r="J32" s="104">
        <v>3716.89</v>
      </c>
      <c r="K32" s="133">
        <v>44073</v>
      </c>
      <c r="L32" s="135">
        <v>3760.38</v>
      </c>
      <c r="N32"/>
      <c r="O32" s="146"/>
      <c r="P32" s="147"/>
      <c r="Q32" s="515">
        <v>44165</v>
      </c>
      <c r="R32" s="516">
        <v>3611.44</v>
      </c>
      <c r="AA32" s="517">
        <v>44316</v>
      </c>
      <c r="AB32" s="518">
        <v>3712.89</v>
      </c>
      <c r="AC32" s="233">
        <v>44346</v>
      </c>
      <c r="AD32" s="234">
        <v>3715.28</v>
      </c>
      <c r="AG32" s="519">
        <v>44407</v>
      </c>
      <c r="AH32" s="520">
        <v>3836.95</v>
      </c>
      <c r="AI32" s="271">
        <v>44438</v>
      </c>
      <c r="AJ32" s="272">
        <v>3834.13</v>
      </c>
      <c r="AK32" s="288">
        <v>44441</v>
      </c>
      <c r="AL32" s="289">
        <v>3753.3</v>
      </c>
      <c r="AM32" s="303">
        <v>44471</v>
      </c>
      <c r="AN32" s="304">
        <v>3781.35</v>
      </c>
      <c r="AO32" s="305">
        <v>44502</v>
      </c>
      <c r="AP32" s="306">
        <v>3784.44</v>
      </c>
      <c r="AQ32" s="521">
        <v>44532</v>
      </c>
      <c r="AR32" s="522">
        <v>3953.26</v>
      </c>
      <c r="AS32" s="307">
        <v>44563</v>
      </c>
      <c r="AT32" s="308">
        <v>3981.16</v>
      </c>
      <c r="AU32" s="523">
        <v>44594</v>
      </c>
      <c r="AV32" s="524">
        <v>3923.61</v>
      </c>
      <c r="AW32" s="319">
        <v>44622</v>
      </c>
      <c r="AX32" s="320">
        <v>3901.62</v>
      </c>
      <c r="AY32" s="525">
        <v>44653</v>
      </c>
      <c r="AZ32" s="526">
        <v>3774.79</v>
      </c>
      <c r="BA32" s="307">
        <v>44683</v>
      </c>
      <c r="BB32" s="308">
        <v>3966.27</v>
      </c>
      <c r="BC32" s="305">
        <v>44714</v>
      </c>
      <c r="BD32" s="306">
        <v>3791.74</v>
      </c>
      <c r="BE32" s="305">
        <v>44744</v>
      </c>
      <c r="BF32" s="329">
        <v>4198.7700000000004</v>
      </c>
      <c r="BG32" s="305">
        <v>44775</v>
      </c>
      <c r="BH32" s="329">
        <v>4245.99</v>
      </c>
      <c r="BI32" s="305">
        <v>44806</v>
      </c>
      <c r="BJ32" s="306">
        <v>4467.03</v>
      </c>
      <c r="BK32" s="305">
        <v>44836</v>
      </c>
      <c r="BL32" s="306">
        <v>4590.54</v>
      </c>
      <c r="BM32" s="305">
        <v>44867</v>
      </c>
      <c r="BN32" s="306">
        <v>4975.58</v>
      </c>
      <c r="BO32" s="305">
        <v>44897</v>
      </c>
      <c r="BP32" s="306">
        <v>4779.0600000000004</v>
      </c>
      <c r="BQ32" s="305">
        <v>44928</v>
      </c>
      <c r="BR32" s="306">
        <v>4810.2</v>
      </c>
      <c r="BS32" s="305">
        <v>44959</v>
      </c>
      <c r="BT32" s="306">
        <v>4639.04</v>
      </c>
      <c r="BU32" s="305">
        <v>44987</v>
      </c>
      <c r="BV32" s="306">
        <v>4848.78</v>
      </c>
      <c r="BW32" s="305">
        <v>45018</v>
      </c>
      <c r="BX32" s="306">
        <v>4646.08</v>
      </c>
      <c r="BY32" s="305">
        <v>45048</v>
      </c>
      <c r="BZ32" s="306">
        <v>4669</v>
      </c>
      <c r="CA32" s="305">
        <v>45079</v>
      </c>
      <c r="CB32" s="306">
        <v>4410.49</v>
      </c>
      <c r="CC32" s="305">
        <v>45109</v>
      </c>
      <c r="CD32" s="306">
        <v>4177.58</v>
      </c>
      <c r="CE32" s="305">
        <v>45140</v>
      </c>
      <c r="CF32" s="306">
        <v>4007.44</v>
      </c>
      <c r="CG32" s="305">
        <v>45171</v>
      </c>
      <c r="CH32" s="306">
        <v>4063.36</v>
      </c>
      <c r="CI32" s="305">
        <v>45201</v>
      </c>
      <c r="CJ32" s="306">
        <v>4053.76</v>
      </c>
      <c r="CK32" s="305">
        <v>45232</v>
      </c>
      <c r="CL32" s="306">
        <v>4117.71</v>
      </c>
      <c r="CM32" s="305">
        <v>45262</v>
      </c>
      <c r="CN32" s="306">
        <v>3983.15</v>
      </c>
      <c r="CO32" s="305">
        <v>45293</v>
      </c>
      <c r="CP32" s="306">
        <v>3822.05</v>
      </c>
      <c r="CQ32" s="305">
        <v>45324</v>
      </c>
      <c r="CR32" s="306">
        <v>3889.05</v>
      </c>
      <c r="CS32" s="305">
        <v>45353</v>
      </c>
      <c r="CT32" s="306">
        <v>3934.82</v>
      </c>
      <c r="CU32" s="305">
        <v>45384</v>
      </c>
      <c r="CV32" s="306">
        <v>3863.05</v>
      </c>
      <c r="CW32" s="305">
        <v>45414</v>
      </c>
      <c r="CX32" s="306">
        <v>3899.07</v>
      </c>
      <c r="CY32" s="305">
        <v>45445</v>
      </c>
      <c r="CZ32" s="306">
        <v>3860.92</v>
      </c>
      <c r="DA32" s="305">
        <v>45475</v>
      </c>
      <c r="DB32" s="306">
        <v>4148.04</v>
      </c>
      <c r="DC32" s="501">
        <v>45506</v>
      </c>
      <c r="DD32" s="306">
        <v>4057.14</v>
      </c>
      <c r="DE32" s="501">
        <v>45537</v>
      </c>
      <c r="DF32" s="306">
        <v>4160.3100000000004</v>
      </c>
      <c r="DG32" s="501">
        <v>45567</v>
      </c>
      <c r="DH32" s="306">
        <v>4224.21</v>
      </c>
      <c r="DI32" s="501">
        <v>45598</v>
      </c>
      <c r="DJ32" s="306">
        <v>4414</v>
      </c>
      <c r="DK32" s="501">
        <v>45628</v>
      </c>
      <c r="DL32" s="306">
        <v>4419.59</v>
      </c>
      <c r="DM32" s="501">
        <v>45659</v>
      </c>
      <c r="DN32" s="306">
        <v>4409.1499999999996</v>
      </c>
      <c r="DO32" s="501">
        <v>45690</v>
      </c>
      <c r="DP32" s="308">
        <v>4183.93</v>
      </c>
      <c r="DQ32" s="501">
        <v>45718</v>
      </c>
      <c r="DR32" s="306">
        <v>4134.04</v>
      </c>
      <c r="DS32" s="501">
        <v>45749</v>
      </c>
      <c r="DT32" s="306">
        <v>4149.24</v>
      </c>
      <c r="DU32" s="305">
        <v>45779</v>
      </c>
      <c r="DV32" s="306">
        <v>4222.25</v>
      </c>
      <c r="DW32" s="305">
        <v>45810</v>
      </c>
      <c r="DX32" s="306">
        <v>4148.72</v>
      </c>
      <c r="DY32" s="305">
        <v>45840</v>
      </c>
      <c r="DZ32" s="306">
        <v>4047.71</v>
      </c>
      <c r="EA32" s="305">
        <v>45871</v>
      </c>
      <c r="EB32" s="306">
        <v>4129.42</v>
      </c>
      <c r="EC32" s="305">
        <v>45902</v>
      </c>
      <c r="ED32" s="306">
        <v>4018.41</v>
      </c>
      <c r="EE32" s="305">
        <v>45932</v>
      </c>
      <c r="EF32" s="329">
        <v>3890</v>
      </c>
      <c r="EG32" s="305">
        <v>45963</v>
      </c>
      <c r="EH32" s="329">
        <v>3860.12</v>
      </c>
      <c r="EI32" s="305">
        <v>45993</v>
      </c>
      <c r="EJ32" s="329">
        <v>3784.43</v>
      </c>
      <c r="EK32" s="740">
        <v>46024</v>
      </c>
      <c r="EL32" s="741">
        <v>3757.08</v>
      </c>
      <c r="EM32" s="740">
        <v>46055</v>
      </c>
      <c r="EN32" s="741">
        <v>3670.47</v>
      </c>
    </row>
    <row r="33" spans="3:144" x14ac:dyDescent="0.35">
      <c r="C33" s="78">
        <v>43949</v>
      </c>
      <c r="D33" s="79">
        <v>4039.83</v>
      </c>
      <c r="E33" s="503">
        <v>43980</v>
      </c>
      <c r="F33" s="504">
        <v>3723.42</v>
      </c>
      <c r="G33" s="91">
        <v>44010</v>
      </c>
      <c r="H33" s="90">
        <v>3758.91</v>
      </c>
      <c r="I33" s="101">
        <v>44041</v>
      </c>
      <c r="J33" s="102">
        <v>3718.69</v>
      </c>
      <c r="K33" s="134">
        <v>44072</v>
      </c>
      <c r="L33" s="136">
        <v>3760.38</v>
      </c>
      <c r="N33"/>
      <c r="O33" s="148"/>
      <c r="P33" s="149"/>
      <c r="Q33" s="527">
        <v>44164</v>
      </c>
      <c r="R33" s="528">
        <v>3611.44</v>
      </c>
      <c r="AA33" s="529">
        <v>44315</v>
      </c>
      <c r="AB33" s="530">
        <v>3699.74</v>
      </c>
      <c r="AC33" s="231">
        <v>44345</v>
      </c>
      <c r="AD33" s="232">
        <v>3715.28</v>
      </c>
      <c r="AG33" s="505">
        <v>44406</v>
      </c>
      <c r="AH33" s="506">
        <v>3902.18</v>
      </c>
      <c r="AI33" s="273">
        <v>44437</v>
      </c>
      <c r="AJ33" s="274">
        <v>3834.13</v>
      </c>
      <c r="AK33" s="290">
        <v>44442</v>
      </c>
      <c r="AL33" s="291">
        <v>3780.85</v>
      </c>
      <c r="AM33" s="301">
        <v>44472</v>
      </c>
      <c r="AN33" s="302">
        <v>3781.35</v>
      </c>
      <c r="AO33" s="307">
        <v>44503</v>
      </c>
      <c r="AP33" s="308">
        <v>3778.69</v>
      </c>
      <c r="AQ33" s="507">
        <v>44533</v>
      </c>
      <c r="AR33" s="508">
        <v>3945.18</v>
      </c>
      <c r="AS33" s="305">
        <v>44564</v>
      </c>
      <c r="AT33" s="306">
        <v>3981.16</v>
      </c>
      <c r="AU33" s="509">
        <v>44595</v>
      </c>
      <c r="AV33" s="510">
        <v>3928.05</v>
      </c>
      <c r="AW33" s="317">
        <v>44623</v>
      </c>
      <c r="AX33" s="318">
        <v>3862.95</v>
      </c>
      <c r="AY33" s="511">
        <v>44654</v>
      </c>
      <c r="AZ33" s="512">
        <v>3774.79</v>
      </c>
      <c r="BA33" s="305">
        <v>44684</v>
      </c>
      <c r="BB33" s="306">
        <v>4004.07</v>
      </c>
      <c r="BC33" s="307">
        <v>44715</v>
      </c>
      <c r="BD33" s="308">
        <v>3784.98</v>
      </c>
      <c r="BE33" s="307">
        <v>44745</v>
      </c>
      <c r="BF33" s="328">
        <v>4198.7700000000004</v>
      </c>
      <c r="BG33" s="307">
        <v>44776</v>
      </c>
      <c r="BH33" s="328">
        <v>4313.3</v>
      </c>
      <c r="BI33" s="307">
        <v>44807</v>
      </c>
      <c r="BJ33" s="308">
        <v>4466.7299999999996</v>
      </c>
      <c r="BK33" s="307">
        <v>44837</v>
      </c>
      <c r="BL33" s="308">
        <v>4590.54</v>
      </c>
      <c r="BM33" s="307">
        <v>44868</v>
      </c>
      <c r="BN33" s="308">
        <v>5015.84</v>
      </c>
      <c r="BO33" s="307">
        <v>44898</v>
      </c>
      <c r="BP33" s="308">
        <v>4767.1899999999996</v>
      </c>
      <c r="BQ33" s="307">
        <v>44929</v>
      </c>
      <c r="BR33" s="308">
        <v>4810.2</v>
      </c>
      <c r="BS33" s="307">
        <v>44960</v>
      </c>
      <c r="BT33" s="308">
        <v>4584.4399999999996</v>
      </c>
      <c r="BU33" s="307">
        <v>44988</v>
      </c>
      <c r="BV33" s="308">
        <v>4855.83</v>
      </c>
      <c r="BW33" s="307">
        <v>45019</v>
      </c>
      <c r="BX33" s="308">
        <v>4646.08</v>
      </c>
      <c r="BY33" s="307">
        <v>45049</v>
      </c>
      <c r="BZ33" s="308">
        <v>4713.08</v>
      </c>
      <c r="CA33" s="307">
        <v>45080</v>
      </c>
      <c r="CB33" s="308">
        <v>4355.8</v>
      </c>
      <c r="CC33" s="307">
        <v>45110</v>
      </c>
      <c r="CD33" s="308">
        <v>4177.58</v>
      </c>
      <c r="CE33" s="307">
        <v>45141</v>
      </c>
      <c r="CF33" s="308">
        <v>4056.99</v>
      </c>
      <c r="CG33" s="307">
        <v>45172</v>
      </c>
      <c r="CH33" s="308">
        <v>4063.36</v>
      </c>
      <c r="CI33" s="307">
        <v>45202</v>
      </c>
      <c r="CJ33" s="308">
        <v>4141.43</v>
      </c>
      <c r="CK33" s="307">
        <v>45233</v>
      </c>
      <c r="CL33" s="308">
        <v>4047.11</v>
      </c>
      <c r="CM33" s="307">
        <v>45263</v>
      </c>
      <c r="CN33" s="308">
        <v>3983.15</v>
      </c>
      <c r="CO33" s="307">
        <v>45294</v>
      </c>
      <c r="CP33" s="308">
        <v>3895.53</v>
      </c>
      <c r="CQ33" s="307">
        <v>45325</v>
      </c>
      <c r="CR33" s="308">
        <v>3928.11</v>
      </c>
      <c r="CS33" s="307">
        <v>45354</v>
      </c>
      <c r="CT33" s="308">
        <v>3934.82</v>
      </c>
      <c r="CU33" s="307">
        <v>45385</v>
      </c>
      <c r="CV33" s="308">
        <v>3845.22</v>
      </c>
      <c r="CW33" s="307">
        <v>45415</v>
      </c>
      <c r="CX33" s="308">
        <v>3898.62</v>
      </c>
      <c r="CY33" s="307">
        <v>45446</v>
      </c>
      <c r="CZ33" s="308">
        <v>3860.92</v>
      </c>
      <c r="DA33" s="307">
        <v>45476</v>
      </c>
      <c r="DB33" s="308">
        <v>4130.03</v>
      </c>
      <c r="DC33" s="500">
        <v>45507</v>
      </c>
      <c r="DD33" s="308">
        <v>4110.37</v>
      </c>
      <c r="DE33" s="500">
        <v>45538</v>
      </c>
      <c r="DF33" s="308">
        <v>4160.3100000000004</v>
      </c>
      <c r="DG33" s="500">
        <v>45568</v>
      </c>
      <c r="DH33" s="308">
        <v>4203.43</v>
      </c>
      <c r="DI33" s="500">
        <v>45599</v>
      </c>
      <c r="DJ33" s="308">
        <v>4414</v>
      </c>
      <c r="DK33" s="500">
        <v>45629</v>
      </c>
      <c r="DL33" s="308">
        <v>4462.97</v>
      </c>
      <c r="DM33" s="500">
        <v>45660</v>
      </c>
      <c r="DN33" s="308">
        <v>4410.5</v>
      </c>
      <c r="DO33" s="500">
        <v>45691</v>
      </c>
      <c r="DP33" s="306">
        <v>4183.93</v>
      </c>
      <c r="DQ33" s="500">
        <v>45719</v>
      </c>
      <c r="DR33" s="308">
        <v>4134.04</v>
      </c>
      <c r="DS33" s="500">
        <v>45750</v>
      </c>
      <c r="DT33" s="308">
        <v>4146.07</v>
      </c>
      <c r="DU33" s="307">
        <v>45780</v>
      </c>
      <c r="DV33" s="308">
        <v>4243.8</v>
      </c>
      <c r="DW33" s="307">
        <v>45811</v>
      </c>
      <c r="DX33" s="308">
        <v>4148.72</v>
      </c>
      <c r="DY33" s="307">
        <v>45841</v>
      </c>
      <c r="DZ33" s="308">
        <v>4006.46</v>
      </c>
      <c r="EA33" s="307">
        <v>45872</v>
      </c>
      <c r="EB33" s="308">
        <v>4129.42</v>
      </c>
      <c r="EC33" s="307">
        <v>45903</v>
      </c>
      <c r="ED33" s="308">
        <v>4016.94</v>
      </c>
      <c r="EE33" s="307">
        <v>45933</v>
      </c>
      <c r="EF33" s="328">
        <v>3897.64</v>
      </c>
      <c r="EG33" s="307">
        <v>45964</v>
      </c>
      <c r="EH33" s="328">
        <v>3860.12</v>
      </c>
      <c r="EI33" s="307">
        <v>45994</v>
      </c>
      <c r="EJ33" s="328">
        <v>3817.66</v>
      </c>
      <c r="EK33" s="738">
        <v>46025</v>
      </c>
      <c r="EL33" s="739">
        <v>3790.77</v>
      </c>
      <c r="EM33" s="738">
        <v>46056</v>
      </c>
      <c r="EN33" s="739">
        <v>3628.16</v>
      </c>
    </row>
    <row r="34" spans="3:144" x14ac:dyDescent="0.35">
      <c r="C34" s="80">
        <v>43948</v>
      </c>
      <c r="D34" s="81">
        <v>4039.87</v>
      </c>
      <c r="E34" s="513">
        <v>43979</v>
      </c>
      <c r="F34" s="514">
        <v>3743.79</v>
      </c>
      <c r="G34" s="92">
        <v>44009</v>
      </c>
      <c r="H34" s="89">
        <v>3758.91</v>
      </c>
      <c r="I34" s="103">
        <v>44040</v>
      </c>
      <c r="J34" s="104">
        <v>3679.17</v>
      </c>
      <c r="K34" s="133">
        <v>44071</v>
      </c>
      <c r="L34" s="135">
        <v>3820.17</v>
      </c>
      <c r="N34"/>
      <c r="O34" s="531">
        <v>44132</v>
      </c>
      <c r="P34" s="532">
        <v>3810.23</v>
      </c>
      <c r="Q34" s="515">
        <v>44163</v>
      </c>
      <c r="R34" s="516">
        <v>3611.44</v>
      </c>
      <c r="W34" s="215">
        <v>44255</v>
      </c>
      <c r="X34" s="216">
        <v>3624.39</v>
      </c>
      <c r="AA34" s="517">
        <v>44314</v>
      </c>
      <c r="AB34" s="518">
        <v>3717.46</v>
      </c>
      <c r="AC34" s="233">
        <v>44344</v>
      </c>
      <c r="AD34" s="234">
        <v>3729.02</v>
      </c>
      <c r="AE34" s="101">
        <v>44375</v>
      </c>
      <c r="AF34" s="102">
        <v>3739.03</v>
      </c>
      <c r="AG34" s="519">
        <v>44405</v>
      </c>
      <c r="AH34" s="520">
        <v>3918.49</v>
      </c>
      <c r="AI34" s="271">
        <v>44436</v>
      </c>
      <c r="AJ34" s="272">
        <v>3834.13</v>
      </c>
      <c r="AK34" s="288">
        <v>44443</v>
      </c>
      <c r="AL34" s="289">
        <v>3790.04</v>
      </c>
      <c r="AM34" s="303">
        <v>44473</v>
      </c>
      <c r="AN34" s="304">
        <v>3781.35</v>
      </c>
      <c r="AO34" s="305">
        <v>44504</v>
      </c>
      <c r="AP34" s="306">
        <v>3837.84</v>
      </c>
      <c r="AQ34" s="521">
        <v>44534</v>
      </c>
      <c r="AR34" s="522">
        <v>3948.33</v>
      </c>
      <c r="AS34" s="307">
        <v>44565</v>
      </c>
      <c r="AT34" s="308">
        <v>4082.75</v>
      </c>
      <c r="AU34" s="523">
        <v>44596</v>
      </c>
      <c r="AV34" s="524">
        <v>3951.96</v>
      </c>
      <c r="AW34" s="319">
        <v>44624</v>
      </c>
      <c r="AX34" s="320">
        <v>3771.77</v>
      </c>
      <c r="AY34" s="525">
        <v>44655</v>
      </c>
      <c r="AZ34" s="526">
        <v>3774.79</v>
      </c>
      <c r="BA34" s="307">
        <v>44685</v>
      </c>
      <c r="BB34" s="308">
        <v>4016.34</v>
      </c>
      <c r="BC34" s="305">
        <v>44716</v>
      </c>
      <c r="BD34" s="306">
        <v>3771.63</v>
      </c>
      <c r="BE34" s="305">
        <v>44746</v>
      </c>
      <c r="BF34" s="329">
        <v>4198.7700000000004</v>
      </c>
      <c r="BG34" s="305">
        <v>44777</v>
      </c>
      <c r="BH34" s="329">
        <v>4331.1499999999996</v>
      </c>
      <c r="BI34" s="305">
        <v>44808</v>
      </c>
      <c r="BJ34" s="306">
        <v>4466.7299999999996</v>
      </c>
      <c r="BK34" s="307">
        <v>44838</v>
      </c>
      <c r="BL34" s="306">
        <v>4545.66</v>
      </c>
      <c r="BM34" s="305">
        <v>44869</v>
      </c>
      <c r="BN34" s="306">
        <v>5058.0200000000004</v>
      </c>
      <c r="BO34" s="305">
        <v>44899</v>
      </c>
      <c r="BP34" s="306">
        <v>4767.1899999999996</v>
      </c>
      <c r="BQ34" s="305">
        <v>44930</v>
      </c>
      <c r="BR34" s="306">
        <v>4842.26</v>
      </c>
      <c r="BS34" s="305">
        <v>44961</v>
      </c>
      <c r="BT34" s="306">
        <v>4669.74</v>
      </c>
      <c r="BU34" s="305">
        <v>44989</v>
      </c>
      <c r="BV34" s="306">
        <v>4780.8900000000003</v>
      </c>
      <c r="BW34" s="305">
        <v>45020</v>
      </c>
      <c r="BX34" s="306">
        <v>4603</v>
      </c>
      <c r="BY34" s="305">
        <v>45050</v>
      </c>
      <c r="BZ34" s="306">
        <v>4667.09</v>
      </c>
      <c r="CA34" s="305">
        <v>45081</v>
      </c>
      <c r="CB34" s="306">
        <v>4355.8</v>
      </c>
      <c r="CC34" s="305">
        <v>45111</v>
      </c>
      <c r="CD34" s="306">
        <v>4177.58</v>
      </c>
      <c r="CE34" s="305">
        <v>45142</v>
      </c>
      <c r="CF34" s="306">
        <v>4144.79</v>
      </c>
      <c r="CG34" s="305">
        <v>45173</v>
      </c>
      <c r="CH34" s="306">
        <v>4063.36</v>
      </c>
      <c r="CI34" s="305">
        <v>45203</v>
      </c>
      <c r="CJ34" s="306">
        <v>4187.01</v>
      </c>
      <c r="CK34" s="305">
        <v>45234</v>
      </c>
      <c r="CL34" s="306">
        <v>3975.09</v>
      </c>
      <c r="CM34" s="305">
        <v>45264</v>
      </c>
      <c r="CN34" s="306">
        <v>3983.15</v>
      </c>
      <c r="CO34" s="305">
        <v>45295</v>
      </c>
      <c r="CP34" s="306">
        <v>3914.6</v>
      </c>
      <c r="CQ34" s="305">
        <v>45326</v>
      </c>
      <c r="CR34" s="306">
        <v>3928.11</v>
      </c>
      <c r="CS34" s="305">
        <v>45355</v>
      </c>
      <c r="CT34" s="306">
        <v>3934.82</v>
      </c>
      <c r="CU34" s="305">
        <v>45386</v>
      </c>
      <c r="CV34" s="306">
        <v>3812.13</v>
      </c>
      <c r="CW34" s="305">
        <v>45416</v>
      </c>
      <c r="CX34" s="306">
        <v>3895.41</v>
      </c>
      <c r="CY34" s="305">
        <v>45447</v>
      </c>
      <c r="CZ34" s="306">
        <v>3860.92</v>
      </c>
      <c r="DA34" s="305">
        <v>45477</v>
      </c>
      <c r="DB34" s="306">
        <v>4096.09</v>
      </c>
      <c r="DC34" s="501">
        <v>45508</v>
      </c>
      <c r="DD34" s="306">
        <v>4110.37</v>
      </c>
      <c r="DE34" s="501">
        <v>45539</v>
      </c>
      <c r="DF34" s="306">
        <v>4185.8</v>
      </c>
      <c r="DG34" s="501">
        <v>45569</v>
      </c>
      <c r="DH34" s="306">
        <v>4197.7299999999996</v>
      </c>
      <c r="DI34" s="501">
        <v>45600</v>
      </c>
      <c r="DJ34" s="306">
        <v>4414</v>
      </c>
      <c r="DK34" s="501">
        <v>45630</v>
      </c>
      <c r="DL34" s="306">
        <v>4443.53</v>
      </c>
      <c r="DM34" s="501">
        <v>45661</v>
      </c>
      <c r="DN34" s="306">
        <v>4355.51</v>
      </c>
      <c r="DO34" s="501">
        <v>45692</v>
      </c>
      <c r="DP34" s="308">
        <v>4198.66</v>
      </c>
      <c r="DQ34" s="501">
        <v>45720</v>
      </c>
      <c r="DR34" s="306">
        <v>4116.6099999999997</v>
      </c>
      <c r="DS34" s="501">
        <v>45751</v>
      </c>
      <c r="DT34" s="306">
        <v>4130.01</v>
      </c>
      <c r="DU34" s="305">
        <v>45781</v>
      </c>
      <c r="DV34" s="306">
        <v>4243.8</v>
      </c>
      <c r="DW34" s="305">
        <v>45812</v>
      </c>
      <c r="DX34" s="306">
        <v>4136.71</v>
      </c>
      <c r="DY34" s="305">
        <v>45842</v>
      </c>
      <c r="DZ34" s="306">
        <v>3974.37</v>
      </c>
      <c r="EA34" s="305">
        <v>45873</v>
      </c>
      <c r="EB34" s="306">
        <v>4129.42</v>
      </c>
      <c r="EC34" s="305">
        <v>45904</v>
      </c>
      <c r="ED34" s="306">
        <v>4002.86</v>
      </c>
      <c r="EE34" s="305">
        <v>45934</v>
      </c>
      <c r="EF34" s="329">
        <v>3874.18</v>
      </c>
      <c r="EG34" s="305">
        <v>45965</v>
      </c>
      <c r="EH34" s="329">
        <v>3860.12</v>
      </c>
      <c r="EI34" s="305">
        <v>45995</v>
      </c>
      <c r="EJ34" s="329">
        <v>3780.8</v>
      </c>
      <c r="EK34" s="740">
        <v>46026</v>
      </c>
      <c r="EL34" s="741">
        <v>3790.77</v>
      </c>
      <c r="EM34" s="740">
        <v>46057</v>
      </c>
      <c r="EN34" s="741">
        <v>3622</v>
      </c>
    </row>
    <row r="35" spans="3:144" x14ac:dyDescent="0.35">
      <c r="C35" s="78">
        <v>43947</v>
      </c>
      <c r="D35" s="79">
        <v>4039.87</v>
      </c>
      <c r="E35" s="503">
        <v>43978</v>
      </c>
      <c r="F35" s="504">
        <v>3725.56</v>
      </c>
      <c r="G35" s="91">
        <v>44008</v>
      </c>
      <c r="H35" s="90">
        <v>3735.93</v>
      </c>
      <c r="I35" s="101">
        <v>44039</v>
      </c>
      <c r="J35" s="102">
        <v>3690.8</v>
      </c>
      <c r="K35" s="134">
        <v>44070</v>
      </c>
      <c r="L35" s="136">
        <v>3846.64</v>
      </c>
      <c r="N35"/>
      <c r="O35" s="533">
        <v>44131</v>
      </c>
      <c r="P35" s="534">
        <v>3812.82</v>
      </c>
      <c r="Q35" s="527">
        <v>44162</v>
      </c>
      <c r="R35" s="528">
        <v>3620.39</v>
      </c>
      <c r="W35" s="213">
        <v>44254</v>
      </c>
      <c r="X35" s="214">
        <v>3624.39</v>
      </c>
      <c r="AA35" s="529">
        <v>44313</v>
      </c>
      <c r="AB35" s="530">
        <v>3659.62</v>
      </c>
      <c r="AC35" s="231">
        <v>44343</v>
      </c>
      <c r="AD35" s="232">
        <v>3747.48</v>
      </c>
      <c r="AE35" s="103">
        <v>44374</v>
      </c>
      <c r="AF35" s="104">
        <v>3739.03</v>
      </c>
      <c r="AG35" s="505">
        <v>44404</v>
      </c>
      <c r="AH35" s="506">
        <v>3904.17</v>
      </c>
      <c r="AI35" s="273">
        <v>44435</v>
      </c>
      <c r="AJ35" s="274">
        <v>3870.57</v>
      </c>
      <c r="AK35" s="290">
        <v>44444</v>
      </c>
      <c r="AL35" s="291">
        <v>3790.04</v>
      </c>
      <c r="AM35" s="301">
        <v>44474</v>
      </c>
      <c r="AN35" s="302">
        <v>3786.05</v>
      </c>
      <c r="AO35" s="307">
        <v>44505</v>
      </c>
      <c r="AP35" s="308">
        <v>3847.4</v>
      </c>
      <c r="AQ35" s="507">
        <v>44535</v>
      </c>
      <c r="AR35" s="508">
        <v>3948.33</v>
      </c>
      <c r="AS35" s="305">
        <v>44566</v>
      </c>
      <c r="AT35" s="306">
        <v>4084.11</v>
      </c>
      <c r="AU35" s="509">
        <v>44597</v>
      </c>
      <c r="AV35" s="510">
        <v>3962.68</v>
      </c>
      <c r="AW35" s="317">
        <v>44625</v>
      </c>
      <c r="AX35" s="318">
        <v>3806.11</v>
      </c>
      <c r="AY35" s="511">
        <v>44656</v>
      </c>
      <c r="AZ35" s="512">
        <v>3706.95</v>
      </c>
      <c r="BA35" s="305">
        <v>44686</v>
      </c>
      <c r="BB35" s="306">
        <v>4056.41</v>
      </c>
      <c r="BC35" s="307">
        <v>44717</v>
      </c>
      <c r="BD35" s="308">
        <v>3771.63</v>
      </c>
      <c r="BE35" s="307">
        <v>44747</v>
      </c>
      <c r="BF35" s="328">
        <v>4198.7700000000004</v>
      </c>
      <c r="BG35" s="307">
        <v>44778</v>
      </c>
      <c r="BH35" s="328">
        <v>4268.3</v>
      </c>
      <c r="BI35" s="307">
        <v>44809</v>
      </c>
      <c r="BJ35" s="308">
        <v>4466.7299999999996</v>
      </c>
      <c r="BK35" s="305">
        <v>44839</v>
      </c>
      <c r="BL35" s="308">
        <v>4484.74</v>
      </c>
      <c r="BM35" s="307">
        <v>44870</v>
      </c>
      <c r="BN35" s="308">
        <v>5061.21</v>
      </c>
      <c r="BO35" s="307">
        <v>44900</v>
      </c>
      <c r="BP35" s="308">
        <v>4767.1899999999996</v>
      </c>
      <c r="BQ35" s="307">
        <v>44931</v>
      </c>
      <c r="BR35" s="308">
        <v>4924</v>
      </c>
      <c r="BS35" s="307">
        <v>44962</v>
      </c>
      <c r="BT35" s="308">
        <v>4669.74</v>
      </c>
      <c r="BU35" s="307">
        <v>44990</v>
      </c>
      <c r="BV35" s="308">
        <v>4780.8900000000003</v>
      </c>
      <c r="BW35" s="307">
        <v>45021</v>
      </c>
      <c r="BX35" s="308">
        <v>4587.3100000000004</v>
      </c>
      <c r="BY35" s="307">
        <v>45051</v>
      </c>
      <c r="BZ35" s="308">
        <v>4616.58</v>
      </c>
      <c r="CA35" s="307">
        <v>45082</v>
      </c>
      <c r="CB35" s="308">
        <v>4355.8</v>
      </c>
      <c r="CC35" s="307">
        <v>45112</v>
      </c>
      <c r="CD35" s="308">
        <v>4177.58</v>
      </c>
      <c r="CE35" s="307">
        <v>45143</v>
      </c>
      <c r="CF35" s="308">
        <v>4077.9</v>
      </c>
      <c r="CG35" s="307">
        <v>45174</v>
      </c>
      <c r="CH35" s="308">
        <v>4063.36</v>
      </c>
      <c r="CI35" s="307">
        <v>45204</v>
      </c>
      <c r="CJ35" s="308">
        <v>4252.09</v>
      </c>
      <c r="CK35" s="307">
        <v>45235</v>
      </c>
      <c r="CL35" s="308">
        <v>3975.09</v>
      </c>
      <c r="CM35" s="307">
        <v>45265</v>
      </c>
      <c r="CN35" s="308">
        <v>3999.91</v>
      </c>
      <c r="CO35" s="307">
        <v>45296</v>
      </c>
      <c r="CP35" s="308">
        <v>3927.64</v>
      </c>
      <c r="CQ35" s="307">
        <v>45327</v>
      </c>
      <c r="CR35" s="308">
        <v>3928.11</v>
      </c>
      <c r="CS35" s="307">
        <v>45356</v>
      </c>
      <c r="CT35" s="308">
        <v>3948.67</v>
      </c>
      <c r="CU35" s="307">
        <v>45387</v>
      </c>
      <c r="CV35" s="308">
        <v>3775.37</v>
      </c>
      <c r="CW35" s="307">
        <v>45417</v>
      </c>
      <c r="CX35" s="308">
        <v>3895.41</v>
      </c>
      <c r="CY35" s="307">
        <v>45448</v>
      </c>
      <c r="CZ35" s="308">
        <v>3909.65</v>
      </c>
      <c r="DA35" s="307">
        <v>45478</v>
      </c>
      <c r="DB35" s="308">
        <v>4096.09</v>
      </c>
      <c r="DC35" s="500">
        <v>45509</v>
      </c>
      <c r="DD35" s="308">
        <v>4110.37</v>
      </c>
      <c r="DE35" s="500">
        <v>45540</v>
      </c>
      <c r="DF35" s="308">
        <v>4185.82</v>
      </c>
      <c r="DG35" s="500">
        <v>45570</v>
      </c>
      <c r="DH35" s="308">
        <v>4173.66</v>
      </c>
      <c r="DI35" s="500">
        <v>45601</v>
      </c>
      <c r="DJ35" s="308">
        <v>4414</v>
      </c>
      <c r="DK35" s="500">
        <v>45631</v>
      </c>
      <c r="DL35" s="308">
        <v>4424.5600000000004</v>
      </c>
      <c r="DM35" s="500">
        <v>45662</v>
      </c>
      <c r="DN35" s="308">
        <v>4355.51</v>
      </c>
      <c r="DO35" s="500">
        <v>45693</v>
      </c>
      <c r="DP35" s="306">
        <v>4153.54</v>
      </c>
      <c r="DQ35" s="500">
        <v>45721</v>
      </c>
      <c r="DR35" s="308">
        <v>4144.18</v>
      </c>
      <c r="DS35" s="500">
        <v>45752</v>
      </c>
      <c r="DT35" s="308">
        <v>4274.03</v>
      </c>
      <c r="DU35" s="307">
        <v>45782</v>
      </c>
      <c r="DV35" s="308">
        <v>4243.8</v>
      </c>
      <c r="DW35" s="307">
        <v>45813</v>
      </c>
      <c r="DX35" s="308">
        <v>4107.8500000000004</v>
      </c>
      <c r="DY35" s="307">
        <v>45843</v>
      </c>
      <c r="DZ35" s="308">
        <v>3974.37</v>
      </c>
      <c r="EA35" s="307">
        <v>45874</v>
      </c>
      <c r="EB35" s="308">
        <v>4097.38</v>
      </c>
      <c r="EC35" s="307">
        <v>45905</v>
      </c>
      <c r="ED35" s="308">
        <v>3991.09</v>
      </c>
      <c r="EE35" s="307">
        <v>45935</v>
      </c>
      <c r="EF35" s="328">
        <v>3874.18</v>
      </c>
      <c r="EG35" s="307">
        <v>45966</v>
      </c>
      <c r="EH35" s="328">
        <v>3872.47</v>
      </c>
      <c r="EI35" s="307">
        <v>45996</v>
      </c>
      <c r="EJ35" s="328">
        <v>3757.92</v>
      </c>
      <c r="EK35" s="738">
        <v>46027</v>
      </c>
      <c r="EL35" s="739">
        <v>3790.77</v>
      </c>
      <c r="EM35" s="738">
        <v>46058</v>
      </c>
      <c r="EN35" s="739">
        <v>3644.93</v>
      </c>
    </row>
    <row r="36" spans="3:144" x14ac:dyDescent="0.35">
      <c r="C36" s="80">
        <v>43946</v>
      </c>
      <c r="D36" s="81">
        <v>4039.87</v>
      </c>
      <c r="E36" s="513">
        <v>43977</v>
      </c>
      <c r="F36" s="514">
        <v>3782.66</v>
      </c>
      <c r="G36" s="92">
        <v>44007</v>
      </c>
      <c r="H36" s="89">
        <v>3722.27</v>
      </c>
      <c r="I36" s="103">
        <v>44038</v>
      </c>
      <c r="J36" s="104">
        <v>3690.8</v>
      </c>
      <c r="K36" s="133">
        <v>44069</v>
      </c>
      <c r="L36" s="135">
        <v>3867.32</v>
      </c>
      <c r="N36"/>
      <c r="O36" s="535">
        <v>44130</v>
      </c>
      <c r="P36" s="536">
        <v>3782.66</v>
      </c>
      <c r="Q36" s="305">
        <v>44161</v>
      </c>
      <c r="R36" s="536" t="s">
        <v>244</v>
      </c>
      <c r="W36" s="215">
        <v>44253</v>
      </c>
      <c r="X36" s="216">
        <v>3588.23</v>
      </c>
      <c r="Y36" s="225">
        <v>44281</v>
      </c>
      <c r="Z36" s="226">
        <v>3658.22</v>
      </c>
      <c r="AA36" s="517">
        <v>44312</v>
      </c>
      <c r="AB36" s="518">
        <v>3640.07</v>
      </c>
      <c r="AC36" s="233">
        <v>44342</v>
      </c>
      <c r="AD36" s="234">
        <v>3735.41</v>
      </c>
      <c r="AE36" s="101">
        <v>44373</v>
      </c>
      <c r="AF36" s="102">
        <v>3739.03</v>
      </c>
      <c r="AG36" s="519">
        <v>44403</v>
      </c>
      <c r="AH36" s="520">
        <v>3874.44</v>
      </c>
      <c r="AI36" s="271">
        <v>44434</v>
      </c>
      <c r="AJ36" s="272">
        <v>3865.04</v>
      </c>
      <c r="AK36" s="288">
        <v>44445</v>
      </c>
      <c r="AL36" s="289">
        <v>3790.04</v>
      </c>
      <c r="AM36" s="303">
        <v>44475</v>
      </c>
      <c r="AN36" s="304">
        <v>3796.3</v>
      </c>
      <c r="AO36" s="305">
        <v>44506</v>
      </c>
      <c r="AP36" s="306">
        <v>3881.76</v>
      </c>
      <c r="AQ36" s="521">
        <v>44536</v>
      </c>
      <c r="AR36" s="522">
        <v>3948.33</v>
      </c>
      <c r="AS36" s="307">
        <v>44567</v>
      </c>
      <c r="AT36" s="308">
        <v>4042.36</v>
      </c>
      <c r="AU36" s="523">
        <v>44598</v>
      </c>
      <c r="AV36" s="524">
        <v>3962.68</v>
      </c>
      <c r="AW36" s="319">
        <v>44626</v>
      </c>
      <c r="AX36" s="320">
        <v>3806.11</v>
      </c>
      <c r="AY36" s="525">
        <v>44657</v>
      </c>
      <c r="AZ36" s="526">
        <v>3723.79</v>
      </c>
      <c r="BA36" s="307">
        <v>44687</v>
      </c>
      <c r="BB36" s="308">
        <v>4086.08</v>
      </c>
      <c r="BC36" s="305">
        <v>44718</v>
      </c>
      <c r="BD36" s="306">
        <v>3771.63</v>
      </c>
      <c r="BE36" s="305">
        <v>44748</v>
      </c>
      <c r="BF36" s="329">
        <v>4259.8599999999997</v>
      </c>
      <c r="BG36" s="305">
        <v>44779</v>
      </c>
      <c r="BH36" s="329">
        <v>4337.28</v>
      </c>
      <c r="BI36" s="305">
        <v>44810</v>
      </c>
      <c r="BJ36" s="306">
        <v>4466.7299999999996</v>
      </c>
      <c r="BK36" s="307">
        <v>44840</v>
      </c>
      <c r="BL36" s="306">
        <v>4548.8900000000003</v>
      </c>
      <c r="BM36" s="305">
        <v>44871</v>
      </c>
      <c r="BN36" s="306">
        <v>5061.21</v>
      </c>
      <c r="BO36" s="305">
        <v>44901</v>
      </c>
      <c r="BP36" s="306">
        <v>4812.37</v>
      </c>
      <c r="BQ36" s="305">
        <v>44932</v>
      </c>
      <c r="BR36" s="306">
        <v>4989.58</v>
      </c>
      <c r="BS36" s="305">
        <v>44963</v>
      </c>
      <c r="BT36" s="306">
        <v>4669.74</v>
      </c>
      <c r="BU36" s="305">
        <v>44991</v>
      </c>
      <c r="BV36" s="306">
        <v>4780.8900000000003</v>
      </c>
      <c r="BW36" s="305">
        <v>45022</v>
      </c>
      <c r="BX36" s="306">
        <v>4570.91</v>
      </c>
      <c r="BY36" s="305">
        <v>45052</v>
      </c>
      <c r="BZ36" s="306">
        <v>4552.5600000000004</v>
      </c>
      <c r="CA36" s="305">
        <v>45083</v>
      </c>
      <c r="CB36" s="306">
        <v>4307.0200000000004</v>
      </c>
      <c r="CC36" s="305">
        <v>45113</v>
      </c>
      <c r="CD36" s="306">
        <v>4128.08</v>
      </c>
      <c r="CE36" s="305">
        <v>45144</v>
      </c>
      <c r="CF36" s="306">
        <v>4077.9</v>
      </c>
      <c r="CG36" s="305">
        <v>45175</v>
      </c>
      <c r="CH36" s="306">
        <v>4089.46</v>
      </c>
      <c r="CI36" s="305">
        <v>45205</v>
      </c>
      <c r="CJ36" s="306">
        <v>4359.3999999999996</v>
      </c>
      <c r="CK36" s="305">
        <v>45236</v>
      </c>
      <c r="CL36" s="306">
        <v>3975.09</v>
      </c>
      <c r="CM36" s="305">
        <v>45266</v>
      </c>
      <c r="CN36" s="306">
        <v>4023.21</v>
      </c>
      <c r="CO36" s="305">
        <v>45297</v>
      </c>
      <c r="CP36" s="306">
        <v>3912.93</v>
      </c>
      <c r="CQ36" s="305">
        <v>45328</v>
      </c>
      <c r="CR36" s="306">
        <v>3975.74</v>
      </c>
      <c r="CS36" s="305">
        <v>45357</v>
      </c>
      <c r="CT36" s="306">
        <v>3945.32</v>
      </c>
      <c r="CU36" s="305">
        <v>45388</v>
      </c>
      <c r="CV36" s="306">
        <v>3764.23</v>
      </c>
      <c r="CW36" s="305">
        <v>45418</v>
      </c>
      <c r="CX36" s="306">
        <v>3895.41</v>
      </c>
      <c r="CY36" s="305">
        <v>45449</v>
      </c>
      <c r="CZ36" s="306">
        <v>3927.91</v>
      </c>
      <c r="DA36" s="305">
        <v>45479</v>
      </c>
      <c r="DB36" s="306">
        <v>4093.72</v>
      </c>
      <c r="DC36" s="501">
        <v>45510</v>
      </c>
      <c r="DD36" s="306">
        <v>4184.3</v>
      </c>
      <c r="DE36" s="501">
        <v>45541</v>
      </c>
      <c r="DF36" s="306">
        <v>4172.5</v>
      </c>
      <c r="DG36" s="501">
        <v>45571</v>
      </c>
      <c r="DH36" s="306">
        <v>4173.66</v>
      </c>
      <c r="DI36" s="501">
        <v>45602</v>
      </c>
      <c r="DJ36" s="306">
        <v>4421.8599999999997</v>
      </c>
      <c r="DK36" s="501">
        <v>45632</v>
      </c>
      <c r="DL36" s="306">
        <v>4407.13</v>
      </c>
      <c r="DM36" s="501">
        <v>45663</v>
      </c>
      <c r="DN36" s="306">
        <v>4355.51</v>
      </c>
      <c r="DO36" s="501">
        <v>45694</v>
      </c>
      <c r="DP36" s="308">
        <v>4180.0600000000004</v>
      </c>
      <c r="DQ36" s="501">
        <v>45722</v>
      </c>
      <c r="DR36" s="306">
        <v>4125.63</v>
      </c>
      <c r="DS36" s="501">
        <v>45753</v>
      </c>
      <c r="DT36" s="306">
        <v>4274.03</v>
      </c>
      <c r="DU36" s="305">
        <v>45783</v>
      </c>
      <c r="DV36" s="306">
        <v>4283.62</v>
      </c>
      <c r="DW36" s="305">
        <v>45814</v>
      </c>
      <c r="DX36" s="306">
        <v>4097.66</v>
      </c>
      <c r="DY36" s="305">
        <v>45844</v>
      </c>
      <c r="DZ36" s="306">
        <v>3974.37</v>
      </c>
      <c r="EA36" s="305">
        <v>45875</v>
      </c>
      <c r="EB36" s="306">
        <v>4093.12</v>
      </c>
      <c r="EC36" s="305">
        <v>45906</v>
      </c>
      <c r="ED36" s="306">
        <v>3960.94</v>
      </c>
      <c r="EE36" s="305">
        <v>45936</v>
      </c>
      <c r="EF36" s="329">
        <v>3874.18</v>
      </c>
      <c r="EG36" s="305">
        <v>45967</v>
      </c>
      <c r="EH36" s="329">
        <v>3839.47</v>
      </c>
      <c r="EI36" s="305">
        <v>45997</v>
      </c>
      <c r="EJ36" s="329">
        <v>3830.02</v>
      </c>
      <c r="EK36" s="740">
        <v>46028</v>
      </c>
      <c r="EL36" s="741">
        <v>3770.03</v>
      </c>
      <c r="EM36" s="740">
        <v>46059</v>
      </c>
      <c r="EN36" s="741">
        <v>3691.75</v>
      </c>
    </row>
    <row r="37" spans="3:144" x14ac:dyDescent="0.35">
      <c r="C37" s="78">
        <v>43945</v>
      </c>
      <c r="D37" s="79">
        <v>4020.94</v>
      </c>
      <c r="E37" s="503">
        <v>43976</v>
      </c>
      <c r="F37" s="504">
        <v>3782.66</v>
      </c>
      <c r="G37" s="91">
        <v>44006</v>
      </c>
      <c r="H37" s="90">
        <v>3706.06</v>
      </c>
      <c r="I37" s="101">
        <v>44037</v>
      </c>
      <c r="J37" s="102">
        <v>3690.8</v>
      </c>
      <c r="K37" s="134">
        <v>44068</v>
      </c>
      <c r="L37" s="136">
        <v>3843.69</v>
      </c>
      <c r="N37"/>
      <c r="O37" s="537">
        <v>44129</v>
      </c>
      <c r="P37" s="538">
        <v>3782.66</v>
      </c>
      <c r="Q37" s="307">
        <v>44160</v>
      </c>
      <c r="R37" s="538" t="s">
        <v>245</v>
      </c>
      <c r="U37" s="539">
        <v>44221</v>
      </c>
      <c r="V37" s="540">
        <v>3525.25</v>
      </c>
      <c r="W37" s="213">
        <v>44252</v>
      </c>
      <c r="X37" s="214">
        <v>3578.29</v>
      </c>
      <c r="Y37" s="227">
        <v>44280</v>
      </c>
      <c r="Z37" s="228">
        <v>3635.12</v>
      </c>
      <c r="AA37" s="529">
        <v>44311</v>
      </c>
      <c r="AB37" s="530">
        <v>3640.07</v>
      </c>
      <c r="AC37" s="231">
        <v>44341</v>
      </c>
      <c r="AD37" s="232">
        <v>3750.66</v>
      </c>
      <c r="AE37" s="103">
        <v>44372</v>
      </c>
      <c r="AF37" s="104">
        <v>3770.35</v>
      </c>
      <c r="AG37" s="505">
        <v>44402</v>
      </c>
      <c r="AH37" s="506">
        <v>3874.44</v>
      </c>
      <c r="AI37" s="273">
        <v>44433</v>
      </c>
      <c r="AJ37" s="274">
        <v>3861.88</v>
      </c>
      <c r="AK37" s="290">
        <v>44446</v>
      </c>
      <c r="AL37" s="291">
        <v>3790.04</v>
      </c>
      <c r="AM37" s="301">
        <v>44476</v>
      </c>
      <c r="AN37" s="302">
        <v>3788.03</v>
      </c>
      <c r="AO37" s="307">
        <v>44507</v>
      </c>
      <c r="AP37" s="308">
        <v>3881.76</v>
      </c>
      <c r="AQ37" s="507">
        <v>44537</v>
      </c>
      <c r="AR37" s="508">
        <v>3944</v>
      </c>
      <c r="AS37" s="305">
        <v>44568</v>
      </c>
      <c r="AT37" s="306">
        <v>4039.31</v>
      </c>
      <c r="AU37" s="509">
        <v>44599</v>
      </c>
      <c r="AV37" s="510">
        <v>3962.68</v>
      </c>
      <c r="AW37" s="317">
        <v>44627</v>
      </c>
      <c r="AX37" s="318">
        <v>3806.11</v>
      </c>
      <c r="AY37" s="511">
        <v>44658</v>
      </c>
      <c r="AZ37" s="512">
        <v>3746.51</v>
      </c>
      <c r="BA37" s="305">
        <v>44688</v>
      </c>
      <c r="BB37" s="306">
        <v>4053.93</v>
      </c>
      <c r="BC37" s="307">
        <v>44719</v>
      </c>
      <c r="BD37" s="308">
        <v>3799.5</v>
      </c>
      <c r="BE37" s="307">
        <v>44749</v>
      </c>
      <c r="BF37" s="328">
        <v>4348.68</v>
      </c>
      <c r="BG37" s="307">
        <v>44780</v>
      </c>
      <c r="BH37" s="328">
        <v>4337.28</v>
      </c>
      <c r="BI37" s="307">
        <v>44811</v>
      </c>
      <c r="BJ37" s="308">
        <v>4480.1000000000004</v>
      </c>
      <c r="BK37" s="307">
        <v>44841</v>
      </c>
      <c r="BL37" s="308">
        <v>4627.6099999999997</v>
      </c>
      <c r="BM37" s="307">
        <v>44872</v>
      </c>
      <c r="BN37" s="308">
        <v>5061.21</v>
      </c>
      <c r="BO37" s="307">
        <v>44902</v>
      </c>
      <c r="BP37" s="308">
        <v>4818.32</v>
      </c>
      <c r="BQ37" s="307">
        <v>44933</v>
      </c>
      <c r="BR37" s="308">
        <v>4885.66</v>
      </c>
      <c r="BS37" s="307">
        <v>44964</v>
      </c>
      <c r="BT37" s="308">
        <v>4776.25</v>
      </c>
      <c r="BU37" s="307">
        <v>44992</v>
      </c>
      <c r="BV37" s="308">
        <v>4734.42</v>
      </c>
      <c r="BW37" s="307">
        <v>45023</v>
      </c>
      <c r="BX37" s="308">
        <v>4570.91</v>
      </c>
      <c r="BY37" s="307">
        <v>45053</v>
      </c>
      <c r="BZ37" s="308">
        <v>4552.5600000000004</v>
      </c>
      <c r="CA37" s="307">
        <v>45084</v>
      </c>
      <c r="CB37" s="308">
        <v>4245</v>
      </c>
      <c r="CC37" s="307">
        <v>45114</v>
      </c>
      <c r="CD37" s="308">
        <v>4195.93</v>
      </c>
      <c r="CE37" s="307">
        <v>45145</v>
      </c>
      <c r="CF37" s="308">
        <v>4077.9</v>
      </c>
      <c r="CG37" s="307">
        <v>45176</v>
      </c>
      <c r="CH37" s="308">
        <v>4093.04</v>
      </c>
      <c r="CI37" s="307">
        <v>45206</v>
      </c>
      <c r="CJ37" s="308">
        <v>4386.66</v>
      </c>
      <c r="CK37" s="307">
        <v>45237</v>
      </c>
      <c r="CL37" s="308">
        <v>3975.09</v>
      </c>
      <c r="CM37" s="307">
        <v>45267</v>
      </c>
      <c r="CN37" s="308">
        <v>3989.55</v>
      </c>
      <c r="CO37" s="307">
        <v>45298</v>
      </c>
      <c r="CP37" s="308">
        <v>3912.93</v>
      </c>
      <c r="CQ37" s="307">
        <v>45329</v>
      </c>
      <c r="CR37" s="308">
        <v>3950.57</v>
      </c>
      <c r="CS37" s="307">
        <v>45358</v>
      </c>
      <c r="CT37" s="308">
        <v>3932.55</v>
      </c>
      <c r="CU37" s="307">
        <v>45389</v>
      </c>
      <c r="CV37" s="308">
        <v>3764.23</v>
      </c>
      <c r="CW37" s="307">
        <v>45419</v>
      </c>
      <c r="CX37" s="308">
        <v>3894.23</v>
      </c>
      <c r="CY37" s="307">
        <v>45450</v>
      </c>
      <c r="CZ37" s="308">
        <v>3938.53</v>
      </c>
      <c r="DA37" s="307">
        <v>45480</v>
      </c>
      <c r="DB37" s="308">
        <v>4093.72</v>
      </c>
      <c r="DC37" s="500">
        <v>45511</v>
      </c>
      <c r="DD37" s="308">
        <v>4136.2700000000004</v>
      </c>
      <c r="DE37" s="500">
        <v>45542</v>
      </c>
      <c r="DF37" s="308">
        <v>4149.79</v>
      </c>
      <c r="DG37" s="500">
        <v>45572</v>
      </c>
      <c r="DH37" s="308">
        <v>4173.66</v>
      </c>
      <c r="DI37" s="500">
        <v>45603</v>
      </c>
      <c r="DJ37" s="308">
        <v>4430.3999999999996</v>
      </c>
      <c r="DK37" s="500">
        <v>45633</v>
      </c>
      <c r="DL37" s="308">
        <v>4396.5200000000004</v>
      </c>
      <c r="DM37" s="500">
        <v>45664</v>
      </c>
      <c r="DN37" s="308">
        <v>4355.51</v>
      </c>
      <c r="DO37" s="500">
        <v>45695</v>
      </c>
      <c r="DP37" s="306">
        <v>4150.99</v>
      </c>
      <c r="DQ37" s="500">
        <v>45723</v>
      </c>
      <c r="DR37" s="308">
        <v>4104.5600000000004</v>
      </c>
      <c r="DS37" s="500">
        <v>45754</v>
      </c>
      <c r="DT37" s="308">
        <v>4274.03</v>
      </c>
      <c r="DU37" s="307">
        <v>45784</v>
      </c>
      <c r="DV37" s="308">
        <v>4305.0200000000004</v>
      </c>
      <c r="DW37" s="307">
        <v>45815</v>
      </c>
      <c r="DX37" s="308">
        <v>4138.72</v>
      </c>
      <c r="DY37" s="307">
        <v>45845</v>
      </c>
      <c r="DZ37" s="308">
        <v>3974.37</v>
      </c>
      <c r="EA37" s="307">
        <v>45876</v>
      </c>
      <c r="EB37" s="308">
        <v>4049.35</v>
      </c>
      <c r="EC37" s="307">
        <v>45907</v>
      </c>
      <c r="ED37" s="308">
        <v>3960.94</v>
      </c>
      <c r="EE37" s="307">
        <v>45937</v>
      </c>
      <c r="EF37" s="328">
        <v>3853.19</v>
      </c>
      <c r="EG37" s="307">
        <v>45968</v>
      </c>
      <c r="EH37" s="328">
        <v>3807.06</v>
      </c>
      <c r="EI37" s="307">
        <v>45998</v>
      </c>
      <c r="EJ37" s="328">
        <v>3830.02</v>
      </c>
      <c r="EK37" s="738">
        <v>46029</v>
      </c>
      <c r="EL37" s="739">
        <v>3730.26</v>
      </c>
      <c r="EM37" s="738">
        <v>46060</v>
      </c>
      <c r="EN37" s="739">
        <v>3670.2</v>
      </c>
    </row>
    <row r="38" spans="3:144" x14ac:dyDescent="0.35">
      <c r="C38" s="80">
        <v>43944</v>
      </c>
      <c r="D38" s="81">
        <v>4037.95</v>
      </c>
      <c r="E38" s="513">
        <v>43975</v>
      </c>
      <c r="F38" s="514">
        <v>3782.66</v>
      </c>
      <c r="G38" s="92">
        <v>44005</v>
      </c>
      <c r="H38" s="89">
        <v>3733.27</v>
      </c>
      <c r="I38" s="96">
        <v>44036</v>
      </c>
      <c r="J38" s="97">
        <v>3660.15</v>
      </c>
      <c r="K38" s="133">
        <v>44067</v>
      </c>
      <c r="L38" s="135">
        <v>3827.27</v>
      </c>
      <c r="M38" s="137">
        <v>44098</v>
      </c>
      <c r="N38" s="138">
        <v>3863.6</v>
      </c>
      <c r="O38" s="535">
        <v>44128</v>
      </c>
      <c r="P38" s="536">
        <v>3782.66</v>
      </c>
      <c r="Q38" s="305">
        <v>44159</v>
      </c>
      <c r="R38" s="536" t="s">
        <v>246</v>
      </c>
      <c r="U38" s="541">
        <v>44220</v>
      </c>
      <c r="V38" s="542">
        <v>3525.25</v>
      </c>
      <c r="W38" s="215">
        <v>44251</v>
      </c>
      <c r="X38" s="216">
        <v>3590.37</v>
      </c>
      <c r="Y38" s="225">
        <v>44279</v>
      </c>
      <c r="Z38" s="226">
        <v>3589.82</v>
      </c>
      <c r="AA38" s="517">
        <v>44310</v>
      </c>
      <c r="AB38" s="518">
        <v>3640.07</v>
      </c>
      <c r="AC38" s="233">
        <v>44340</v>
      </c>
      <c r="AD38" s="234">
        <v>3738.19</v>
      </c>
      <c r="AE38" s="101">
        <v>44371</v>
      </c>
      <c r="AF38" s="102">
        <v>3773.11</v>
      </c>
      <c r="AG38" s="519">
        <v>44401</v>
      </c>
      <c r="AH38" s="520">
        <v>3874.44</v>
      </c>
      <c r="AI38" s="271">
        <v>44432</v>
      </c>
      <c r="AJ38" s="272">
        <v>3867.73</v>
      </c>
      <c r="AK38" s="288">
        <v>44447</v>
      </c>
      <c r="AL38" s="289">
        <v>3812.76</v>
      </c>
      <c r="AM38" s="303">
        <v>44477</v>
      </c>
      <c r="AN38" s="304">
        <v>3772.44</v>
      </c>
      <c r="AO38" s="305">
        <v>44508</v>
      </c>
      <c r="AP38" s="306">
        <v>3881.76</v>
      </c>
      <c r="AQ38" s="521">
        <v>44538</v>
      </c>
      <c r="AR38" s="522">
        <v>3906.1</v>
      </c>
      <c r="AS38" s="307">
        <v>44569</v>
      </c>
      <c r="AT38" s="308">
        <v>4043.46</v>
      </c>
      <c r="AU38" s="523">
        <v>44600</v>
      </c>
      <c r="AV38" s="524">
        <v>3963.84</v>
      </c>
      <c r="AW38" s="319">
        <v>44628</v>
      </c>
      <c r="AX38" s="320">
        <v>3813.41</v>
      </c>
      <c r="AY38" s="525">
        <v>44659</v>
      </c>
      <c r="AZ38" s="526">
        <v>3771.83</v>
      </c>
      <c r="BA38" s="307">
        <v>44689</v>
      </c>
      <c r="BB38" s="308">
        <v>4053.93</v>
      </c>
      <c r="BC38" s="305">
        <v>44720</v>
      </c>
      <c r="BD38" s="306">
        <v>3790.88</v>
      </c>
      <c r="BE38" s="305">
        <v>44750</v>
      </c>
      <c r="BF38" s="329">
        <v>4369.7</v>
      </c>
      <c r="BG38" s="305">
        <v>44781</v>
      </c>
      <c r="BH38" s="329">
        <v>4337.28</v>
      </c>
      <c r="BI38" s="305">
        <v>44812</v>
      </c>
      <c r="BJ38" s="306">
        <v>4446.3599999999997</v>
      </c>
      <c r="BK38" s="305">
        <v>44842</v>
      </c>
      <c r="BL38" s="306">
        <v>4605.29</v>
      </c>
      <c r="BM38" s="305">
        <v>44873</v>
      </c>
      <c r="BN38" s="306">
        <v>5061.21</v>
      </c>
      <c r="BO38" s="305">
        <v>44903</v>
      </c>
      <c r="BP38" s="306">
        <v>4825.83</v>
      </c>
      <c r="BQ38" s="305">
        <v>44934</v>
      </c>
      <c r="BR38" s="306">
        <v>4885.66</v>
      </c>
      <c r="BS38" s="305">
        <v>44965</v>
      </c>
      <c r="BT38" s="306">
        <v>4775.99</v>
      </c>
      <c r="BU38" s="305">
        <v>44993</v>
      </c>
      <c r="BV38" s="306">
        <v>4744.95</v>
      </c>
      <c r="BW38" s="305">
        <v>45024</v>
      </c>
      <c r="BX38" s="306">
        <v>4570.91</v>
      </c>
      <c r="BY38" s="305">
        <v>45054</v>
      </c>
      <c r="BZ38" s="306">
        <v>4552.5600000000004</v>
      </c>
      <c r="CA38" s="305">
        <v>45085</v>
      </c>
      <c r="CB38" s="306">
        <v>4209.1400000000003</v>
      </c>
      <c r="CC38" s="305">
        <v>45115</v>
      </c>
      <c r="CD38" s="306">
        <v>4189.96</v>
      </c>
      <c r="CE38" s="305">
        <v>45146</v>
      </c>
      <c r="CF38" s="306">
        <v>4077.9</v>
      </c>
      <c r="CG38" s="305">
        <v>45177</v>
      </c>
      <c r="CH38" s="306">
        <v>4045.83</v>
      </c>
      <c r="CI38" s="305">
        <v>45207</v>
      </c>
      <c r="CJ38" s="306">
        <v>4386.66</v>
      </c>
      <c r="CK38" s="305">
        <v>45238</v>
      </c>
      <c r="CL38" s="306">
        <v>4005.06</v>
      </c>
      <c r="CM38" s="305">
        <v>45268</v>
      </c>
      <c r="CN38" s="306">
        <v>3998.51</v>
      </c>
      <c r="CO38" s="305">
        <v>45299</v>
      </c>
      <c r="CP38" s="306">
        <v>3912.93</v>
      </c>
      <c r="CQ38" s="305">
        <v>45330</v>
      </c>
      <c r="CR38" s="306">
        <v>3962.23</v>
      </c>
      <c r="CS38" s="305">
        <v>45359</v>
      </c>
      <c r="CT38" s="306">
        <v>3920.79</v>
      </c>
      <c r="CU38" s="305">
        <v>45390</v>
      </c>
      <c r="CV38" s="306">
        <v>3764.23</v>
      </c>
      <c r="CW38" s="305">
        <v>45420</v>
      </c>
      <c r="CX38" s="306">
        <v>3884.84</v>
      </c>
      <c r="CY38" s="305">
        <v>45451</v>
      </c>
      <c r="CZ38" s="306">
        <v>3944.14</v>
      </c>
      <c r="DA38" s="305">
        <v>45481</v>
      </c>
      <c r="DB38" s="306">
        <v>4093.72</v>
      </c>
      <c r="DC38" s="501">
        <v>45512</v>
      </c>
      <c r="DD38" s="306">
        <v>4136.2700000000004</v>
      </c>
      <c r="DE38" s="501">
        <v>45543</v>
      </c>
      <c r="DF38" s="306">
        <v>4149.79</v>
      </c>
      <c r="DG38" s="501">
        <v>45573</v>
      </c>
      <c r="DH38" s="306">
        <v>4194.97</v>
      </c>
      <c r="DI38" s="501">
        <v>45604</v>
      </c>
      <c r="DJ38" s="306">
        <v>4344.55</v>
      </c>
      <c r="DK38" s="501">
        <v>45634</v>
      </c>
      <c r="DL38" s="306">
        <v>4396.5200000000004</v>
      </c>
      <c r="DM38" s="501">
        <v>45665</v>
      </c>
      <c r="DN38" s="306">
        <v>4342.3100000000004</v>
      </c>
      <c r="DO38" s="501">
        <v>45696</v>
      </c>
      <c r="DP38" s="308">
        <v>4113.7</v>
      </c>
      <c r="DQ38" s="501">
        <v>45724</v>
      </c>
      <c r="DR38" s="306">
        <v>4116.8</v>
      </c>
      <c r="DS38" s="501">
        <v>45755</v>
      </c>
      <c r="DT38" s="306">
        <v>4374.53</v>
      </c>
      <c r="DU38" s="305">
        <v>45785</v>
      </c>
      <c r="DV38" s="306">
        <v>4306.79</v>
      </c>
      <c r="DW38" s="305">
        <v>45816</v>
      </c>
      <c r="DX38" s="306">
        <v>4138.72</v>
      </c>
      <c r="DY38" s="305">
        <v>45846</v>
      </c>
      <c r="DZ38" s="306">
        <v>4022.29</v>
      </c>
      <c r="EA38" s="305">
        <v>45877</v>
      </c>
      <c r="EB38" s="306">
        <v>4049.35</v>
      </c>
      <c r="EC38" s="305">
        <v>45908</v>
      </c>
      <c r="ED38" s="306">
        <v>3960.94</v>
      </c>
      <c r="EE38" s="305">
        <v>45938</v>
      </c>
      <c r="EF38" s="329">
        <v>3867.54</v>
      </c>
      <c r="EG38" s="305">
        <v>45969</v>
      </c>
      <c r="EH38" s="329">
        <v>3779.2</v>
      </c>
      <c r="EI38" s="305">
        <v>45999</v>
      </c>
      <c r="EJ38" s="329">
        <v>3830.02</v>
      </c>
      <c r="EK38" s="740">
        <v>46030</v>
      </c>
      <c r="EL38" s="741">
        <v>3748.83</v>
      </c>
      <c r="EM38" s="740">
        <v>46061</v>
      </c>
      <c r="EN38" s="741">
        <v>3670.2</v>
      </c>
    </row>
    <row r="39" spans="3:144" x14ac:dyDescent="0.35">
      <c r="C39" s="78">
        <v>43943</v>
      </c>
      <c r="D39" s="79">
        <v>4045.01</v>
      </c>
      <c r="E39" s="503">
        <v>43974</v>
      </c>
      <c r="F39" s="504">
        <v>3782.66</v>
      </c>
      <c r="G39" s="91">
        <v>44004</v>
      </c>
      <c r="H39" s="90">
        <v>3733.27</v>
      </c>
      <c r="I39" s="98">
        <v>44035</v>
      </c>
      <c r="J39" s="99">
        <v>3627.28</v>
      </c>
      <c r="K39" s="134">
        <v>44066</v>
      </c>
      <c r="L39" s="136">
        <v>3827.27</v>
      </c>
      <c r="M39" s="139">
        <v>44097</v>
      </c>
      <c r="N39" s="140">
        <v>3813.3</v>
      </c>
      <c r="O39" s="537">
        <v>44127</v>
      </c>
      <c r="P39" s="538">
        <v>3776.73</v>
      </c>
      <c r="Q39" s="307">
        <v>44158</v>
      </c>
      <c r="R39" s="543">
        <v>3649.9</v>
      </c>
      <c r="U39" s="539">
        <v>44219</v>
      </c>
      <c r="V39" s="540">
        <v>3525.25</v>
      </c>
      <c r="W39" s="202">
        <v>44250</v>
      </c>
      <c r="X39" s="203">
        <v>3602.41</v>
      </c>
      <c r="Y39" s="227">
        <v>44278</v>
      </c>
      <c r="Z39" s="228">
        <v>3553.34</v>
      </c>
      <c r="AA39" s="529">
        <v>44309</v>
      </c>
      <c r="AB39" s="530">
        <v>3630.81</v>
      </c>
      <c r="AC39" s="231">
        <v>44339</v>
      </c>
      <c r="AD39" s="232">
        <v>3738.19</v>
      </c>
      <c r="AE39" s="103">
        <v>44370</v>
      </c>
      <c r="AF39" s="104">
        <v>3784.45</v>
      </c>
      <c r="AG39" s="505">
        <v>44400</v>
      </c>
      <c r="AH39" s="506">
        <v>3866.86</v>
      </c>
      <c r="AI39" s="273">
        <v>44431</v>
      </c>
      <c r="AJ39" s="274">
        <v>3874.95</v>
      </c>
      <c r="AK39" s="290">
        <v>44448</v>
      </c>
      <c r="AL39" s="291">
        <v>3816.14</v>
      </c>
      <c r="AM39" s="301">
        <v>44478</v>
      </c>
      <c r="AN39" s="302">
        <v>3765.8</v>
      </c>
      <c r="AO39" s="307">
        <v>44509</v>
      </c>
      <c r="AP39" s="308">
        <v>3874.41</v>
      </c>
      <c r="AQ39" s="507">
        <v>44539</v>
      </c>
      <c r="AR39" s="508">
        <v>3906.1</v>
      </c>
      <c r="AS39" s="305">
        <v>44570</v>
      </c>
      <c r="AT39" s="306">
        <v>4043.46</v>
      </c>
      <c r="AU39" s="509">
        <v>44601</v>
      </c>
      <c r="AV39" s="510">
        <v>3965.41</v>
      </c>
      <c r="AW39" s="317">
        <v>44629</v>
      </c>
      <c r="AX39" s="318">
        <v>3787.18</v>
      </c>
      <c r="AY39" s="511">
        <v>44660</v>
      </c>
      <c r="AZ39" s="512">
        <v>3777.41</v>
      </c>
      <c r="BA39" s="305">
        <v>44690</v>
      </c>
      <c r="BB39" s="306">
        <v>4053.93</v>
      </c>
      <c r="BC39" s="307">
        <v>44721</v>
      </c>
      <c r="BD39" s="308">
        <v>3782.65</v>
      </c>
      <c r="BE39" s="307">
        <v>44751</v>
      </c>
      <c r="BF39" s="328">
        <v>4388.2700000000004</v>
      </c>
      <c r="BG39" s="307">
        <v>44782</v>
      </c>
      <c r="BH39" s="328">
        <v>4307.09</v>
      </c>
      <c r="BI39" s="307">
        <v>44813</v>
      </c>
      <c r="BJ39" s="308">
        <v>4396.6899999999996</v>
      </c>
      <c r="BK39" s="307">
        <v>44843</v>
      </c>
      <c r="BL39" s="308">
        <v>4605.29</v>
      </c>
      <c r="BM39" s="307">
        <v>44874</v>
      </c>
      <c r="BN39" s="308">
        <v>5013.2</v>
      </c>
      <c r="BO39" s="307">
        <v>44904</v>
      </c>
      <c r="BP39" s="308">
        <v>4825.83</v>
      </c>
      <c r="BQ39" s="307">
        <v>44935</v>
      </c>
      <c r="BR39" s="308">
        <v>4885.66</v>
      </c>
      <c r="BS39" s="307">
        <v>44966</v>
      </c>
      <c r="BT39" s="308">
        <v>4769.8500000000004</v>
      </c>
      <c r="BU39" s="307">
        <v>44994</v>
      </c>
      <c r="BV39" s="308">
        <v>4755.59</v>
      </c>
      <c r="BW39" s="307">
        <v>45025</v>
      </c>
      <c r="BX39" s="308">
        <v>4570.91</v>
      </c>
      <c r="BY39" s="307">
        <v>45055</v>
      </c>
      <c r="BZ39" s="308">
        <v>4490.58</v>
      </c>
      <c r="CA39" s="307">
        <v>45086</v>
      </c>
      <c r="CB39" s="308">
        <v>4179.9799999999996</v>
      </c>
      <c r="CC39" s="307">
        <v>45116</v>
      </c>
      <c r="CD39" s="308">
        <v>4189.96</v>
      </c>
      <c r="CE39" s="307">
        <v>45147</v>
      </c>
      <c r="CF39" s="308">
        <v>4076.46</v>
      </c>
      <c r="CG39" s="307">
        <v>45178</v>
      </c>
      <c r="CH39" s="308">
        <v>4012.26</v>
      </c>
      <c r="CI39" s="307">
        <v>45208</v>
      </c>
      <c r="CJ39" s="308">
        <v>4386.66</v>
      </c>
      <c r="CK39" s="307">
        <v>45239</v>
      </c>
      <c r="CL39" s="308">
        <v>4065.79</v>
      </c>
      <c r="CM39" s="307">
        <v>45269</v>
      </c>
      <c r="CN39" s="308">
        <v>3998.51</v>
      </c>
      <c r="CO39" s="307">
        <v>45300</v>
      </c>
      <c r="CP39" s="308">
        <v>3912.93</v>
      </c>
      <c r="CQ39" s="307">
        <v>45331</v>
      </c>
      <c r="CR39" s="308">
        <v>3954.68</v>
      </c>
      <c r="CS39" s="307">
        <v>45360</v>
      </c>
      <c r="CT39" s="308">
        <v>3905.45</v>
      </c>
      <c r="CU39" s="307">
        <v>45391</v>
      </c>
      <c r="CV39" s="308">
        <v>3768.8</v>
      </c>
      <c r="CW39" s="307">
        <v>45421</v>
      </c>
      <c r="CX39" s="308">
        <v>3902.63</v>
      </c>
      <c r="CY39" s="307">
        <v>45452</v>
      </c>
      <c r="CZ39" s="308">
        <v>3944.14</v>
      </c>
      <c r="DA39" s="307">
        <v>45482</v>
      </c>
      <c r="DB39" s="308">
        <v>4052.99</v>
      </c>
      <c r="DC39" s="500">
        <v>45513</v>
      </c>
      <c r="DD39" s="308">
        <v>4100.79</v>
      </c>
      <c r="DE39" s="500">
        <v>45544</v>
      </c>
      <c r="DF39" s="308">
        <v>4149.79</v>
      </c>
      <c r="DG39" s="500">
        <v>45574</v>
      </c>
      <c r="DH39" s="308">
        <v>4233.54</v>
      </c>
      <c r="DI39" s="500">
        <v>45605</v>
      </c>
      <c r="DJ39" s="308">
        <v>4346.7</v>
      </c>
      <c r="DK39" s="500">
        <v>45635</v>
      </c>
      <c r="DL39" s="308">
        <v>4396.5200000000004</v>
      </c>
      <c r="DM39" s="500">
        <v>45666</v>
      </c>
      <c r="DN39" s="308">
        <v>4347.42</v>
      </c>
      <c r="DO39" s="500">
        <v>45697</v>
      </c>
      <c r="DP39" s="306">
        <v>4113.7</v>
      </c>
      <c r="DQ39" s="500">
        <v>45725</v>
      </c>
      <c r="DR39" s="308">
        <v>4116.8</v>
      </c>
      <c r="DS39" s="500">
        <v>45756</v>
      </c>
      <c r="DT39" s="308">
        <v>4387.9799999999996</v>
      </c>
      <c r="DU39" s="307">
        <v>45786</v>
      </c>
      <c r="DV39" s="308">
        <v>4260.22</v>
      </c>
      <c r="DW39" s="307">
        <v>45817</v>
      </c>
      <c r="DX39" s="308">
        <v>4138.72</v>
      </c>
      <c r="DY39" s="307">
        <v>45847</v>
      </c>
      <c r="DZ39" s="308">
        <v>4054.13</v>
      </c>
      <c r="EA39" s="307">
        <v>45878</v>
      </c>
      <c r="EB39" s="308">
        <v>4034.74</v>
      </c>
      <c r="EC39" s="307">
        <v>45909</v>
      </c>
      <c r="ED39" s="308">
        <v>3945.29</v>
      </c>
      <c r="EE39" s="307">
        <v>45939</v>
      </c>
      <c r="EF39" s="328">
        <v>3879.8</v>
      </c>
      <c r="EG39" s="307">
        <v>45970</v>
      </c>
      <c r="EH39" s="328">
        <v>3779.2</v>
      </c>
      <c r="EI39" s="307">
        <v>46000</v>
      </c>
      <c r="EJ39" s="328">
        <v>3830.02</v>
      </c>
      <c r="EK39" s="738">
        <v>46031</v>
      </c>
      <c r="EL39" s="739">
        <v>3734.67</v>
      </c>
      <c r="EM39" s="738">
        <v>46062</v>
      </c>
      <c r="EN39" s="739">
        <v>3670.2</v>
      </c>
    </row>
    <row r="40" spans="3:144" x14ac:dyDescent="0.35">
      <c r="C40" s="80">
        <v>43942</v>
      </c>
      <c r="D40" s="81">
        <v>3967.76</v>
      </c>
      <c r="E40" s="513">
        <v>43973</v>
      </c>
      <c r="F40" s="514">
        <v>3774.25</v>
      </c>
      <c r="G40" s="92">
        <v>44003</v>
      </c>
      <c r="H40" s="89">
        <v>3733.27</v>
      </c>
      <c r="I40" s="96">
        <v>44034</v>
      </c>
      <c r="J40" s="97">
        <v>3628.2</v>
      </c>
      <c r="K40" s="133">
        <v>44065</v>
      </c>
      <c r="L40" s="135">
        <v>3827.27</v>
      </c>
      <c r="M40" s="137">
        <v>44096</v>
      </c>
      <c r="N40" s="138">
        <v>3790.54</v>
      </c>
      <c r="O40" s="535">
        <v>44126</v>
      </c>
      <c r="P40" s="536">
        <v>3784.51</v>
      </c>
      <c r="Q40" s="305">
        <v>44157</v>
      </c>
      <c r="R40" s="544">
        <v>3649.9</v>
      </c>
      <c r="S40" s="152">
        <v>44187</v>
      </c>
      <c r="T40" s="153">
        <v>3442.41</v>
      </c>
      <c r="U40" s="541">
        <v>44218</v>
      </c>
      <c r="V40" s="542">
        <v>3477.48</v>
      </c>
      <c r="W40" s="204">
        <v>44249</v>
      </c>
      <c r="X40" s="205">
        <v>3555.4</v>
      </c>
      <c r="Y40" s="225">
        <v>44277</v>
      </c>
      <c r="Z40" s="226">
        <v>3553.34</v>
      </c>
      <c r="AA40" s="517">
        <v>44308</v>
      </c>
      <c r="AB40" s="518">
        <v>3639.12</v>
      </c>
      <c r="AC40" s="233">
        <v>44338</v>
      </c>
      <c r="AD40" s="234">
        <v>3738.19</v>
      </c>
      <c r="AE40" s="101">
        <v>44369</v>
      </c>
      <c r="AF40" s="102">
        <v>3758.08</v>
      </c>
      <c r="AG40" s="519">
        <v>44399</v>
      </c>
      <c r="AH40" s="520">
        <v>3855.68</v>
      </c>
      <c r="AI40" s="271">
        <v>44430</v>
      </c>
      <c r="AJ40" s="272">
        <v>3874.95</v>
      </c>
      <c r="AK40" s="288">
        <v>44449</v>
      </c>
      <c r="AL40" s="289">
        <v>3829.72</v>
      </c>
      <c r="AM40" s="303">
        <v>44479</v>
      </c>
      <c r="AN40" s="304">
        <v>3765.8</v>
      </c>
      <c r="AO40" s="305">
        <v>44510</v>
      </c>
      <c r="AP40" s="306">
        <v>3876.86</v>
      </c>
      <c r="AQ40" s="521">
        <v>44540</v>
      </c>
      <c r="AR40" s="522">
        <v>3899.87</v>
      </c>
      <c r="AS40" s="307">
        <v>44571</v>
      </c>
      <c r="AT40" s="308">
        <v>4043.46</v>
      </c>
      <c r="AU40" s="523">
        <v>44602</v>
      </c>
      <c r="AV40" s="524">
        <v>3939.31</v>
      </c>
      <c r="AW40" s="319">
        <v>44630</v>
      </c>
      <c r="AX40" s="320">
        <v>3746.43</v>
      </c>
      <c r="AY40" s="525">
        <v>44661</v>
      </c>
      <c r="AZ40" s="526">
        <v>3777.41</v>
      </c>
      <c r="BA40" s="307">
        <v>44691</v>
      </c>
      <c r="BB40" s="308">
        <v>4085.76</v>
      </c>
      <c r="BC40" s="305">
        <v>44722</v>
      </c>
      <c r="BD40" s="306">
        <v>3833.34</v>
      </c>
      <c r="BE40" s="305">
        <v>44752</v>
      </c>
      <c r="BF40" s="329">
        <v>4388.2700000000004</v>
      </c>
      <c r="BG40" s="305">
        <v>44783</v>
      </c>
      <c r="BH40" s="329">
        <v>4309.6899999999996</v>
      </c>
      <c r="BI40" s="305">
        <v>44814</v>
      </c>
      <c r="BJ40" s="306">
        <v>4365.32</v>
      </c>
      <c r="BK40" s="307">
        <v>44844</v>
      </c>
      <c r="BL40" s="306">
        <v>4605.29</v>
      </c>
      <c r="BM40" s="305">
        <v>44875</v>
      </c>
      <c r="BN40" s="306">
        <v>4914.71</v>
      </c>
      <c r="BO40" s="305">
        <v>44905</v>
      </c>
      <c r="BP40" s="306">
        <v>4815.99</v>
      </c>
      <c r="BQ40" s="305">
        <v>44936</v>
      </c>
      <c r="BR40" s="306">
        <v>4885.66</v>
      </c>
      <c r="BS40" s="305">
        <v>44967</v>
      </c>
      <c r="BT40" s="306">
        <v>4742.05</v>
      </c>
      <c r="BU40" s="305">
        <v>44995</v>
      </c>
      <c r="BV40" s="306">
        <v>4748.6099999999997</v>
      </c>
      <c r="BW40" s="305">
        <v>45026</v>
      </c>
      <c r="BX40" s="306">
        <v>4570.91</v>
      </c>
      <c r="BY40" s="305">
        <v>45056</v>
      </c>
      <c r="BZ40" s="306">
        <v>4540.34</v>
      </c>
      <c r="CA40" s="305">
        <v>45087</v>
      </c>
      <c r="CB40" s="306">
        <v>4173.66</v>
      </c>
      <c r="CC40" s="305">
        <v>45117</v>
      </c>
      <c r="CD40" s="306">
        <v>4189.96</v>
      </c>
      <c r="CE40" s="305">
        <v>45148</v>
      </c>
      <c r="CF40" s="306">
        <v>4031.65</v>
      </c>
      <c r="CG40" s="305">
        <v>45179</v>
      </c>
      <c r="CH40" s="306">
        <v>4012.26</v>
      </c>
      <c r="CI40" s="305">
        <v>45209</v>
      </c>
      <c r="CJ40" s="306">
        <v>4386.66</v>
      </c>
      <c r="CK40" s="305">
        <v>45240</v>
      </c>
      <c r="CL40" s="306">
        <v>4056.94</v>
      </c>
      <c r="CM40" s="305">
        <v>45270</v>
      </c>
      <c r="CN40" s="306">
        <v>3998.51</v>
      </c>
      <c r="CO40" s="305">
        <v>45301</v>
      </c>
      <c r="CP40" s="306">
        <v>3934.13</v>
      </c>
      <c r="CQ40" s="305">
        <v>45332</v>
      </c>
      <c r="CR40" s="306">
        <v>3926.08</v>
      </c>
      <c r="CS40" s="305">
        <v>45361</v>
      </c>
      <c r="CT40" s="306">
        <v>3905.45</v>
      </c>
      <c r="CU40" s="305">
        <v>45392</v>
      </c>
      <c r="CV40" s="306">
        <v>3763.43</v>
      </c>
      <c r="CW40" s="305">
        <v>45422</v>
      </c>
      <c r="CX40" s="306">
        <v>3900.38</v>
      </c>
      <c r="CY40" s="305">
        <v>45453</v>
      </c>
      <c r="CZ40" s="306">
        <v>3944.14</v>
      </c>
      <c r="DA40" s="305">
        <v>45483</v>
      </c>
      <c r="DB40" s="306">
        <v>4022.05</v>
      </c>
      <c r="DC40" s="501">
        <v>45514</v>
      </c>
      <c r="DD40" s="306">
        <v>4064.51</v>
      </c>
      <c r="DE40" s="501">
        <v>45545</v>
      </c>
      <c r="DF40" s="306">
        <v>4220.68</v>
      </c>
      <c r="DG40" s="501">
        <v>45575</v>
      </c>
      <c r="DH40" s="306">
        <v>4233.17</v>
      </c>
      <c r="DI40" s="501">
        <v>45606</v>
      </c>
      <c r="DJ40" s="306">
        <v>4346.7</v>
      </c>
      <c r="DK40" s="501">
        <v>45636</v>
      </c>
      <c r="DL40" s="306">
        <v>4379.71</v>
      </c>
      <c r="DM40" s="501">
        <v>45667</v>
      </c>
      <c r="DN40" s="306">
        <v>4321.1899999999996</v>
      </c>
      <c r="DO40" s="501">
        <v>45698</v>
      </c>
      <c r="DP40" s="308">
        <v>4113.7</v>
      </c>
      <c r="DQ40" s="501">
        <v>45726</v>
      </c>
      <c r="DR40" s="306">
        <v>4116.8</v>
      </c>
      <c r="DS40" s="501">
        <v>45757</v>
      </c>
      <c r="DT40" s="306">
        <v>4416.6899999999996</v>
      </c>
      <c r="DU40" s="305">
        <v>45787</v>
      </c>
      <c r="DV40" s="306">
        <v>4239.2299999999996</v>
      </c>
      <c r="DW40" s="305">
        <v>45818</v>
      </c>
      <c r="DX40" s="306">
        <v>4138.53</v>
      </c>
      <c r="DY40" s="305">
        <v>45848</v>
      </c>
      <c r="DZ40" s="306">
        <v>4026.09</v>
      </c>
      <c r="EA40" s="305">
        <v>45879</v>
      </c>
      <c r="EB40" s="306">
        <v>4034.74</v>
      </c>
      <c r="EC40" s="305">
        <v>45910</v>
      </c>
      <c r="ED40" s="306">
        <v>3919.13</v>
      </c>
      <c r="EE40" s="305">
        <v>45940</v>
      </c>
      <c r="EF40" s="329">
        <v>3894.99</v>
      </c>
      <c r="EG40" s="305">
        <v>45971</v>
      </c>
      <c r="EH40" s="329">
        <v>3779.2</v>
      </c>
      <c r="EI40" s="305">
        <v>46001</v>
      </c>
      <c r="EJ40" s="329">
        <v>3861.34</v>
      </c>
      <c r="EK40" s="740">
        <v>46032</v>
      </c>
      <c r="EL40" s="741">
        <v>3717.09</v>
      </c>
      <c r="EM40" s="740">
        <v>46063</v>
      </c>
      <c r="EN40" s="741">
        <v>3651.9</v>
      </c>
    </row>
    <row r="41" spans="3:144" x14ac:dyDescent="0.35">
      <c r="C41" s="78">
        <v>43941</v>
      </c>
      <c r="D41" s="79">
        <v>3973.06</v>
      </c>
      <c r="E41" s="503">
        <v>43972</v>
      </c>
      <c r="F41" s="504">
        <v>3804.12</v>
      </c>
      <c r="G41" s="91">
        <v>44002</v>
      </c>
      <c r="H41" s="90">
        <v>3733.27</v>
      </c>
      <c r="I41" s="98">
        <v>44033</v>
      </c>
      <c r="J41" s="99">
        <v>3651.93</v>
      </c>
      <c r="K41" s="134">
        <v>44064</v>
      </c>
      <c r="L41" s="136">
        <v>3792.13</v>
      </c>
      <c r="M41" s="139">
        <v>44095</v>
      </c>
      <c r="N41" s="140">
        <v>3725.37</v>
      </c>
      <c r="O41" s="537">
        <v>44125</v>
      </c>
      <c r="P41" s="538">
        <v>3830.79</v>
      </c>
      <c r="Q41" s="307">
        <v>44156</v>
      </c>
      <c r="R41" s="543">
        <v>3649.9</v>
      </c>
      <c r="S41" s="154">
        <v>44186</v>
      </c>
      <c r="T41" s="155">
        <v>3420.26</v>
      </c>
      <c r="U41" s="539">
        <v>44217</v>
      </c>
      <c r="V41" s="540">
        <v>3476.19</v>
      </c>
      <c r="W41" s="202">
        <v>44248</v>
      </c>
      <c r="X41" s="203">
        <v>3555.4</v>
      </c>
      <c r="Y41" s="227">
        <v>44276</v>
      </c>
      <c r="Z41" s="228">
        <v>3553.34</v>
      </c>
      <c r="AA41" s="529">
        <v>44307</v>
      </c>
      <c r="AB41" s="530">
        <v>3636.26</v>
      </c>
      <c r="AC41" s="231">
        <v>44337</v>
      </c>
      <c r="AD41" s="232">
        <v>3721.57</v>
      </c>
      <c r="AE41" s="103">
        <v>44368</v>
      </c>
      <c r="AF41" s="104">
        <v>3753.77</v>
      </c>
      <c r="AG41" s="505">
        <v>44398</v>
      </c>
      <c r="AH41" s="506">
        <v>3842.97</v>
      </c>
      <c r="AI41" s="273">
        <v>44429</v>
      </c>
      <c r="AJ41" s="274">
        <v>3874.95</v>
      </c>
      <c r="AK41" s="290">
        <v>44450</v>
      </c>
      <c r="AL41" s="291">
        <v>3836.85</v>
      </c>
      <c r="AM41" s="301">
        <v>44480</v>
      </c>
      <c r="AN41" s="302">
        <v>3765.8</v>
      </c>
      <c r="AO41" s="307">
        <v>44511</v>
      </c>
      <c r="AP41" s="308">
        <v>3875.38</v>
      </c>
      <c r="AQ41" s="507">
        <v>44541</v>
      </c>
      <c r="AR41" s="508">
        <v>3887.71</v>
      </c>
      <c r="AS41" s="305">
        <v>44572</v>
      </c>
      <c r="AT41" s="306">
        <v>4043.46</v>
      </c>
      <c r="AU41" s="509">
        <v>44603</v>
      </c>
      <c r="AV41" s="510">
        <v>3917.75</v>
      </c>
      <c r="AW41" s="317">
        <v>44631</v>
      </c>
      <c r="AX41" s="318">
        <v>3786</v>
      </c>
      <c r="AY41" s="511">
        <v>44662</v>
      </c>
      <c r="AZ41" s="512">
        <v>3777.41</v>
      </c>
      <c r="BA41" s="305">
        <v>44692</v>
      </c>
      <c r="BB41" s="306">
        <v>4086.71</v>
      </c>
      <c r="BC41" s="307">
        <v>44723</v>
      </c>
      <c r="BD41" s="308">
        <v>3912.51</v>
      </c>
      <c r="BE41" s="307">
        <v>44753</v>
      </c>
      <c r="BF41" s="328">
        <v>4388.2700000000004</v>
      </c>
      <c r="BG41" s="307">
        <v>44784</v>
      </c>
      <c r="BH41" s="328">
        <v>4273.82</v>
      </c>
      <c r="BI41" s="307">
        <v>44815</v>
      </c>
      <c r="BJ41" s="308">
        <v>4365.32</v>
      </c>
      <c r="BK41" s="305">
        <v>44845</v>
      </c>
      <c r="BL41" s="308">
        <v>4605.29</v>
      </c>
      <c r="BM41" s="307">
        <v>44876</v>
      </c>
      <c r="BN41" s="308">
        <v>4806.07</v>
      </c>
      <c r="BO41" s="307">
        <v>44906</v>
      </c>
      <c r="BP41" s="308">
        <v>4815.99</v>
      </c>
      <c r="BQ41" s="307">
        <v>44937</v>
      </c>
      <c r="BR41" s="308">
        <v>4807.8500000000004</v>
      </c>
      <c r="BS41" s="307">
        <v>44968</v>
      </c>
      <c r="BT41" s="308">
        <v>4777.7299999999996</v>
      </c>
      <c r="BU41" s="307">
        <v>44996</v>
      </c>
      <c r="BV41" s="308">
        <v>4748.1400000000003</v>
      </c>
      <c r="BW41" s="307">
        <v>45027</v>
      </c>
      <c r="BX41" s="308">
        <v>4564.24</v>
      </c>
      <c r="BY41" s="307">
        <v>45057</v>
      </c>
      <c r="BZ41" s="308">
        <v>4545.3900000000003</v>
      </c>
      <c r="CA41" s="307">
        <v>45088</v>
      </c>
      <c r="CB41" s="308">
        <v>4173.66</v>
      </c>
      <c r="CC41" s="307">
        <v>45118</v>
      </c>
      <c r="CD41" s="308">
        <v>4154.0600000000004</v>
      </c>
      <c r="CE41" s="307">
        <v>45149</v>
      </c>
      <c r="CF41" s="308">
        <v>3955.23</v>
      </c>
      <c r="CG41" s="307">
        <v>45180</v>
      </c>
      <c r="CH41" s="308">
        <v>4012.26</v>
      </c>
      <c r="CI41" s="307">
        <v>45210</v>
      </c>
      <c r="CJ41" s="308">
        <v>4231.97</v>
      </c>
      <c r="CK41" s="307">
        <v>45241</v>
      </c>
      <c r="CL41" s="308">
        <v>4037.19</v>
      </c>
      <c r="CM41" s="307">
        <v>45271</v>
      </c>
      <c r="CN41" s="308">
        <v>3998.51</v>
      </c>
      <c r="CO41" s="307">
        <v>45302</v>
      </c>
      <c r="CP41" s="308">
        <v>3946.39</v>
      </c>
      <c r="CQ41" s="307">
        <v>45333</v>
      </c>
      <c r="CR41" s="308">
        <v>3926.08</v>
      </c>
      <c r="CS41" s="307">
        <v>45362</v>
      </c>
      <c r="CT41" s="308">
        <v>3905.45</v>
      </c>
      <c r="CU41" s="307">
        <v>45393</v>
      </c>
      <c r="CV41" s="308">
        <v>3815.44</v>
      </c>
      <c r="CW41" s="307">
        <v>45423</v>
      </c>
      <c r="CX41" s="308">
        <v>3888.21</v>
      </c>
      <c r="CY41" s="307">
        <v>45454</v>
      </c>
      <c r="CZ41" s="308">
        <v>3944.14</v>
      </c>
      <c r="DA41" s="307">
        <v>45484</v>
      </c>
      <c r="DB41" s="308">
        <v>3979.91</v>
      </c>
      <c r="DC41" s="500">
        <v>45515</v>
      </c>
      <c r="DD41" s="308">
        <v>4064.51</v>
      </c>
      <c r="DE41" s="500">
        <v>45546</v>
      </c>
      <c r="DF41" s="308">
        <v>4285.6099999999997</v>
      </c>
      <c r="DG41" s="500">
        <v>45576</v>
      </c>
      <c r="DH41" s="308">
        <v>4217.3999999999996</v>
      </c>
      <c r="DI41" s="500">
        <v>45607</v>
      </c>
      <c r="DJ41" s="308">
        <v>4346.7</v>
      </c>
      <c r="DK41" s="547">
        <v>45637</v>
      </c>
      <c r="DL41" s="692">
        <v>4377.34</v>
      </c>
      <c r="DM41" s="500">
        <v>45668</v>
      </c>
      <c r="DN41" s="308">
        <v>4343.4799999999996</v>
      </c>
      <c r="DO41" s="500">
        <v>45699</v>
      </c>
      <c r="DP41" s="306">
        <v>4132.93</v>
      </c>
      <c r="DQ41" s="500">
        <v>45727</v>
      </c>
      <c r="DR41" s="308">
        <v>4161.96</v>
      </c>
      <c r="DS41" s="500">
        <v>45758</v>
      </c>
      <c r="DT41" s="308">
        <v>4351.55</v>
      </c>
      <c r="DU41" s="307">
        <v>45788</v>
      </c>
      <c r="DV41" s="308">
        <v>4239.2299999999996</v>
      </c>
      <c r="DW41" s="307">
        <v>45819</v>
      </c>
      <c r="DX41" s="308">
        <v>4190.8999999999996</v>
      </c>
      <c r="DY41" s="307">
        <v>45849</v>
      </c>
      <c r="DZ41" s="308">
        <v>4013.5</v>
      </c>
      <c r="EA41" s="307">
        <v>45880</v>
      </c>
      <c r="EB41" s="308">
        <v>4034.74</v>
      </c>
      <c r="EC41" s="307">
        <v>45911</v>
      </c>
      <c r="ED41" s="308">
        <v>3921.58</v>
      </c>
      <c r="EE41" s="307">
        <v>45941</v>
      </c>
      <c r="EF41" s="328">
        <v>3913.24</v>
      </c>
      <c r="EG41" s="307">
        <v>45972</v>
      </c>
      <c r="EH41" s="328">
        <v>3760.93</v>
      </c>
      <c r="EI41" s="307">
        <v>46002</v>
      </c>
      <c r="EJ41" s="328">
        <v>3854.28</v>
      </c>
      <c r="EK41" s="738">
        <v>46033</v>
      </c>
      <c r="EL41" s="739">
        <v>3717.09</v>
      </c>
      <c r="EM41" s="738">
        <v>46064</v>
      </c>
      <c r="EN41" s="739">
        <v>3659.71</v>
      </c>
    </row>
    <row r="42" spans="3:144" x14ac:dyDescent="0.35">
      <c r="C42" s="80">
        <v>43940</v>
      </c>
      <c r="D42" s="81">
        <v>3973.06</v>
      </c>
      <c r="E42" s="513">
        <v>43971</v>
      </c>
      <c r="F42" s="514">
        <v>3824.3</v>
      </c>
      <c r="G42" s="92">
        <v>44001</v>
      </c>
      <c r="H42" s="89">
        <v>3760.22</v>
      </c>
      <c r="I42" s="96">
        <v>44032</v>
      </c>
      <c r="J42" s="97">
        <v>3651.93</v>
      </c>
      <c r="K42" s="133">
        <v>44063</v>
      </c>
      <c r="L42" s="135">
        <v>3766.73</v>
      </c>
      <c r="M42" s="137">
        <v>44094</v>
      </c>
      <c r="N42" s="138">
        <v>3725.37</v>
      </c>
      <c r="O42" s="535">
        <v>44124</v>
      </c>
      <c r="P42" s="536">
        <v>3842.76</v>
      </c>
      <c r="Q42" s="305">
        <v>44155</v>
      </c>
      <c r="R42" s="544">
        <v>3647.1</v>
      </c>
      <c r="S42" s="152">
        <v>44185</v>
      </c>
      <c r="T42" s="153">
        <v>3420.26</v>
      </c>
      <c r="U42" s="541">
        <v>44216</v>
      </c>
      <c r="V42" s="542">
        <v>3482.03</v>
      </c>
      <c r="W42" s="204">
        <v>44247</v>
      </c>
      <c r="X42" s="205">
        <v>3555.4</v>
      </c>
      <c r="Y42" s="225">
        <v>44275</v>
      </c>
      <c r="Z42" s="226">
        <v>3553.34</v>
      </c>
      <c r="AA42" s="517">
        <v>44306</v>
      </c>
      <c r="AB42" s="518">
        <v>3606.42</v>
      </c>
      <c r="AC42" s="233">
        <v>44336</v>
      </c>
      <c r="AD42" s="234">
        <v>3682.66</v>
      </c>
      <c r="AE42" s="101">
        <v>44367</v>
      </c>
      <c r="AF42" s="102">
        <v>3753.77</v>
      </c>
      <c r="AG42" s="519">
        <v>44397</v>
      </c>
      <c r="AH42" s="520">
        <v>3842.97</v>
      </c>
      <c r="AI42" s="271">
        <v>44428</v>
      </c>
      <c r="AJ42" s="272">
        <v>3876.08</v>
      </c>
      <c r="AK42" s="288">
        <v>44451</v>
      </c>
      <c r="AL42" s="289">
        <v>3836.85</v>
      </c>
      <c r="AM42" s="303">
        <v>44481</v>
      </c>
      <c r="AN42" s="304">
        <v>3765.8</v>
      </c>
      <c r="AO42" s="305">
        <v>44512</v>
      </c>
      <c r="AP42" s="306">
        <v>3875.38</v>
      </c>
      <c r="AQ42" s="521">
        <v>44542</v>
      </c>
      <c r="AR42" s="522">
        <v>3887.71</v>
      </c>
      <c r="AS42" s="307">
        <v>44573</v>
      </c>
      <c r="AT42" s="308">
        <v>4011.65</v>
      </c>
      <c r="AU42" s="523">
        <v>44604</v>
      </c>
      <c r="AV42" s="524">
        <v>3917.52</v>
      </c>
      <c r="AW42" s="319">
        <v>44632</v>
      </c>
      <c r="AX42" s="320">
        <v>3827.64</v>
      </c>
      <c r="AY42" s="525">
        <v>44663</v>
      </c>
      <c r="AZ42" s="526">
        <v>3744.16</v>
      </c>
      <c r="BA42" s="307">
        <v>44693</v>
      </c>
      <c r="BB42" s="308">
        <v>4080.32</v>
      </c>
      <c r="BC42" s="305">
        <v>44724</v>
      </c>
      <c r="BD42" s="306">
        <v>3912.51</v>
      </c>
      <c r="BE42" s="305">
        <v>44754</v>
      </c>
      <c r="BF42" s="329">
        <v>4513.28</v>
      </c>
      <c r="BG42" s="305">
        <v>44785</v>
      </c>
      <c r="BH42" s="329">
        <v>4231.45</v>
      </c>
      <c r="BI42" s="305">
        <v>44816</v>
      </c>
      <c r="BJ42" s="306">
        <v>4365.32</v>
      </c>
      <c r="BK42" s="307">
        <v>44846</v>
      </c>
      <c r="BL42" s="306">
        <v>4611.88</v>
      </c>
      <c r="BM42" s="305">
        <v>44877</v>
      </c>
      <c r="BN42" s="306">
        <v>4806.07</v>
      </c>
      <c r="BO42" s="305">
        <v>44907</v>
      </c>
      <c r="BP42" s="306">
        <v>4815.99</v>
      </c>
      <c r="BQ42" s="305">
        <v>44938</v>
      </c>
      <c r="BR42" s="306">
        <v>4748.54</v>
      </c>
      <c r="BS42" s="305">
        <v>44969</v>
      </c>
      <c r="BT42" s="306">
        <v>4777.7299999999996</v>
      </c>
      <c r="BU42" s="305">
        <v>44997</v>
      </c>
      <c r="BV42" s="306">
        <v>4748.1400000000003</v>
      </c>
      <c r="BW42" s="305">
        <v>45028</v>
      </c>
      <c r="BX42" s="306">
        <v>4516.76</v>
      </c>
      <c r="BY42" s="305">
        <v>45058</v>
      </c>
      <c r="BZ42" s="306">
        <v>4601.1499999999996</v>
      </c>
      <c r="CA42" s="305">
        <v>45089</v>
      </c>
      <c r="CB42" s="306">
        <v>4173.66</v>
      </c>
      <c r="CC42" s="305">
        <v>45119</v>
      </c>
      <c r="CD42" s="306">
        <v>4193.59</v>
      </c>
      <c r="CE42" s="305">
        <v>45150</v>
      </c>
      <c r="CF42" s="306">
        <v>3973.41</v>
      </c>
      <c r="CG42" s="305">
        <v>45181</v>
      </c>
      <c r="CH42" s="306">
        <v>3997.74</v>
      </c>
      <c r="CI42" s="305">
        <v>45211</v>
      </c>
      <c r="CJ42" s="306">
        <v>4212.5</v>
      </c>
      <c r="CK42" s="305">
        <v>45242</v>
      </c>
      <c r="CL42" s="306">
        <v>4037.19</v>
      </c>
      <c r="CM42" s="305">
        <v>45272</v>
      </c>
      <c r="CN42" s="306">
        <v>3982.5</v>
      </c>
      <c r="CO42" s="305">
        <v>45303</v>
      </c>
      <c r="CP42" s="306">
        <v>3929.79</v>
      </c>
      <c r="CQ42" s="305">
        <v>45334</v>
      </c>
      <c r="CR42" s="306">
        <v>3926.08</v>
      </c>
      <c r="CS42" s="305">
        <v>45363</v>
      </c>
      <c r="CT42" s="306">
        <v>3907.81</v>
      </c>
      <c r="CU42" s="305">
        <v>45394</v>
      </c>
      <c r="CV42" s="306">
        <v>3820.1</v>
      </c>
      <c r="CW42" s="305">
        <v>45424</v>
      </c>
      <c r="CX42" s="306">
        <v>3888.21</v>
      </c>
      <c r="CY42" s="305">
        <v>45455</v>
      </c>
      <c r="CZ42" s="306">
        <v>3960.83</v>
      </c>
      <c r="DA42" s="305">
        <v>45485</v>
      </c>
      <c r="DB42" s="306">
        <v>3968.87</v>
      </c>
      <c r="DC42" s="501">
        <v>45516</v>
      </c>
      <c r="DD42" s="306">
        <v>4064.51</v>
      </c>
      <c r="DE42" s="501">
        <v>45547</v>
      </c>
      <c r="DF42" s="306">
        <v>4278.28</v>
      </c>
      <c r="DG42" s="501">
        <v>45577</v>
      </c>
      <c r="DH42" s="306">
        <v>4192.5600000000004</v>
      </c>
      <c r="DI42" s="501">
        <v>45608</v>
      </c>
      <c r="DJ42" s="306">
        <v>4346.7</v>
      </c>
      <c r="DK42" s="501">
        <v>45638</v>
      </c>
      <c r="DL42" s="306">
        <v>4361.22</v>
      </c>
      <c r="DM42" s="501">
        <v>45669</v>
      </c>
      <c r="DN42" s="306">
        <v>4343.4799999999996</v>
      </c>
      <c r="DO42" s="501">
        <v>45700</v>
      </c>
      <c r="DP42" s="308">
        <v>4153.8</v>
      </c>
      <c r="DQ42" s="501">
        <v>45728</v>
      </c>
      <c r="DR42" s="306">
        <v>4152.76</v>
      </c>
      <c r="DS42" s="501">
        <v>45759</v>
      </c>
      <c r="DT42" s="306">
        <v>4338.3599999999997</v>
      </c>
      <c r="DU42" s="305">
        <v>45789</v>
      </c>
      <c r="DV42" s="306">
        <v>4239.2299999999996</v>
      </c>
      <c r="DW42" s="305">
        <v>45820</v>
      </c>
      <c r="DX42" s="306">
        <v>4190.6099999999997</v>
      </c>
      <c r="DY42" s="305">
        <v>45850</v>
      </c>
      <c r="DZ42" s="306">
        <v>4003.9</v>
      </c>
      <c r="EA42" s="305">
        <v>45881</v>
      </c>
      <c r="EB42" s="306">
        <v>4045.87</v>
      </c>
      <c r="EC42" s="305">
        <v>45912</v>
      </c>
      <c r="ED42" s="306">
        <v>3903.18</v>
      </c>
      <c r="EE42" s="305">
        <v>45942</v>
      </c>
      <c r="EF42" s="329">
        <v>3913.24</v>
      </c>
      <c r="EG42" s="305">
        <v>45973</v>
      </c>
      <c r="EH42" s="329">
        <v>3760.93</v>
      </c>
      <c r="EI42" s="305">
        <v>46003</v>
      </c>
      <c r="EJ42" s="329">
        <v>3810.99</v>
      </c>
      <c r="EK42" s="740">
        <v>46034</v>
      </c>
      <c r="EL42" s="741">
        <v>3717.09</v>
      </c>
      <c r="EM42" s="740">
        <v>46065</v>
      </c>
      <c r="EN42" s="741">
        <v>3671.01</v>
      </c>
    </row>
    <row r="43" spans="3:144" x14ac:dyDescent="0.35">
      <c r="C43" s="78">
        <v>43939</v>
      </c>
      <c r="D43" s="79">
        <v>3973.06</v>
      </c>
      <c r="E43" s="503">
        <v>43970</v>
      </c>
      <c r="F43" s="504">
        <v>3851.07</v>
      </c>
      <c r="G43" s="91">
        <v>44000</v>
      </c>
      <c r="H43" s="90">
        <v>3749.03</v>
      </c>
      <c r="I43" s="98">
        <v>44031</v>
      </c>
      <c r="J43" s="99">
        <v>3651.93</v>
      </c>
      <c r="K43" s="134">
        <v>44062</v>
      </c>
      <c r="L43" s="136">
        <v>3784.15</v>
      </c>
      <c r="M43" s="139">
        <v>44093</v>
      </c>
      <c r="N43" s="140">
        <v>3725.37</v>
      </c>
      <c r="O43" s="537">
        <v>44123</v>
      </c>
      <c r="P43" s="538">
        <v>3846.48</v>
      </c>
      <c r="Q43" s="307">
        <v>44154</v>
      </c>
      <c r="R43" s="543">
        <v>3647.73</v>
      </c>
      <c r="S43" s="154">
        <v>44184</v>
      </c>
      <c r="T43" s="155">
        <v>3420.26</v>
      </c>
      <c r="U43" s="539">
        <v>44215</v>
      </c>
      <c r="V43" s="540">
        <v>3466.8</v>
      </c>
      <c r="W43" s="202">
        <v>44246</v>
      </c>
      <c r="X43" s="203">
        <v>3537.86</v>
      </c>
      <c r="Y43" s="227">
        <v>44274</v>
      </c>
      <c r="Z43" s="228">
        <v>3569.45</v>
      </c>
      <c r="AA43" s="529">
        <v>44305</v>
      </c>
      <c r="AB43" s="530">
        <v>3595.57</v>
      </c>
      <c r="AC43" s="231">
        <v>44335</v>
      </c>
      <c r="AD43" s="232">
        <v>3655.74</v>
      </c>
      <c r="AE43" s="103">
        <v>44366</v>
      </c>
      <c r="AF43" s="104">
        <v>3753.77</v>
      </c>
      <c r="AG43" s="505">
        <v>44396</v>
      </c>
      <c r="AH43" s="506">
        <v>3808.46</v>
      </c>
      <c r="AI43" s="273">
        <v>44427</v>
      </c>
      <c r="AJ43" s="274">
        <v>3861.33</v>
      </c>
      <c r="AK43" s="290">
        <v>44452</v>
      </c>
      <c r="AL43" s="291">
        <v>3836.85</v>
      </c>
      <c r="AM43" s="301">
        <v>44482</v>
      </c>
      <c r="AN43" s="302">
        <v>3738.48</v>
      </c>
      <c r="AO43" s="307">
        <v>44513</v>
      </c>
      <c r="AP43" s="308">
        <v>3888.53</v>
      </c>
      <c r="AQ43" s="507">
        <v>44543</v>
      </c>
      <c r="AR43" s="508">
        <v>3887.71</v>
      </c>
      <c r="AS43" s="305">
        <v>44574</v>
      </c>
      <c r="AT43" s="306">
        <v>3970.08</v>
      </c>
      <c r="AU43" s="509">
        <v>44605</v>
      </c>
      <c r="AV43" s="510">
        <v>3917.52</v>
      </c>
      <c r="AW43" s="317">
        <v>44633</v>
      </c>
      <c r="AX43" s="318">
        <v>3827.64</v>
      </c>
      <c r="AY43" s="511">
        <v>44664</v>
      </c>
      <c r="AZ43" s="512">
        <v>3736.7</v>
      </c>
      <c r="BA43" s="305">
        <v>44694</v>
      </c>
      <c r="BB43" s="306">
        <v>4109.71</v>
      </c>
      <c r="BC43" s="307">
        <v>44725</v>
      </c>
      <c r="BD43" s="308">
        <v>3912.51</v>
      </c>
      <c r="BE43" s="307">
        <v>44755</v>
      </c>
      <c r="BF43" s="328">
        <v>4627.46</v>
      </c>
      <c r="BG43" s="307">
        <v>44786</v>
      </c>
      <c r="BH43" s="328">
        <v>4185.49</v>
      </c>
      <c r="BI43" s="307">
        <v>44817</v>
      </c>
      <c r="BJ43" s="308">
        <v>4346.91</v>
      </c>
      <c r="BK43" s="307">
        <v>44847</v>
      </c>
      <c r="BL43" s="308">
        <v>4611.18</v>
      </c>
      <c r="BM43" s="307">
        <v>44878</v>
      </c>
      <c r="BN43" s="308">
        <v>4806.07</v>
      </c>
      <c r="BO43" s="307">
        <v>44908</v>
      </c>
      <c r="BP43" s="308">
        <v>4836.24</v>
      </c>
      <c r="BQ43" s="307">
        <v>44939</v>
      </c>
      <c r="BR43" s="308">
        <v>4692.04</v>
      </c>
      <c r="BS43" s="307">
        <v>44970</v>
      </c>
      <c r="BT43" s="308">
        <v>4777.7299999999996</v>
      </c>
      <c r="BU43" s="307">
        <v>44998</v>
      </c>
      <c r="BV43" s="308">
        <v>4748.1400000000003</v>
      </c>
      <c r="BW43" s="307">
        <v>45029</v>
      </c>
      <c r="BX43" s="308">
        <v>4458.87</v>
      </c>
      <c r="BY43" s="307">
        <v>45059</v>
      </c>
      <c r="BZ43" s="308">
        <v>4564.4399999999996</v>
      </c>
      <c r="CA43" s="307">
        <v>45090</v>
      </c>
      <c r="CB43" s="308">
        <v>4173.66</v>
      </c>
      <c r="CC43" s="307">
        <v>45120</v>
      </c>
      <c r="CD43" s="308">
        <v>4128.67</v>
      </c>
      <c r="CE43" s="307">
        <v>45151</v>
      </c>
      <c r="CF43" s="308">
        <v>3973.41</v>
      </c>
      <c r="CG43" s="307">
        <v>45182</v>
      </c>
      <c r="CH43" s="308">
        <v>3993.53</v>
      </c>
      <c r="CI43" s="307">
        <v>45212</v>
      </c>
      <c r="CJ43" s="308">
        <v>4230.6099999999997</v>
      </c>
      <c r="CK43" s="307">
        <v>45243</v>
      </c>
      <c r="CL43" s="308">
        <v>4037.19</v>
      </c>
      <c r="CM43" s="307">
        <v>45273</v>
      </c>
      <c r="CN43" s="308">
        <v>3990.88</v>
      </c>
      <c r="CO43" s="307">
        <v>45304</v>
      </c>
      <c r="CP43" s="308">
        <v>3901.38</v>
      </c>
      <c r="CQ43" s="307">
        <v>45335</v>
      </c>
      <c r="CR43" s="308">
        <v>3915.28</v>
      </c>
      <c r="CS43" s="307">
        <v>45364</v>
      </c>
      <c r="CT43" s="308">
        <v>3919.86</v>
      </c>
      <c r="CU43" s="307">
        <v>45395</v>
      </c>
      <c r="CV43" s="308">
        <v>3864.97</v>
      </c>
      <c r="CW43" s="307">
        <v>45425</v>
      </c>
      <c r="CX43" s="308">
        <v>3888.21</v>
      </c>
      <c r="CY43" s="307">
        <v>45456</v>
      </c>
      <c r="CZ43" s="308">
        <v>4023.26</v>
      </c>
      <c r="DA43" s="307">
        <v>45486</v>
      </c>
      <c r="DB43" s="308">
        <v>3944.97</v>
      </c>
      <c r="DC43" s="500">
        <v>45517</v>
      </c>
      <c r="DD43" s="308">
        <v>4063.26</v>
      </c>
      <c r="DE43" s="500">
        <v>45548</v>
      </c>
      <c r="DF43" s="308">
        <v>4236.63</v>
      </c>
      <c r="DG43" s="500">
        <v>45578</v>
      </c>
      <c r="DH43" s="308">
        <v>4192.5600000000004</v>
      </c>
      <c r="DI43" s="500">
        <v>45609</v>
      </c>
      <c r="DJ43" s="308">
        <v>4413.79</v>
      </c>
      <c r="DK43" s="500">
        <v>45639</v>
      </c>
      <c r="DL43" s="308">
        <v>4335.2</v>
      </c>
      <c r="DM43" s="500">
        <v>45670</v>
      </c>
      <c r="DN43" s="308">
        <v>4343.4799999999996</v>
      </c>
      <c r="DO43" s="500">
        <v>45701</v>
      </c>
      <c r="DP43" s="306">
        <v>4165.07</v>
      </c>
      <c r="DQ43" s="500">
        <v>45729</v>
      </c>
      <c r="DR43" s="308">
        <v>4110.08</v>
      </c>
      <c r="DS43" s="500">
        <v>45761</v>
      </c>
      <c r="DT43" s="308">
        <v>4338.3599999999997</v>
      </c>
      <c r="DU43" s="307">
        <v>45792</v>
      </c>
      <c r="DV43" s="308">
        <v>4218.6000000000004</v>
      </c>
      <c r="DW43" s="307">
        <v>45823</v>
      </c>
      <c r="DX43" s="308">
        <v>4169.13</v>
      </c>
      <c r="DY43" s="307">
        <v>45853</v>
      </c>
      <c r="DZ43" s="308">
        <v>4003.9</v>
      </c>
      <c r="EA43" s="307">
        <v>45884</v>
      </c>
      <c r="EB43" s="308">
        <v>4017.12</v>
      </c>
      <c r="EC43" s="307">
        <v>45915</v>
      </c>
      <c r="ED43" s="308">
        <v>3906.24</v>
      </c>
      <c r="EE43" s="307">
        <v>45943</v>
      </c>
      <c r="EF43" s="328">
        <v>3913.24</v>
      </c>
      <c r="EG43" s="307">
        <v>45974</v>
      </c>
      <c r="EH43" s="328">
        <v>3719.71</v>
      </c>
      <c r="EI43" s="307">
        <v>46004</v>
      </c>
      <c r="EJ43" s="328">
        <v>3788.53</v>
      </c>
      <c r="EK43" s="738">
        <v>46035</v>
      </c>
      <c r="EL43" s="739">
        <v>3717.09</v>
      </c>
      <c r="EM43" s="738">
        <v>46066</v>
      </c>
      <c r="EN43" s="739">
        <v>3665.78</v>
      </c>
    </row>
    <row r="44" spans="3:144" x14ac:dyDescent="0.35">
      <c r="C44" s="80">
        <v>43938</v>
      </c>
      <c r="D44" s="81">
        <v>3942.92</v>
      </c>
      <c r="E44" s="513">
        <v>43969</v>
      </c>
      <c r="F44" s="514">
        <v>3926.06</v>
      </c>
      <c r="G44" s="92">
        <v>43999</v>
      </c>
      <c r="H44" s="89">
        <v>3741.88</v>
      </c>
      <c r="I44" s="96">
        <v>44030</v>
      </c>
      <c r="J44" s="97">
        <v>3651.93</v>
      </c>
      <c r="K44" s="133">
        <v>44061</v>
      </c>
      <c r="L44" s="135">
        <v>3783.15</v>
      </c>
      <c r="M44" s="137">
        <v>44092</v>
      </c>
      <c r="N44" s="138">
        <v>3714.65</v>
      </c>
      <c r="O44" s="535">
        <v>44122</v>
      </c>
      <c r="P44" s="536">
        <v>3846.48</v>
      </c>
      <c r="Q44" s="305">
        <v>44153</v>
      </c>
      <c r="R44" s="544">
        <v>3635.19</v>
      </c>
      <c r="S44" s="152">
        <v>44183</v>
      </c>
      <c r="T44" s="153">
        <v>3410.82</v>
      </c>
      <c r="U44" s="541">
        <v>44214</v>
      </c>
      <c r="V44" s="542">
        <v>3466.8</v>
      </c>
      <c r="W44" s="204">
        <v>44245</v>
      </c>
      <c r="X44" s="205">
        <v>3545.84</v>
      </c>
      <c r="Y44" s="225">
        <v>44273</v>
      </c>
      <c r="Z44" s="226">
        <v>3578.02</v>
      </c>
      <c r="AA44" s="517">
        <v>44304</v>
      </c>
      <c r="AB44" s="518">
        <v>3595.57</v>
      </c>
      <c r="AC44" s="233">
        <v>44334</v>
      </c>
      <c r="AD44" s="234">
        <v>3682.84</v>
      </c>
      <c r="AE44" s="101">
        <v>44365</v>
      </c>
      <c r="AF44" s="102">
        <v>3730.45</v>
      </c>
      <c r="AG44" s="519">
        <v>44395</v>
      </c>
      <c r="AH44" s="520">
        <v>3808.46</v>
      </c>
      <c r="AI44" s="271">
        <v>44426</v>
      </c>
      <c r="AJ44" s="272">
        <v>3868.41</v>
      </c>
      <c r="AK44" s="288">
        <v>44453</v>
      </c>
      <c r="AL44" s="289">
        <v>3835.27</v>
      </c>
      <c r="AM44" s="303">
        <v>44483</v>
      </c>
      <c r="AN44" s="304">
        <v>3725.75</v>
      </c>
      <c r="AO44" s="305">
        <v>44514</v>
      </c>
      <c r="AP44" s="306">
        <v>3888.53</v>
      </c>
      <c r="AQ44" s="521">
        <v>44544</v>
      </c>
      <c r="AR44" s="522">
        <v>3886.87</v>
      </c>
      <c r="AS44" s="307">
        <v>44575</v>
      </c>
      <c r="AT44" s="308">
        <v>3950.4</v>
      </c>
      <c r="AU44" s="523">
        <v>44606</v>
      </c>
      <c r="AV44" s="524">
        <v>3917.52</v>
      </c>
      <c r="AW44" s="319">
        <v>44634</v>
      </c>
      <c r="AX44" s="320">
        <v>3827.64</v>
      </c>
      <c r="AY44" s="525">
        <v>44665</v>
      </c>
      <c r="AZ44" s="526">
        <v>3737.32</v>
      </c>
      <c r="BA44" s="307">
        <v>44695</v>
      </c>
      <c r="BB44" s="308">
        <v>4110.53</v>
      </c>
      <c r="BC44" s="305">
        <v>44726</v>
      </c>
      <c r="BD44" s="306">
        <v>4016.5</v>
      </c>
      <c r="BE44" s="305">
        <v>44756</v>
      </c>
      <c r="BF44" s="329">
        <v>4558.05</v>
      </c>
      <c r="BG44" s="305">
        <v>44787</v>
      </c>
      <c r="BH44" s="329">
        <v>4185.49</v>
      </c>
      <c r="BI44" s="305">
        <v>44818</v>
      </c>
      <c r="BJ44" s="306">
        <v>4413.8900000000003</v>
      </c>
      <c r="BK44" s="305">
        <v>44848</v>
      </c>
      <c r="BL44" s="306">
        <v>4619.78</v>
      </c>
      <c r="BM44" s="305">
        <v>44879</v>
      </c>
      <c r="BN44" s="306">
        <v>4806.07</v>
      </c>
      <c r="BO44" s="305">
        <v>44909</v>
      </c>
      <c r="BP44" s="306">
        <v>4791.57</v>
      </c>
      <c r="BQ44" s="305">
        <v>44940</v>
      </c>
      <c r="BR44" s="306">
        <v>4693.99</v>
      </c>
      <c r="BS44" s="305">
        <v>44971</v>
      </c>
      <c r="BT44" s="306">
        <v>4818.62</v>
      </c>
      <c r="BU44" s="305">
        <v>44999</v>
      </c>
      <c r="BV44" s="306">
        <v>4769.76</v>
      </c>
      <c r="BW44" s="305">
        <v>45030</v>
      </c>
      <c r="BX44" s="306">
        <v>4424.0200000000004</v>
      </c>
      <c r="BY44" s="305">
        <v>45060</v>
      </c>
      <c r="BZ44" s="306">
        <v>4564.4399999999996</v>
      </c>
      <c r="CA44" s="305">
        <v>45091</v>
      </c>
      <c r="CB44" s="306">
        <v>4186.3</v>
      </c>
      <c r="CC44" s="305">
        <v>45121</v>
      </c>
      <c r="CD44" s="306">
        <v>4102.13</v>
      </c>
      <c r="CE44" s="305">
        <v>45152</v>
      </c>
      <c r="CF44" s="306">
        <v>3973.41</v>
      </c>
      <c r="CG44" s="305">
        <v>45183</v>
      </c>
      <c r="CH44" s="306">
        <v>3950.92</v>
      </c>
      <c r="CI44" s="305">
        <v>45213</v>
      </c>
      <c r="CJ44" s="306">
        <v>4249</v>
      </c>
      <c r="CK44" s="305">
        <v>45244</v>
      </c>
      <c r="CL44" s="306">
        <v>4037.19</v>
      </c>
      <c r="CM44" s="305">
        <v>45274</v>
      </c>
      <c r="CN44" s="306">
        <v>3999.43</v>
      </c>
      <c r="CO44" s="305">
        <v>45305</v>
      </c>
      <c r="CP44" s="306">
        <v>3901.38</v>
      </c>
      <c r="CQ44" s="305">
        <v>45336</v>
      </c>
      <c r="CR44" s="306">
        <v>3929</v>
      </c>
      <c r="CS44" s="305">
        <v>45365</v>
      </c>
      <c r="CT44" s="306">
        <v>3908.02</v>
      </c>
      <c r="CU44" s="305">
        <v>45396</v>
      </c>
      <c r="CV44" s="306">
        <v>3864.97</v>
      </c>
      <c r="CW44" s="305">
        <v>45426</v>
      </c>
      <c r="CX44" s="306">
        <v>3888.21</v>
      </c>
      <c r="CY44" s="305">
        <v>45457</v>
      </c>
      <c r="CZ44" s="306">
        <v>4107.5200000000004</v>
      </c>
      <c r="DA44" s="305">
        <v>45487</v>
      </c>
      <c r="DB44" s="306">
        <v>3944.97</v>
      </c>
      <c r="DC44" s="501">
        <v>45518</v>
      </c>
      <c r="DD44" s="306">
        <v>4038.87</v>
      </c>
      <c r="DE44" s="501">
        <v>45549</v>
      </c>
      <c r="DF44" s="306">
        <v>4172.13</v>
      </c>
      <c r="DG44" s="501">
        <v>45579</v>
      </c>
      <c r="DH44" s="306">
        <v>4192.5600000000004</v>
      </c>
      <c r="DI44" s="501">
        <v>45610</v>
      </c>
      <c r="DJ44" s="306">
        <v>4478.21</v>
      </c>
      <c r="DK44" s="501">
        <v>45640</v>
      </c>
      <c r="DL44" s="306">
        <v>4341.32</v>
      </c>
      <c r="DM44" s="501">
        <v>45671</v>
      </c>
      <c r="DN44" s="306">
        <v>4331.2299999999996</v>
      </c>
      <c r="DO44" s="501">
        <v>45702</v>
      </c>
      <c r="DP44" s="308">
        <v>4161.46</v>
      </c>
      <c r="DQ44" s="501">
        <v>45730</v>
      </c>
      <c r="DR44" s="306">
        <v>4114.18</v>
      </c>
      <c r="DS44" s="501">
        <v>45761</v>
      </c>
      <c r="DT44" s="306">
        <v>4338.3599999999997</v>
      </c>
      <c r="DU44" s="305">
        <v>45792</v>
      </c>
      <c r="DV44" s="306">
        <v>4204.63</v>
      </c>
      <c r="DW44" s="305">
        <v>45823</v>
      </c>
      <c r="DX44" s="306">
        <v>4147.34</v>
      </c>
      <c r="DY44" s="305">
        <v>45853</v>
      </c>
      <c r="DZ44" s="306">
        <v>4003.9</v>
      </c>
      <c r="EA44" s="305">
        <v>45884</v>
      </c>
      <c r="EB44" s="306">
        <v>4020.64</v>
      </c>
      <c r="EC44" s="305">
        <v>45915</v>
      </c>
      <c r="ED44" s="306">
        <v>3906.24</v>
      </c>
      <c r="EE44" s="305">
        <v>45944</v>
      </c>
      <c r="EF44" s="329">
        <v>3913.24</v>
      </c>
      <c r="EG44" s="305">
        <v>45975</v>
      </c>
      <c r="EH44" s="329">
        <v>3719.6</v>
      </c>
      <c r="EI44" s="305">
        <v>46005</v>
      </c>
      <c r="EJ44" s="329">
        <v>3788.53</v>
      </c>
      <c r="EK44" s="740">
        <v>46036</v>
      </c>
      <c r="EL44" s="741">
        <v>3663.24</v>
      </c>
      <c r="EM44" s="740">
        <v>46067</v>
      </c>
      <c r="EN44" s="741">
        <v>3652.89</v>
      </c>
    </row>
    <row r="45" spans="3:144" x14ac:dyDescent="0.35">
      <c r="C45" s="78">
        <v>43937</v>
      </c>
      <c r="D45" s="79">
        <v>3920.83</v>
      </c>
      <c r="E45" s="503">
        <v>43968</v>
      </c>
      <c r="F45" s="504">
        <v>3926.06</v>
      </c>
      <c r="G45" s="91">
        <v>43998</v>
      </c>
      <c r="H45" s="90">
        <v>3758.15</v>
      </c>
      <c r="I45" s="98">
        <v>44029</v>
      </c>
      <c r="J45" s="99">
        <v>3627.86</v>
      </c>
      <c r="K45" s="134">
        <v>44060</v>
      </c>
      <c r="L45" s="136">
        <v>3783.15</v>
      </c>
      <c r="M45" s="139">
        <v>44091</v>
      </c>
      <c r="N45" s="140">
        <v>3703.86</v>
      </c>
      <c r="O45" s="537">
        <v>44121</v>
      </c>
      <c r="P45" s="538">
        <v>3846.48</v>
      </c>
      <c r="Q45" s="307">
        <v>44152</v>
      </c>
      <c r="R45" s="543">
        <v>3639.95</v>
      </c>
      <c r="S45" s="154">
        <v>44182</v>
      </c>
      <c r="T45" s="155">
        <v>3416.21</v>
      </c>
      <c r="U45" s="539">
        <v>44213</v>
      </c>
      <c r="V45" s="540">
        <v>3466.8</v>
      </c>
      <c r="W45" s="202">
        <v>44244</v>
      </c>
      <c r="X45" s="203">
        <v>3518.19</v>
      </c>
      <c r="Y45" s="227">
        <v>44272</v>
      </c>
      <c r="Z45" s="228">
        <v>3553.51</v>
      </c>
      <c r="AA45" s="529">
        <v>44303</v>
      </c>
      <c r="AB45" s="530">
        <v>3595.57</v>
      </c>
      <c r="AC45" s="231">
        <v>44333</v>
      </c>
      <c r="AD45" s="232">
        <v>3682.84</v>
      </c>
      <c r="AE45" s="103">
        <v>44364</v>
      </c>
      <c r="AF45" s="104">
        <v>3690.56</v>
      </c>
      <c r="AG45" s="505">
        <v>44394</v>
      </c>
      <c r="AH45" s="506">
        <v>3808.46</v>
      </c>
      <c r="AI45" s="273">
        <v>44425</v>
      </c>
      <c r="AJ45" s="274">
        <v>3830.25</v>
      </c>
      <c r="AK45" s="290">
        <v>44454</v>
      </c>
      <c r="AL45" s="291">
        <v>3830.83</v>
      </c>
      <c r="AM45" s="301">
        <v>44484</v>
      </c>
      <c r="AN45" s="302">
        <v>3755.29</v>
      </c>
      <c r="AO45" s="307">
        <v>44515</v>
      </c>
      <c r="AP45" s="308">
        <v>3888.53</v>
      </c>
      <c r="AQ45" s="507">
        <v>44545</v>
      </c>
      <c r="AR45" s="508">
        <v>3936.41</v>
      </c>
      <c r="AS45" s="305">
        <v>44576</v>
      </c>
      <c r="AT45" s="306">
        <v>3993.65</v>
      </c>
      <c r="AU45" s="509">
        <v>44607</v>
      </c>
      <c r="AV45" s="510">
        <v>3938.97</v>
      </c>
      <c r="AW45" s="317">
        <v>44635</v>
      </c>
      <c r="AX45" s="318">
        <v>3800.85</v>
      </c>
      <c r="AY45" s="511">
        <v>44666</v>
      </c>
      <c r="AZ45" s="512">
        <v>3737.32</v>
      </c>
      <c r="BA45" s="305">
        <v>44696</v>
      </c>
      <c r="BB45" s="306">
        <v>4110.53</v>
      </c>
      <c r="BC45" s="307">
        <v>44727</v>
      </c>
      <c r="BD45" s="308">
        <v>3979.3</v>
      </c>
      <c r="BE45" s="307">
        <v>44757</v>
      </c>
      <c r="BF45" s="328">
        <v>4519.6499999999996</v>
      </c>
      <c r="BG45" s="307">
        <v>44788</v>
      </c>
      <c r="BH45" s="328">
        <v>4185.49</v>
      </c>
      <c r="BI45" s="307">
        <v>44819</v>
      </c>
      <c r="BJ45" s="308">
        <v>4389.8</v>
      </c>
      <c r="BK45" s="307">
        <v>44849</v>
      </c>
      <c r="BL45" s="308">
        <v>4636.83</v>
      </c>
      <c r="BM45" s="307">
        <v>44880</v>
      </c>
      <c r="BN45" s="308">
        <v>4806.07</v>
      </c>
      <c r="BO45" s="307">
        <v>44910</v>
      </c>
      <c r="BP45" s="308">
        <v>4778.28</v>
      </c>
      <c r="BQ45" s="307">
        <v>44941</v>
      </c>
      <c r="BR45" s="308">
        <v>4693.99</v>
      </c>
      <c r="BS45" s="307">
        <v>44972</v>
      </c>
      <c r="BT45" s="308">
        <v>4783.24</v>
      </c>
      <c r="BU45" s="307">
        <v>45000</v>
      </c>
      <c r="BV45" s="308">
        <v>4736.03</v>
      </c>
      <c r="BW45" s="307">
        <v>45031</v>
      </c>
      <c r="BX45" s="308">
        <v>4425.2700000000004</v>
      </c>
      <c r="BY45" s="307">
        <v>45061</v>
      </c>
      <c r="BZ45" s="308">
        <v>4564.4399999999996</v>
      </c>
      <c r="CA45" s="307">
        <v>45092</v>
      </c>
      <c r="CB45" s="308">
        <v>4182.33</v>
      </c>
      <c r="CC45" s="307">
        <v>45122</v>
      </c>
      <c r="CD45" s="308">
        <v>4089.3</v>
      </c>
      <c r="CE45" s="307">
        <v>45153</v>
      </c>
      <c r="CF45" s="308">
        <v>4029.95</v>
      </c>
      <c r="CG45" s="307">
        <v>45184</v>
      </c>
      <c r="CH45" s="308">
        <v>3926.59</v>
      </c>
      <c r="CI45" s="307">
        <v>45214</v>
      </c>
      <c r="CJ45" s="308">
        <v>4249</v>
      </c>
      <c r="CK45" s="307">
        <v>45245</v>
      </c>
      <c r="CL45" s="308">
        <v>3963.57</v>
      </c>
      <c r="CM45" s="307">
        <v>45275</v>
      </c>
      <c r="CN45" s="308">
        <v>3955.88</v>
      </c>
      <c r="CO45" s="307">
        <v>45306</v>
      </c>
      <c r="CP45" s="308">
        <v>3901.38</v>
      </c>
      <c r="CQ45" s="307">
        <v>45337</v>
      </c>
      <c r="CR45" s="308">
        <v>3916.61</v>
      </c>
      <c r="CS45" s="307">
        <v>45366</v>
      </c>
      <c r="CT45" s="308">
        <v>3899.39</v>
      </c>
      <c r="CU45" s="307">
        <v>45397</v>
      </c>
      <c r="CV45" s="308">
        <v>3864.97</v>
      </c>
      <c r="CW45" s="307">
        <v>45427</v>
      </c>
      <c r="CX45" s="308">
        <v>3861.82</v>
      </c>
      <c r="CY45" s="307">
        <v>45458</v>
      </c>
      <c r="CZ45" s="308">
        <v>4151.55</v>
      </c>
      <c r="DA45" s="307">
        <v>45488</v>
      </c>
      <c r="DB45" s="308">
        <v>3944.97</v>
      </c>
      <c r="DC45" s="500">
        <v>45519</v>
      </c>
      <c r="DD45" s="308">
        <v>4021.1</v>
      </c>
      <c r="DE45" s="500">
        <v>45550</v>
      </c>
      <c r="DF45" s="308">
        <v>4172.13</v>
      </c>
      <c r="DG45" s="500">
        <v>45580</v>
      </c>
      <c r="DH45" s="308">
        <v>4192.5600000000004</v>
      </c>
      <c r="DI45" s="500">
        <v>45611</v>
      </c>
      <c r="DJ45" s="308">
        <v>4475.57</v>
      </c>
      <c r="DK45" s="500">
        <v>45641</v>
      </c>
      <c r="DL45" s="308">
        <v>4341.32</v>
      </c>
      <c r="DM45" s="500">
        <v>45672</v>
      </c>
      <c r="DN45" s="308">
        <v>4300.24</v>
      </c>
      <c r="DO45" s="500">
        <v>45703</v>
      </c>
      <c r="DP45" s="306">
        <v>4100.66</v>
      </c>
      <c r="DQ45" s="500">
        <v>45731</v>
      </c>
      <c r="DR45" s="308">
        <v>4102.67</v>
      </c>
      <c r="DS45" s="500">
        <v>45762</v>
      </c>
      <c r="DT45" s="308">
        <v>4286.17</v>
      </c>
      <c r="DU45" s="307">
        <v>45792</v>
      </c>
      <c r="DV45" s="308">
        <v>4194.18</v>
      </c>
      <c r="DW45" s="307">
        <v>45823</v>
      </c>
      <c r="DX45" s="308">
        <v>4147.34</v>
      </c>
      <c r="DY45" s="307">
        <v>45853</v>
      </c>
      <c r="DZ45" s="308">
        <v>4011.79</v>
      </c>
      <c r="EA45" s="307">
        <v>45884</v>
      </c>
      <c r="EB45" s="308">
        <v>4048.74</v>
      </c>
      <c r="EC45" s="307">
        <v>45915</v>
      </c>
      <c r="ED45" s="308">
        <v>3906.24</v>
      </c>
      <c r="EE45" s="307">
        <v>45945</v>
      </c>
      <c r="EF45" s="328">
        <v>3933.31</v>
      </c>
      <c r="EG45" s="307">
        <v>45976</v>
      </c>
      <c r="EH45" s="328">
        <v>3764.77</v>
      </c>
      <c r="EI45" s="307">
        <v>46006</v>
      </c>
      <c r="EJ45" s="328">
        <v>3788.53</v>
      </c>
      <c r="EK45" s="738">
        <v>46037</v>
      </c>
      <c r="EL45" s="739">
        <v>3655.16</v>
      </c>
      <c r="EM45" s="738">
        <v>46068</v>
      </c>
      <c r="EN45" s="739">
        <v>3652.89</v>
      </c>
    </row>
    <row r="46" spans="3:144" x14ac:dyDescent="0.35">
      <c r="C46" s="80">
        <v>43936</v>
      </c>
      <c r="D46" s="81">
        <v>3858.21</v>
      </c>
      <c r="E46" s="513">
        <v>43967</v>
      </c>
      <c r="F46" s="514">
        <v>3926.06</v>
      </c>
      <c r="G46" s="92">
        <v>43997</v>
      </c>
      <c r="H46" s="89">
        <v>3758.15</v>
      </c>
      <c r="I46" s="96">
        <v>44028</v>
      </c>
      <c r="J46" s="97">
        <v>3611.61</v>
      </c>
      <c r="K46" s="133">
        <v>44059</v>
      </c>
      <c r="L46" s="135">
        <v>3783.15</v>
      </c>
      <c r="M46" s="137">
        <v>44090</v>
      </c>
      <c r="N46" s="138">
        <v>3683.49</v>
      </c>
      <c r="O46" s="535">
        <v>44120</v>
      </c>
      <c r="P46" s="536">
        <v>3854.47</v>
      </c>
      <c r="Q46" s="305">
        <v>44151</v>
      </c>
      <c r="R46" s="544">
        <v>3639.95</v>
      </c>
      <c r="S46" s="152">
        <v>44181</v>
      </c>
      <c r="T46" s="153">
        <v>3422.44</v>
      </c>
      <c r="U46" s="541">
        <v>44212</v>
      </c>
      <c r="V46" s="542">
        <v>3466.8</v>
      </c>
      <c r="W46" s="204">
        <v>44243</v>
      </c>
      <c r="X46" s="205">
        <v>3515.65</v>
      </c>
      <c r="Y46" s="225">
        <v>44271</v>
      </c>
      <c r="Z46" s="226">
        <v>3575.63</v>
      </c>
      <c r="AA46" s="517">
        <v>44302</v>
      </c>
      <c r="AB46" s="518">
        <v>3620.4</v>
      </c>
      <c r="AC46" s="233">
        <v>44332</v>
      </c>
      <c r="AD46" s="234">
        <v>3682.84</v>
      </c>
      <c r="AE46" s="101">
        <v>44363</v>
      </c>
      <c r="AF46" s="102">
        <v>3693.35</v>
      </c>
      <c r="AG46" s="519">
        <v>44393</v>
      </c>
      <c r="AH46" s="520">
        <v>3809.07</v>
      </c>
      <c r="AI46" s="271">
        <v>44424</v>
      </c>
      <c r="AJ46" s="272">
        <v>3830.25</v>
      </c>
      <c r="AK46" s="288">
        <v>44455</v>
      </c>
      <c r="AL46" s="289">
        <v>3825.36</v>
      </c>
      <c r="AM46" s="303">
        <v>44485</v>
      </c>
      <c r="AN46" s="304">
        <v>3772.49</v>
      </c>
      <c r="AO46" s="305">
        <v>44516</v>
      </c>
      <c r="AP46" s="306">
        <v>3888.53</v>
      </c>
      <c r="AQ46" s="521">
        <v>44546</v>
      </c>
      <c r="AR46" s="522">
        <v>3990.27</v>
      </c>
      <c r="AS46" s="307">
        <v>44577</v>
      </c>
      <c r="AT46" s="308">
        <v>3993.65</v>
      </c>
      <c r="AU46" s="523">
        <v>44608</v>
      </c>
      <c r="AV46" s="524">
        <v>3946.88</v>
      </c>
      <c r="AW46" s="319">
        <v>44636</v>
      </c>
      <c r="AX46" s="320">
        <v>3836.56</v>
      </c>
      <c r="AY46" s="525">
        <v>44667</v>
      </c>
      <c r="AZ46" s="526">
        <v>3737.32</v>
      </c>
      <c r="BA46" s="307">
        <v>44697</v>
      </c>
      <c r="BB46" s="308">
        <v>4110.53</v>
      </c>
      <c r="BC46" s="305">
        <v>44728</v>
      </c>
      <c r="BD46" s="306">
        <v>3923.96</v>
      </c>
      <c r="BE46" s="305">
        <v>44758</v>
      </c>
      <c r="BF46" s="329">
        <v>4395.63</v>
      </c>
      <c r="BG46" s="305">
        <v>44789</v>
      </c>
      <c r="BH46" s="329">
        <v>4185.49</v>
      </c>
      <c r="BI46" s="305">
        <v>44820</v>
      </c>
      <c r="BJ46" s="306">
        <v>4404.6400000000003</v>
      </c>
      <c r="BK46" s="307">
        <v>44850</v>
      </c>
      <c r="BL46" s="306">
        <v>4636.83</v>
      </c>
      <c r="BM46" s="305">
        <v>44881</v>
      </c>
      <c r="BN46" s="306">
        <v>4801.0600000000004</v>
      </c>
      <c r="BO46" s="305">
        <v>44911</v>
      </c>
      <c r="BP46" s="306">
        <v>4797.0200000000004</v>
      </c>
      <c r="BQ46" s="305">
        <v>44942</v>
      </c>
      <c r="BR46" s="306">
        <v>4693.99</v>
      </c>
      <c r="BS46" s="305">
        <v>44973</v>
      </c>
      <c r="BT46" s="306">
        <v>4878.24</v>
      </c>
      <c r="BU46" s="305">
        <v>45001</v>
      </c>
      <c r="BV46" s="306">
        <v>4835.51</v>
      </c>
      <c r="BW46" s="305">
        <v>45032</v>
      </c>
      <c r="BX46" s="306">
        <v>4425.2700000000004</v>
      </c>
      <c r="BY46" s="305">
        <v>45062</v>
      </c>
      <c r="BZ46" s="306">
        <v>4506.49</v>
      </c>
      <c r="CA46" s="305">
        <v>45093</v>
      </c>
      <c r="CB46" s="306">
        <v>4164.66</v>
      </c>
      <c r="CC46" s="305">
        <v>45123</v>
      </c>
      <c r="CD46" s="306">
        <v>4089.3</v>
      </c>
      <c r="CE46" s="305">
        <v>45154</v>
      </c>
      <c r="CF46" s="306">
        <v>4096.08</v>
      </c>
      <c r="CG46" s="305">
        <v>45185</v>
      </c>
      <c r="CH46" s="306">
        <v>3928.28</v>
      </c>
      <c r="CI46" s="305">
        <v>45215</v>
      </c>
      <c r="CJ46" s="306">
        <v>4249</v>
      </c>
      <c r="CK46" s="305">
        <v>45246</v>
      </c>
      <c r="CL46" s="306">
        <v>3976.84</v>
      </c>
      <c r="CM46" s="305">
        <v>45276</v>
      </c>
      <c r="CN46" s="306">
        <v>3956.76</v>
      </c>
      <c r="CO46" s="305">
        <v>45307</v>
      </c>
      <c r="CP46" s="306">
        <v>3901.38</v>
      </c>
      <c r="CQ46" s="305">
        <v>45338</v>
      </c>
      <c r="CR46" s="306">
        <v>3909.89</v>
      </c>
      <c r="CS46" s="305">
        <v>45367</v>
      </c>
      <c r="CT46" s="306">
        <v>3884.64</v>
      </c>
      <c r="CU46" s="305">
        <v>45398</v>
      </c>
      <c r="CV46" s="306">
        <v>3889.58</v>
      </c>
      <c r="CW46" s="305">
        <v>45428</v>
      </c>
      <c r="CX46" s="306">
        <v>3825.42</v>
      </c>
      <c r="CY46" s="305">
        <v>45459</v>
      </c>
      <c r="CZ46" s="306">
        <v>4151.55</v>
      </c>
      <c r="DA46" s="305">
        <v>45489</v>
      </c>
      <c r="DB46" s="306">
        <v>3948.41</v>
      </c>
      <c r="DC46" s="501">
        <v>45520</v>
      </c>
      <c r="DD46" s="306">
        <v>4014.18</v>
      </c>
      <c r="DE46" s="501">
        <v>45551</v>
      </c>
      <c r="DF46" s="306">
        <v>4172.13</v>
      </c>
      <c r="DG46" s="501">
        <v>45581</v>
      </c>
      <c r="DH46" s="306">
        <v>4244.84</v>
      </c>
      <c r="DI46" s="501">
        <v>45612</v>
      </c>
      <c r="DJ46" s="306">
        <v>4454.68</v>
      </c>
      <c r="DK46" s="501">
        <v>45642</v>
      </c>
      <c r="DL46" s="306">
        <v>4341.32</v>
      </c>
      <c r="DM46" s="501">
        <v>45673</v>
      </c>
      <c r="DN46" s="306">
        <v>4294.1099999999997</v>
      </c>
      <c r="DO46" s="501">
        <v>45704</v>
      </c>
      <c r="DP46" s="308">
        <v>4100.66</v>
      </c>
      <c r="DQ46" s="501">
        <v>45732</v>
      </c>
      <c r="DR46" s="306">
        <v>4102.67</v>
      </c>
      <c r="DS46" s="501">
        <v>45763</v>
      </c>
      <c r="DT46" s="306">
        <v>4329.8999999999996</v>
      </c>
      <c r="DU46" s="305">
        <v>45793</v>
      </c>
      <c r="DV46" s="306">
        <v>4196.66</v>
      </c>
      <c r="DW46" s="305">
        <v>45824</v>
      </c>
      <c r="DX46" s="306">
        <v>4147.34</v>
      </c>
      <c r="DY46" s="305">
        <v>45854</v>
      </c>
      <c r="DZ46" s="306">
        <v>4015.04</v>
      </c>
      <c r="EA46" s="305">
        <v>45885</v>
      </c>
      <c r="EB46" s="306">
        <v>4019.24</v>
      </c>
      <c r="EC46" s="305">
        <v>45916</v>
      </c>
      <c r="ED46" s="306">
        <v>3897.57</v>
      </c>
      <c r="EE46" s="305">
        <v>45946</v>
      </c>
      <c r="EF46" s="329">
        <v>3902.16</v>
      </c>
      <c r="EG46" s="305">
        <v>45977</v>
      </c>
      <c r="EH46" s="329">
        <v>3764.77</v>
      </c>
      <c r="EI46" s="305">
        <v>46007</v>
      </c>
      <c r="EJ46" s="329">
        <v>3817.59</v>
      </c>
      <c r="EK46" s="740">
        <v>46038</v>
      </c>
      <c r="EL46" s="741">
        <v>3687.32</v>
      </c>
      <c r="EM46" s="740">
        <v>46069</v>
      </c>
      <c r="EN46" s="741">
        <v>3652.89</v>
      </c>
    </row>
    <row r="47" spans="3:144" x14ac:dyDescent="0.35">
      <c r="C47" s="78">
        <v>43935</v>
      </c>
      <c r="D47" s="79">
        <v>3870.31</v>
      </c>
      <c r="E47" s="503">
        <v>43966</v>
      </c>
      <c r="F47" s="504">
        <v>3947.79</v>
      </c>
      <c r="G47" s="91">
        <v>43996</v>
      </c>
      <c r="H47" s="90">
        <v>3758.15</v>
      </c>
      <c r="I47" s="98">
        <v>44027</v>
      </c>
      <c r="J47" s="99">
        <v>3638.22</v>
      </c>
      <c r="K47" s="134">
        <v>44058</v>
      </c>
      <c r="L47" s="136">
        <v>3783.15</v>
      </c>
      <c r="M47" s="139">
        <v>44089</v>
      </c>
      <c r="N47" s="140">
        <v>3697</v>
      </c>
      <c r="O47" s="537">
        <v>44119</v>
      </c>
      <c r="P47" s="538">
        <v>3843.59</v>
      </c>
      <c r="Q47" s="307">
        <v>44150</v>
      </c>
      <c r="R47" s="543">
        <v>3639.95</v>
      </c>
      <c r="S47" s="154">
        <v>44180</v>
      </c>
      <c r="T47" s="155">
        <v>3426.97</v>
      </c>
      <c r="U47" s="539">
        <v>44211</v>
      </c>
      <c r="V47" s="540">
        <v>3469.76</v>
      </c>
      <c r="W47" s="202">
        <v>44242</v>
      </c>
      <c r="X47" s="203">
        <v>3515.65</v>
      </c>
      <c r="Y47" s="227">
        <v>44270</v>
      </c>
      <c r="Z47" s="228">
        <v>3575.3</v>
      </c>
      <c r="AA47" s="529">
        <v>44301</v>
      </c>
      <c r="AB47" s="530">
        <v>3665.49</v>
      </c>
      <c r="AC47" s="231">
        <v>44331</v>
      </c>
      <c r="AD47" s="232">
        <v>3682.84</v>
      </c>
      <c r="AE47" s="103">
        <v>44362</v>
      </c>
      <c r="AF47" s="104">
        <v>3626.02</v>
      </c>
      <c r="AG47" s="505">
        <v>44392</v>
      </c>
      <c r="AH47" s="506">
        <v>3796.07</v>
      </c>
      <c r="AI47" s="273">
        <v>44423</v>
      </c>
      <c r="AJ47" s="274">
        <v>3830.25</v>
      </c>
      <c r="AK47" s="290">
        <v>44456</v>
      </c>
      <c r="AL47" s="291">
        <v>3818.16</v>
      </c>
      <c r="AM47" s="301">
        <v>44486</v>
      </c>
      <c r="AN47" s="302">
        <v>3772.49</v>
      </c>
      <c r="AO47" s="307">
        <v>44517</v>
      </c>
      <c r="AP47" s="308">
        <v>3898.84</v>
      </c>
      <c r="AQ47" s="507">
        <v>44547</v>
      </c>
      <c r="AR47" s="508">
        <v>4002.97</v>
      </c>
      <c r="AS47" s="305">
        <v>44578</v>
      </c>
      <c r="AT47" s="306">
        <v>3993.65</v>
      </c>
      <c r="AU47" s="509">
        <v>44609</v>
      </c>
      <c r="AV47" s="510">
        <v>3963.72</v>
      </c>
      <c r="AW47" s="317">
        <v>44637</v>
      </c>
      <c r="AX47" s="318">
        <v>3826.89</v>
      </c>
      <c r="AY47" s="511">
        <v>44668</v>
      </c>
      <c r="AZ47" s="512">
        <v>3737.32</v>
      </c>
      <c r="BA47" s="305">
        <v>44698</v>
      </c>
      <c r="BB47" s="306">
        <v>4070.25</v>
      </c>
      <c r="BC47" s="307">
        <v>44729</v>
      </c>
      <c r="BD47" s="308">
        <v>3912.15</v>
      </c>
      <c r="BE47" s="307">
        <v>44759</v>
      </c>
      <c r="BF47" s="328">
        <v>4395.63</v>
      </c>
      <c r="BG47" s="307">
        <v>44791</v>
      </c>
      <c r="BH47" s="328">
        <v>4218.4799999999996</v>
      </c>
      <c r="BI47" s="307">
        <v>44821</v>
      </c>
      <c r="BJ47" s="308">
        <v>4435.84</v>
      </c>
      <c r="BK47" s="305">
        <v>44851</v>
      </c>
      <c r="BL47" s="308">
        <v>4636.83</v>
      </c>
      <c r="BM47" s="307">
        <v>44882</v>
      </c>
      <c r="BN47" s="308">
        <v>4922.7</v>
      </c>
      <c r="BO47" s="307">
        <v>44912</v>
      </c>
      <c r="BP47" s="308">
        <v>4802.4799999999996</v>
      </c>
      <c r="BQ47" s="307">
        <v>44943</v>
      </c>
      <c r="BR47" s="308">
        <v>4693.99</v>
      </c>
      <c r="BS47" s="307">
        <v>44974</v>
      </c>
      <c r="BT47" s="308">
        <v>4966.33</v>
      </c>
      <c r="BU47" s="307">
        <v>45002</v>
      </c>
      <c r="BV47" s="308">
        <v>4866.5</v>
      </c>
      <c r="BW47" s="307">
        <v>45033</v>
      </c>
      <c r="BX47" s="308">
        <v>4425.2700000000004</v>
      </c>
      <c r="BY47" s="307">
        <v>45063</v>
      </c>
      <c r="BZ47" s="308">
        <v>4531.58</v>
      </c>
      <c r="CA47" s="307">
        <v>45094</v>
      </c>
      <c r="CB47" s="308">
        <v>4145.72</v>
      </c>
      <c r="CC47" s="307">
        <v>45124</v>
      </c>
      <c r="CD47" s="308">
        <v>4089.3</v>
      </c>
      <c r="CE47" s="307">
        <v>45155</v>
      </c>
      <c r="CF47" s="308">
        <v>4130.33</v>
      </c>
      <c r="CG47" s="307">
        <v>45186</v>
      </c>
      <c r="CH47" s="308">
        <v>3928.28</v>
      </c>
      <c r="CI47" s="307">
        <v>45216</v>
      </c>
      <c r="CJ47" s="308">
        <v>4249</v>
      </c>
      <c r="CK47" s="307">
        <v>45247</v>
      </c>
      <c r="CL47" s="308">
        <v>4077.44</v>
      </c>
      <c r="CM47" s="307">
        <v>45277</v>
      </c>
      <c r="CN47" s="308">
        <v>3956.76</v>
      </c>
      <c r="CO47" s="307">
        <v>45308</v>
      </c>
      <c r="CP47" s="308">
        <v>3940.85</v>
      </c>
      <c r="CQ47" s="307">
        <v>45339</v>
      </c>
      <c r="CR47" s="308">
        <v>3917.84</v>
      </c>
      <c r="CS47" s="307">
        <v>45368</v>
      </c>
      <c r="CT47" s="308">
        <v>3884.64</v>
      </c>
      <c r="CU47" s="307">
        <v>45399</v>
      </c>
      <c r="CV47" s="308">
        <v>3938.11</v>
      </c>
      <c r="CW47" s="307">
        <v>45429</v>
      </c>
      <c r="CX47" s="308">
        <v>3828.98</v>
      </c>
      <c r="CY47" s="307">
        <v>45460</v>
      </c>
      <c r="CZ47" s="308">
        <v>4151.55</v>
      </c>
      <c r="DA47" s="307">
        <v>45490</v>
      </c>
      <c r="DB47" s="308">
        <v>3977.63</v>
      </c>
      <c r="DC47" s="500">
        <v>45521</v>
      </c>
      <c r="DD47" s="308">
        <v>4021.63</v>
      </c>
      <c r="DE47" s="500">
        <v>45552</v>
      </c>
      <c r="DF47" s="308">
        <v>4220.58</v>
      </c>
      <c r="DG47" s="500">
        <v>45582</v>
      </c>
      <c r="DH47" s="308">
        <v>4266.2</v>
      </c>
      <c r="DI47" s="500">
        <v>45613</v>
      </c>
      <c r="DJ47" s="308">
        <v>4454.68</v>
      </c>
      <c r="DK47" s="500">
        <v>45643</v>
      </c>
      <c r="DL47" s="308">
        <v>4324.1899999999996</v>
      </c>
      <c r="DM47" s="500">
        <v>45674</v>
      </c>
      <c r="DN47" s="308">
        <v>4338.1499999999996</v>
      </c>
      <c r="DO47" s="500">
        <v>45705</v>
      </c>
      <c r="DP47" s="306">
        <v>4100.66</v>
      </c>
      <c r="DQ47" s="500">
        <v>45733</v>
      </c>
      <c r="DR47" s="308">
        <v>4102.67</v>
      </c>
      <c r="DS47" s="500">
        <v>45764</v>
      </c>
      <c r="DT47" s="308">
        <v>4306.54</v>
      </c>
      <c r="DU47" s="307">
        <v>45794</v>
      </c>
      <c r="DV47" s="308">
        <v>4194.28</v>
      </c>
      <c r="DW47" s="307">
        <v>45825</v>
      </c>
      <c r="DX47" s="308">
        <v>4096.4399999999996</v>
      </c>
      <c r="DY47" s="307">
        <v>45855</v>
      </c>
      <c r="DZ47" s="308">
        <v>4031.86</v>
      </c>
      <c r="EA47" s="307">
        <v>45887</v>
      </c>
      <c r="EB47" s="308">
        <v>4019.24</v>
      </c>
      <c r="EC47" s="307">
        <v>45919</v>
      </c>
      <c r="ED47" s="308">
        <v>3881.92</v>
      </c>
      <c r="EE47" s="307">
        <v>45947</v>
      </c>
      <c r="EF47" s="328">
        <v>3877.07</v>
      </c>
      <c r="EG47" s="307">
        <v>45978</v>
      </c>
      <c r="EH47" s="328">
        <v>3764.77</v>
      </c>
      <c r="EI47" s="307">
        <v>46008</v>
      </c>
      <c r="EJ47" s="328">
        <v>3847.1</v>
      </c>
      <c r="EK47" s="738">
        <v>46039</v>
      </c>
      <c r="EL47" s="739">
        <v>3700.05</v>
      </c>
      <c r="EM47" s="738">
        <v>46070</v>
      </c>
      <c r="EN47" s="739">
        <v>3652.89</v>
      </c>
    </row>
    <row r="48" spans="3:144" x14ac:dyDescent="0.35">
      <c r="C48" s="80">
        <v>43934</v>
      </c>
      <c r="D48" s="81">
        <v>3886.79</v>
      </c>
      <c r="E48" s="513">
        <v>43965</v>
      </c>
      <c r="F48" s="514">
        <v>3901.3</v>
      </c>
      <c r="G48" s="92">
        <v>43995</v>
      </c>
      <c r="H48" s="89">
        <v>3758.15</v>
      </c>
      <c r="I48" s="96">
        <v>44026</v>
      </c>
      <c r="J48" s="97">
        <v>3617.22</v>
      </c>
      <c r="K48" s="133">
        <v>44057</v>
      </c>
      <c r="L48" s="135">
        <v>3767.05</v>
      </c>
      <c r="M48" s="137">
        <v>44088</v>
      </c>
      <c r="N48" s="138">
        <v>3709</v>
      </c>
      <c r="O48" s="535">
        <v>44118</v>
      </c>
      <c r="P48" s="536">
        <v>3856.32</v>
      </c>
      <c r="Q48" s="305">
        <v>44149</v>
      </c>
      <c r="R48" s="544">
        <v>3639.95</v>
      </c>
      <c r="S48" s="152">
        <v>44179</v>
      </c>
      <c r="T48" s="153">
        <v>3433.45</v>
      </c>
      <c r="U48" s="541">
        <v>44210</v>
      </c>
      <c r="V48" s="542">
        <v>3478.36</v>
      </c>
      <c r="W48" s="204">
        <v>44241</v>
      </c>
      <c r="X48" s="205">
        <v>3515.65</v>
      </c>
      <c r="Y48" s="225">
        <v>44269</v>
      </c>
      <c r="Z48" s="226">
        <v>3575.3</v>
      </c>
      <c r="AA48" s="517">
        <v>44300</v>
      </c>
      <c r="AB48" s="518">
        <v>3666.17</v>
      </c>
      <c r="AC48" s="233">
        <v>44330</v>
      </c>
      <c r="AD48" s="234">
        <v>3728.09</v>
      </c>
      <c r="AE48" s="101">
        <v>44361</v>
      </c>
      <c r="AF48" s="102">
        <v>3626.02</v>
      </c>
      <c r="AG48" s="519">
        <v>44391</v>
      </c>
      <c r="AH48" s="520">
        <v>3826.85</v>
      </c>
      <c r="AI48" s="271">
        <v>44422</v>
      </c>
      <c r="AJ48" s="272">
        <v>3830.25</v>
      </c>
      <c r="AK48" s="288">
        <v>44457</v>
      </c>
      <c r="AL48" s="289">
        <v>3828.18</v>
      </c>
      <c r="AM48" s="303">
        <v>44487</v>
      </c>
      <c r="AN48" s="304">
        <v>3772.49</v>
      </c>
      <c r="AO48" s="305">
        <v>44518</v>
      </c>
      <c r="AP48" s="306">
        <v>3907.95</v>
      </c>
      <c r="AQ48" s="521">
        <v>44548</v>
      </c>
      <c r="AR48" s="522">
        <v>3999.85</v>
      </c>
      <c r="AS48" s="307">
        <v>44579</v>
      </c>
      <c r="AT48" s="308">
        <v>3993.65</v>
      </c>
      <c r="AU48" s="523">
        <v>44610</v>
      </c>
      <c r="AV48" s="524">
        <v>3953.26</v>
      </c>
      <c r="AW48" s="319">
        <v>44638</v>
      </c>
      <c r="AX48" s="320">
        <v>3816.43</v>
      </c>
      <c r="AY48" s="525">
        <v>44669</v>
      </c>
      <c r="AZ48" s="526">
        <v>3737.32</v>
      </c>
      <c r="BA48" s="307">
        <v>44699</v>
      </c>
      <c r="BB48" s="308">
        <v>4033.85</v>
      </c>
      <c r="BC48" s="305">
        <v>44730</v>
      </c>
      <c r="BD48" s="306">
        <v>3905.05</v>
      </c>
      <c r="BE48" s="305">
        <v>44760</v>
      </c>
      <c r="BF48" s="329">
        <v>4395.63</v>
      </c>
      <c r="BG48" s="305">
        <v>44791</v>
      </c>
      <c r="BH48" s="329">
        <v>4316.47</v>
      </c>
      <c r="BI48" s="305">
        <v>44822</v>
      </c>
      <c r="BJ48" s="306">
        <v>4435.84</v>
      </c>
      <c r="BK48" s="307">
        <v>44852</v>
      </c>
      <c r="BL48" s="306">
        <v>4636.83</v>
      </c>
      <c r="BM48" s="305">
        <v>44883</v>
      </c>
      <c r="BN48" s="306">
        <v>5022.03</v>
      </c>
      <c r="BO48" s="305">
        <v>44913</v>
      </c>
      <c r="BP48" s="306">
        <v>4802.4799999999996</v>
      </c>
      <c r="BQ48" s="305">
        <v>44944</v>
      </c>
      <c r="BR48" s="306">
        <v>4691.09</v>
      </c>
      <c r="BS48" s="305">
        <v>44975</v>
      </c>
      <c r="BT48" s="306">
        <v>4918.9399999999996</v>
      </c>
      <c r="BU48" s="305">
        <v>45003</v>
      </c>
      <c r="BV48" s="306">
        <v>4824.25</v>
      </c>
      <c r="BW48" s="305">
        <v>45034</v>
      </c>
      <c r="BX48" s="306">
        <v>4431.45</v>
      </c>
      <c r="BY48" s="305">
        <v>45064</v>
      </c>
      <c r="BZ48" s="306">
        <v>4528.3</v>
      </c>
      <c r="CA48" s="305">
        <v>45095</v>
      </c>
      <c r="CB48" s="306">
        <v>4145.72</v>
      </c>
      <c r="CC48" s="305">
        <v>45125</v>
      </c>
      <c r="CD48" s="306">
        <v>4069.39</v>
      </c>
      <c r="CE48" s="305">
        <v>45156</v>
      </c>
      <c r="CF48" s="306">
        <v>4093.96</v>
      </c>
      <c r="CG48" s="305">
        <v>45187</v>
      </c>
      <c r="CH48" s="306">
        <v>3928.28</v>
      </c>
      <c r="CI48" s="305">
        <v>45217</v>
      </c>
      <c r="CJ48" s="306">
        <v>4222.09</v>
      </c>
      <c r="CK48" s="305">
        <v>45248</v>
      </c>
      <c r="CL48" s="306">
        <v>4116.59</v>
      </c>
      <c r="CM48" s="305">
        <v>45278</v>
      </c>
      <c r="CN48" s="306">
        <v>3956.76</v>
      </c>
      <c r="CO48" s="305">
        <v>45309</v>
      </c>
      <c r="CP48" s="306">
        <v>3969.5</v>
      </c>
      <c r="CQ48" s="305">
        <v>45340</v>
      </c>
      <c r="CR48" s="306">
        <v>3917.84</v>
      </c>
      <c r="CS48" s="305">
        <v>45369</v>
      </c>
      <c r="CT48" s="306">
        <v>3884.64</v>
      </c>
      <c r="CU48" s="305">
        <v>45400</v>
      </c>
      <c r="CV48" s="306">
        <v>3901.94</v>
      </c>
      <c r="CW48" s="305">
        <v>45430</v>
      </c>
      <c r="CX48" s="306">
        <v>3832.26</v>
      </c>
      <c r="CY48" s="305">
        <v>45461</v>
      </c>
      <c r="CZ48" s="306">
        <v>4144.63</v>
      </c>
      <c r="DA48" s="305">
        <v>45491</v>
      </c>
      <c r="DB48" s="306">
        <v>4011.19</v>
      </c>
      <c r="DC48" s="501">
        <v>45522</v>
      </c>
      <c r="DD48" s="306">
        <v>4021.63</v>
      </c>
      <c r="DE48" s="501">
        <v>45554</v>
      </c>
      <c r="DF48" s="306">
        <v>4239.33</v>
      </c>
      <c r="DG48" s="501">
        <v>45584</v>
      </c>
      <c r="DH48" s="306">
        <v>4263.17</v>
      </c>
      <c r="DI48" s="501">
        <v>45615</v>
      </c>
      <c r="DJ48" s="306">
        <v>4454.68</v>
      </c>
      <c r="DK48" s="501">
        <v>45644</v>
      </c>
      <c r="DL48" s="306">
        <v>4345.32</v>
      </c>
      <c r="DM48" s="501">
        <v>45675</v>
      </c>
      <c r="DN48" s="306">
        <v>4344.2700000000004</v>
      </c>
      <c r="DO48" s="501">
        <v>45706</v>
      </c>
      <c r="DP48" s="308">
        <v>4100.66</v>
      </c>
      <c r="DQ48" s="501">
        <v>45734</v>
      </c>
      <c r="DR48" s="306">
        <v>4076.7</v>
      </c>
      <c r="DS48" s="501">
        <v>45765</v>
      </c>
      <c r="DT48" s="306">
        <v>4306.54</v>
      </c>
      <c r="DU48" s="305">
        <v>45795</v>
      </c>
      <c r="DV48" s="306">
        <v>4194.28</v>
      </c>
      <c r="DW48" s="305">
        <v>45826</v>
      </c>
      <c r="DX48" s="306">
        <v>4098.83</v>
      </c>
      <c r="DY48" s="305">
        <v>45856</v>
      </c>
      <c r="DZ48" s="306">
        <v>4016.44</v>
      </c>
      <c r="EA48" s="305">
        <v>45887</v>
      </c>
      <c r="EB48" s="306">
        <v>4019.24</v>
      </c>
      <c r="EC48" s="305">
        <v>45919</v>
      </c>
      <c r="ED48" s="306">
        <v>3880.01</v>
      </c>
      <c r="EE48" s="305">
        <v>45948</v>
      </c>
      <c r="EF48" s="329">
        <v>3808.12</v>
      </c>
      <c r="EG48" s="305">
        <v>45979</v>
      </c>
      <c r="EH48" s="329">
        <v>3764.77</v>
      </c>
      <c r="EI48" s="305">
        <v>46009</v>
      </c>
      <c r="EJ48" s="329">
        <v>3866.77</v>
      </c>
      <c r="EK48" s="740">
        <v>46040</v>
      </c>
      <c r="EL48" s="741">
        <v>3700.05</v>
      </c>
      <c r="EM48" s="740">
        <v>46071</v>
      </c>
      <c r="EN48" s="741">
        <v>3664.26</v>
      </c>
    </row>
    <row r="49" spans="3:144" x14ac:dyDescent="0.35">
      <c r="C49" s="78">
        <v>43933</v>
      </c>
      <c r="D49" s="79">
        <v>3886.79</v>
      </c>
      <c r="E49" s="503">
        <v>43964</v>
      </c>
      <c r="F49" s="504">
        <v>3880.48</v>
      </c>
      <c r="G49" s="91">
        <v>43994</v>
      </c>
      <c r="H49" s="90">
        <v>3746.46</v>
      </c>
      <c r="I49" s="98">
        <v>44025</v>
      </c>
      <c r="J49" s="99">
        <v>3615.75</v>
      </c>
      <c r="K49" s="134">
        <v>44056</v>
      </c>
      <c r="L49" s="136">
        <v>3755.61</v>
      </c>
      <c r="M49" s="139">
        <v>44087</v>
      </c>
      <c r="N49" s="140">
        <v>3709</v>
      </c>
      <c r="O49" s="537">
        <v>44117</v>
      </c>
      <c r="P49" s="538">
        <v>3824.25</v>
      </c>
      <c r="Q49" s="307">
        <v>44148</v>
      </c>
      <c r="R49" s="543">
        <v>3646.22</v>
      </c>
      <c r="S49" s="154">
        <v>44178</v>
      </c>
      <c r="T49" s="155">
        <v>3433.45</v>
      </c>
      <c r="U49" s="539">
        <v>44209</v>
      </c>
      <c r="V49" s="540">
        <v>3487.65</v>
      </c>
      <c r="W49" s="202">
        <v>44240</v>
      </c>
      <c r="X49" s="203">
        <v>3515.65</v>
      </c>
      <c r="Y49" s="227">
        <v>44268</v>
      </c>
      <c r="Z49" s="228">
        <v>3575.3</v>
      </c>
      <c r="AA49" s="529">
        <v>44299</v>
      </c>
      <c r="AB49" s="530">
        <v>3653.57</v>
      </c>
      <c r="AC49" s="231">
        <v>44329</v>
      </c>
      <c r="AD49" s="232">
        <v>3734.09</v>
      </c>
      <c r="AE49" s="103">
        <v>44360</v>
      </c>
      <c r="AF49" s="104">
        <v>3626.02</v>
      </c>
      <c r="AG49" s="505">
        <v>44390</v>
      </c>
      <c r="AH49" s="506">
        <v>3824.08</v>
      </c>
      <c r="AI49" s="273">
        <v>44421</v>
      </c>
      <c r="AJ49" s="274">
        <v>3887.07</v>
      </c>
      <c r="AK49" s="290">
        <v>44458</v>
      </c>
      <c r="AL49" s="291">
        <v>3828.18</v>
      </c>
      <c r="AM49" s="301">
        <v>44488</v>
      </c>
      <c r="AN49" s="302">
        <v>3772.49</v>
      </c>
      <c r="AO49" s="307">
        <v>44519</v>
      </c>
      <c r="AP49" s="308">
        <v>3943.43</v>
      </c>
      <c r="AQ49" s="507">
        <v>44549</v>
      </c>
      <c r="AR49" s="508">
        <v>3999.85</v>
      </c>
      <c r="AS49" s="305">
        <v>44580</v>
      </c>
      <c r="AT49" s="306">
        <v>4033.37</v>
      </c>
      <c r="AU49" s="509">
        <v>44611</v>
      </c>
      <c r="AV49" s="510">
        <v>3927.25</v>
      </c>
      <c r="AW49" s="317">
        <v>44639</v>
      </c>
      <c r="AX49" s="318">
        <v>3820.67</v>
      </c>
      <c r="AY49" s="511">
        <v>44670</v>
      </c>
      <c r="AZ49" s="512">
        <v>3731.31</v>
      </c>
      <c r="BA49" s="305">
        <v>44700</v>
      </c>
      <c r="BB49" s="306">
        <v>4054.71</v>
      </c>
      <c r="BC49" s="307">
        <v>44731</v>
      </c>
      <c r="BD49" s="308">
        <v>3905.05</v>
      </c>
      <c r="BE49" s="307">
        <v>44761</v>
      </c>
      <c r="BF49" s="328">
        <v>4315.41</v>
      </c>
      <c r="BG49" s="307">
        <v>44792</v>
      </c>
      <c r="BH49" s="328">
        <v>4413.8599999999997</v>
      </c>
      <c r="BI49" s="307">
        <v>44823</v>
      </c>
      <c r="BJ49" s="308">
        <v>4435.84</v>
      </c>
      <c r="BK49" s="307">
        <v>44853</v>
      </c>
      <c r="BL49" s="308">
        <v>4744.04</v>
      </c>
      <c r="BM49" s="307">
        <v>44884</v>
      </c>
      <c r="BN49" s="308">
        <v>4994.6099999999997</v>
      </c>
      <c r="BO49" s="307">
        <v>44914</v>
      </c>
      <c r="BP49" s="308">
        <v>4802.4799999999996</v>
      </c>
      <c r="BQ49" s="307">
        <v>44945</v>
      </c>
      <c r="BR49" s="308">
        <v>4702.67</v>
      </c>
      <c r="BS49" s="307">
        <v>44976</v>
      </c>
      <c r="BT49" s="308">
        <v>4918.9399999999996</v>
      </c>
      <c r="BU49" s="307">
        <v>45004</v>
      </c>
      <c r="BV49" s="308">
        <v>4824.25</v>
      </c>
      <c r="BW49" s="307">
        <v>45035</v>
      </c>
      <c r="BX49" s="308">
        <v>4473.07</v>
      </c>
      <c r="BY49" s="307">
        <v>45065</v>
      </c>
      <c r="BZ49" s="308">
        <v>4521.6400000000003</v>
      </c>
      <c r="CA49" s="307">
        <v>45096</v>
      </c>
      <c r="CB49" s="308">
        <v>4145.72</v>
      </c>
      <c r="CC49" s="307">
        <v>45126</v>
      </c>
      <c r="CD49" s="308">
        <v>3991.15</v>
      </c>
      <c r="CE49" s="307">
        <v>45157</v>
      </c>
      <c r="CF49" s="308">
        <v>4124.04</v>
      </c>
      <c r="CG49" s="307">
        <v>45188</v>
      </c>
      <c r="CH49" s="308">
        <v>3905.95</v>
      </c>
      <c r="CI49" s="307">
        <v>45218</v>
      </c>
      <c r="CJ49" s="308">
        <v>4227.3900000000003</v>
      </c>
      <c r="CK49" s="307">
        <v>45249</v>
      </c>
      <c r="CL49" s="308">
        <v>4116.59</v>
      </c>
      <c r="CM49" s="307">
        <v>45279</v>
      </c>
      <c r="CN49" s="308">
        <v>3932.59</v>
      </c>
      <c r="CO49" s="307">
        <v>45310</v>
      </c>
      <c r="CP49" s="308">
        <v>3939.89</v>
      </c>
      <c r="CQ49" s="307">
        <v>45341</v>
      </c>
      <c r="CR49" s="308">
        <v>3917.84</v>
      </c>
      <c r="CS49" s="307">
        <v>45370</v>
      </c>
      <c r="CT49" s="308">
        <v>3880.59</v>
      </c>
      <c r="CU49" s="307">
        <v>45401</v>
      </c>
      <c r="CV49" s="308">
        <v>3918.23</v>
      </c>
      <c r="CW49" s="307">
        <v>45431</v>
      </c>
      <c r="CX49" s="308">
        <v>3832.26</v>
      </c>
      <c r="CY49" s="307">
        <v>45462</v>
      </c>
      <c r="CZ49" s="308">
        <v>4101.87</v>
      </c>
      <c r="DA49" s="307">
        <v>45492</v>
      </c>
      <c r="DB49" s="308">
        <v>4036.73</v>
      </c>
      <c r="DC49" s="500">
        <v>45523</v>
      </c>
      <c r="DD49" s="308">
        <v>4021.63</v>
      </c>
      <c r="DE49" s="500">
        <v>45554</v>
      </c>
      <c r="DF49" s="308">
        <v>4189.46</v>
      </c>
      <c r="DG49" s="500">
        <v>45584</v>
      </c>
      <c r="DH49" s="308">
        <v>4252.1499999999996</v>
      </c>
      <c r="DI49" s="500">
        <v>45615</v>
      </c>
      <c r="DJ49" s="308">
        <v>4400.6899999999996</v>
      </c>
      <c r="DK49" s="500">
        <v>45645</v>
      </c>
      <c r="DL49" s="308">
        <v>4359.1099999999997</v>
      </c>
      <c r="DM49" s="500">
        <v>45676</v>
      </c>
      <c r="DN49" s="308">
        <v>4344.2700000000004</v>
      </c>
      <c r="DO49" s="500">
        <v>45707</v>
      </c>
      <c r="DP49" s="306">
        <v>4111.38</v>
      </c>
      <c r="DQ49" s="500">
        <v>45735</v>
      </c>
      <c r="DR49" s="308">
        <v>4126.03</v>
      </c>
      <c r="DS49" s="500">
        <v>45766</v>
      </c>
      <c r="DT49" s="308">
        <v>4306.54</v>
      </c>
      <c r="DU49" s="307">
        <v>45796</v>
      </c>
      <c r="DV49" s="308">
        <v>4194.28</v>
      </c>
      <c r="DW49" s="307">
        <v>45827</v>
      </c>
      <c r="DX49" s="308">
        <v>4076.32</v>
      </c>
      <c r="DY49" s="307">
        <v>45857</v>
      </c>
      <c r="DZ49" s="308">
        <v>4000.61</v>
      </c>
      <c r="EA49" s="307">
        <v>45888</v>
      </c>
      <c r="EB49" s="308">
        <v>4019.24</v>
      </c>
      <c r="EC49" s="307">
        <v>45919</v>
      </c>
      <c r="ED49" s="308">
        <v>3892.45</v>
      </c>
      <c r="EE49" s="307">
        <v>45949</v>
      </c>
      <c r="EF49" s="328">
        <v>3808.12</v>
      </c>
      <c r="EG49" s="307">
        <v>45980</v>
      </c>
      <c r="EH49" s="328">
        <v>3737.55</v>
      </c>
      <c r="EI49" s="307">
        <v>46010</v>
      </c>
      <c r="EJ49" s="328">
        <v>3874.71</v>
      </c>
      <c r="EK49" s="738">
        <v>46041</v>
      </c>
      <c r="EL49" s="739">
        <v>3700.05</v>
      </c>
      <c r="EM49" s="738">
        <v>46072</v>
      </c>
      <c r="EN49" s="739">
        <v>3669.21</v>
      </c>
    </row>
    <row r="50" spans="3:144" x14ac:dyDescent="0.35">
      <c r="C50" s="80">
        <v>43932</v>
      </c>
      <c r="D50" s="81">
        <v>3886.79</v>
      </c>
      <c r="E50" s="513">
        <v>43963</v>
      </c>
      <c r="F50" s="514">
        <v>3901.34</v>
      </c>
      <c r="G50" s="92">
        <v>43993</v>
      </c>
      <c r="H50" s="89">
        <v>3674.81</v>
      </c>
      <c r="I50" s="96">
        <v>44024</v>
      </c>
      <c r="J50" s="97">
        <v>3615.75</v>
      </c>
      <c r="K50" s="133">
        <v>44055</v>
      </c>
      <c r="L50" s="135">
        <v>3749.3</v>
      </c>
      <c r="M50" s="137">
        <v>44086</v>
      </c>
      <c r="N50" s="138">
        <v>3709</v>
      </c>
      <c r="O50" s="535">
        <v>44116</v>
      </c>
      <c r="P50" s="536">
        <v>3824.25</v>
      </c>
      <c r="Q50" s="305">
        <v>44147</v>
      </c>
      <c r="R50" s="544">
        <v>3650.5</v>
      </c>
      <c r="S50" s="152">
        <v>44177</v>
      </c>
      <c r="T50" s="153">
        <v>3433.45</v>
      </c>
      <c r="U50" s="541">
        <v>44208</v>
      </c>
      <c r="V50" s="542">
        <v>3478.11</v>
      </c>
      <c r="W50" s="204">
        <v>44239</v>
      </c>
      <c r="X50" s="205">
        <v>3525.45</v>
      </c>
      <c r="Y50" s="225">
        <v>44267</v>
      </c>
      <c r="Z50" s="226">
        <v>3534.62</v>
      </c>
      <c r="AA50" s="517">
        <v>44298</v>
      </c>
      <c r="AB50" s="518">
        <v>3650.23</v>
      </c>
      <c r="AC50" s="233">
        <v>44328</v>
      </c>
      <c r="AD50" s="234">
        <v>3703.2</v>
      </c>
      <c r="AE50" s="101">
        <v>44359</v>
      </c>
      <c r="AF50" s="102">
        <v>3626.02</v>
      </c>
      <c r="AG50" s="519">
        <v>44389</v>
      </c>
      <c r="AH50" s="520">
        <v>3829.46</v>
      </c>
      <c r="AI50" s="271">
        <v>44420</v>
      </c>
      <c r="AJ50" s="272">
        <v>3950.43</v>
      </c>
      <c r="AK50" s="288">
        <v>44459</v>
      </c>
      <c r="AL50" s="289">
        <v>3828.18</v>
      </c>
      <c r="AM50" s="303">
        <v>44489</v>
      </c>
      <c r="AN50" s="304">
        <v>3766.94</v>
      </c>
      <c r="AO50" s="305">
        <v>44520</v>
      </c>
      <c r="AP50" s="306">
        <v>3923.53</v>
      </c>
      <c r="AQ50" s="521">
        <v>44550</v>
      </c>
      <c r="AR50" s="522">
        <v>3999.85</v>
      </c>
      <c r="AS50" s="307">
        <v>44581</v>
      </c>
      <c r="AT50" s="308">
        <v>4003.95</v>
      </c>
      <c r="AU50" s="523">
        <v>44612</v>
      </c>
      <c r="AV50" s="524">
        <v>3927.25</v>
      </c>
      <c r="AW50" s="319">
        <v>44640</v>
      </c>
      <c r="AX50" s="320">
        <v>3820.67</v>
      </c>
      <c r="AY50" s="525">
        <v>44671</v>
      </c>
      <c r="AZ50" s="526">
        <v>3755.85</v>
      </c>
      <c r="BA50" s="307">
        <v>44701</v>
      </c>
      <c r="BB50" s="308">
        <v>4050.88</v>
      </c>
      <c r="BC50" s="305">
        <v>44732</v>
      </c>
      <c r="BD50" s="306">
        <v>3905.05</v>
      </c>
      <c r="BE50" s="305">
        <v>44762</v>
      </c>
      <c r="BF50" s="329">
        <v>4303.34</v>
      </c>
      <c r="BG50" s="305">
        <v>44793</v>
      </c>
      <c r="BH50" s="329">
        <v>4400.25</v>
      </c>
      <c r="BI50" s="305">
        <v>44824</v>
      </c>
      <c r="BJ50" s="306">
        <v>4415.1099999999997</v>
      </c>
      <c r="BK50" s="305">
        <v>44854</v>
      </c>
      <c r="BL50" s="306">
        <v>4815.09</v>
      </c>
      <c r="BM50" s="305">
        <v>44885</v>
      </c>
      <c r="BN50" s="306">
        <v>4994.6099999999997</v>
      </c>
      <c r="BO50" s="305">
        <v>44915</v>
      </c>
      <c r="BP50" s="306">
        <v>4781.28</v>
      </c>
      <c r="BQ50" s="305">
        <v>44946</v>
      </c>
      <c r="BR50" s="306">
        <v>4683.8500000000004</v>
      </c>
      <c r="BS50" s="305">
        <v>44977</v>
      </c>
      <c r="BT50" s="306">
        <v>4918.9399999999996</v>
      </c>
      <c r="BU50" s="305">
        <v>45005</v>
      </c>
      <c r="BV50" s="306">
        <v>4824.25</v>
      </c>
      <c r="BW50" s="305">
        <v>45036</v>
      </c>
      <c r="BX50" s="306">
        <v>4532.43</v>
      </c>
      <c r="BY50" s="305">
        <v>45066</v>
      </c>
      <c r="BZ50" s="306">
        <v>4528.67</v>
      </c>
      <c r="CA50" s="305">
        <v>45097</v>
      </c>
      <c r="CB50" s="306">
        <v>4145.72</v>
      </c>
      <c r="CC50" s="305">
        <v>45127</v>
      </c>
      <c r="CD50" s="306">
        <v>3980.2</v>
      </c>
      <c r="CE50" s="305">
        <v>45158</v>
      </c>
      <c r="CF50" s="306">
        <v>4124.04</v>
      </c>
      <c r="CG50" s="305">
        <v>45189</v>
      </c>
      <c r="CH50" s="306">
        <v>3902.54</v>
      </c>
      <c r="CI50" s="305">
        <v>45219</v>
      </c>
      <c r="CJ50" s="306">
        <v>4249.71</v>
      </c>
      <c r="CK50" s="305">
        <v>45250</v>
      </c>
      <c r="CL50" s="306">
        <v>4116.59</v>
      </c>
      <c r="CM50" s="305">
        <v>45280</v>
      </c>
      <c r="CN50" s="306">
        <v>3925.77</v>
      </c>
      <c r="CO50" s="305">
        <v>45311</v>
      </c>
      <c r="CP50" s="306">
        <v>3916.39</v>
      </c>
      <c r="CQ50" s="305">
        <v>45342</v>
      </c>
      <c r="CR50" s="306">
        <v>3917.84</v>
      </c>
      <c r="CS50" s="305">
        <v>45371</v>
      </c>
      <c r="CT50" s="306">
        <v>3894.37</v>
      </c>
      <c r="CU50" s="305">
        <v>45402</v>
      </c>
      <c r="CV50" s="306">
        <v>3937.13</v>
      </c>
      <c r="CW50" s="305">
        <v>45432</v>
      </c>
      <c r="CX50" s="306">
        <v>3832.26</v>
      </c>
      <c r="CY50" s="305">
        <v>45463</v>
      </c>
      <c r="CZ50" s="306">
        <v>4101.87</v>
      </c>
      <c r="DA50" s="305">
        <v>45493</v>
      </c>
      <c r="DB50" s="306">
        <v>4040.2</v>
      </c>
      <c r="DC50" s="501">
        <v>45524</v>
      </c>
      <c r="DD50" s="306">
        <v>4021.63</v>
      </c>
      <c r="DE50" s="501">
        <v>45555</v>
      </c>
      <c r="DF50" s="306">
        <v>4175.1000000000004</v>
      </c>
      <c r="DG50" s="501">
        <v>45585</v>
      </c>
      <c r="DH50" s="306">
        <v>4252.1499999999996</v>
      </c>
      <c r="DI50" s="501">
        <v>45616</v>
      </c>
      <c r="DJ50" s="306">
        <v>4401.34</v>
      </c>
      <c r="DK50" s="501">
        <v>45646</v>
      </c>
      <c r="DL50" s="306">
        <v>4394.5</v>
      </c>
      <c r="DM50" s="501">
        <v>45677</v>
      </c>
      <c r="DN50" s="306">
        <v>4344.2700000000004</v>
      </c>
      <c r="DO50" s="501">
        <v>45708</v>
      </c>
      <c r="DP50" s="308">
        <v>4098.67</v>
      </c>
      <c r="DQ50" s="501">
        <v>45736</v>
      </c>
      <c r="DR50" s="306">
        <v>4143.1400000000003</v>
      </c>
      <c r="DS50" s="501">
        <v>45767</v>
      </c>
      <c r="DT50" s="306">
        <v>4306.54</v>
      </c>
      <c r="DU50" s="305">
        <v>45797</v>
      </c>
      <c r="DV50" s="306">
        <v>4168.03</v>
      </c>
      <c r="DW50" s="305">
        <v>45828</v>
      </c>
      <c r="DX50" s="306">
        <v>4076.32</v>
      </c>
      <c r="DY50" s="305">
        <v>45858</v>
      </c>
      <c r="DZ50" s="306">
        <v>4000.61</v>
      </c>
      <c r="EA50" s="305">
        <v>45889</v>
      </c>
      <c r="EB50" s="306">
        <v>4036.42</v>
      </c>
      <c r="EC50" s="305">
        <v>45920</v>
      </c>
      <c r="ED50" s="306">
        <v>3891.19</v>
      </c>
      <c r="EE50" s="305">
        <v>45950</v>
      </c>
      <c r="EF50" s="329">
        <v>3808.12</v>
      </c>
      <c r="EG50" s="305">
        <v>45981</v>
      </c>
      <c r="EH50" s="329">
        <v>3716.73</v>
      </c>
      <c r="EI50" s="305">
        <v>46011</v>
      </c>
      <c r="EJ50" s="329">
        <v>3817.93</v>
      </c>
      <c r="EK50" s="740">
        <v>46042</v>
      </c>
      <c r="EL50" s="741">
        <v>3700.05</v>
      </c>
      <c r="EM50" s="740">
        <v>46073</v>
      </c>
      <c r="EN50" s="741">
        <v>3695.72</v>
      </c>
    </row>
    <row r="51" spans="3:144" x14ac:dyDescent="0.35">
      <c r="C51" s="78">
        <v>43931</v>
      </c>
      <c r="D51" s="79">
        <v>3886.79</v>
      </c>
      <c r="E51" s="503">
        <v>43962</v>
      </c>
      <c r="F51" s="504">
        <v>3882.27</v>
      </c>
      <c r="G51" s="91">
        <v>43992</v>
      </c>
      <c r="H51" s="90">
        <v>3643.02</v>
      </c>
      <c r="I51" s="98">
        <v>44023</v>
      </c>
      <c r="J51" s="99">
        <v>3615.75</v>
      </c>
      <c r="K51" s="134">
        <v>44054</v>
      </c>
      <c r="L51" s="136">
        <v>3770.22</v>
      </c>
      <c r="M51" s="139">
        <v>44085</v>
      </c>
      <c r="N51" s="140">
        <v>3700.28</v>
      </c>
      <c r="O51" s="537">
        <v>44115</v>
      </c>
      <c r="P51" s="538">
        <v>3824.25</v>
      </c>
      <c r="Q51" s="307">
        <v>44146</v>
      </c>
      <c r="R51" s="543">
        <v>3650.5</v>
      </c>
      <c r="S51" s="154">
        <v>44176</v>
      </c>
      <c r="T51" s="155">
        <v>3448.89</v>
      </c>
      <c r="U51" s="539">
        <v>44207</v>
      </c>
      <c r="V51" s="540">
        <v>3478.11</v>
      </c>
      <c r="W51" s="202">
        <v>44238</v>
      </c>
      <c r="X51" s="203">
        <v>3557.16</v>
      </c>
      <c r="Y51" s="227">
        <v>44266</v>
      </c>
      <c r="Z51" s="228">
        <v>3561.91</v>
      </c>
      <c r="AA51" s="529">
        <v>44297</v>
      </c>
      <c r="AB51" s="530">
        <v>3650.23</v>
      </c>
      <c r="AC51" s="231">
        <v>44327</v>
      </c>
      <c r="AD51" s="232">
        <v>3714.94</v>
      </c>
      <c r="AE51" s="103">
        <v>44358</v>
      </c>
      <c r="AF51" s="104">
        <v>3589.86</v>
      </c>
      <c r="AG51" s="505">
        <v>44388</v>
      </c>
      <c r="AH51" s="506">
        <v>3829.46</v>
      </c>
      <c r="AI51" s="273">
        <v>44419</v>
      </c>
      <c r="AJ51" s="274">
        <v>3979.8</v>
      </c>
      <c r="AK51" s="290">
        <v>44460</v>
      </c>
      <c r="AL51" s="291">
        <v>3851.22</v>
      </c>
      <c r="AM51" s="301">
        <v>44490</v>
      </c>
      <c r="AN51" s="302">
        <v>3770.58</v>
      </c>
      <c r="AO51" s="307">
        <v>44521</v>
      </c>
      <c r="AP51" s="308">
        <v>3923.53</v>
      </c>
      <c r="AQ51" s="507">
        <v>44551</v>
      </c>
      <c r="AR51" s="508">
        <v>4002.12</v>
      </c>
      <c r="AS51" s="305">
        <v>44582</v>
      </c>
      <c r="AT51" s="306">
        <v>3980.8</v>
      </c>
      <c r="AU51" s="509">
        <v>44613</v>
      </c>
      <c r="AV51" s="510">
        <v>3927.25</v>
      </c>
      <c r="AW51" s="317">
        <v>44641</v>
      </c>
      <c r="AX51" s="318">
        <v>3820.67</v>
      </c>
      <c r="AY51" s="511">
        <v>44672</v>
      </c>
      <c r="AZ51" s="512">
        <v>3758.65</v>
      </c>
      <c r="BA51" s="305">
        <v>44702</v>
      </c>
      <c r="BB51" s="306">
        <v>3989.84</v>
      </c>
      <c r="BC51" s="307">
        <v>44733</v>
      </c>
      <c r="BD51" s="308">
        <v>3905.05</v>
      </c>
      <c r="BE51" s="307">
        <v>44763</v>
      </c>
      <c r="BF51" s="328">
        <v>4303.34</v>
      </c>
      <c r="BG51" s="307">
        <v>44794</v>
      </c>
      <c r="BH51" s="328">
        <v>4400.25</v>
      </c>
      <c r="BI51" s="307">
        <v>44825</v>
      </c>
      <c r="BJ51" s="308">
        <v>4420.38</v>
      </c>
      <c r="BK51" s="307">
        <v>44855</v>
      </c>
      <c r="BL51" s="308">
        <v>4885.5</v>
      </c>
      <c r="BM51" s="307">
        <v>44886</v>
      </c>
      <c r="BN51" s="308">
        <v>4994.6099999999997</v>
      </c>
      <c r="BO51" s="307">
        <v>44916</v>
      </c>
      <c r="BP51" s="308">
        <v>4769.29</v>
      </c>
      <c r="BQ51" s="307">
        <v>44947</v>
      </c>
      <c r="BR51" s="308">
        <v>4631.6400000000003</v>
      </c>
      <c r="BS51" s="307">
        <v>44978</v>
      </c>
      <c r="BT51" s="308">
        <v>4918.9399999999996</v>
      </c>
      <c r="BU51" s="307">
        <v>45006</v>
      </c>
      <c r="BV51" s="308">
        <v>4824.25</v>
      </c>
      <c r="BW51" s="307">
        <v>45037</v>
      </c>
      <c r="BX51" s="308">
        <v>4535.78</v>
      </c>
      <c r="BY51" s="307">
        <v>45067</v>
      </c>
      <c r="BZ51" s="308">
        <v>4528.67</v>
      </c>
      <c r="CA51" s="307">
        <v>45098</v>
      </c>
      <c r="CB51" s="308">
        <v>4149.18</v>
      </c>
      <c r="CC51" s="307">
        <v>45128</v>
      </c>
      <c r="CD51" s="308">
        <v>3980.2</v>
      </c>
      <c r="CE51" s="307">
        <v>45159</v>
      </c>
      <c r="CF51" s="308">
        <v>4124.04</v>
      </c>
      <c r="CG51" s="307">
        <v>45190</v>
      </c>
      <c r="CH51" s="308">
        <v>3907.21</v>
      </c>
      <c r="CI51" s="307">
        <v>45220</v>
      </c>
      <c r="CJ51" s="308">
        <v>4238.8500000000004</v>
      </c>
      <c r="CK51" s="307">
        <v>45251</v>
      </c>
      <c r="CL51" s="308">
        <v>4033.83</v>
      </c>
      <c r="CM51" s="307">
        <v>45281</v>
      </c>
      <c r="CN51" s="308">
        <v>3948.54</v>
      </c>
      <c r="CO51" s="307">
        <v>45312</v>
      </c>
      <c r="CP51" s="308">
        <v>3916.39</v>
      </c>
      <c r="CQ51" s="307">
        <v>45343</v>
      </c>
      <c r="CR51" s="308">
        <v>3912.97</v>
      </c>
      <c r="CS51" s="307">
        <v>45372</v>
      </c>
      <c r="CT51" s="308">
        <v>3886.94</v>
      </c>
      <c r="CU51" s="307">
        <v>45403</v>
      </c>
      <c r="CV51" s="308">
        <v>3937.13</v>
      </c>
      <c r="CW51" s="307">
        <v>45433</v>
      </c>
      <c r="CX51" s="308">
        <v>3822.39</v>
      </c>
      <c r="CY51" s="307">
        <v>45464</v>
      </c>
      <c r="CZ51" s="308">
        <v>4175.96</v>
      </c>
      <c r="DA51" s="307">
        <v>45494</v>
      </c>
      <c r="DB51" s="308">
        <v>4040.2</v>
      </c>
      <c r="DC51" s="500">
        <v>45525</v>
      </c>
      <c r="DD51" s="308">
        <v>4011.37</v>
      </c>
      <c r="DE51" s="500">
        <v>45556</v>
      </c>
      <c r="DF51" s="308">
        <v>4156.8900000000003</v>
      </c>
      <c r="DG51" s="500">
        <v>45586</v>
      </c>
      <c r="DH51" s="308">
        <v>4252.1499999999996</v>
      </c>
      <c r="DI51" s="500">
        <v>45617</v>
      </c>
      <c r="DJ51" s="308">
        <v>4414.0600000000004</v>
      </c>
      <c r="DK51" s="500">
        <v>45647</v>
      </c>
      <c r="DL51" s="308">
        <v>4374.62</v>
      </c>
      <c r="DM51" s="500">
        <v>45678</v>
      </c>
      <c r="DN51" s="308">
        <v>4344.2700000000004</v>
      </c>
      <c r="DO51" s="500">
        <v>45709</v>
      </c>
      <c r="DP51" s="306">
        <v>4077.56</v>
      </c>
      <c r="DQ51" s="500">
        <v>45737</v>
      </c>
      <c r="DR51" s="308">
        <v>4187.72</v>
      </c>
      <c r="DS51" s="500">
        <v>45768</v>
      </c>
      <c r="DT51" s="308">
        <v>4306.54</v>
      </c>
      <c r="DU51" s="307">
        <v>45798</v>
      </c>
      <c r="DV51" s="308">
        <v>4172.76</v>
      </c>
      <c r="DW51" s="307">
        <v>45829</v>
      </c>
      <c r="DX51" s="308">
        <v>4080.06</v>
      </c>
      <c r="DY51" s="307">
        <v>45859</v>
      </c>
      <c r="DZ51" s="308">
        <v>4000.61</v>
      </c>
      <c r="EA51" s="307">
        <v>45890</v>
      </c>
      <c r="EB51" s="308">
        <v>4025.51</v>
      </c>
      <c r="EC51" s="307">
        <v>45921</v>
      </c>
      <c r="ED51" s="308">
        <v>3891.19</v>
      </c>
      <c r="EE51" s="307">
        <v>45951</v>
      </c>
      <c r="EF51" s="328">
        <v>3877.26</v>
      </c>
      <c r="EG51" s="307">
        <v>45982</v>
      </c>
      <c r="EH51" s="328">
        <v>3741.27</v>
      </c>
      <c r="EI51" s="307">
        <v>46012</v>
      </c>
      <c r="EJ51" s="328">
        <v>3817.93</v>
      </c>
      <c r="EK51" s="738">
        <v>46043</v>
      </c>
      <c r="EL51" s="739">
        <v>3682.97</v>
      </c>
      <c r="EM51" s="738">
        <v>46074</v>
      </c>
      <c r="EN51" s="739">
        <v>3691.34</v>
      </c>
    </row>
    <row r="52" spans="3:144" x14ac:dyDescent="0.35">
      <c r="C52" s="80">
        <v>43930</v>
      </c>
      <c r="D52" s="81">
        <v>3886.79</v>
      </c>
      <c r="E52" s="513">
        <v>43961</v>
      </c>
      <c r="F52" s="514">
        <v>3882.27</v>
      </c>
      <c r="G52" s="92">
        <v>43991</v>
      </c>
      <c r="H52" s="89">
        <v>3599</v>
      </c>
      <c r="I52" s="96">
        <v>44022</v>
      </c>
      <c r="J52" s="97">
        <v>3633.42</v>
      </c>
      <c r="K52" s="133">
        <v>44053</v>
      </c>
      <c r="L52" s="135">
        <v>3769.67</v>
      </c>
      <c r="M52" s="137">
        <v>44084</v>
      </c>
      <c r="N52" s="138">
        <v>3717.25</v>
      </c>
      <c r="O52" s="535">
        <v>44114</v>
      </c>
      <c r="P52" s="536">
        <v>3824.25</v>
      </c>
      <c r="Q52" s="305">
        <v>44145</v>
      </c>
      <c r="R52" s="544">
        <v>3646.15</v>
      </c>
      <c r="S52" s="152">
        <v>44175</v>
      </c>
      <c r="T52" s="153">
        <v>3465.76</v>
      </c>
      <c r="U52" s="541">
        <v>44206</v>
      </c>
      <c r="V52" s="542">
        <v>3478.11</v>
      </c>
      <c r="W52" s="204">
        <v>44237</v>
      </c>
      <c r="X52" s="205">
        <v>3583.23</v>
      </c>
      <c r="Y52" s="225">
        <v>44265</v>
      </c>
      <c r="Z52" s="226">
        <v>3598.77</v>
      </c>
      <c r="AA52" s="517">
        <v>44296</v>
      </c>
      <c r="AB52" s="518">
        <v>3650.23</v>
      </c>
      <c r="AC52" s="233">
        <v>44326</v>
      </c>
      <c r="AD52" s="234">
        <v>3765.33</v>
      </c>
      <c r="AE52" s="101">
        <v>44357</v>
      </c>
      <c r="AF52" s="102">
        <v>3588.41</v>
      </c>
      <c r="AG52" s="519">
        <v>44387</v>
      </c>
      <c r="AH52" s="520">
        <v>3829.46</v>
      </c>
      <c r="AI52" s="271">
        <v>44418</v>
      </c>
      <c r="AJ52" s="272">
        <v>3988.27</v>
      </c>
      <c r="AK52" s="288">
        <v>44461</v>
      </c>
      <c r="AL52" s="289">
        <v>3843.77</v>
      </c>
      <c r="AM52" s="303">
        <v>44491</v>
      </c>
      <c r="AN52" s="304">
        <v>3783.3</v>
      </c>
      <c r="AO52" s="305">
        <v>44522</v>
      </c>
      <c r="AP52" s="306">
        <v>3923.53</v>
      </c>
      <c r="AQ52" s="521">
        <v>44552</v>
      </c>
      <c r="AR52" s="522">
        <v>3996.28</v>
      </c>
      <c r="AS52" s="307">
        <v>44583</v>
      </c>
      <c r="AT52" s="308">
        <v>3964.3</v>
      </c>
      <c r="AU52" s="523">
        <v>44614</v>
      </c>
      <c r="AV52" s="524">
        <v>3927.25</v>
      </c>
      <c r="AW52" s="319">
        <v>44642</v>
      </c>
      <c r="AX52" s="320">
        <v>3820.67</v>
      </c>
      <c r="AY52" s="525">
        <v>44673</v>
      </c>
      <c r="AZ52" s="526">
        <v>3759.54</v>
      </c>
      <c r="BA52" s="307">
        <v>44703</v>
      </c>
      <c r="BB52" s="308">
        <v>3989.84</v>
      </c>
      <c r="BC52" s="305">
        <v>44734</v>
      </c>
      <c r="BD52" s="306">
        <v>4026.92</v>
      </c>
      <c r="BE52" s="305">
        <v>44764</v>
      </c>
      <c r="BF52" s="329">
        <v>4410.1400000000003</v>
      </c>
      <c r="BG52" s="305">
        <v>44795</v>
      </c>
      <c r="BH52" s="329">
        <v>4400.25</v>
      </c>
      <c r="BI52" s="305">
        <v>44826</v>
      </c>
      <c r="BJ52" s="306">
        <v>4403.82</v>
      </c>
      <c r="BK52" s="307">
        <v>44856</v>
      </c>
      <c r="BL52" s="306">
        <v>4913.24</v>
      </c>
      <c r="BM52" s="305">
        <v>44887</v>
      </c>
      <c r="BN52" s="306">
        <v>4958.42</v>
      </c>
      <c r="BO52" s="305">
        <v>44917</v>
      </c>
      <c r="BP52" s="306">
        <v>4761.6400000000003</v>
      </c>
      <c r="BQ52" s="305">
        <v>44948</v>
      </c>
      <c r="BR52" s="306">
        <v>4631.6400000000003</v>
      </c>
      <c r="BS52" s="305">
        <v>44979</v>
      </c>
      <c r="BT52" s="306">
        <v>4950.33</v>
      </c>
      <c r="BU52" s="305">
        <v>45007</v>
      </c>
      <c r="BV52" s="306">
        <v>4804.29</v>
      </c>
      <c r="BW52" s="305">
        <v>45038</v>
      </c>
      <c r="BX52" s="306">
        <v>4523.6400000000003</v>
      </c>
      <c r="BY52" s="305">
        <v>45068</v>
      </c>
      <c r="BZ52" s="306">
        <v>4528.67</v>
      </c>
      <c r="CA52" s="305">
        <v>45099</v>
      </c>
      <c r="CB52" s="306">
        <v>4158.21</v>
      </c>
      <c r="CC52" s="305">
        <v>45129</v>
      </c>
      <c r="CD52" s="306">
        <v>3971.38</v>
      </c>
      <c r="CE52" s="305">
        <v>45160</v>
      </c>
      <c r="CF52" s="306">
        <v>4124.04</v>
      </c>
      <c r="CG52" s="305">
        <v>45191</v>
      </c>
      <c r="CH52" s="306">
        <v>3948.25</v>
      </c>
      <c r="CI52" s="305">
        <v>45221</v>
      </c>
      <c r="CJ52" s="306">
        <v>4238.8500000000004</v>
      </c>
      <c r="CK52" s="305">
        <v>45252</v>
      </c>
      <c r="CL52" s="306">
        <v>4060.15</v>
      </c>
      <c r="CM52" s="305">
        <v>45282</v>
      </c>
      <c r="CN52" s="306">
        <v>3943.03</v>
      </c>
      <c r="CO52" s="305">
        <v>45313</v>
      </c>
      <c r="CP52" s="306">
        <v>3916.39</v>
      </c>
      <c r="CQ52" s="305">
        <v>45344</v>
      </c>
      <c r="CR52" s="306">
        <v>3930.26</v>
      </c>
      <c r="CS52" s="305">
        <v>45373</v>
      </c>
      <c r="CT52" s="306">
        <v>3888.02</v>
      </c>
      <c r="CU52" s="305">
        <v>45404</v>
      </c>
      <c r="CV52" s="306">
        <v>3937.13</v>
      </c>
      <c r="CW52" s="305">
        <v>45434</v>
      </c>
      <c r="CX52" s="306">
        <v>3814.94</v>
      </c>
      <c r="CY52" s="305">
        <v>45465</v>
      </c>
      <c r="CZ52" s="306">
        <v>4143.72</v>
      </c>
      <c r="DA52" s="305">
        <v>45495</v>
      </c>
      <c r="DB52" s="306">
        <v>4040.2</v>
      </c>
      <c r="DC52" s="501">
        <v>45526</v>
      </c>
      <c r="DD52" s="306">
        <v>4013.98</v>
      </c>
      <c r="DE52" s="501">
        <v>45557</v>
      </c>
      <c r="DF52" s="306">
        <v>4156.8900000000003</v>
      </c>
      <c r="DG52" s="501">
        <v>45587</v>
      </c>
      <c r="DH52" s="306">
        <v>4286.96</v>
      </c>
      <c r="DI52" s="501">
        <v>45618</v>
      </c>
      <c r="DJ52" s="306">
        <v>4387.09</v>
      </c>
      <c r="DK52" s="501">
        <v>45648</v>
      </c>
      <c r="DL52" s="306">
        <v>4374.62</v>
      </c>
      <c r="DM52" s="501">
        <v>45679</v>
      </c>
      <c r="DN52" s="306">
        <v>4307.07</v>
      </c>
      <c r="DO52" s="501">
        <v>45710</v>
      </c>
      <c r="DP52" s="308">
        <v>4073.56</v>
      </c>
      <c r="DQ52" s="501">
        <v>45738</v>
      </c>
      <c r="DR52" s="306">
        <v>4168.82</v>
      </c>
      <c r="DS52" s="501">
        <v>45769</v>
      </c>
      <c r="DT52" s="306">
        <v>4272.83</v>
      </c>
      <c r="DU52" s="305">
        <v>45799</v>
      </c>
      <c r="DV52" s="306">
        <v>4169.47</v>
      </c>
      <c r="DW52" s="305">
        <v>45830</v>
      </c>
      <c r="DX52" s="306">
        <v>4080.06</v>
      </c>
      <c r="DY52" s="305">
        <v>45860</v>
      </c>
      <c r="DZ52" s="306">
        <v>4026.27</v>
      </c>
      <c r="EA52" s="305">
        <v>45891</v>
      </c>
      <c r="EB52" s="306">
        <v>4034.18</v>
      </c>
      <c r="EC52" s="305">
        <v>45922</v>
      </c>
      <c r="ED52" s="306">
        <v>3891.19</v>
      </c>
      <c r="EE52" s="305">
        <v>45952</v>
      </c>
      <c r="EF52" s="329">
        <v>3876.6</v>
      </c>
      <c r="EG52" s="305">
        <v>45983</v>
      </c>
      <c r="EH52" s="329">
        <v>3808.77</v>
      </c>
      <c r="EI52" s="305">
        <v>46013</v>
      </c>
      <c r="EJ52" s="329">
        <v>3817.93</v>
      </c>
      <c r="EK52" s="740">
        <v>46044</v>
      </c>
      <c r="EL52" s="741">
        <v>3669.15</v>
      </c>
      <c r="EM52" s="740">
        <v>46075</v>
      </c>
      <c r="EN52" s="741">
        <v>3691.34</v>
      </c>
    </row>
    <row r="53" spans="3:144" x14ac:dyDescent="0.35">
      <c r="C53" s="78">
        <v>43929</v>
      </c>
      <c r="D53" s="79">
        <v>3910.15</v>
      </c>
      <c r="E53" s="503">
        <v>43960</v>
      </c>
      <c r="F53" s="504">
        <v>3882.27</v>
      </c>
      <c r="G53" s="91">
        <v>43990</v>
      </c>
      <c r="H53" s="90">
        <v>3565.06</v>
      </c>
      <c r="I53" s="98">
        <v>44021</v>
      </c>
      <c r="J53" s="99">
        <v>3625.61</v>
      </c>
      <c r="K53" s="134">
        <v>44052</v>
      </c>
      <c r="L53" s="136">
        <v>3769.67</v>
      </c>
      <c r="M53" s="139">
        <v>44083</v>
      </c>
      <c r="N53" s="140">
        <v>3757.21</v>
      </c>
      <c r="O53" s="537">
        <v>44113</v>
      </c>
      <c r="P53" s="538">
        <v>3839.73</v>
      </c>
      <c r="Q53" s="307">
        <v>44144</v>
      </c>
      <c r="R53" s="543">
        <v>3738.19</v>
      </c>
      <c r="S53" s="154">
        <v>44174</v>
      </c>
      <c r="T53" s="155">
        <v>3487.65</v>
      </c>
      <c r="U53" s="539">
        <v>44205</v>
      </c>
      <c r="V53" s="540">
        <v>3478.11</v>
      </c>
      <c r="W53" s="202">
        <v>44236</v>
      </c>
      <c r="X53" s="203">
        <v>3554.65</v>
      </c>
      <c r="Y53" s="227">
        <v>44264</v>
      </c>
      <c r="Z53" s="228">
        <v>3623.61</v>
      </c>
      <c r="AA53" s="529">
        <v>44295</v>
      </c>
      <c r="AB53" s="530">
        <v>3634.07</v>
      </c>
      <c r="AC53" s="231">
        <v>44325</v>
      </c>
      <c r="AD53" s="232">
        <v>3765.33</v>
      </c>
      <c r="AE53" s="103">
        <v>44356</v>
      </c>
      <c r="AF53" s="104">
        <v>3597.18</v>
      </c>
      <c r="AG53" s="505">
        <v>44386</v>
      </c>
      <c r="AH53" s="506">
        <v>3850.46</v>
      </c>
      <c r="AI53" s="273">
        <v>44417</v>
      </c>
      <c r="AJ53" s="274">
        <v>3949.33</v>
      </c>
      <c r="AK53" s="290">
        <v>44462</v>
      </c>
      <c r="AL53" s="291">
        <v>3834.66</v>
      </c>
      <c r="AM53" s="301">
        <v>44492</v>
      </c>
      <c r="AN53" s="302">
        <v>3780.38</v>
      </c>
      <c r="AO53" s="307">
        <v>44523</v>
      </c>
      <c r="AP53" s="308">
        <v>3913.26</v>
      </c>
      <c r="AQ53" s="507">
        <v>44553</v>
      </c>
      <c r="AR53" s="508">
        <v>3997.71</v>
      </c>
      <c r="AS53" s="305">
        <v>44584</v>
      </c>
      <c r="AT53" s="306">
        <v>3964.3</v>
      </c>
      <c r="AU53" s="509">
        <v>44615</v>
      </c>
      <c r="AV53" s="510">
        <v>3932.4</v>
      </c>
      <c r="AW53" s="317">
        <v>44643</v>
      </c>
      <c r="AX53" s="318">
        <v>3765.67</v>
      </c>
      <c r="AY53" s="511">
        <v>44674</v>
      </c>
      <c r="AZ53" s="512">
        <v>3819.07</v>
      </c>
      <c r="BA53" s="305">
        <v>44704</v>
      </c>
      <c r="BB53" s="306">
        <v>3989.84</v>
      </c>
      <c r="BC53" s="307">
        <v>44735</v>
      </c>
      <c r="BD53" s="308">
        <v>4026.52</v>
      </c>
      <c r="BE53" s="305">
        <v>44765</v>
      </c>
      <c r="BF53" s="328">
        <v>4423.8599999999997</v>
      </c>
      <c r="BG53" s="305">
        <v>44796</v>
      </c>
      <c r="BH53" s="328">
        <v>4399.16</v>
      </c>
      <c r="BI53" s="307">
        <v>44827</v>
      </c>
      <c r="BJ53" s="308">
        <v>4379.8</v>
      </c>
      <c r="BK53" s="305">
        <v>44857</v>
      </c>
      <c r="BL53" s="308">
        <v>4913.24</v>
      </c>
      <c r="BM53" s="307">
        <v>44888</v>
      </c>
      <c r="BN53" s="308">
        <v>4914.34</v>
      </c>
      <c r="BO53" s="307">
        <v>44918</v>
      </c>
      <c r="BP53" s="308">
        <v>4760.6099999999997</v>
      </c>
      <c r="BQ53" s="307">
        <v>44949</v>
      </c>
      <c r="BR53" s="308">
        <v>4631.6400000000003</v>
      </c>
      <c r="BS53" s="305">
        <v>44980</v>
      </c>
      <c r="BT53" s="308">
        <v>4924.91</v>
      </c>
      <c r="BU53" s="307">
        <v>45008</v>
      </c>
      <c r="BV53" s="308">
        <v>4776.09</v>
      </c>
      <c r="BW53" s="307">
        <v>45039</v>
      </c>
      <c r="BX53" s="308">
        <v>4523.6400000000003</v>
      </c>
      <c r="BY53" s="307">
        <v>45069</v>
      </c>
      <c r="BZ53" s="308">
        <v>4528.67</v>
      </c>
      <c r="CA53" s="307">
        <v>45100</v>
      </c>
      <c r="CB53" s="308">
        <v>4114.3900000000003</v>
      </c>
      <c r="CC53" s="307">
        <v>45130</v>
      </c>
      <c r="CD53" s="308">
        <v>3971.38</v>
      </c>
      <c r="CE53" s="307">
        <v>45161</v>
      </c>
      <c r="CF53" s="308">
        <v>4120.07</v>
      </c>
      <c r="CG53" s="307">
        <v>45192</v>
      </c>
      <c r="CH53" s="308">
        <v>3948.7</v>
      </c>
      <c r="CI53" s="307">
        <v>45222</v>
      </c>
      <c r="CJ53" s="308">
        <v>4238.8500000000004</v>
      </c>
      <c r="CK53" s="307">
        <v>45253</v>
      </c>
      <c r="CL53" s="308">
        <v>4092.33</v>
      </c>
      <c r="CM53" s="307">
        <v>45283</v>
      </c>
      <c r="CN53" s="308">
        <v>3915.43</v>
      </c>
      <c r="CO53" s="307">
        <v>45314</v>
      </c>
      <c r="CP53" s="308">
        <v>3904.49</v>
      </c>
      <c r="CQ53" s="307">
        <v>45345</v>
      </c>
      <c r="CR53" s="308">
        <v>3935.64</v>
      </c>
      <c r="CS53" s="307">
        <v>45374</v>
      </c>
      <c r="CT53" s="308">
        <v>3901.51</v>
      </c>
      <c r="CU53" s="307">
        <v>45405</v>
      </c>
      <c r="CV53" s="308">
        <v>3924.82</v>
      </c>
      <c r="CW53" s="307">
        <v>45435</v>
      </c>
      <c r="CX53" s="308">
        <v>3829.59</v>
      </c>
      <c r="CY53" s="307">
        <v>45466</v>
      </c>
      <c r="CZ53" s="308">
        <v>4143.72</v>
      </c>
      <c r="DA53" s="307">
        <v>45496</v>
      </c>
      <c r="DB53" s="308">
        <v>4006.01</v>
      </c>
      <c r="DC53" s="500">
        <v>45527</v>
      </c>
      <c r="DD53" s="308">
        <v>4064.03</v>
      </c>
      <c r="DE53" s="500">
        <v>45558</v>
      </c>
      <c r="DF53" s="308">
        <v>4156.8900000000003</v>
      </c>
      <c r="DG53" s="500">
        <v>45588</v>
      </c>
      <c r="DH53" s="308">
        <v>4262.3</v>
      </c>
      <c r="DI53" s="500">
        <v>45619</v>
      </c>
      <c r="DJ53" s="308">
        <v>4418.58</v>
      </c>
      <c r="DK53" s="500">
        <v>45649</v>
      </c>
      <c r="DL53" s="308">
        <v>4374.62</v>
      </c>
      <c r="DM53" s="500">
        <v>45680</v>
      </c>
      <c r="DN53" s="308">
        <v>4278.01</v>
      </c>
      <c r="DO53" s="500">
        <v>45711</v>
      </c>
      <c r="DP53" s="306">
        <v>4073.56</v>
      </c>
      <c r="DQ53" s="500">
        <v>45739</v>
      </c>
      <c r="DR53" s="308">
        <v>4168.82</v>
      </c>
      <c r="DS53" s="500">
        <v>45771</v>
      </c>
      <c r="DT53" s="308">
        <v>4283.22</v>
      </c>
      <c r="DU53" s="307">
        <v>45802</v>
      </c>
      <c r="DV53" s="308">
        <v>4176.54</v>
      </c>
      <c r="DW53" s="307">
        <v>45833</v>
      </c>
      <c r="DX53" s="308">
        <v>4080.06</v>
      </c>
      <c r="DY53" s="307">
        <v>45863</v>
      </c>
      <c r="DZ53" s="308">
        <v>4061.36</v>
      </c>
      <c r="EA53" s="307">
        <v>45892</v>
      </c>
      <c r="EB53" s="308">
        <v>4008.7</v>
      </c>
      <c r="EC53" s="307">
        <v>45923</v>
      </c>
      <c r="ED53" s="308">
        <v>3852.16</v>
      </c>
      <c r="EE53" s="307">
        <v>45953</v>
      </c>
      <c r="EF53" s="328">
        <v>3900.82</v>
      </c>
      <c r="EG53" s="307">
        <v>45984</v>
      </c>
      <c r="EH53" s="328">
        <v>3808.77</v>
      </c>
      <c r="EI53" s="307">
        <v>46014</v>
      </c>
      <c r="EJ53" s="328">
        <v>3792.59</v>
      </c>
      <c r="EK53" s="738">
        <v>46045</v>
      </c>
      <c r="EL53" s="739">
        <v>3630.33</v>
      </c>
      <c r="EM53" s="738">
        <v>46076</v>
      </c>
      <c r="EN53" s="739">
        <v>3691.34</v>
      </c>
    </row>
    <row r="54" spans="3:144" x14ac:dyDescent="0.35">
      <c r="C54" s="80">
        <v>43928</v>
      </c>
      <c r="D54" s="81">
        <v>3978.38</v>
      </c>
      <c r="E54" s="513">
        <v>43959</v>
      </c>
      <c r="F54" s="514">
        <v>3924.54</v>
      </c>
      <c r="G54" s="92">
        <v>43989</v>
      </c>
      <c r="H54" s="89">
        <v>3565.06</v>
      </c>
      <c r="I54" s="96">
        <v>44020</v>
      </c>
      <c r="J54" s="97">
        <v>3631.54</v>
      </c>
      <c r="K54" s="133">
        <v>44051</v>
      </c>
      <c r="L54" s="135">
        <v>3769.67</v>
      </c>
      <c r="M54" s="137">
        <v>44082</v>
      </c>
      <c r="N54" s="138">
        <v>3702.62</v>
      </c>
      <c r="O54" s="535">
        <v>44112</v>
      </c>
      <c r="P54" s="536">
        <v>3837.79</v>
      </c>
      <c r="Q54" s="305">
        <v>44143</v>
      </c>
      <c r="R54" s="544">
        <v>3738.19</v>
      </c>
      <c r="S54" s="152">
        <v>44173</v>
      </c>
      <c r="T54" s="153">
        <v>3487.65</v>
      </c>
      <c r="U54" s="541">
        <v>44204</v>
      </c>
      <c r="V54" s="542">
        <v>3459.39</v>
      </c>
      <c r="W54" s="204">
        <v>44235</v>
      </c>
      <c r="X54" s="205">
        <v>3543.28</v>
      </c>
      <c r="Y54" s="225">
        <v>44263</v>
      </c>
      <c r="Z54" s="226">
        <v>3640.2</v>
      </c>
      <c r="AA54" s="517">
        <v>44294</v>
      </c>
      <c r="AB54" s="518">
        <v>3639.62</v>
      </c>
      <c r="AC54" s="233">
        <v>44324</v>
      </c>
      <c r="AD54" s="234">
        <v>3765.33</v>
      </c>
      <c r="AE54" s="101">
        <v>44355</v>
      </c>
      <c r="AF54" s="102">
        <v>3609.2</v>
      </c>
      <c r="AG54" s="519">
        <v>44385</v>
      </c>
      <c r="AH54" s="520">
        <v>3815.22</v>
      </c>
      <c r="AI54" s="271">
        <v>44416</v>
      </c>
      <c r="AJ54" s="272">
        <v>3949.33</v>
      </c>
      <c r="AK54" s="288">
        <v>44463</v>
      </c>
      <c r="AL54" s="289">
        <v>3835.67</v>
      </c>
      <c r="AM54" s="303">
        <v>44493</v>
      </c>
      <c r="AN54" s="304">
        <v>3780.38</v>
      </c>
      <c r="AO54" s="305">
        <v>44524</v>
      </c>
      <c r="AP54" s="306">
        <v>3944.37</v>
      </c>
      <c r="AQ54" s="521">
        <v>44554</v>
      </c>
      <c r="AR54" s="522">
        <v>3997.09</v>
      </c>
      <c r="AS54" s="307">
        <v>44585</v>
      </c>
      <c r="AT54" s="308">
        <v>3964.3</v>
      </c>
      <c r="AU54" s="523">
        <v>44616</v>
      </c>
      <c r="AV54" s="524">
        <v>3913.79</v>
      </c>
      <c r="AW54" s="319">
        <v>44644</v>
      </c>
      <c r="AX54" s="320">
        <v>3756.64</v>
      </c>
      <c r="AY54" s="525">
        <v>44675</v>
      </c>
      <c r="AZ54" s="526">
        <v>3819.07</v>
      </c>
      <c r="BA54" s="307">
        <v>44705</v>
      </c>
      <c r="BB54" s="308">
        <v>3950.35</v>
      </c>
      <c r="BC54" s="305">
        <v>44736</v>
      </c>
      <c r="BD54" s="306">
        <v>4068.75</v>
      </c>
      <c r="BE54" s="305">
        <v>44766</v>
      </c>
      <c r="BF54" s="329">
        <v>4423.8599999999997</v>
      </c>
      <c r="BG54" s="305">
        <v>44797</v>
      </c>
      <c r="BH54" s="329">
        <v>4374.45</v>
      </c>
      <c r="BI54" s="305">
        <v>44828</v>
      </c>
      <c r="BJ54" s="306">
        <v>4426.47</v>
      </c>
      <c r="BK54" s="307">
        <v>44858</v>
      </c>
      <c r="BL54" s="306">
        <v>4913.24</v>
      </c>
      <c r="BM54" s="305">
        <v>44889</v>
      </c>
      <c r="BN54" s="306">
        <v>4875.91</v>
      </c>
      <c r="BO54" s="305">
        <v>44919</v>
      </c>
      <c r="BP54" s="306">
        <v>4745.04</v>
      </c>
      <c r="BQ54" s="305">
        <v>44950</v>
      </c>
      <c r="BR54" s="306">
        <v>4551.0200000000004</v>
      </c>
      <c r="BS54" s="305">
        <v>44981</v>
      </c>
      <c r="BT54" s="306">
        <v>4853.8999999999996</v>
      </c>
      <c r="BU54" s="305">
        <v>45009</v>
      </c>
      <c r="BV54" s="306">
        <v>4755.12</v>
      </c>
      <c r="BW54" s="305">
        <v>45040</v>
      </c>
      <c r="BX54" s="306">
        <v>4523.6400000000003</v>
      </c>
      <c r="BY54" s="305">
        <v>45070</v>
      </c>
      <c r="BZ54" s="306">
        <v>4501.8100000000004</v>
      </c>
      <c r="CA54" s="305">
        <v>45101</v>
      </c>
      <c r="CB54" s="306">
        <v>4168.88</v>
      </c>
      <c r="CC54" s="305">
        <v>45131</v>
      </c>
      <c r="CD54" s="306">
        <v>3971.38</v>
      </c>
      <c r="CE54" s="305">
        <v>45162</v>
      </c>
      <c r="CF54" s="306">
        <v>4085.89</v>
      </c>
      <c r="CG54" s="305">
        <v>45193</v>
      </c>
      <c r="CH54" s="306">
        <v>3948.7</v>
      </c>
      <c r="CI54" s="305">
        <v>45223</v>
      </c>
      <c r="CJ54" s="306">
        <v>4221.3900000000003</v>
      </c>
      <c r="CK54" s="305">
        <v>45254</v>
      </c>
      <c r="CL54" s="306">
        <v>4092.33</v>
      </c>
      <c r="CM54" s="305">
        <v>45284</v>
      </c>
      <c r="CN54" s="306">
        <v>3915.43</v>
      </c>
      <c r="CO54" s="305">
        <v>45315</v>
      </c>
      <c r="CP54" s="306">
        <v>3934.62</v>
      </c>
      <c r="CQ54" s="305">
        <v>45346</v>
      </c>
      <c r="CR54" s="306">
        <v>3949.36</v>
      </c>
      <c r="CS54" s="305">
        <v>45375</v>
      </c>
      <c r="CT54" s="306">
        <v>3901.51</v>
      </c>
      <c r="CU54" s="305">
        <v>45406</v>
      </c>
      <c r="CV54" s="306">
        <v>3910.01</v>
      </c>
      <c r="CW54" s="305">
        <v>45436</v>
      </c>
      <c r="CX54" s="306">
        <v>3837.58</v>
      </c>
      <c r="CY54" s="305">
        <v>45467</v>
      </c>
      <c r="CZ54" s="306">
        <v>4143.72</v>
      </c>
      <c r="DA54" s="305">
        <v>45497</v>
      </c>
      <c r="DB54" s="306">
        <v>4010.53</v>
      </c>
      <c r="DC54" s="501">
        <v>45528</v>
      </c>
      <c r="DD54" s="306">
        <v>4030.52</v>
      </c>
      <c r="DE54" s="501">
        <v>45559</v>
      </c>
      <c r="DF54" s="306">
        <v>4155.3100000000004</v>
      </c>
      <c r="DG54" s="501">
        <v>45589</v>
      </c>
      <c r="DH54" s="306">
        <v>4293.91</v>
      </c>
      <c r="DI54" s="501">
        <v>45620</v>
      </c>
      <c r="DJ54" s="306">
        <v>4418.58</v>
      </c>
      <c r="DK54" s="501">
        <v>45650</v>
      </c>
      <c r="DL54" s="306">
        <v>4395.4399999999996</v>
      </c>
      <c r="DM54" s="501">
        <v>45681</v>
      </c>
      <c r="DN54" s="306">
        <v>4245.6499999999996</v>
      </c>
      <c r="DO54" s="501">
        <v>45712</v>
      </c>
      <c r="DP54" s="308">
        <v>4073.56</v>
      </c>
      <c r="DQ54" s="501">
        <v>45740</v>
      </c>
      <c r="DR54" s="306">
        <v>4168.82</v>
      </c>
      <c r="DS54" s="501">
        <v>45771</v>
      </c>
      <c r="DT54" s="306">
        <v>4298.3100000000004</v>
      </c>
      <c r="DU54" s="305">
        <v>45802</v>
      </c>
      <c r="DV54" s="306">
        <v>4165.41</v>
      </c>
      <c r="DW54" s="305">
        <v>45833</v>
      </c>
      <c r="DX54" s="306">
        <v>4080.06</v>
      </c>
      <c r="DY54" s="305">
        <v>45863</v>
      </c>
      <c r="DZ54" s="306">
        <v>4052.86</v>
      </c>
      <c r="EA54" s="305">
        <v>45893</v>
      </c>
      <c r="EB54" s="306">
        <v>4008.7</v>
      </c>
      <c r="EC54" s="305">
        <v>45924</v>
      </c>
      <c r="ED54" s="306">
        <v>3844.47</v>
      </c>
      <c r="EE54" s="305">
        <v>45954</v>
      </c>
      <c r="EF54" s="329">
        <v>3888.76</v>
      </c>
      <c r="EG54" s="305">
        <v>45985</v>
      </c>
      <c r="EH54" s="329">
        <v>3808.77</v>
      </c>
      <c r="EI54" s="305">
        <v>46015</v>
      </c>
      <c r="EJ54" s="329">
        <v>3759.48</v>
      </c>
      <c r="EK54" s="740">
        <v>46046</v>
      </c>
      <c r="EL54" s="741">
        <v>3637.88</v>
      </c>
      <c r="EM54" s="740">
        <v>46077</v>
      </c>
      <c r="EN54" s="741">
        <v>3697.36</v>
      </c>
    </row>
    <row r="55" spans="3:144" x14ac:dyDescent="0.35">
      <c r="C55" s="78">
        <v>43927</v>
      </c>
      <c r="D55" s="79">
        <v>4008.78</v>
      </c>
      <c r="E55" s="503">
        <v>43958</v>
      </c>
      <c r="F55" s="504">
        <v>3961.66</v>
      </c>
      <c r="G55" s="91">
        <v>43988</v>
      </c>
      <c r="H55" s="90">
        <v>3565.06</v>
      </c>
      <c r="I55" s="98">
        <v>44019</v>
      </c>
      <c r="J55" s="99">
        <v>3633.32</v>
      </c>
      <c r="K55" s="134">
        <v>44050</v>
      </c>
      <c r="L55" s="136">
        <v>3769.67</v>
      </c>
      <c r="M55" s="139">
        <v>44081</v>
      </c>
      <c r="N55" s="140">
        <v>3702.62</v>
      </c>
      <c r="O55" s="537">
        <v>44111</v>
      </c>
      <c r="P55" s="538">
        <v>3826.77</v>
      </c>
      <c r="Q55" s="307">
        <v>44142</v>
      </c>
      <c r="R55" s="543">
        <v>3738.19</v>
      </c>
      <c r="S55" s="154">
        <v>44172</v>
      </c>
      <c r="T55" s="155">
        <v>3467.49</v>
      </c>
      <c r="U55" s="539">
        <v>44203</v>
      </c>
      <c r="V55" s="540">
        <v>3428.04</v>
      </c>
      <c r="W55" s="202">
        <v>44234</v>
      </c>
      <c r="X55" s="203">
        <v>3543.28</v>
      </c>
      <c r="Y55" s="227">
        <v>44262</v>
      </c>
      <c r="Z55" s="228">
        <v>3640.2</v>
      </c>
      <c r="AA55" s="529">
        <v>44293</v>
      </c>
      <c r="AB55" s="530">
        <v>3645.14</v>
      </c>
      <c r="AC55" s="231">
        <v>44323</v>
      </c>
      <c r="AD55" s="232">
        <v>3800.33</v>
      </c>
      <c r="AE55" s="103">
        <v>44354</v>
      </c>
      <c r="AF55" s="104">
        <v>3609.2</v>
      </c>
      <c r="AG55" s="505">
        <v>44384</v>
      </c>
      <c r="AH55" s="506">
        <v>3782.27</v>
      </c>
      <c r="AI55" s="273">
        <v>44415</v>
      </c>
      <c r="AJ55" s="274">
        <v>3949.33</v>
      </c>
      <c r="AK55" s="290">
        <v>44464</v>
      </c>
      <c r="AL55" s="291">
        <v>3844.88</v>
      </c>
      <c r="AM55" s="301">
        <v>44494</v>
      </c>
      <c r="AN55" s="302">
        <v>3780.38</v>
      </c>
      <c r="AO55" s="307">
        <v>44525</v>
      </c>
      <c r="AP55" s="308">
        <v>3969.49</v>
      </c>
      <c r="AQ55" s="507">
        <v>44555</v>
      </c>
      <c r="AR55" s="508">
        <v>3994.15</v>
      </c>
      <c r="AS55" s="305">
        <v>44586</v>
      </c>
      <c r="AT55" s="306">
        <v>3977.51</v>
      </c>
      <c r="AU55" s="509">
        <v>44617</v>
      </c>
      <c r="AV55" s="510">
        <v>3940.2</v>
      </c>
      <c r="AW55" s="317">
        <v>44645</v>
      </c>
      <c r="AX55" s="318">
        <v>3798.9</v>
      </c>
      <c r="AY55" s="511">
        <v>44676</v>
      </c>
      <c r="AZ55" s="512">
        <v>3819.07</v>
      </c>
      <c r="BA55" s="305">
        <v>44706</v>
      </c>
      <c r="BB55" s="306">
        <v>3971.28</v>
      </c>
      <c r="BC55" s="307">
        <v>44737</v>
      </c>
      <c r="BD55" s="308">
        <v>4129.87</v>
      </c>
      <c r="BE55" s="305">
        <v>44767</v>
      </c>
      <c r="BF55" s="328">
        <v>4423.8599999999997</v>
      </c>
      <c r="BG55" s="305">
        <v>44798</v>
      </c>
      <c r="BH55" s="328">
        <v>4380.1899999999996</v>
      </c>
      <c r="BI55" s="307">
        <v>44829</v>
      </c>
      <c r="BJ55" s="308">
        <v>4426.47</v>
      </c>
      <c r="BK55" s="307">
        <v>44859</v>
      </c>
      <c r="BL55" s="308">
        <v>4968.9399999999996</v>
      </c>
      <c r="BM55" s="307">
        <v>44890</v>
      </c>
      <c r="BN55" s="308">
        <v>4875.91</v>
      </c>
      <c r="BO55" s="307">
        <v>44920</v>
      </c>
      <c r="BP55" s="308">
        <v>4745.04</v>
      </c>
      <c r="BQ55" s="307">
        <v>44951</v>
      </c>
      <c r="BR55" s="308">
        <v>4545.9399999999996</v>
      </c>
      <c r="BS55" s="305">
        <v>44982</v>
      </c>
      <c r="BT55" s="308">
        <v>4849.6499999999996</v>
      </c>
      <c r="BU55" s="307">
        <v>45010</v>
      </c>
      <c r="BV55" s="308">
        <v>4741.76</v>
      </c>
      <c r="BW55" s="307">
        <v>45041</v>
      </c>
      <c r="BX55" s="308">
        <v>4482.45</v>
      </c>
      <c r="BY55" s="307">
        <v>45071</v>
      </c>
      <c r="BZ55" s="308">
        <v>4448.93</v>
      </c>
      <c r="CA55" s="307">
        <v>45102</v>
      </c>
      <c r="CB55" s="308">
        <v>4168.88</v>
      </c>
      <c r="CC55" s="307">
        <v>45132</v>
      </c>
      <c r="CD55" s="308">
        <v>3950.58</v>
      </c>
      <c r="CE55" s="307">
        <v>45163</v>
      </c>
      <c r="CF55" s="308">
        <v>4085.89</v>
      </c>
      <c r="CG55" s="307">
        <v>45194</v>
      </c>
      <c r="CH55" s="308">
        <v>3948.7</v>
      </c>
      <c r="CI55" s="307">
        <v>45224</v>
      </c>
      <c r="CJ55" s="308">
        <v>4213.97</v>
      </c>
      <c r="CK55" s="307">
        <v>45255</v>
      </c>
      <c r="CL55" s="308">
        <v>4044.51</v>
      </c>
      <c r="CM55" s="307">
        <v>45285</v>
      </c>
      <c r="CN55" s="308">
        <v>3915.43</v>
      </c>
      <c r="CO55" s="307">
        <v>45316</v>
      </c>
      <c r="CP55" s="308">
        <v>3929.95</v>
      </c>
      <c r="CQ55" s="307">
        <v>45347</v>
      </c>
      <c r="CR55" s="308">
        <v>3949.36</v>
      </c>
      <c r="CS55" s="307">
        <v>45376</v>
      </c>
      <c r="CT55" s="308">
        <v>3901.51</v>
      </c>
      <c r="CU55" s="307">
        <v>45407</v>
      </c>
      <c r="CV55" s="308">
        <v>3935.65</v>
      </c>
      <c r="CW55" s="307">
        <v>45437</v>
      </c>
      <c r="CX55" s="308">
        <v>3878.07</v>
      </c>
      <c r="CY55" s="307">
        <v>45468</v>
      </c>
      <c r="CZ55" s="308">
        <v>4104.38</v>
      </c>
      <c r="DA55" s="307">
        <v>45498</v>
      </c>
      <c r="DB55" s="308">
        <v>4047.66</v>
      </c>
      <c r="DC55" s="500">
        <v>45529</v>
      </c>
      <c r="DD55" s="308">
        <v>4030.52</v>
      </c>
      <c r="DE55" s="500">
        <v>45560</v>
      </c>
      <c r="DF55" s="308">
        <v>4139.43</v>
      </c>
      <c r="DG55" s="500">
        <v>45590</v>
      </c>
      <c r="DH55" s="308">
        <v>4311.83</v>
      </c>
      <c r="DI55" s="500">
        <v>45621</v>
      </c>
      <c r="DJ55" s="308">
        <v>4418.58</v>
      </c>
      <c r="DK55" s="500">
        <v>45651</v>
      </c>
      <c r="DL55" s="308">
        <v>4380.9399999999996</v>
      </c>
      <c r="DM55" s="500">
        <v>45682</v>
      </c>
      <c r="DN55" s="308">
        <v>4188.46</v>
      </c>
      <c r="DO55" s="500">
        <v>45713</v>
      </c>
      <c r="DP55" s="306">
        <v>4112.63</v>
      </c>
      <c r="DQ55" s="500">
        <v>45741</v>
      </c>
      <c r="DR55" s="308">
        <v>4168.82</v>
      </c>
      <c r="DS55" s="500">
        <v>45772</v>
      </c>
      <c r="DT55" s="308">
        <v>4274.57</v>
      </c>
      <c r="DU55" s="307">
        <v>45802</v>
      </c>
      <c r="DV55" s="308">
        <v>4165.41</v>
      </c>
      <c r="DW55" s="307">
        <v>45833</v>
      </c>
      <c r="DX55" s="308">
        <v>4081.15</v>
      </c>
      <c r="DY55" s="307">
        <v>45863</v>
      </c>
      <c r="DZ55" s="308">
        <v>4063.31</v>
      </c>
      <c r="EA55" s="307">
        <v>45894</v>
      </c>
      <c r="EB55" s="308">
        <v>4008.7</v>
      </c>
      <c r="EC55" s="307">
        <v>45925</v>
      </c>
      <c r="ED55" s="308">
        <v>3881.26</v>
      </c>
      <c r="EE55" s="307">
        <v>45955</v>
      </c>
      <c r="EF55" s="328">
        <v>3858.63</v>
      </c>
      <c r="EG55" s="307">
        <v>45986</v>
      </c>
      <c r="EH55" s="328">
        <v>3804.09</v>
      </c>
      <c r="EI55" s="307">
        <v>46016</v>
      </c>
      <c r="EJ55" s="328">
        <v>3706.94</v>
      </c>
      <c r="EK55" s="738">
        <v>46047</v>
      </c>
      <c r="EL55" s="739">
        <v>3637.88</v>
      </c>
      <c r="EM55" s="738">
        <v>46078</v>
      </c>
      <c r="EN55" s="739">
        <v>3703.28</v>
      </c>
    </row>
    <row r="56" spans="3:144" x14ac:dyDescent="0.35">
      <c r="C56" s="80">
        <v>43926</v>
      </c>
      <c r="D56" s="81">
        <v>4008.78</v>
      </c>
      <c r="E56" s="513">
        <v>43957</v>
      </c>
      <c r="F56" s="514">
        <v>3926.07</v>
      </c>
      <c r="G56" s="92">
        <v>43987</v>
      </c>
      <c r="H56" s="89">
        <v>3597.47</v>
      </c>
      <c r="I56" s="96">
        <v>44018</v>
      </c>
      <c r="J56" s="97">
        <v>3645.9</v>
      </c>
      <c r="K56" s="133">
        <v>44049</v>
      </c>
      <c r="L56" s="135">
        <v>3775.95</v>
      </c>
      <c r="M56" s="137">
        <v>44080</v>
      </c>
      <c r="N56" s="138">
        <v>3702.62</v>
      </c>
      <c r="O56" s="535">
        <v>44110</v>
      </c>
      <c r="P56" s="536">
        <v>3843.75</v>
      </c>
      <c r="Q56" s="305">
        <v>44141</v>
      </c>
      <c r="R56" s="544">
        <v>3763.82</v>
      </c>
      <c r="S56" s="152">
        <v>44171</v>
      </c>
      <c r="T56" s="153">
        <v>3467.49</v>
      </c>
      <c r="U56" s="541">
        <v>44202</v>
      </c>
      <c r="V56" s="542">
        <v>3450.74</v>
      </c>
      <c r="W56" s="204">
        <v>44233</v>
      </c>
      <c r="X56" s="205">
        <v>3543.28</v>
      </c>
      <c r="Y56" s="225">
        <v>44261</v>
      </c>
      <c r="Z56" s="226">
        <v>3640.2</v>
      </c>
      <c r="AA56" s="517">
        <v>44292</v>
      </c>
      <c r="AB56" s="518">
        <v>3645.79</v>
      </c>
      <c r="AC56" s="233">
        <v>44322</v>
      </c>
      <c r="AD56" s="234">
        <v>3846.28</v>
      </c>
      <c r="AE56" s="101">
        <v>44353</v>
      </c>
      <c r="AF56" s="102">
        <v>3609.2</v>
      </c>
      <c r="AG56" s="519">
        <v>44383</v>
      </c>
      <c r="AH56" s="520">
        <v>3777.17</v>
      </c>
      <c r="AI56" s="271">
        <v>44414</v>
      </c>
      <c r="AJ56" s="272">
        <v>3910.81</v>
      </c>
      <c r="AK56" s="288">
        <v>44465</v>
      </c>
      <c r="AL56" s="289">
        <v>3844.88</v>
      </c>
      <c r="AM56" s="303">
        <v>44495</v>
      </c>
      <c r="AN56" s="304">
        <v>3769.98</v>
      </c>
      <c r="AO56" s="305">
        <v>44526</v>
      </c>
      <c r="AP56" s="306">
        <v>3969.49</v>
      </c>
      <c r="AQ56" s="521">
        <v>44556</v>
      </c>
      <c r="AR56" s="522">
        <v>3994.15</v>
      </c>
      <c r="AS56" s="307">
        <v>44587</v>
      </c>
      <c r="AT56" s="308">
        <v>3987.32</v>
      </c>
      <c r="AU56" s="523">
        <v>44618</v>
      </c>
      <c r="AV56" s="524">
        <v>3910.64</v>
      </c>
      <c r="AW56" s="319">
        <v>44646</v>
      </c>
      <c r="AX56" s="320">
        <v>3785.66</v>
      </c>
      <c r="AY56" s="525">
        <v>44677</v>
      </c>
      <c r="AZ56" s="526">
        <v>3931.74</v>
      </c>
      <c r="BA56" s="307">
        <v>44707</v>
      </c>
      <c r="BB56" s="308">
        <v>3959.05</v>
      </c>
      <c r="BC56" s="305">
        <v>44738</v>
      </c>
      <c r="BD56" s="306">
        <v>4129.87</v>
      </c>
      <c r="BE56" s="305">
        <v>44768</v>
      </c>
      <c r="BF56" s="329">
        <v>4461.63</v>
      </c>
      <c r="BG56" s="305">
        <v>44799</v>
      </c>
      <c r="BH56" s="329">
        <v>4407.95</v>
      </c>
      <c r="BI56" s="305">
        <v>44830</v>
      </c>
      <c r="BJ56" s="306">
        <v>4426.47</v>
      </c>
      <c r="BK56" s="305">
        <v>44860</v>
      </c>
      <c r="BL56" s="306">
        <v>4948.1400000000003</v>
      </c>
      <c r="BM56" s="305">
        <v>44891</v>
      </c>
      <c r="BN56" s="306">
        <v>4881.41</v>
      </c>
      <c r="BO56" s="305">
        <v>44921</v>
      </c>
      <c r="BP56" s="306">
        <v>4745.04</v>
      </c>
      <c r="BQ56" s="305">
        <v>44952</v>
      </c>
      <c r="BR56" s="306">
        <v>4538.91</v>
      </c>
      <c r="BS56" s="305">
        <v>44983</v>
      </c>
      <c r="BT56" s="306">
        <v>4849.6499999999996</v>
      </c>
      <c r="BU56" s="305">
        <v>45011</v>
      </c>
      <c r="BV56" s="306">
        <v>4741.76</v>
      </c>
      <c r="BW56" s="305">
        <v>45042</v>
      </c>
      <c r="BX56" s="306">
        <v>4486.6000000000004</v>
      </c>
      <c r="BY56" s="305">
        <v>45072</v>
      </c>
      <c r="BZ56" s="306">
        <v>4470.83</v>
      </c>
      <c r="CA56" s="305">
        <v>45103</v>
      </c>
      <c r="CB56" s="306">
        <v>4168.88</v>
      </c>
      <c r="CC56" s="305">
        <v>45133</v>
      </c>
      <c r="CD56" s="306">
        <v>3978.83</v>
      </c>
      <c r="CE56" s="305">
        <v>45164</v>
      </c>
      <c r="CF56" s="306">
        <v>4076.9</v>
      </c>
      <c r="CG56" s="305">
        <v>45195</v>
      </c>
      <c r="CH56" s="306">
        <v>4052.54</v>
      </c>
      <c r="CI56" s="305">
        <v>45225</v>
      </c>
      <c r="CJ56" s="306">
        <v>4201.53</v>
      </c>
      <c r="CK56" s="305">
        <v>45256</v>
      </c>
      <c r="CL56" s="306">
        <v>4044.51</v>
      </c>
      <c r="CM56" s="305">
        <v>45286</v>
      </c>
      <c r="CN56" s="306">
        <v>3915.43</v>
      </c>
      <c r="CO56" s="305">
        <v>45317</v>
      </c>
      <c r="CP56" s="306">
        <v>3932.96</v>
      </c>
      <c r="CQ56" s="305">
        <v>45348</v>
      </c>
      <c r="CR56" s="306">
        <v>3949.36</v>
      </c>
      <c r="CS56" s="305">
        <v>45377</v>
      </c>
      <c r="CT56" s="306">
        <v>3901.51</v>
      </c>
      <c r="CU56" s="305">
        <v>45408</v>
      </c>
      <c r="CV56" s="306">
        <v>3964.59</v>
      </c>
      <c r="CW56" s="305">
        <v>45438</v>
      </c>
      <c r="CX56" s="306">
        <v>3878.07</v>
      </c>
      <c r="CY56" s="305">
        <v>45469</v>
      </c>
      <c r="CZ56" s="306">
        <v>4093.66</v>
      </c>
      <c r="DA56" s="305">
        <v>45499</v>
      </c>
      <c r="DB56" s="306">
        <v>4035</v>
      </c>
      <c r="DC56" s="501">
        <v>45530</v>
      </c>
      <c r="DD56" s="306">
        <v>4030.52</v>
      </c>
      <c r="DE56" s="501">
        <v>45561</v>
      </c>
      <c r="DF56" s="306">
        <v>4192.74</v>
      </c>
      <c r="DG56" s="501">
        <v>45591</v>
      </c>
      <c r="DH56" s="306">
        <v>4316.7299999999996</v>
      </c>
      <c r="DI56" s="501">
        <v>45622</v>
      </c>
      <c r="DJ56" s="546">
        <v>4381.99</v>
      </c>
      <c r="DK56" s="501">
        <v>45652</v>
      </c>
      <c r="DL56" s="306">
        <v>4380.9399999999996</v>
      </c>
      <c r="DM56" s="501">
        <v>45683</v>
      </c>
      <c r="DN56" s="306">
        <v>4188.46</v>
      </c>
      <c r="DO56" s="501">
        <v>45714</v>
      </c>
      <c r="DP56" s="308">
        <v>4126.54</v>
      </c>
      <c r="DQ56" s="501">
        <v>45742</v>
      </c>
      <c r="DR56" s="306">
        <v>4107.1400000000003</v>
      </c>
      <c r="DS56" s="501">
        <v>45773</v>
      </c>
      <c r="DT56" s="306">
        <v>4239.62</v>
      </c>
      <c r="DU56" s="305">
        <v>45803</v>
      </c>
      <c r="DV56" s="306">
        <v>4165.41</v>
      </c>
      <c r="DW56" s="305">
        <v>45834</v>
      </c>
      <c r="DX56" s="306">
        <v>4067.64</v>
      </c>
      <c r="DY56" s="305">
        <v>45864</v>
      </c>
      <c r="DZ56" s="306">
        <v>4110.4799999999996</v>
      </c>
      <c r="EA56" s="305">
        <v>45895</v>
      </c>
      <c r="EB56" s="306">
        <v>4017.44</v>
      </c>
      <c r="EC56" s="305">
        <v>45926</v>
      </c>
      <c r="ED56" s="306">
        <v>3898.87</v>
      </c>
      <c r="EE56" s="305">
        <v>45956</v>
      </c>
      <c r="EF56" s="329">
        <v>3858.63</v>
      </c>
      <c r="EG56" s="305">
        <v>45987</v>
      </c>
      <c r="EH56" s="329">
        <v>3806.16</v>
      </c>
      <c r="EI56" s="305">
        <v>46017</v>
      </c>
      <c r="EJ56" s="329">
        <v>3706.94</v>
      </c>
      <c r="EK56" s="740">
        <v>46048</v>
      </c>
      <c r="EL56" s="741">
        <v>3637.88</v>
      </c>
      <c r="EM56" s="740">
        <v>46079</v>
      </c>
      <c r="EN56" s="741">
        <v>3703.69</v>
      </c>
    </row>
    <row r="57" spans="3:144" x14ac:dyDescent="0.35">
      <c r="C57" s="78">
        <v>43925</v>
      </c>
      <c r="D57" s="79">
        <v>4008.78</v>
      </c>
      <c r="E57" s="503">
        <v>43956</v>
      </c>
      <c r="F57" s="504">
        <v>3990.1</v>
      </c>
      <c r="G57" s="91">
        <v>43986</v>
      </c>
      <c r="H57" s="90">
        <v>3588.89</v>
      </c>
      <c r="I57" s="98">
        <v>44017</v>
      </c>
      <c r="J57" s="99">
        <v>3645.9</v>
      </c>
      <c r="K57" s="134">
        <v>44048</v>
      </c>
      <c r="L57" s="136">
        <v>3792.98</v>
      </c>
      <c r="M57" s="139">
        <v>44079</v>
      </c>
      <c r="N57" s="140">
        <v>3702.62</v>
      </c>
      <c r="O57" s="537">
        <v>44109</v>
      </c>
      <c r="P57" s="538">
        <v>3881.8</v>
      </c>
      <c r="Q57" s="307">
        <v>44140</v>
      </c>
      <c r="R57" s="543">
        <v>3807.13</v>
      </c>
      <c r="S57" s="154">
        <v>44170</v>
      </c>
      <c r="T57" s="155">
        <v>3467.49</v>
      </c>
      <c r="U57" s="539">
        <v>44201</v>
      </c>
      <c r="V57" s="540">
        <v>3420.78</v>
      </c>
      <c r="W57" s="202">
        <v>44232</v>
      </c>
      <c r="X57" s="203">
        <v>3558.63</v>
      </c>
      <c r="Y57" s="227">
        <v>44260</v>
      </c>
      <c r="Z57" s="228">
        <v>3647.99</v>
      </c>
      <c r="AA57" s="529">
        <v>44291</v>
      </c>
      <c r="AB57" s="530">
        <v>3678.62</v>
      </c>
      <c r="AC57" s="231">
        <v>44321</v>
      </c>
      <c r="AD57" s="232">
        <v>3831.35</v>
      </c>
      <c r="AE57" s="103">
        <v>44352</v>
      </c>
      <c r="AF57" s="104">
        <v>3609.2</v>
      </c>
      <c r="AG57" s="505">
        <v>44382</v>
      </c>
      <c r="AH57" s="506">
        <v>3777.17</v>
      </c>
      <c r="AI57" s="273">
        <v>44413</v>
      </c>
      <c r="AJ57" s="274">
        <v>3911.36</v>
      </c>
      <c r="AK57" s="290">
        <v>44466</v>
      </c>
      <c r="AL57" s="291">
        <v>3844.88</v>
      </c>
      <c r="AM57" s="305">
        <v>44496</v>
      </c>
      <c r="AN57" s="306">
        <v>3774.46</v>
      </c>
      <c r="AQ57" s="507">
        <v>44557</v>
      </c>
      <c r="AR57" s="508">
        <v>3994.15</v>
      </c>
      <c r="AS57" s="305">
        <v>44588</v>
      </c>
      <c r="AT57" s="306">
        <v>3947.83</v>
      </c>
      <c r="AU57" s="509">
        <v>44619</v>
      </c>
      <c r="AV57" s="510">
        <v>3910.64</v>
      </c>
      <c r="AW57" s="317">
        <v>44647</v>
      </c>
      <c r="AX57" s="318">
        <v>3785.66</v>
      </c>
      <c r="AY57" s="511">
        <v>44678</v>
      </c>
      <c r="AZ57" s="512">
        <v>3947.63</v>
      </c>
      <c r="BA57" s="305">
        <v>44708</v>
      </c>
      <c r="BB57" s="306">
        <v>3930.89</v>
      </c>
      <c r="BC57" s="307">
        <v>44739</v>
      </c>
      <c r="BD57" s="308">
        <v>4129.87</v>
      </c>
      <c r="BE57" s="305">
        <v>44769</v>
      </c>
      <c r="BF57" s="328">
        <v>4445.01</v>
      </c>
      <c r="BG57" s="305">
        <v>44801</v>
      </c>
      <c r="BH57" s="328">
        <v>4388.0200000000004</v>
      </c>
      <c r="BI57" s="307">
        <v>44831</v>
      </c>
      <c r="BJ57" s="308">
        <v>4496.99</v>
      </c>
      <c r="BK57" s="307">
        <v>44861</v>
      </c>
      <c r="BL57" s="308">
        <v>4895.29</v>
      </c>
      <c r="BM57" s="307">
        <v>44892</v>
      </c>
      <c r="BN57" s="308">
        <v>4881.41</v>
      </c>
      <c r="BO57" s="307">
        <v>44922</v>
      </c>
      <c r="BP57" s="308">
        <v>4745.04</v>
      </c>
      <c r="BQ57" s="307">
        <v>44953</v>
      </c>
      <c r="BR57" s="308">
        <v>4531.75</v>
      </c>
      <c r="BS57" s="305">
        <v>44984</v>
      </c>
      <c r="BT57" s="308">
        <v>4849.6499999999996</v>
      </c>
      <c r="BU57" s="307">
        <v>45012</v>
      </c>
      <c r="BV57" s="308">
        <v>4741.76</v>
      </c>
      <c r="BW57" s="307">
        <v>45043</v>
      </c>
      <c r="BX57" s="308">
        <v>4552.59</v>
      </c>
      <c r="BY57" s="307">
        <v>45073</v>
      </c>
      <c r="BZ57" s="308">
        <v>4461.66</v>
      </c>
      <c r="CA57" s="307">
        <v>45104</v>
      </c>
      <c r="CB57" s="308">
        <v>4172.33</v>
      </c>
      <c r="CC57" s="307">
        <v>45134</v>
      </c>
      <c r="CD57" s="308">
        <v>3951.1</v>
      </c>
      <c r="CE57" s="307">
        <v>45165</v>
      </c>
      <c r="CF57" s="308">
        <v>4117.78</v>
      </c>
      <c r="CG57" s="307">
        <v>45196</v>
      </c>
      <c r="CH57" s="308">
        <v>4068.73</v>
      </c>
      <c r="CI57" s="307">
        <v>45226</v>
      </c>
      <c r="CJ57" s="308">
        <v>4154.9399999999996</v>
      </c>
      <c r="CK57" s="307">
        <v>45257</v>
      </c>
      <c r="CL57" s="308">
        <v>4044.51</v>
      </c>
      <c r="CM57" s="307">
        <v>45287</v>
      </c>
      <c r="CN57" s="308">
        <v>3871.45</v>
      </c>
      <c r="CO57" s="307">
        <v>45318</v>
      </c>
      <c r="CP57" s="308">
        <v>3925.26</v>
      </c>
      <c r="CQ57" s="307">
        <v>45349</v>
      </c>
      <c r="CR57" s="308">
        <v>3963.08</v>
      </c>
      <c r="CS57" s="307">
        <v>45378</v>
      </c>
      <c r="CT57" s="308">
        <v>3865.97</v>
      </c>
      <c r="CU57" s="307">
        <v>45409</v>
      </c>
      <c r="CV57" s="308">
        <v>3926.02</v>
      </c>
      <c r="CW57" s="307">
        <v>45439</v>
      </c>
      <c r="CX57" s="308">
        <v>3878.07</v>
      </c>
      <c r="CY57" s="307">
        <v>45470</v>
      </c>
      <c r="CZ57" s="308">
        <v>4133.6099999999997</v>
      </c>
      <c r="DA57" s="307">
        <v>45500</v>
      </c>
      <c r="DB57" s="308">
        <v>4014.56</v>
      </c>
      <c r="DC57" s="500">
        <v>45531</v>
      </c>
      <c r="DD57" s="308">
        <v>4023.92</v>
      </c>
      <c r="DE57" s="500">
        <v>45562</v>
      </c>
      <c r="DF57" s="308">
        <v>4188.1099999999997</v>
      </c>
      <c r="DG57" s="500">
        <v>45592</v>
      </c>
      <c r="DH57" s="308">
        <v>4316.7299999999996</v>
      </c>
      <c r="DI57" s="500">
        <v>45623</v>
      </c>
      <c r="DJ57" s="308">
        <v>4405.96</v>
      </c>
      <c r="DK57" s="500">
        <v>45653</v>
      </c>
      <c r="DL57" s="308">
        <v>4375.8599999999997</v>
      </c>
      <c r="DM57" s="500">
        <v>45684</v>
      </c>
      <c r="DN57" s="308">
        <v>4188.46</v>
      </c>
      <c r="DO57" s="500">
        <v>45715</v>
      </c>
      <c r="DP57" s="306">
        <v>4123.1000000000004</v>
      </c>
      <c r="DQ57" s="500">
        <v>45743</v>
      </c>
      <c r="DR57" s="308">
        <v>4131.42</v>
      </c>
      <c r="DS57" s="500">
        <v>45774</v>
      </c>
      <c r="DT57" s="308">
        <v>4239.62</v>
      </c>
      <c r="DU57" s="307">
        <v>45804</v>
      </c>
      <c r="DV57" s="308">
        <v>4165.41</v>
      </c>
      <c r="DW57" s="307">
        <v>45835</v>
      </c>
      <c r="DX57" s="308">
        <v>4042.87</v>
      </c>
      <c r="DY57" s="307">
        <v>45865</v>
      </c>
      <c r="DZ57" s="308">
        <v>4110.4799999999996</v>
      </c>
      <c r="EA57" s="307">
        <v>45896</v>
      </c>
      <c r="EB57" s="308">
        <v>4044.51</v>
      </c>
      <c r="EC57" s="307">
        <v>45927</v>
      </c>
      <c r="ED57" s="308">
        <v>3908.12</v>
      </c>
      <c r="EE57" s="307">
        <v>45957</v>
      </c>
      <c r="EF57" s="328">
        <v>3858.63</v>
      </c>
      <c r="EG57" s="307">
        <v>45988</v>
      </c>
      <c r="EH57" s="328">
        <v>3773.6</v>
      </c>
      <c r="EI57" s="307">
        <v>46018</v>
      </c>
      <c r="EJ57" s="328">
        <v>3716.05</v>
      </c>
      <c r="EK57" s="738">
        <v>46049</v>
      </c>
      <c r="EL57" s="739">
        <v>3676.02</v>
      </c>
      <c r="EM57" s="738">
        <v>46080</v>
      </c>
      <c r="EN57" s="739">
        <v>3745.78</v>
      </c>
    </row>
    <row r="58" spans="3:144" x14ac:dyDescent="0.35">
      <c r="C58" s="80">
        <v>43924</v>
      </c>
      <c r="D58" s="81">
        <v>4065.5</v>
      </c>
      <c r="E58" s="513">
        <v>43955</v>
      </c>
      <c r="F58" s="514">
        <v>3932.72</v>
      </c>
      <c r="G58" s="92">
        <v>43985</v>
      </c>
      <c r="H58" s="89">
        <v>3651.42</v>
      </c>
      <c r="I58" s="96">
        <v>44016</v>
      </c>
      <c r="J58" s="97">
        <v>3645.9</v>
      </c>
      <c r="K58" s="133">
        <v>44047</v>
      </c>
      <c r="L58" s="135">
        <v>3768.39</v>
      </c>
      <c r="M58" s="137">
        <v>44078</v>
      </c>
      <c r="N58" s="138">
        <v>3653.23</v>
      </c>
      <c r="O58" s="535">
        <v>44108</v>
      </c>
      <c r="P58" s="536">
        <v>3881.8</v>
      </c>
      <c r="Q58" s="305">
        <v>44139</v>
      </c>
      <c r="R58" s="544">
        <v>3823.45</v>
      </c>
      <c r="S58" s="152">
        <v>44169</v>
      </c>
      <c r="T58" s="153">
        <v>3481.44</v>
      </c>
      <c r="U58" s="541">
        <v>44200</v>
      </c>
      <c r="V58" s="542">
        <v>3432.5</v>
      </c>
      <c r="W58" s="204">
        <v>44231</v>
      </c>
      <c r="X58" s="205">
        <v>3522.57</v>
      </c>
      <c r="Y58" s="225">
        <v>44259</v>
      </c>
      <c r="Z58" s="226">
        <v>3676.94</v>
      </c>
      <c r="AA58" s="517">
        <v>44290</v>
      </c>
      <c r="AB58" s="518">
        <v>3678.62</v>
      </c>
      <c r="AC58" s="233">
        <v>44320</v>
      </c>
      <c r="AD58" s="234">
        <v>3816.65</v>
      </c>
      <c r="AE58" s="101">
        <v>44351</v>
      </c>
      <c r="AF58" s="102">
        <v>3657.41</v>
      </c>
      <c r="AG58" s="519">
        <v>44381</v>
      </c>
      <c r="AH58" s="520">
        <v>3777.17</v>
      </c>
      <c r="AI58" s="271">
        <v>44412</v>
      </c>
      <c r="AJ58" s="272">
        <v>3913.59</v>
      </c>
      <c r="AK58" s="288">
        <v>44467</v>
      </c>
      <c r="AL58" s="289">
        <v>3837.91</v>
      </c>
      <c r="AM58" s="307">
        <v>44497</v>
      </c>
      <c r="AN58" s="308">
        <v>3761.21</v>
      </c>
      <c r="AQ58" s="521">
        <v>44558</v>
      </c>
      <c r="AR58" s="522">
        <v>3989.41</v>
      </c>
      <c r="AS58" s="307">
        <v>44589</v>
      </c>
      <c r="AT58" s="308">
        <v>3944.04</v>
      </c>
      <c r="AU58" s="523">
        <v>44620</v>
      </c>
      <c r="AV58" s="524">
        <v>3910.64</v>
      </c>
      <c r="AW58" s="319">
        <v>44648</v>
      </c>
      <c r="AX58" s="320">
        <v>3785.66</v>
      </c>
      <c r="BA58" s="307">
        <v>44709</v>
      </c>
      <c r="BB58" s="308">
        <v>3912.34</v>
      </c>
      <c r="BC58" s="305">
        <v>44740</v>
      </c>
      <c r="BD58" s="306">
        <v>4129.87</v>
      </c>
      <c r="BE58" s="305">
        <v>44770</v>
      </c>
      <c r="BF58" s="329">
        <v>4420.75</v>
      </c>
      <c r="BG58" s="305">
        <v>44801</v>
      </c>
      <c r="BH58" s="329">
        <v>4388.0200000000004</v>
      </c>
      <c r="BI58" s="305">
        <v>44832</v>
      </c>
      <c r="BJ58" s="306" t="s">
        <v>247</v>
      </c>
      <c r="BK58" s="307">
        <v>44862</v>
      </c>
      <c r="BL58" s="306">
        <v>4821.92</v>
      </c>
      <c r="BM58" s="305">
        <v>44893</v>
      </c>
      <c r="BN58" s="306">
        <v>4881.41</v>
      </c>
      <c r="BO58" s="305">
        <v>44923</v>
      </c>
      <c r="BP58" s="306">
        <v>4766.82</v>
      </c>
      <c r="BQ58" s="305">
        <v>44954</v>
      </c>
      <c r="BR58" s="306">
        <v>4548.5</v>
      </c>
      <c r="BS58" s="305">
        <v>44985</v>
      </c>
      <c r="BT58" s="306">
        <v>4808.1400000000003</v>
      </c>
      <c r="BU58" s="305">
        <v>45013</v>
      </c>
      <c r="BV58" s="306">
        <v>4686.83</v>
      </c>
      <c r="BW58" s="305">
        <v>45044</v>
      </c>
      <c r="BX58" s="306">
        <v>4654.1400000000003</v>
      </c>
      <c r="BY58" s="305">
        <v>45074</v>
      </c>
      <c r="BZ58" s="306">
        <v>4461.66</v>
      </c>
      <c r="CA58" s="305">
        <v>45105</v>
      </c>
      <c r="CB58" s="306">
        <v>4152.4799999999996</v>
      </c>
      <c r="CC58" s="305">
        <v>45135</v>
      </c>
      <c r="CD58" s="306">
        <v>3932.04</v>
      </c>
      <c r="CE58" s="305">
        <v>45166</v>
      </c>
      <c r="CF58" s="306">
        <v>4117.78</v>
      </c>
      <c r="CG58" s="305">
        <v>45197</v>
      </c>
      <c r="CH58" s="306">
        <v>4093.6</v>
      </c>
      <c r="CI58" s="305">
        <v>45227</v>
      </c>
      <c r="CJ58" s="306">
        <v>4120.62</v>
      </c>
      <c r="CK58" s="305">
        <v>45258</v>
      </c>
      <c r="CL58" s="306">
        <v>3989.89</v>
      </c>
      <c r="CM58" s="305">
        <v>45288</v>
      </c>
      <c r="CN58" s="306">
        <v>3844.81</v>
      </c>
      <c r="CO58" s="305">
        <v>45319</v>
      </c>
      <c r="CP58" s="306">
        <v>3925.26</v>
      </c>
      <c r="CQ58" s="305">
        <v>45350</v>
      </c>
      <c r="CR58" s="306">
        <v>3935.59</v>
      </c>
      <c r="CS58" s="305">
        <v>45379</v>
      </c>
      <c r="CT58" s="306">
        <v>3842.3</v>
      </c>
      <c r="CU58" s="305">
        <v>45410</v>
      </c>
      <c r="CV58" s="306">
        <v>3926.02</v>
      </c>
      <c r="CW58" s="305">
        <v>45440</v>
      </c>
      <c r="CX58" s="306">
        <v>3878.07</v>
      </c>
      <c r="CY58" s="305">
        <v>45471</v>
      </c>
      <c r="CZ58" s="306">
        <v>4158.1000000000004</v>
      </c>
      <c r="DA58" s="305">
        <v>45501</v>
      </c>
      <c r="DB58" s="306">
        <v>4014.56</v>
      </c>
      <c r="DC58" s="501">
        <v>45532</v>
      </c>
      <c r="DD58" s="306">
        <v>4045.64</v>
      </c>
      <c r="DE58" s="501">
        <v>45564</v>
      </c>
      <c r="DF58" s="306">
        <v>4164.21</v>
      </c>
      <c r="DG58" s="501">
        <v>45594</v>
      </c>
      <c r="DH58" s="306">
        <v>4316.7299999999996</v>
      </c>
      <c r="DI58" s="501">
        <v>45625</v>
      </c>
      <c r="DJ58" s="306">
        <v>4406.16</v>
      </c>
      <c r="DK58" s="501">
        <v>45654</v>
      </c>
      <c r="DL58" s="306">
        <v>4401.9799999999996</v>
      </c>
      <c r="DM58" s="501">
        <v>45685</v>
      </c>
      <c r="DN58" s="306">
        <v>4220.8599999999997</v>
      </c>
      <c r="DO58" s="501">
        <v>45716</v>
      </c>
      <c r="DP58" s="306"/>
      <c r="DQ58" s="501">
        <v>45744</v>
      </c>
      <c r="DR58" s="306">
        <v>4152.59</v>
      </c>
      <c r="DS58" s="501">
        <v>45775</v>
      </c>
      <c r="DT58" s="306">
        <v>4239.62</v>
      </c>
      <c r="DU58" s="305">
        <v>45805</v>
      </c>
      <c r="DV58" s="306">
        <v>4128.1499999999996</v>
      </c>
      <c r="DW58" s="305">
        <v>45836</v>
      </c>
      <c r="DX58" s="306">
        <v>4069.67</v>
      </c>
      <c r="DY58" s="305">
        <v>45866</v>
      </c>
      <c r="DZ58" s="306">
        <v>4110.4799999999996</v>
      </c>
      <c r="EA58" s="305">
        <v>45897</v>
      </c>
      <c r="EB58" s="306">
        <v>4051.97</v>
      </c>
      <c r="EC58" s="305">
        <v>45929</v>
      </c>
      <c r="ED58" s="306">
        <v>3908.12</v>
      </c>
      <c r="EE58" s="305">
        <v>45958</v>
      </c>
      <c r="EF58" s="329">
        <v>3844.2</v>
      </c>
      <c r="EG58" s="305">
        <v>45989</v>
      </c>
      <c r="EH58" s="329">
        <v>3773.6</v>
      </c>
      <c r="EI58" s="305">
        <v>46019</v>
      </c>
      <c r="EJ58" s="329">
        <v>3716.05</v>
      </c>
      <c r="EK58" s="740">
        <v>46050</v>
      </c>
      <c r="EL58" s="741">
        <v>3678.59</v>
      </c>
    </row>
    <row r="59" spans="3:144" x14ac:dyDescent="0.35">
      <c r="C59" s="78">
        <v>43923</v>
      </c>
      <c r="D59" s="79">
        <v>4081.06</v>
      </c>
      <c r="E59" s="503">
        <v>43954</v>
      </c>
      <c r="F59" s="504">
        <v>3932.72</v>
      </c>
      <c r="G59" s="91">
        <v>43984</v>
      </c>
      <c r="H59" s="90">
        <v>3716.35</v>
      </c>
      <c r="I59" s="98">
        <v>44015</v>
      </c>
      <c r="J59" s="99">
        <v>3660.18</v>
      </c>
      <c r="K59" s="134">
        <v>44046</v>
      </c>
      <c r="L59" s="136">
        <v>3733.08</v>
      </c>
      <c r="M59" s="139">
        <v>44077</v>
      </c>
      <c r="N59" s="140">
        <v>3653.7</v>
      </c>
      <c r="O59" s="537">
        <v>44107</v>
      </c>
      <c r="P59" s="538">
        <v>3881.8</v>
      </c>
      <c r="Q59" s="307">
        <v>44138</v>
      </c>
      <c r="R59" s="543">
        <v>3858.56</v>
      </c>
      <c r="S59" s="154">
        <v>44168</v>
      </c>
      <c r="T59" s="155">
        <v>3533.21</v>
      </c>
      <c r="U59" s="539">
        <v>44199</v>
      </c>
      <c r="V59" s="540">
        <v>3432.5</v>
      </c>
      <c r="W59" s="202">
        <v>44230</v>
      </c>
      <c r="X59" s="203">
        <v>3534.99</v>
      </c>
      <c r="Y59" s="227">
        <v>44258</v>
      </c>
      <c r="Z59" s="228">
        <v>3646.61</v>
      </c>
      <c r="AA59" s="529">
        <v>44289</v>
      </c>
      <c r="AB59" s="530">
        <v>3678.62</v>
      </c>
      <c r="AC59" s="231">
        <v>44319</v>
      </c>
      <c r="AD59" s="232">
        <v>3740.14</v>
      </c>
      <c r="AE59" s="103">
        <v>44350</v>
      </c>
      <c r="AF59" s="104">
        <v>3642.29</v>
      </c>
      <c r="AG59" s="505">
        <v>44380</v>
      </c>
      <c r="AH59" s="506">
        <v>3777.17</v>
      </c>
      <c r="AI59" s="273">
        <v>44411</v>
      </c>
      <c r="AJ59" s="274">
        <v>3865.46</v>
      </c>
      <c r="AM59" s="305">
        <v>44498</v>
      </c>
      <c r="AN59" s="306">
        <v>3766.1</v>
      </c>
      <c r="AQ59" s="507">
        <v>44559</v>
      </c>
      <c r="AR59" s="508">
        <v>4004</v>
      </c>
      <c r="AS59" s="305">
        <v>44590</v>
      </c>
      <c r="AT59" s="306">
        <v>3982.6</v>
      </c>
      <c r="AW59" s="317">
        <v>44649</v>
      </c>
      <c r="AX59" s="318">
        <v>3785.7</v>
      </c>
      <c r="BA59" s="305">
        <v>44710</v>
      </c>
      <c r="BB59" s="306">
        <v>3912.34</v>
      </c>
      <c r="BC59" s="307">
        <v>44741</v>
      </c>
      <c r="BD59" s="308">
        <v>4089.72</v>
      </c>
      <c r="BE59" s="305">
        <v>44771</v>
      </c>
      <c r="BF59" s="328">
        <v>4375.51</v>
      </c>
      <c r="BG59" s="305">
        <v>44802</v>
      </c>
      <c r="BH59" s="328">
        <v>4388.0200000000004</v>
      </c>
      <c r="BI59" s="307">
        <v>44833</v>
      </c>
      <c r="BJ59" s="308" t="s">
        <v>248</v>
      </c>
      <c r="BK59" s="305">
        <v>44863</v>
      </c>
      <c r="BL59" s="308">
        <v>4819.42</v>
      </c>
      <c r="BM59" s="307">
        <v>44894</v>
      </c>
      <c r="BN59" s="308">
        <v>4840.6000000000004</v>
      </c>
      <c r="BO59" s="307">
        <v>44924</v>
      </c>
      <c r="BP59" s="308">
        <v>4765.92</v>
      </c>
      <c r="BQ59" s="307">
        <v>44955</v>
      </c>
      <c r="BR59" s="308">
        <v>4548.5</v>
      </c>
      <c r="BS59" s="307"/>
      <c r="BT59" s="308"/>
      <c r="BU59" s="307">
        <v>45014</v>
      </c>
      <c r="BV59" s="308">
        <v>4658.79</v>
      </c>
      <c r="BW59" s="307">
        <v>45045</v>
      </c>
      <c r="BX59" s="308">
        <v>4669</v>
      </c>
      <c r="BY59" s="307">
        <v>45075</v>
      </c>
      <c r="BZ59" s="308">
        <v>4461.66</v>
      </c>
      <c r="CA59" s="307">
        <v>45106</v>
      </c>
      <c r="CB59" s="308">
        <v>4169.6000000000004</v>
      </c>
      <c r="CC59" s="307">
        <v>45136</v>
      </c>
      <c r="CD59" s="308">
        <v>3923.49</v>
      </c>
      <c r="CE59" s="307">
        <v>45167</v>
      </c>
      <c r="CF59" s="308">
        <v>4117.78</v>
      </c>
      <c r="CG59" s="307">
        <v>45198</v>
      </c>
      <c r="CH59" s="308">
        <v>4085.57</v>
      </c>
      <c r="CI59" s="307">
        <v>45228</v>
      </c>
      <c r="CJ59" s="308">
        <v>4120.62</v>
      </c>
      <c r="CK59" s="307">
        <v>45259</v>
      </c>
      <c r="CL59" s="308">
        <v>3957.77</v>
      </c>
      <c r="CM59" s="307">
        <v>45289</v>
      </c>
      <c r="CN59" s="308">
        <v>3822.05</v>
      </c>
      <c r="CO59" s="307">
        <v>45320</v>
      </c>
      <c r="CP59" s="308">
        <v>3925.26</v>
      </c>
      <c r="CQ59" s="307">
        <v>45351</v>
      </c>
      <c r="CR59" s="308">
        <v>3935.56</v>
      </c>
      <c r="CS59" s="307">
        <v>45380</v>
      </c>
      <c r="CT59" s="308">
        <v>3842.3</v>
      </c>
      <c r="CU59" s="307">
        <v>45411</v>
      </c>
      <c r="CV59" s="308">
        <v>3926.02</v>
      </c>
      <c r="CW59" s="307">
        <v>45441</v>
      </c>
      <c r="CX59" s="308">
        <v>3853.09</v>
      </c>
      <c r="CY59" s="307">
        <v>45472</v>
      </c>
      <c r="CZ59" s="308">
        <v>4148.04</v>
      </c>
      <c r="DA59" s="307">
        <v>45502</v>
      </c>
      <c r="DB59" s="308">
        <v>4014.56</v>
      </c>
      <c r="DC59" s="500">
        <v>45533</v>
      </c>
      <c r="DD59" s="308">
        <v>4065.34</v>
      </c>
      <c r="DE59" s="500">
        <v>45564</v>
      </c>
      <c r="DF59" s="308">
        <v>4164.21</v>
      </c>
      <c r="DG59" s="500">
        <v>45594</v>
      </c>
      <c r="DH59" s="308">
        <v>4342.8999999999996</v>
      </c>
      <c r="DI59" s="500">
        <v>45625</v>
      </c>
      <c r="DJ59" s="308">
        <v>4406.16</v>
      </c>
      <c r="DK59" s="500">
        <v>45655</v>
      </c>
      <c r="DL59" s="308">
        <v>4401.9799999999996</v>
      </c>
      <c r="DM59" s="500">
        <v>45686</v>
      </c>
      <c r="DN59" s="308">
        <v>4219</v>
      </c>
      <c r="DQ59" s="500">
        <v>45745</v>
      </c>
      <c r="DR59" s="308">
        <v>4192.57</v>
      </c>
      <c r="DS59" s="500">
        <v>45776</v>
      </c>
      <c r="DT59" s="308">
        <v>4239.62</v>
      </c>
      <c r="DU59" s="307">
        <v>45806</v>
      </c>
      <c r="DV59" s="308">
        <v>4126.4399999999996</v>
      </c>
      <c r="DW59" s="307">
        <v>45837</v>
      </c>
      <c r="DX59" s="308">
        <v>4069.67</v>
      </c>
      <c r="DY59" s="307">
        <v>45867</v>
      </c>
      <c r="DZ59" s="308">
        <v>4170.59</v>
      </c>
      <c r="EA59" s="307">
        <v>45898</v>
      </c>
      <c r="EB59" s="308">
        <v>4019.09</v>
      </c>
      <c r="EC59" s="307">
        <v>45929</v>
      </c>
      <c r="ED59" s="308">
        <v>3908.12</v>
      </c>
      <c r="EE59" s="307">
        <v>45959</v>
      </c>
      <c r="EF59" s="328">
        <v>3874.84</v>
      </c>
      <c r="EG59" s="307">
        <v>45990</v>
      </c>
      <c r="EH59" s="328">
        <v>3744.43</v>
      </c>
      <c r="EI59" s="307">
        <v>46020</v>
      </c>
      <c r="EJ59" s="328">
        <v>3716.05</v>
      </c>
      <c r="EK59" s="738">
        <v>46051</v>
      </c>
      <c r="EL59" s="739">
        <v>3665.97</v>
      </c>
    </row>
    <row r="60" spans="3:144" x14ac:dyDescent="0.35">
      <c r="C60" s="80">
        <v>43922</v>
      </c>
      <c r="D60" s="81">
        <v>4054.54</v>
      </c>
      <c r="E60" s="513">
        <v>43953</v>
      </c>
      <c r="F60" s="514">
        <v>3932.72</v>
      </c>
      <c r="G60" s="92">
        <v>43983</v>
      </c>
      <c r="H60" s="89">
        <v>3718.82</v>
      </c>
      <c r="I60" s="96">
        <v>44014</v>
      </c>
      <c r="J60" s="97">
        <v>3723.67</v>
      </c>
      <c r="K60" s="133">
        <v>44045</v>
      </c>
      <c r="L60" s="135">
        <v>3733.08</v>
      </c>
      <c r="M60" s="137">
        <v>44076</v>
      </c>
      <c r="N60" s="138">
        <v>3683.28</v>
      </c>
      <c r="O60" s="535">
        <v>44106</v>
      </c>
      <c r="P60" s="536">
        <v>3842.34</v>
      </c>
      <c r="Q60" s="305">
        <v>44137</v>
      </c>
      <c r="R60" s="544">
        <v>3858.56</v>
      </c>
      <c r="S60" s="152">
        <v>44167</v>
      </c>
      <c r="T60" s="153">
        <v>3558.57</v>
      </c>
      <c r="U60" s="541">
        <v>44198</v>
      </c>
      <c r="V60" s="542">
        <v>3432.5</v>
      </c>
      <c r="W60" s="204">
        <v>44229</v>
      </c>
      <c r="X60" s="205">
        <v>3561.37</v>
      </c>
      <c r="Y60" s="225">
        <v>44257</v>
      </c>
      <c r="Z60" s="226">
        <v>3622.36</v>
      </c>
      <c r="AA60" s="517">
        <v>44288</v>
      </c>
      <c r="AB60" s="518">
        <v>3678.62</v>
      </c>
      <c r="AC60" s="233">
        <v>44318</v>
      </c>
      <c r="AD60" s="234">
        <v>3740.14</v>
      </c>
      <c r="AE60" s="101">
        <v>44349</v>
      </c>
      <c r="AF60" s="102">
        <v>3671.38</v>
      </c>
      <c r="AG60" s="519">
        <v>44379</v>
      </c>
      <c r="AH60" s="520">
        <v>3775.53</v>
      </c>
      <c r="AI60" s="271">
        <v>44410</v>
      </c>
      <c r="AJ60" s="272">
        <v>3867.88</v>
      </c>
      <c r="AM60" s="307">
        <v>44499</v>
      </c>
      <c r="AN60" s="308">
        <v>3784.44</v>
      </c>
      <c r="AQ60" s="521">
        <v>44560</v>
      </c>
      <c r="AR60" s="522">
        <v>4023.68</v>
      </c>
      <c r="AS60" s="307">
        <v>44591</v>
      </c>
      <c r="AT60" s="308">
        <v>3982.6</v>
      </c>
      <c r="AW60" s="319">
        <v>44650</v>
      </c>
      <c r="AX60" s="320">
        <v>3765.96</v>
      </c>
      <c r="BA60" s="307">
        <v>44711</v>
      </c>
      <c r="BB60" s="308">
        <v>3912.34</v>
      </c>
      <c r="BC60" s="305">
        <v>44742</v>
      </c>
      <c r="BD60" s="306">
        <v>4127.47</v>
      </c>
      <c r="BE60" s="305">
        <v>44772</v>
      </c>
      <c r="BF60" s="329">
        <v>4300.3</v>
      </c>
      <c r="BG60" s="305">
        <v>44803</v>
      </c>
      <c r="BH60" s="329">
        <v>4386.13</v>
      </c>
      <c r="BI60" s="305">
        <v>44834</v>
      </c>
      <c r="BJ60" s="306" t="s">
        <v>249</v>
      </c>
      <c r="BK60" s="307">
        <v>44864</v>
      </c>
      <c r="BL60" s="306">
        <v>4819.42</v>
      </c>
      <c r="BM60" s="305">
        <v>44895</v>
      </c>
      <c r="BN60" s="306">
        <v>4809.51</v>
      </c>
      <c r="BO60" s="305">
        <v>44925</v>
      </c>
      <c r="BP60" s="306">
        <v>4810.2</v>
      </c>
      <c r="BQ60" s="305">
        <v>44956</v>
      </c>
      <c r="BR60" s="306">
        <v>4548.5</v>
      </c>
      <c r="BS60" s="305"/>
      <c r="BT60" s="306"/>
      <c r="BU60" s="305">
        <v>45015</v>
      </c>
      <c r="BV60" s="306">
        <v>4627.63</v>
      </c>
      <c r="BW60" s="305">
        <v>45046</v>
      </c>
      <c r="BX60" s="306">
        <v>4669</v>
      </c>
      <c r="BY60" s="305">
        <v>45076</v>
      </c>
      <c r="BZ60" s="306">
        <v>4461.66</v>
      </c>
      <c r="CA60" s="305">
        <v>45107</v>
      </c>
      <c r="CB60" s="306">
        <v>4191.28</v>
      </c>
      <c r="CC60" s="305">
        <v>45137</v>
      </c>
      <c r="CD60" s="306">
        <v>3923.49</v>
      </c>
      <c r="CE60" s="305">
        <v>45168</v>
      </c>
      <c r="CF60" s="306">
        <v>4110.08</v>
      </c>
      <c r="CG60" s="305">
        <v>45199</v>
      </c>
      <c r="CH60" s="306">
        <v>4053.76</v>
      </c>
      <c r="CI60" s="305">
        <v>45229</v>
      </c>
      <c r="CJ60" s="306">
        <v>4120.62</v>
      </c>
      <c r="CK60" s="305">
        <v>45260</v>
      </c>
      <c r="CL60" s="306">
        <v>3980.67</v>
      </c>
      <c r="CM60" s="305">
        <v>45290</v>
      </c>
      <c r="CN60" s="306">
        <v>3822.05</v>
      </c>
      <c r="CO60" s="305">
        <v>45321</v>
      </c>
      <c r="CP60" s="306">
        <v>3918.93</v>
      </c>
      <c r="CQ60" s="305"/>
      <c r="CR60" s="306"/>
      <c r="CS60" s="305">
        <v>45381</v>
      </c>
      <c r="CT60" s="306">
        <v>3842.3</v>
      </c>
      <c r="CU60" s="305">
        <v>45381</v>
      </c>
      <c r="CV60" s="306">
        <v>3873.44</v>
      </c>
      <c r="CW60" s="305">
        <v>45381</v>
      </c>
      <c r="CX60" s="306">
        <v>3867.02</v>
      </c>
      <c r="CY60" s="305">
        <v>45473</v>
      </c>
      <c r="CZ60" s="306">
        <v>4148.04</v>
      </c>
      <c r="DA60" s="305">
        <v>45381</v>
      </c>
      <c r="DB60" s="306">
        <v>4059.91</v>
      </c>
      <c r="DC60" s="501">
        <v>45534</v>
      </c>
      <c r="DD60" s="306">
        <v>4132.1099999999997</v>
      </c>
      <c r="DE60" s="501">
        <v>45565</v>
      </c>
      <c r="DF60" s="306">
        <v>4164.21</v>
      </c>
      <c r="DG60" s="501">
        <v>45595</v>
      </c>
      <c r="DH60" s="306">
        <v>4367.3900000000003</v>
      </c>
      <c r="DI60" s="501">
        <v>45626</v>
      </c>
      <c r="DJ60" s="306">
        <v>4419.59</v>
      </c>
      <c r="DK60" s="501">
        <v>45656</v>
      </c>
      <c r="DL60" s="306">
        <v>4401.9799999999996</v>
      </c>
      <c r="DM60" s="501">
        <v>45687</v>
      </c>
      <c r="DN60" s="306">
        <v>4195.6000000000004</v>
      </c>
      <c r="DQ60" s="501">
        <v>45746</v>
      </c>
      <c r="DR60" s="306">
        <v>4192.57</v>
      </c>
      <c r="DS60" s="501">
        <v>45777</v>
      </c>
      <c r="DT60" s="306">
        <v>4239.62</v>
      </c>
      <c r="DU60" s="307">
        <v>45807</v>
      </c>
      <c r="DV60" s="306">
        <v>4106.79</v>
      </c>
      <c r="DW60" s="307">
        <v>45838</v>
      </c>
      <c r="DX60" s="306">
        <v>4069.67</v>
      </c>
      <c r="DY60" s="307">
        <v>45868</v>
      </c>
      <c r="DZ60" s="306">
        <v>4154.79</v>
      </c>
      <c r="EA60" s="307">
        <v>45899</v>
      </c>
      <c r="EB60" s="306">
        <v>4018.41</v>
      </c>
      <c r="EC60" s="307">
        <v>45930</v>
      </c>
      <c r="ED60" s="306">
        <v>3901.29</v>
      </c>
      <c r="EE60" s="307">
        <v>45960</v>
      </c>
      <c r="EF60" s="329">
        <v>3885.29</v>
      </c>
      <c r="EG60" s="307">
        <v>45991</v>
      </c>
      <c r="EH60" s="329">
        <v>3744.43</v>
      </c>
      <c r="EI60" s="307">
        <v>46021</v>
      </c>
      <c r="EJ60" s="329">
        <v>3706.97</v>
      </c>
      <c r="EK60" s="738">
        <v>46052</v>
      </c>
      <c r="EL60" s="741">
        <v>3661.29</v>
      </c>
    </row>
    <row r="61" spans="3:144" x14ac:dyDescent="0.35">
      <c r="E61" s="503">
        <v>43952</v>
      </c>
      <c r="F61" s="504">
        <v>3932.72</v>
      </c>
      <c r="G61" s="88"/>
      <c r="I61" s="98">
        <v>44013</v>
      </c>
      <c r="J61" s="99">
        <v>3756.28</v>
      </c>
      <c r="K61" s="134">
        <v>44044</v>
      </c>
      <c r="L61" s="136">
        <v>3733.08</v>
      </c>
      <c r="M61" s="139">
        <v>44075</v>
      </c>
      <c r="N61" s="140">
        <v>3745.41</v>
      </c>
      <c r="O61" s="537">
        <v>44105</v>
      </c>
      <c r="P61" s="538">
        <v>3865.47</v>
      </c>
      <c r="Q61" s="307">
        <v>44136</v>
      </c>
      <c r="R61" s="543">
        <v>3858.56</v>
      </c>
      <c r="S61" s="154">
        <v>44166</v>
      </c>
      <c r="T61" s="155">
        <v>3591.84</v>
      </c>
      <c r="U61" s="539">
        <v>44197</v>
      </c>
      <c r="V61" s="540">
        <v>3432.5</v>
      </c>
      <c r="W61" s="202">
        <v>44228</v>
      </c>
      <c r="X61" s="203">
        <v>3559.46</v>
      </c>
      <c r="Y61" s="227">
        <v>44256</v>
      </c>
      <c r="Z61" s="228">
        <v>3624.39</v>
      </c>
      <c r="AA61" s="529">
        <v>44287</v>
      </c>
      <c r="AB61" s="530">
        <v>3678.62</v>
      </c>
      <c r="AC61" s="231">
        <v>44317</v>
      </c>
      <c r="AD61" s="232">
        <v>3740.14</v>
      </c>
      <c r="AE61" s="103">
        <v>44348</v>
      </c>
      <c r="AF61" s="104">
        <v>3715.28</v>
      </c>
      <c r="AG61" s="505">
        <v>44378</v>
      </c>
      <c r="AH61" s="506">
        <v>3748.5</v>
      </c>
      <c r="AI61" s="273">
        <v>44409</v>
      </c>
      <c r="AJ61" s="274">
        <v>3867.88</v>
      </c>
      <c r="AM61" s="305">
        <v>44500</v>
      </c>
      <c r="AN61" s="306">
        <v>3784.44</v>
      </c>
      <c r="AQ61" s="507">
        <v>44561</v>
      </c>
      <c r="AR61" s="508">
        <v>3981.16</v>
      </c>
      <c r="AS61" s="305">
        <v>44592</v>
      </c>
      <c r="AT61" s="306">
        <v>3982.6</v>
      </c>
      <c r="AW61" s="317">
        <v>44651</v>
      </c>
      <c r="AX61" s="318">
        <v>3748.15</v>
      </c>
      <c r="BA61" s="305">
        <v>44712</v>
      </c>
      <c r="BB61" s="306">
        <v>3912.34</v>
      </c>
      <c r="BC61" s="307"/>
      <c r="BD61" s="308"/>
      <c r="BE61" s="305">
        <v>44773</v>
      </c>
      <c r="BF61" s="328">
        <v>4300.3</v>
      </c>
      <c r="BG61" s="305">
        <v>44804</v>
      </c>
      <c r="BH61" s="328">
        <v>4400.16</v>
      </c>
      <c r="BK61" s="307">
        <v>44865</v>
      </c>
      <c r="BL61" s="308">
        <v>4819.42</v>
      </c>
      <c r="BO61" s="307">
        <v>44926</v>
      </c>
      <c r="BP61" s="308">
        <v>4810.2</v>
      </c>
      <c r="BQ61" s="307">
        <v>44957</v>
      </c>
      <c r="BR61" s="308">
        <v>4632.2</v>
      </c>
      <c r="BS61" s="307"/>
      <c r="BT61" s="308"/>
      <c r="BU61" s="307">
        <v>45016</v>
      </c>
      <c r="BV61" s="308">
        <v>4627.2700000000004</v>
      </c>
      <c r="BW61" s="307"/>
      <c r="BX61" s="308"/>
      <c r="BY61" s="307">
        <v>45077</v>
      </c>
      <c r="BZ61" s="308">
        <v>4408.6499999999996</v>
      </c>
      <c r="CA61" s="307"/>
      <c r="CB61" s="308"/>
      <c r="CC61" s="307">
        <v>45138</v>
      </c>
      <c r="CD61" s="308">
        <v>3923.49</v>
      </c>
      <c r="CE61" s="307">
        <v>45169</v>
      </c>
      <c r="CF61" s="308">
        <v>4085.33</v>
      </c>
      <c r="CG61" s="307"/>
      <c r="CH61" s="308"/>
      <c r="CI61" s="307">
        <v>45230</v>
      </c>
      <c r="CJ61" s="308">
        <v>4060.83</v>
      </c>
      <c r="CK61" s="307"/>
      <c r="CL61" s="308"/>
      <c r="CM61" s="307">
        <v>45230</v>
      </c>
      <c r="CN61" s="308">
        <v>3822.05</v>
      </c>
      <c r="CO61" s="307">
        <v>45596</v>
      </c>
      <c r="CP61" s="306">
        <v>3918.93</v>
      </c>
      <c r="CQ61" s="307"/>
      <c r="CR61" s="306"/>
      <c r="CS61" s="307">
        <v>45382</v>
      </c>
      <c r="CT61" s="308">
        <v>3842.3</v>
      </c>
      <c r="CW61" s="307">
        <v>45443</v>
      </c>
      <c r="CX61" s="308">
        <v>3874.32</v>
      </c>
      <c r="CY61" s="307"/>
      <c r="CZ61" s="308"/>
      <c r="DA61" s="307">
        <v>45443</v>
      </c>
      <c r="DB61" s="308"/>
      <c r="DC61" s="500">
        <v>45535</v>
      </c>
      <c r="DD61" s="308">
        <v>4160.3100000000004</v>
      </c>
      <c r="DE61" s="500"/>
      <c r="DF61" s="308"/>
      <c r="DG61" s="500">
        <v>45596</v>
      </c>
      <c r="DH61" s="308">
        <v>4413.46</v>
      </c>
      <c r="DI61" s="500"/>
      <c r="DJ61" s="308"/>
      <c r="DK61" s="500">
        <v>45657</v>
      </c>
      <c r="DL61" s="308">
        <v>4409.1499999999996</v>
      </c>
      <c r="DM61" s="500">
        <v>45688</v>
      </c>
      <c r="DN61" s="308">
        <v>4195.6000000000004</v>
      </c>
      <c r="DQ61" s="500">
        <v>45747</v>
      </c>
      <c r="DR61" s="308">
        <v>4192.57</v>
      </c>
      <c r="DS61" s="500"/>
      <c r="DT61" s="308"/>
      <c r="DU61" s="307">
        <v>45808</v>
      </c>
      <c r="DV61" s="308">
        <v>4148.72</v>
      </c>
      <c r="DW61" s="307"/>
      <c r="DX61" s="308"/>
      <c r="DY61" s="307">
        <v>45869</v>
      </c>
      <c r="DZ61" s="308">
        <v>4179.6899999999996</v>
      </c>
      <c r="EA61" s="307">
        <v>45900</v>
      </c>
      <c r="EB61" s="306">
        <v>4018.41</v>
      </c>
      <c r="EC61" s="307" t="s">
        <v>489</v>
      </c>
      <c r="ED61" s="306">
        <v>3923.55</v>
      </c>
      <c r="EE61" s="307">
        <v>45961</v>
      </c>
      <c r="EF61" s="329">
        <v>3870.42</v>
      </c>
      <c r="EG61" s="307"/>
      <c r="EH61" s="329"/>
      <c r="EI61" s="307">
        <v>46022</v>
      </c>
      <c r="EJ61" s="329">
        <v>3757.08</v>
      </c>
      <c r="EK61" s="738">
        <v>46053</v>
      </c>
      <c r="EL61" s="739">
        <v>3670.47</v>
      </c>
    </row>
    <row r="63" spans="3:144" x14ac:dyDescent="0.35">
      <c r="AJ63" s="324">
        <f>+AVERAGE(AJ31:AJ61)</f>
        <v>3881.1835483870973</v>
      </c>
      <c r="AL63" s="324">
        <f>+AVERAGE(AL31:AL61)</f>
        <v>3820.3396428571427</v>
      </c>
      <c r="AN63" s="324">
        <f>+AVERAGE(AN31:AN61)</f>
        <v>3773.3841935483888</v>
      </c>
      <c r="AP63" s="324">
        <f>+AVERAGE(AP31:AP61)</f>
        <v>3886.6023076923066</v>
      </c>
      <c r="AR63" s="324">
        <f>+AVERAGE(AR31:AR61)</f>
        <v>3963.1335483870962</v>
      </c>
      <c r="AT63" s="324">
        <f>+AVERAGE(AT31:AT61)</f>
        <v>3999.6161290322589</v>
      </c>
      <c r="AZ63" s="326"/>
      <c r="BA63" s="326"/>
      <c r="BD63" s="325"/>
      <c r="BE63" s="324">
        <f>+AVERAGE(BF31:BF61)</f>
        <v>4367.8058064516135</v>
      </c>
      <c r="BG63" s="324">
        <f>+AVERAGE(BH31:BH61)</f>
        <v>4322.4693548387104</v>
      </c>
      <c r="BI63" s="324">
        <f>+AVERAGE(BJ31:BJ61)</f>
        <v>4423.4851851851854</v>
      </c>
      <c r="BL63" s="324">
        <f>+AVERAGE(BL31:BL61)</f>
        <v>4711.8303225806467</v>
      </c>
      <c r="BN63" s="324">
        <f>+AVERAGE(BN31:BN61)</f>
        <v>4926.6606666666667</v>
      </c>
      <c r="BP63" s="324">
        <f>+AVERAGE(BP31:BP61)</f>
        <v>4788.4906451612896</v>
      </c>
      <c r="BR63" s="324">
        <f>+AVERAGE(BR31:BR61)</f>
        <v>4715.2038709677445</v>
      </c>
      <c r="BT63" s="324">
        <f>+AVERAGE(BT31:BT61)</f>
        <v>4803.1125000000002</v>
      </c>
      <c r="BV63" s="324">
        <f>+AVERAGE(BV31:BV61)</f>
        <v>4766.3058064516117</v>
      </c>
      <c r="BX63" s="324">
        <f>+AVERAGE(BX31:BX61)</f>
        <v>4542.6743333333325</v>
      </c>
      <c r="BZ63" s="324">
        <f>+AVERAGE(BZ31:BZ61)</f>
        <v>4540.0890322580644</v>
      </c>
      <c r="CB63" s="324">
        <f>+AVERAGE(CB31:CB61)</f>
        <v>4209.2680000000009</v>
      </c>
      <c r="CD63" s="324">
        <f>+AVERAGE(CD31:CD61)</f>
        <v>4069.2335483870975</v>
      </c>
      <c r="CF63" s="324">
        <f>+AVERAGE(CF31:CF61)</f>
        <v>4069.8983870967745</v>
      </c>
      <c r="CH63" s="324">
        <f>+AVERAGE(CH31:CH61)</f>
        <v>4004.5206666666659</v>
      </c>
      <c r="CJ63" s="324">
        <f>+AVERAGE(CJ31:CJ61)</f>
        <v>4222.4332258064514</v>
      </c>
      <c r="CL63" s="324">
        <f>+AVERAGE(CL31:CL61)</f>
        <v>4038.804666666666</v>
      </c>
      <c r="CN63" s="324">
        <f>+AVERAGE(CN31:CN61)</f>
        <v>3948.2067741935471</v>
      </c>
      <c r="CP63" s="324">
        <f>+AVERAGE(CP31:CP61)</f>
        <v>3914.9835483870957</v>
      </c>
      <c r="CR63" s="324">
        <f>+AVERAGE(CR31:CR61)</f>
        <v>3931.5075862068961</v>
      </c>
      <c r="CT63" s="324">
        <f>+AVERAGE(CT31:CT61)</f>
        <v>3899.3412903225803</v>
      </c>
      <c r="CV63" s="324">
        <f>+AVERAGE(CV31:CV61)</f>
        <v>3867.9753333333342</v>
      </c>
      <c r="CX63" s="324">
        <f>+AVERAGE(CX31:CX61)</f>
        <v>3869.1006451612907</v>
      </c>
      <c r="CZ63" s="324">
        <f>+AVERAGE(CZ31:CZ61)</f>
        <v>4042.7970000000005</v>
      </c>
      <c r="DB63" s="324">
        <f>+AVERAGE(DB31:DB61)</f>
        <v>4035.1843333333331</v>
      </c>
      <c r="DD63" s="324">
        <f>+AVERAGE(DD31:DD61)</f>
        <v>4065.5464516129036</v>
      </c>
      <c r="DF63" s="324">
        <f>+AVERAGE(DF31:DF61)</f>
        <v>4182.5123333333349</v>
      </c>
      <c r="DH63" s="324">
        <f>+AVERAGE(DH31:DH61)</f>
        <v>4249.4699999999984</v>
      </c>
      <c r="DJ63" s="324">
        <f>+AVERAGE(DJ31:DJ61)</f>
        <v>4408.6523333333334</v>
      </c>
      <c r="DL63" s="324">
        <f>+AVERAGE(DL31:DL61)</f>
        <v>4385.1487096774199</v>
      </c>
      <c r="DN63" s="324">
        <f>+AVERAGE(DN31:DN61)</f>
        <v>4308.3929032258065</v>
      </c>
      <c r="DP63" s="324">
        <f>+AVERAGE(DP31:DP61)</f>
        <v>4128.2444444444445</v>
      </c>
      <c r="DR63" s="324">
        <f>+AVERAGE(DR31:DR61)</f>
        <v>4137.684516129033</v>
      </c>
      <c r="DT63" s="324">
        <f>+AVERAGE(DT31:DT61)</f>
        <v>4282.0276666666641</v>
      </c>
      <c r="DV63" s="324">
        <f>+AVERAGE(DV31:DV61)</f>
        <v>4203.377096774193</v>
      </c>
      <c r="DX63" s="324">
        <f>+AVERAGE(DX31:DX61)</f>
        <v>4113.4849999999997</v>
      </c>
      <c r="DZ63" s="324">
        <f>+AVERAGE(DZ31:DZ61)</f>
        <v>4040.8483870967739</v>
      </c>
      <c r="EB63" s="324">
        <f>+AVERAGE(EB31:EB61)</f>
        <v>4047.411612903225</v>
      </c>
      <c r="ED63" s="324">
        <f>+AVERAGE(ED31:ED61)</f>
        <v>3922.2551612903212</v>
      </c>
      <c r="EF63" s="324">
        <f>+AVERAGE(EF31:EF61)</f>
        <v>3877.8448387096769</v>
      </c>
      <c r="EH63" s="324">
        <f>+AVERAGE(EH31:EH61)</f>
        <v>3786.1833333333334</v>
      </c>
      <c r="EJ63" s="324">
        <f>+AVERAGE(EJ31:EJ61)</f>
        <v>3791.4719354838708</v>
      </c>
      <c r="EL63" s="324">
        <f>+AVERAGE(EL31:EL61)</f>
        <v>3702.9990322580647</v>
      </c>
      <c r="EN63" s="324">
        <f>+AVERAGE(EN31:EN61)</f>
        <v>3672.2837037037034</v>
      </c>
    </row>
    <row r="68" spans="62:62" x14ac:dyDescent="0.35">
      <c r="BJ68" s="308"/>
    </row>
  </sheetData>
  <mergeCells count="74">
    <mergeCell ref="EM29:EN29"/>
    <mergeCell ref="CE29:CF29"/>
    <mergeCell ref="CU29:CV29"/>
    <mergeCell ref="EE29:EF29"/>
    <mergeCell ref="DY29:DZ29"/>
    <mergeCell ref="DW29:DX29"/>
    <mergeCell ref="DU29:DV29"/>
    <mergeCell ref="CG29:CH29"/>
    <mergeCell ref="DS29:DT29"/>
    <mergeCell ref="DK29:DL29"/>
    <mergeCell ref="EK29:EL29"/>
    <mergeCell ref="EI29:EJ29"/>
    <mergeCell ref="DE29:DF29"/>
    <mergeCell ref="DG29:DH29"/>
    <mergeCell ref="EC29:ED29"/>
    <mergeCell ref="EG29:EH29"/>
    <mergeCell ref="B6:BF8"/>
    <mergeCell ref="BO29:BP29"/>
    <mergeCell ref="BE29:BF29"/>
    <mergeCell ref="AA29:AB29"/>
    <mergeCell ref="BG29:BH29"/>
    <mergeCell ref="BC29:BD29"/>
    <mergeCell ref="BA29:BB29"/>
    <mergeCell ref="AI29:AJ29"/>
    <mergeCell ref="K19:T19"/>
    <mergeCell ref="C29:D29"/>
    <mergeCell ref="E29:F29"/>
    <mergeCell ref="AS29:AT29"/>
    <mergeCell ref="AM29:AN29"/>
    <mergeCell ref="AY29:AZ29"/>
    <mergeCell ref="AK29:AL29"/>
    <mergeCell ref="M29:N29"/>
    <mergeCell ref="C19:J19"/>
    <mergeCell ref="DO29:DP29"/>
    <mergeCell ref="DM29:DN29"/>
    <mergeCell ref="G29:H29"/>
    <mergeCell ref="AU29:AV29"/>
    <mergeCell ref="BM29:BN29"/>
    <mergeCell ref="BK29:BL29"/>
    <mergeCell ref="DI29:DJ29"/>
    <mergeCell ref="DC29:DD29"/>
    <mergeCell ref="CW29:CX29"/>
    <mergeCell ref="CS29:CT29"/>
    <mergeCell ref="DA29:DB29"/>
    <mergeCell ref="CC29:CD29"/>
    <mergeCell ref="BS29:BT29"/>
    <mergeCell ref="CK29:CL29"/>
    <mergeCell ref="CY29:CZ29"/>
    <mergeCell ref="I29:J29"/>
    <mergeCell ref="EA29:EB29"/>
    <mergeCell ref="DQ29:DR29"/>
    <mergeCell ref="BW29:BX29"/>
    <mergeCell ref="O29:P29"/>
    <mergeCell ref="CI29:CJ29"/>
    <mergeCell ref="CQ29:CR29"/>
    <mergeCell ref="BQ29:BR29"/>
    <mergeCell ref="BI29:BJ29"/>
    <mergeCell ref="AQ29:AR29"/>
    <mergeCell ref="AW29:AX29"/>
    <mergeCell ref="AO29:AP29"/>
    <mergeCell ref="CO29:CP29"/>
    <mergeCell ref="BU29:BV29"/>
    <mergeCell ref="Q29:R29"/>
    <mergeCell ref="S29:T29"/>
    <mergeCell ref="K29:L29"/>
    <mergeCell ref="AC29:AD29"/>
    <mergeCell ref="U29:V29"/>
    <mergeCell ref="Y29:Z29"/>
    <mergeCell ref="CM29:CN29"/>
    <mergeCell ref="AE29:AF29"/>
    <mergeCell ref="W29:X29"/>
    <mergeCell ref="AG29:AH29"/>
    <mergeCell ref="CA29:CB29"/>
    <mergeCell ref="BY29:BZ29"/>
  </mergeCells>
  <phoneticPr fontId="26" type="noConversion"/>
  <pageMargins left="0.7" right="0.7" top="0.75" bottom="0.75" header="0.3" footer="0.3"/>
  <pageSetup orientation="portrait" r:id="rId1"/>
  <customProperties>
    <customPr name="EpmWorksheetKeyString_GUID" r:id="rId2"/>
  </customProperties>
  <ignoredErrors>
    <ignoredError sqref="BL63" evalError="1"/>
  </ignoredErrors>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83BB-9E52-4F62-8A7B-599F69F87F61}">
  <dimension ref="B3:O19"/>
  <sheetViews>
    <sheetView showGridLines="0" workbookViewId="0">
      <selection activeCell="L9" sqref="L9:O9"/>
    </sheetView>
  </sheetViews>
  <sheetFormatPr defaultColWidth="10.54296875" defaultRowHeight="14.5" x14ac:dyDescent="0.35"/>
  <cols>
    <col min="2" max="2" width="30.453125" customWidth="1"/>
    <col min="7" max="7" width="12" bestFit="1" customWidth="1"/>
    <col min="9" max="9" width="12.81640625" customWidth="1"/>
    <col min="10" max="10" width="11.81640625" bestFit="1" customWidth="1"/>
    <col min="14" max="14" width="14.1796875" bestFit="1" customWidth="1"/>
  </cols>
  <sheetData>
    <row r="3" spans="2:15" x14ac:dyDescent="0.35">
      <c r="B3" s="299" t="s">
        <v>250</v>
      </c>
    </row>
    <row r="4" spans="2:15" x14ac:dyDescent="0.35">
      <c r="B4" s="298" t="s">
        <v>251</v>
      </c>
      <c r="C4" s="322" t="str">
        <f>+' PCR Enkador'!E128</f>
        <v>Oct-21</v>
      </c>
      <c r="D4" s="322" t="str">
        <f>+' PCR Enkador'!F128</f>
        <v>Nov-21</v>
      </c>
      <c r="E4" s="322" t="str">
        <f>+' PCR Enkador'!G128</f>
        <v>Dic-21</v>
      </c>
      <c r="F4" s="322" t="str">
        <f>+' PCR Enkador'!H128</f>
        <v>Ene-22</v>
      </c>
      <c r="G4" s="322" t="str">
        <f>+' PCR Enkador'!I128</f>
        <v>Feb-22</v>
      </c>
      <c r="H4" s="322" t="str">
        <f>+' PCR Enkador'!J128</f>
        <v>Mar-22</v>
      </c>
      <c r="I4" s="322" t="str">
        <f>+' PCR Enkador'!K128</f>
        <v>Abr-22</v>
      </c>
      <c r="J4" s="322" t="str">
        <f>+' PCR Enkador'!L128</f>
        <v>Mayo-22</v>
      </c>
      <c r="K4" s="322" t="str">
        <f>+' PCR Enkador'!M128</f>
        <v>Junio-22</v>
      </c>
      <c r="L4" s="322" t="str">
        <f>+' PCR Enkador'!N128</f>
        <v>Julio-22</v>
      </c>
      <c r="M4" s="322" t="str">
        <f>+' PCR Enkador'!$O$128</f>
        <v>Agosto-22</v>
      </c>
      <c r="N4" s="322" t="str">
        <f>+' PCR Enkador'!$P$128</f>
        <v>Septiembre-22</v>
      </c>
      <c r="O4" s="322" t="str">
        <f>+' PCR Enkador'!$Q$128</f>
        <v>Octubre-22</v>
      </c>
    </row>
    <row r="5" spans="2:15" x14ac:dyDescent="0.35">
      <c r="B5" s="284" t="s">
        <v>252</v>
      </c>
      <c r="C5" s="283">
        <v>1850</v>
      </c>
      <c r="D5" s="283">
        <v>1850</v>
      </c>
      <c r="E5" s="283">
        <v>1980</v>
      </c>
      <c r="F5" s="309">
        <v>1980</v>
      </c>
      <c r="G5" s="309">
        <v>2100</v>
      </c>
      <c r="H5" s="309">
        <v>2100</v>
      </c>
      <c r="I5" s="309">
        <v>2100</v>
      </c>
      <c r="J5" s="309">
        <v>2300</v>
      </c>
      <c r="K5" s="321">
        <v>2300</v>
      </c>
      <c r="L5" s="321">
        <v>2300</v>
      </c>
      <c r="M5" s="321">
        <v>2300</v>
      </c>
      <c r="N5" s="321">
        <v>2200</v>
      </c>
      <c r="O5" s="321">
        <v>2200</v>
      </c>
    </row>
    <row r="6" spans="2:15" x14ac:dyDescent="0.35">
      <c r="B6" s="284" t="s">
        <v>253</v>
      </c>
      <c r="C6" s="283"/>
      <c r="D6" s="283"/>
      <c r="E6" s="283"/>
      <c r="F6" s="309"/>
      <c r="G6" s="309"/>
      <c r="H6" s="309"/>
      <c r="I6" s="309"/>
      <c r="J6" s="309">
        <v>-100</v>
      </c>
      <c r="K6" s="309">
        <v>-100</v>
      </c>
      <c r="L6" s="309">
        <v>-100</v>
      </c>
      <c r="M6" s="309">
        <v>-100</v>
      </c>
      <c r="N6" s="309"/>
      <c r="O6" s="309"/>
    </row>
    <row r="7" spans="2:15" x14ac:dyDescent="0.35">
      <c r="B7" s="284" t="s">
        <v>254</v>
      </c>
      <c r="C7" s="36">
        <v>94.4</v>
      </c>
      <c r="D7" s="36">
        <v>94.4</v>
      </c>
      <c r="E7" s="36">
        <v>94.4</v>
      </c>
      <c r="F7" s="36">
        <v>94.4</v>
      </c>
      <c r="G7" s="36">
        <v>94.4</v>
      </c>
      <c r="H7" s="36">
        <v>125</v>
      </c>
      <c r="I7" s="36">
        <v>125</v>
      </c>
      <c r="J7" s="321">
        <v>123.46569733712501</v>
      </c>
      <c r="K7" s="321">
        <f>+$J$19</f>
        <v>115.90627907669861</v>
      </c>
      <c r="L7" s="321">
        <f>+$J$19</f>
        <v>115.90627907669861</v>
      </c>
      <c r="M7" s="321">
        <f>+$J$19</f>
        <v>115.90627907669861</v>
      </c>
      <c r="N7" s="321">
        <f>+$J$19</f>
        <v>115.90627907669861</v>
      </c>
      <c r="O7" s="321">
        <f>+$J$19</f>
        <v>115.90627907669861</v>
      </c>
    </row>
    <row r="8" spans="2:15" x14ac:dyDescent="0.35">
      <c r="B8" s="284" t="s">
        <v>195</v>
      </c>
      <c r="C8" s="300">
        <v>35</v>
      </c>
      <c r="D8" s="300">
        <v>35</v>
      </c>
      <c r="E8" s="300">
        <v>37</v>
      </c>
      <c r="F8" s="300">
        <v>37</v>
      </c>
      <c r="G8" s="300">
        <v>39</v>
      </c>
      <c r="H8" s="300">
        <v>40</v>
      </c>
      <c r="I8" s="300">
        <v>40</v>
      </c>
      <c r="J8" s="300">
        <v>43</v>
      </c>
      <c r="K8" s="300">
        <v>43</v>
      </c>
      <c r="L8" s="300">
        <v>85.05247697399362</v>
      </c>
      <c r="M8" s="300">
        <f>SOFR!$F$3*(M5+M7+M6)</f>
        <v>80.98059307306427</v>
      </c>
      <c r="N8" s="300">
        <f>SOFR!$F$3*(N5+N7+N6)</f>
        <v>80.98059307306427</v>
      </c>
      <c r="O8" s="300">
        <f>SOFR!$F$3*(O5+O7+O6)</f>
        <v>80.98059307306427</v>
      </c>
    </row>
    <row r="9" spans="2:15" x14ac:dyDescent="0.35">
      <c r="B9" s="284" t="s">
        <v>255</v>
      </c>
      <c r="C9" s="283">
        <f t="shared" ref="C9:I9" si="0">+SUM(C5:C8)</f>
        <v>1979.4</v>
      </c>
      <c r="D9" s="283">
        <f t="shared" si="0"/>
        <v>1979.4</v>
      </c>
      <c r="E9" s="283">
        <f t="shared" si="0"/>
        <v>2111.4</v>
      </c>
      <c r="F9" s="283">
        <f t="shared" si="0"/>
        <v>2111.4</v>
      </c>
      <c r="G9" s="283">
        <f t="shared" si="0"/>
        <v>2233.4</v>
      </c>
      <c r="H9" s="283">
        <f t="shared" si="0"/>
        <v>2265</v>
      </c>
      <c r="I9" s="283">
        <f t="shared" si="0"/>
        <v>2265</v>
      </c>
      <c r="J9" s="283">
        <f t="shared" ref="J9:O9" si="1">+SUM(J5:J8)</f>
        <v>2366.4656973371252</v>
      </c>
      <c r="K9" s="283">
        <f t="shared" si="1"/>
        <v>2358.9062790766984</v>
      </c>
      <c r="L9" s="283">
        <f t="shared" si="1"/>
        <v>2400.958756050692</v>
      </c>
      <c r="M9" s="283">
        <f t="shared" si="1"/>
        <v>2396.8868721497629</v>
      </c>
      <c r="N9" s="283">
        <f t="shared" si="1"/>
        <v>2396.8868721497629</v>
      </c>
      <c r="O9" s="283">
        <f t="shared" si="1"/>
        <v>2396.8868721497629</v>
      </c>
    </row>
    <row r="10" spans="2:15" x14ac:dyDescent="0.35">
      <c r="N10" s="257"/>
    </row>
    <row r="11" spans="2:15" x14ac:dyDescent="0.35">
      <c r="B11" s="33" t="s">
        <v>256</v>
      </c>
    </row>
    <row r="15" spans="2:15" x14ac:dyDescent="0.35">
      <c r="I15" t="s">
        <v>257</v>
      </c>
      <c r="J15" s="275">
        <v>13975096</v>
      </c>
    </row>
    <row r="16" spans="2:15" x14ac:dyDescent="0.35">
      <c r="I16" t="s">
        <v>258</v>
      </c>
      <c r="J16" s="275">
        <f>+'PCR Enka'!AB22</f>
        <v>4019.0793548387101</v>
      </c>
    </row>
    <row r="17" spans="9:10" x14ac:dyDescent="0.35">
      <c r="I17" t="s">
        <v>259</v>
      </c>
      <c r="J17" s="275">
        <f>+J15/J16</f>
        <v>3477.1883723009582</v>
      </c>
    </row>
    <row r="18" spans="9:10" x14ac:dyDescent="0.35">
      <c r="I18" t="s">
        <v>260</v>
      </c>
      <c r="J18" s="275">
        <v>30</v>
      </c>
    </row>
    <row r="19" spans="9:10" x14ac:dyDescent="0.35">
      <c r="I19" t="s">
        <v>261</v>
      </c>
      <c r="J19" s="275">
        <f>+J17/J18</f>
        <v>115.90627907669861</v>
      </c>
    </row>
  </sheetData>
  <phoneticPr fontId="26" type="noConversion"/>
  <pageMargins left="0.7" right="0.7" top="0.75" bottom="0.75" header="0.3" footer="0.3"/>
  <customProperties>
    <customPr name="EpmWorksheetKeyString_GUID"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outlinePr summaryBelow="0" summaryRight="0"/>
    <pageSetUpPr autoPageBreaks="0" fitToPage="1"/>
  </sheetPr>
  <dimension ref="B2:E51"/>
  <sheetViews>
    <sheetView showGridLines="0" topLeftCell="A7" zoomScale="81" workbookViewId="0">
      <pane xSplit="2" ySplit="7" topLeftCell="C32" activePane="bottomRight" state="frozen"/>
      <selection pane="topRight" activeCell="C7" sqref="C7"/>
      <selection pane="bottomLeft" activeCell="A14" sqref="A14"/>
      <selection pane="bottomRight" activeCell="D27" sqref="D27"/>
    </sheetView>
  </sheetViews>
  <sheetFormatPr defaultColWidth="10.54296875" defaultRowHeight="12.5" x14ac:dyDescent="0.25"/>
  <cols>
    <col min="1" max="1" width="4" style="55" customWidth="1"/>
    <col min="2" max="2" width="20" style="55" customWidth="1"/>
    <col min="3" max="5" width="25" style="55" customWidth="1"/>
    <col min="6" max="256" width="9.1796875" style="55" customWidth="1"/>
    <col min="257" max="257" width="4" style="55" customWidth="1"/>
    <col min="258" max="258" width="20" style="55" customWidth="1"/>
    <col min="259" max="261" width="25" style="55" customWidth="1"/>
    <col min="262" max="512" width="9.1796875" style="55" customWidth="1"/>
    <col min="513" max="513" width="4" style="55" customWidth="1"/>
    <col min="514" max="514" width="20" style="55" customWidth="1"/>
    <col min="515" max="517" width="25" style="55" customWidth="1"/>
    <col min="518" max="768" width="9.1796875" style="55" customWidth="1"/>
    <col min="769" max="769" width="4" style="55" customWidth="1"/>
    <col min="770" max="770" width="20" style="55" customWidth="1"/>
    <col min="771" max="773" width="25" style="55" customWidth="1"/>
    <col min="774" max="1024" width="9.1796875" style="55" customWidth="1"/>
    <col min="1025" max="1025" width="4" style="55" customWidth="1"/>
    <col min="1026" max="1026" width="20" style="55" customWidth="1"/>
    <col min="1027" max="1029" width="25" style="55" customWidth="1"/>
    <col min="1030" max="1280" width="9.1796875" style="55" customWidth="1"/>
    <col min="1281" max="1281" width="4" style="55" customWidth="1"/>
    <col min="1282" max="1282" width="20" style="55" customWidth="1"/>
    <col min="1283" max="1285" width="25" style="55" customWidth="1"/>
    <col min="1286" max="1536" width="9.1796875" style="55" customWidth="1"/>
    <col min="1537" max="1537" width="4" style="55" customWidth="1"/>
    <col min="1538" max="1538" width="20" style="55" customWidth="1"/>
    <col min="1539" max="1541" width="25" style="55" customWidth="1"/>
    <col min="1542" max="1792" width="9.1796875" style="55" customWidth="1"/>
    <col min="1793" max="1793" width="4" style="55" customWidth="1"/>
    <col min="1794" max="1794" width="20" style="55" customWidth="1"/>
    <col min="1795" max="1797" width="25" style="55" customWidth="1"/>
    <col min="1798" max="2048" width="9.1796875" style="55" customWidth="1"/>
    <col min="2049" max="2049" width="4" style="55" customWidth="1"/>
    <col min="2050" max="2050" width="20" style="55" customWidth="1"/>
    <col min="2051" max="2053" width="25" style="55" customWidth="1"/>
    <col min="2054" max="2304" width="9.1796875" style="55" customWidth="1"/>
    <col min="2305" max="2305" width="4" style="55" customWidth="1"/>
    <col min="2306" max="2306" width="20" style="55" customWidth="1"/>
    <col min="2307" max="2309" width="25" style="55" customWidth="1"/>
    <col min="2310" max="2560" width="9.1796875" style="55" customWidth="1"/>
    <col min="2561" max="2561" width="4" style="55" customWidth="1"/>
    <col min="2562" max="2562" width="20" style="55" customWidth="1"/>
    <col min="2563" max="2565" width="25" style="55" customWidth="1"/>
    <col min="2566" max="2816" width="9.1796875" style="55" customWidth="1"/>
    <col min="2817" max="2817" width="4" style="55" customWidth="1"/>
    <col min="2818" max="2818" width="20" style="55" customWidth="1"/>
    <col min="2819" max="2821" width="25" style="55" customWidth="1"/>
    <col min="2822" max="3072" width="9.1796875" style="55" customWidth="1"/>
    <col min="3073" max="3073" width="4" style="55" customWidth="1"/>
    <col min="3074" max="3074" width="20" style="55" customWidth="1"/>
    <col min="3075" max="3077" width="25" style="55" customWidth="1"/>
    <col min="3078" max="3328" width="9.1796875" style="55" customWidth="1"/>
    <col min="3329" max="3329" width="4" style="55" customWidth="1"/>
    <col min="3330" max="3330" width="20" style="55" customWidth="1"/>
    <col min="3331" max="3333" width="25" style="55" customWidth="1"/>
    <col min="3334" max="3584" width="9.1796875" style="55" customWidth="1"/>
    <col min="3585" max="3585" width="4" style="55" customWidth="1"/>
    <col min="3586" max="3586" width="20" style="55" customWidth="1"/>
    <col min="3587" max="3589" width="25" style="55" customWidth="1"/>
    <col min="3590" max="3840" width="9.1796875" style="55" customWidth="1"/>
    <col min="3841" max="3841" width="4" style="55" customWidth="1"/>
    <col min="3842" max="3842" width="20" style="55" customWidth="1"/>
    <col min="3843" max="3845" width="25" style="55" customWidth="1"/>
    <col min="3846" max="4096" width="9.1796875" style="55" customWidth="1"/>
    <col min="4097" max="4097" width="4" style="55" customWidth="1"/>
    <col min="4098" max="4098" width="20" style="55" customWidth="1"/>
    <col min="4099" max="4101" width="25" style="55" customWidth="1"/>
    <col min="4102" max="4352" width="9.1796875" style="55" customWidth="1"/>
    <col min="4353" max="4353" width="4" style="55" customWidth="1"/>
    <col min="4354" max="4354" width="20" style="55" customWidth="1"/>
    <col min="4355" max="4357" width="25" style="55" customWidth="1"/>
    <col min="4358" max="4608" width="9.1796875" style="55" customWidth="1"/>
    <col min="4609" max="4609" width="4" style="55" customWidth="1"/>
    <col min="4610" max="4610" width="20" style="55" customWidth="1"/>
    <col min="4611" max="4613" width="25" style="55" customWidth="1"/>
    <col min="4614" max="4864" width="9.1796875" style="55" customWidth="1"/>
    <col min="4865" max="4865" width="4" style="55" customWidth="1"/>
    <col min="4866" max="4866" width="20" style="55" customWidth="1"/>
    <col min="4867" max="4869" width="25" style="55" customWidth="1"/>
    <col min="4870" max="5120" width="9.1796875" style="55" customWidth="1"/>
    <col min="5121" max="5121" width="4" style="55" customWidth="1"/>
    <col min="5122" max="5122" width="20" style="55" customWidth="1"/>
    <col min="5123" max="5125" width="25" style="55" customWidth="1"/>
    <col min="5126" max="5376" width="9.1796875" style="55" customWidth="1"/>
    <col min="5377" max="5377" width="4" style="55" customWidth="1"/>
    <col min="5378" max="5378" width="20" style="55" customWidth="1"/>
    <col min="5379" max="5381" width="25" style="55" customWidth="1"/>
    <col min="5382" max="5632" width="9.1796875" style="55" customWidth="1"/>
    <col min="5633" max="5633" width="4" style="55" customWidth="1"/>
    <col min="5634" max="5634" width="20" style="55" customWidth="1"/>
    <col min="5635" max="5637" width="25" style="55" customWidth="1"/>
    <col min="5638" max="5888" width="9.1796875" style="55" customWidth="1"/>
    <col min="5889" max="5889" width="4" style="55" customWidth="1"/>
    <col min="5890" max="5890" width="20" style="55" customWidth="1"/>
    <col min="5891" max="5893" width="25" style="55" customWidth="1"/>
    <col min="5894" max="6144" width="9.1796875" style="55" customWidth="1"/>
    <col min="6145" max="6145" width="4" style="55" customWidth="1"/>
    <col min="6146" max="6146" width="20" style="55" customWidth="1"/>
    <col min="6147" max="6149" width="25" style="55" customWidth="1"/>
    <col min="6150" max="6400" width="9.1796875" style="55" customWidth="1"/>
    <col min="6401" max="6401" width="4" style="55" customWidth="1"/>
    <col min="6402" max="6402" width="20" style="55" customWidth="1"/>
    <col min="6403" max="6405" width="25" style="55" customWidth="1"/>
    <col min="6406" max="6656" width="9.1796875" style="55" customWidth="1"/>
    <col min="6657" max="6657" width="4" style="55" customWidth="1"/>
    <col min="6658" max="6658" width="20" style="55" customWidth="1"/>
    <col min="6659" max="6661" width="25" style="55" customWidth="1"/>
    <col min="6662" max="6912" width="9.1796875" style="55" customWidth="1"/>
    <col min="6913" max="6913" width="4" style="55" customWidth="1"/>
    <col min="6914" max="6914" width="20" style="55" customWidth="1"/>
    <col min="6915" max="6917" width="25" style="55" customWidth="1"/>
    <col min="6918" max="7168" width="9.1796875" style="55" customWidth="1"/>
    <col min="7169" max="7169" width="4" style="55" customWidth="1"/>
    <col min="7170" max="7170" width="20" style="55" customWidth="1"/>
    <col min="7171" max="7173" width="25" style="55" customWidth="1"/>
    <col min="7174" max="7424" width="9.1796875" style="55" customWidth="1"/>
    <col min="7425" max="7425" width="4" style="55" customWidth="1"/>
    <col min="7426" max="7426" width="20" style="55" customWidth="1"/>
    <col min="7427" max="7429" width="25" style="55" customWidth="1"/>
    <col min="7430" max="7680" width="9.1796875" style="55" customWidth="1"/>
    <col min="7681" max="7681" width="4" style="55" customWidth="1"/>
    <col min="7682" max="7682" width="20" style="55" customWidth="1"/>
    <col min="7683" max="7685" width="25" style="55" customWidth="1"/>
    <col min="7686" max="7936" width="9.1796875" style="55" customWidth="1"/>
    <col min="7937" max="7937" width="4" style="55" customWidth="1"/>
    <col min="7938" max="7938" width="20" style="55" customWidth="1"/>
    <col min="7939" max="7941" width="25" style="55" customWidth="1"/>
    <col min="7942" max="8192" width="9.1796875" style="55" customWidth="1"/>
    <col min="8193" max="8193" width="4" style="55" customWidth="1"/>
    <col min="8194" max="8194" width="20" style="55" customWidth="1"/>
    <col min="8195" max="8197" width="25" style="55" customWidth="1"/>
    <col min="8198" max="8448" width="9.1796875" style="55" customWidth="1"/>
    <col min="8449" max="8449" width="4" style="55" customWidth="1"/>
    <col min="8450" max="8450" width="20" style="55" customWidth="1"/>
    <col min="8451" max="8453" width="25" style="55" customWidth="1"/>
    <col min="8454" max="8704" width="9.1796875" style="55" customWidth="1"/>
    <col min="8705" max="8705" width="4" style="55" customWidth="1"/>
    <col min="8706" max="8706" width="20" style="55" customWidth="1"/>
    <col min="8707" max="8709" width="25" style="55" customWidth="1"/>
    <col min="8710" max="8960" width="9.1796875" style="55" customWidth="1"/>
    <col min="8961" max="8961" width="4" style="55" customWidth="1"/>
    <col min="8962" max="8962" width="20" style="55" customWidth="1"/>
    <col min="8963" max="8965" width="25" style="55" customWidth="1"/>
    <col min="8966" max="9216" width="9.1796875" style="55" customWidth="1"/>
    <col min="9217" max="9217" width="4" style="55" customWidth="1"/>
    <col min="9218" max="9218" width="20" style="55" customWidth="1"/>
    <col min="9219" max="9221" width="25" style="55" customWidth="1"/>
    <col min="9222" max="9472" width="9.1796875" style="55" customWidth="1"/>
    <col min="9473" max="9473" width="4" style="55" customWidth="1"/>
    <col min="9474" max="9474" width="20" style="55" customWidth="1"/>
    <col min="9475" max="9477" width="25" style="55" customWidth="1"/>
    <col min="9478" max="9728" width="9.1796875" style="55" customWidth="1"/>
    <col min="9729" max="9729" width="4" style="55" customWidth="1"/>
    <col min="9730" max="9730" width="20" style="55" customWidth="1"/>
    <col min="9731" max="9733" width="25" style="55" customWidth="1"/>
    <col min="9734" max="9984" width="9.1796875" style="55" customWidth="1"/>
    <col min="9985" max="9985" width="4" style="55" customWidth="1"/>
    <col min="9986" max="9986" width="20" style="55" customWidth="1"/>
    <col min="9987" max="9989" width="25" style="55" customWidth="1"/>
    <col min="9990" max="10240" width="9.1796875" style="55" customWidth="1"/>
    <col min="10241" max="10241" width="4" style="55" customWidth="1"/>
    <col min="10242" max="10242" width="20" style="55" customWidth="1"/>
    <col min="10243" max="10245" width="25" style="55" customWidth="1"/>
    <col min="10246" max="10496" width="9.1796875" style="55" customWidth="1"/>
    <col min="10497" max="10497" width="4" style="55" customWidth="1"/>
    <col min="10498" max="10498" width="20" style="55" customWidth="1"/>
    <col min="10499" max="10501" width="25" style="55" customWidth="1"/>
    <col min="10502" max="10752" width="9.1796875" style="55" customWidth="1"/>
    <col min="10753" max="10753" width="4" style="55" customWidth="1"/>
    <col min="10754" max="10754" width="20" style="55" customWidth="1"/>
    <col min="10755" max="10757" width="25" style="55" customWidth="1"/>
    <col min="10758" max="11008" width="9.1796875" style="55" customWidth="1"/>
    <col min="11009" max="11009" width="4" style="55" customWidth="1"/>
    <col min="11010" max="11010" width="20" style="55" customWidth="1"/>
    <col min="11011" max="11013" width="25" style="55" customWidth="1"/>
    <col min="11014" max="11264" width="9.1796875" style="55" customWidth="1"/>
    <col min="11265" max="11265" width="4" style="55" customWidth="1"/>
    <col min="11266" max="11266" width="20" style="55" customWidth="1"/>
    <col min="11267" max="11269" width="25" style="55" customWidth="1"/>
    <col min="11270" max="11520" width="9.1796875" style="55" customWidth="1"/>
    <col min="11521" max="11521" width="4" style="55" customWidth="1"/>
    <col min="11522" max="11522" width="20" style="55" customWidth="1"/>
    <col min="11523" max="11525" width="25" style="55" customWidth="1"/>
    <col min="11526" max="11776" width="9.1796875" style="55" customWidth="1"/>
    <col min="11777" max="11777" width="4" style="55" customWidth="1"/>
    <col min="11778" max="11778" width="20" style="55" customWidth="1"/>
    <col min="11779" max="11781" width="25" style="55" customWidth="1"/>
    <col min="11782" max="12032" width="9.1796875" style="55" customWidth="1"/>
    <col min="12033" max="12033" width="4" style="55" customWidth="1"/>
    <col min="12034" max="12034" width="20" style="55" customWidth="1"/>
    <col min="12035" max="12037" width="25" style="55" customWidth="1"/>
    <col min="12038" max="12288" width="9.1796875" style="55" customWidth="1"/>
    <col min="12289" max="12289" width="4" style="55" customWidth="1"/>
    <col min="12290" max="12290" width="20" style="55" customWidth="1"/>
    <col min="12291" max="12293" width="25" style="55" customWidth="1"/>
    <col min="12294" max="12544" width="9.1796875" style="55" customWidth="1"/>
    <col min="12545" max="12545" width="4" style="55" customWidth="1"/>
    <col min="12546" max="12546" width="20" style="55" customWidth="1"/>
    <col min="12547" max="12549" width="25" style="55" customWidth="1"/>
    <col min="12550" max="12800" width="9.1796875" style="55" customWidth="1"/>
    <col min="12801" max="12801" width="4" style="55" customWidth="1"/>
    <col min="12802" max="12802" width="20" style="55" customWidth="1"/>
    <col min="12803" max="12805" width="25" style="55" customWidth="1"/>
    <col min="12806" max="13056" width="9.1796875" style="55" customWidth="1"/>
    <col min="13057" max="13057" width="4" style="55" customWidth="1"/>
    <col min="13058" max="13058" width="20" style="55" customWidth="1"/>
    <col min="13059" max="13061" width="25" style="55" customWidth="1"/>
    <col min="13062" max="13312" width="9.1796875" style="55" customWidth="1"/>
    <col min="13313" max="13313" width="4" style="55" customWidth="1"/>
    <col min="13314" max="13314" width="20" style="55" customWidth="1"/>
    <col min="13315" max="13317" width="25" style="55" customWidth="1"/>
    <col min="13318" max="13568" width="9.1796875" style="55" customWidth="1"/>
    <col min="13569" max="13569" width="4" style="55" customWidth="1"/>
    <col min="13570" max="13570" width="20" style="55" customWidth="1"/>
    <col min="13571" max="13573" width="25" style="55" customWidth="1"/>
    <col min="13574" max="13824" width="9.1796875" style="55" customWidth="1"/>
    <col min="13825" max="13825" width="4" style="55" customWidth="1"/>
    <col min="13826" max="13826" width="20" style="55" customWidth="1"/>
    <col min="13827" max="13829" width="25" style="55" customWidth="1"/>
    <col min="13830" max="14080" width="9.1796875" style="55" customWidth="1"/>
    <col min="14081" max="14081" width="4" style="55" customWidth="1"/>
    <col min="14082" max="14082" width="20" style="55" customWidth="1"/>
    <col min="14083" max="14085" width="25" style="55" customWidth="1"/>
    <col min="14086" max="14336" width="9.1796875" style="55" customWidth="1"/>
    <col min="14337" max="14337" width="4" style="55" customWidth="1"/>
    <col min="14338" max="14338" width="20" style="55" customWidth="1"/>
    <col min="14339" max="14341" width="25" style="55" customWidth="1"/>
    <col min="14342" max="14592" width="9.1796875" style="55" customWidth="1"/>
    <col min="14593" max="14593" width="4" style="55" customWidth="1"/>
    <col min="14594" max="14594" width="20" style="55" customWidth="1"/>
    <col min="14595" max="14597" width="25" style="55" customWidth="1"/>
    <col min="14598" max="14848" width="9.1796875" style="55" customWidth="1"/>
    <col min="14849" max="14849" width="4" style="55" customWidth="1"/>
    <col min="14850" max="14850" width="20" style="55" customWidth="1"/>
    <col min="14851" max="14853" width="25" style="55" customWidth="1"/>
    <col min="14854" max="15104" width="9.1796875" style="55" customWidth="1"/>
    <col min="15105" max="15105" width="4" style="55" customWidth="1"/>
    <col min="15106" max="15106" width="20" style="55" customWidth="1"/>
    <col min="15107" max="15109" width="25" style="55" customWidth="1"/>
    <col min="15110" max="15360" width="9.1796875" style="55" customWidth="1"/>
    <col min="15361" max="15361" width="4" style="55" customWidth="1"/>
    <col min="15362" max="15362" width="20" style="55" customWidth="1"/>
    <col min="15363" max="15365" width="25" style="55" customWidth="1"/>
    <col min="15366" max="15616" width="9.1796875" style="55" customWidth="1"/>
    <col min="15617" max="15617" width="4" style="55" customWidth="1"/>
    <col min="15618" max="15618" width="20" style="55" customWidth="1"/>
    <col min="15619" max="15621" width="25" style="55" customWidth="1"/>
    <col min="15622" max="15872" width="9.1796875" style="55" customWidth="1"/>
    <col min="15873" max="15873" width="4" style="55" customWidth="1"/>
    <col min="15874" max="15874" width="20" style="55" customWidth="1"/>
    <col min="15875" max="15877" width="25" style="55" customWidth="1"/>
    <col min="15878" max="16128" width="9.1796875" style="55" customWidth="1"/>
    <col min="16129" max="16129" width="4" style="55" customWidth="1"/>
    <col min="16130" max="16130" width="20" style="55" customWidth="1"/>
    <col min="16131" max="16133" width="25" style="55" customWidth="1"/>
    <col min="16134" max="16384" width="9.1796875" style="55" customWidth="1"/>
  </cols>
  <sheetData>
    <row r="2" spans="2:5" ht="20.149999999999999" customHeight="1" x14ac:dyDescent="0.45">
      <c r="B2" s="54" t="s">
        <v>262</v>
      </c>
    </row>
    <row r="3" spans="2:5" ht="14.5" x14ac:dyDescent="0.35">
      <c r="B3" s="56" t="s">
        <v>263</v>
      </c>
      <c r="C3" s="56" t="s">
        <v>264</v>
      </c>
    </row>
    <row r="4" spans="2:5" ht="14.5" x14ac:dyDescent="0.35">
      <c r="B4" s="56" t="s">
        <v>265</v>
      </c>
      <c r="C4" s="56" t="s">
        <v>266</v>
      </c>
    </row>
    <row r="5" spans="2:5" ht="14.5" x14ac:dyDescent="0.35">
      <c r="B5" s="56" t="s">
        <v>267</v>
      </c>
      <c r="C5" s="56" t="s">
        <v>268</v>
      </c>
    </row>
    <row r="6" spans="2:5" ht="14.5" x14ac:dyDescent="0.35">
      <c r="B6" s="56" t="s">
        <v>269</v>
      </c>
      <c r="C6" s="55" t="s">
        <v>270</v>
      </c>
      <c r="D6" s="55" t="s">
        <v>270</v>
      </c>
      <c r="E6" s="55" t="s">
        <v>270</v>
      </c>
    </row>
    <row r="7" spans="2:5" ht="14.5" x14ac:dyDescent="0.35">
      <c r="B7" s="56" t="s">
        <v>271</v>
      </c>
      <c r="C7" s="55" t="s">
        <v>272</v>
      </c>
      <c r="D7" s="55" t="s">
        <v>272</v>
      </c>
      <c r="E7" s="55" t="s">
        <v>272</v>
      </c>
    </row>
    <row r="8" spans="2:5" ht="14.5" x14ac:dyDescent="0.35">
      <c r="B8" s="56" t="s">
        <v>273</v>
      </c>
      <c r="C8" s="55" t="s">
        <v>274</v>
      </c>
      <c r="D8" s="55" t="s">
        <v>274</v>
      </c>
      <c r="E8" s="55" t="s">
        <v>274</v>
      </c>
    </row>
    <row r="9" spans="2:5" ht="14.5" x14ac:dyDescent="0.35">
      <c r="B9" s="56" t="s">
        <v>275</v>
      </c>
      <c r="C9" s="55" t="s">
        <v>197</v>
      </c>
      <c r="D9" s="55" t="s">
        <v>197</v>
      </c>
      <c r="E9" s="55" t="s">
        <v>197</v>
      </c>
    </row>
    <row r="10" spans="2:5" ht="14.5" x14ac:dyDescent="0.35">
      <c r="B10" s="56" t="s">
        <v>276</v>
      </c>
      <c r="C10" s="55" t="s">
        <v>277</v>
      </c>
      <c r="D10" s="55" t="s">
        <v>277</v>
      </c>
      <c r="E10" s="55" t="s">
        <v>277</v>
      </c>
    </row>
    <row r="11" spans="2:5" ht="14.5" x14ac:dyDescent="0.35">
      <c r="B11" s="56" t="s">
        <v>278</v>
      </c>
      <c r="C11" s="55" t="s">
        <v>279</v>
      </c>
      <c r="D11" s="55" t="s">
        <v>279</v>
      </c>
      <c r="E11" s="55" t="s">
        <v>279</v>
      </c>
    </row>
    <row r="12" spans="2:5" ht="13" thickBot="1" x14ac:dyDescent="0.3"/>
    <row r="13" spans="2:5" ht="90" customHeight="1" thickTop="1" thickBot="1" x14ac:dyDescent="0.3">
      <c r="B13" s="123" t="s">
        <v>279</v>
      </c>
      <c r="C13" s="123" t="s">
        <v>280</v>
      </c>
      <c r="D13" s="123" t="s">
        <v>281</v>
      </c>
      <c r="E13" s="123" t="s">
        <v>282</v>
      </c>
    </row>
    <row r="14" spans="2:5" ht="14.5" x14ac:dyDescent="0.35">
      <c r="B14" s="127" t="s">
        <v>283</v>
      </c>
      <c r="C14" s="130">
        <v>1459.46</v>
      </c>
      <c r="D14" s="130">
        <v>1578.51</v>
      </c>
      <c r="E14" s="124">
        <v>1518.98</v>
      </c>
    </row>
    <row r="15" spans="2:5" ht="14.5" x14ac:dyDescent="0.35">
      <c r="B15" s="128" t="s">
        <v>284</v>
      </c>
      <c r="C15" s="131">
        <v>1433</v>
      </c>
      <c r="D15" s="131">
        <v>1543.23</v>
      </c>
      <c r="E15" s="125">
        <v>1488.12</v>
      </c>
    </row>
    <row r="16" spans="2:5" ht="14.5" x14ac:dyDescent="0.35">
      <c r="B16" s="128" t="s">
        <v>285</v>
      </c>
      <c r="C16" s="131">
        <v>1433</v>
      </c>
      <c r="D16" s="131">
        <v>1543.23</v>
      </c>
      <c r="E16" s="125">
        <v>1488.12</v>
      </c>
    </row>
    <row r="17" spans="2:5" ht="14.5" x14ac:dyDescent="0.35">
      <c r="B17" s="128" t="s">
        <v>286</v>
      </c>
      <c r="C17" s="131">
        <v>1433</v>
      </c>
      <c r="D17" s="131">
        <v>1543.23</v>
      </c>
      <c r="E17" s="125">
        <v>1488.12</v>
      </c>
    </row>
    <row r="18" spans="2:5" ht="14.5" x14ac:dyDescent="0.35">
      <c r="B18" s="128" t="s">
        <v>287</v>
      </c>
      <c r="C18" s="131">
        <v>1410.96</v>
      </c>
      <c r="D18" s="131">
        <v>1521.19</v>
      </c>
      <c r="E18" s="125">
        <v>1466.07</v>
      </c>
    </row>
    <row r="19" spans="2:5" ht="14.5" x14ac:dyDescent="0.35">
      <c r="B19" s="128" t="s">
        <v>288</v>
      </c>
      <c r="C19" s="131">
        <v>1349.23</v>
      </c>
      <c r="D19" s="131">
        <v>1459.46</v>
      </c>
      <c r="E19" s="125">
        <v>1404.34</v>
      </c>
    </row>
    <row r="20" spans="2:5" ht="14.5" x14ac:dyDescent="0.35">
      <c r="B20" s="128" t="s">
        <v>289</v>
      </c>
      <c r="C20" s="131">
        <v>1295.21</v>
      </c>
      <c r="D20" s="131">
        <v>1405.45</v>
      </c>
      <c r="E20" s="125">
        <v>1350.33</v>
      </c>
    </row>
    <row r="21" spans="2:5" ht="14.5" x14ac:dyDescent="0.35">
      <c r="B21" s="128" t="s">
        <v>290</v>
      </c>
      <c r="C21" s="131">
        <v>1212.54</v>
      </c>
      <c r="D21" s="131">
        <v>1322.77</v>
      </c>
      <c r="E21" s="125">
        <v>1267.6600000000001</v>
      </c>
    </row>
    <row r="22" spans="2:5" ht="14.5" x14ac:dyDescent="0.35">
      <c r="B22" s="128" t="s">
        <v>291</v>
      </c>
      <c r="C22" s="131">
        <v>1212.54</v>
      </c>
      <c r="D22" s="131">
        <v>1322.77</v>
      </c>
      <c r="E22" s="125">
        <v>1267.6600000000001</v>
      </c>
    </row>
    <row r="23" spans="2:5" ht="14.5" x14ac:dyDescent="0.35">
      <c r="B23" s="128" t="s">
        <v>292</v>
      </c>
      <c r="C23" s="131">
        <v>1212.54</v>
      </c>
      <c r="D23" s="131">
        <v>1322.77</v>
      </c>
      <c r="E23" s="125">
        <v>1267.6600000000001</v>
      </c>
    </row>
    <row r="24" spans="2:5" ht="14.5" x14ac:dyDescent="0.35">
      <c r="B24" s="128" t="s">
        <v>293</v>
      </c>
      <c r="C24" s="131">
        <v>1295.21</v>
      </c>
      <c r="D24" s="131">
        <v>1405.45</v>
      </c>
      <c r="E24" s="125">
        <v>1350.33</v>
      </c>
    </row>
    <row r="25" spans="2:5" ht="14.5" x14ac:dyDescent="0.35">
      <c r="B25" s="128" t="s">
        <v>294</v>
      </c>
      <c r="C25" s="131">
        <v>1322.77</v>
      </c>
      <c r="D25" s="131">
        <v>1433</v>
      </c>
      <c r="E25" s="125">
        <v>1377.89</v>
      </c>
    </row>
    <row r="26" spans="2:5" ht="14.5" x14ac:dyDescent="0.35">
      <c r="B26" s="129" t="s">
        <v>295</v>
      </c>
      <c r="C26" s="132">
        <v>1322.77</v>
      </c>
      <c r="D26" s="132">
        <v>1433</v>
      </c>
      <c r="E26" s="126">
        <v>1377.89</v>
      </c>
    </row>
    <row r="27" spans="2:5" ht="14.5" x14ac:dyDescent="0.35">
      <c r="B27" s="129" t="s">
        <v>296</v>
      </c>
      <c r="C27" s="132">
        <v>1322.77</v>
      </c>
      <c r="D27" s="132">
        <v>1433</v>
      </c>
      <c r="E27" s="126">
        <v>1377.89</v>
      </c>
    </row>
    <row r="28" spans="2:5" ht="14.5" x14ac:dyDescent="0.35">
      <c r="B28" s="129" t="s">
        <v>297</v>
      </c>
      <c r="C28" s="132">
        <v>1212.54</v>
      </c>
      <c r="D28" s="132">
        <v>1322.77</v>
      </c>
      <c r="E28" s="126">
        <f>+AVERAGE(C28:D28)</f>
        <v>1267.655</v>
      </c>
    </row>
    <row r="29" spans="2:5" ht="14.5" x14ac:dyDescent="0.35">
      <c r="B29" s="129" t="s">
        <v>298</v>
      </c>
      <c r="C29" s="132">
        <v>1212.54</v>
      </c>
      <c r="D29" s="132">
        <v>1322.77</v>
      </c>
      <c r="E29" s="126">
        <v>1267.6600000000001</v>
      </c>
    </row>
    <row r="30" spans="2:5" ht="14.5" x14ac:dyDescent="0.35">
      <c r="B30" s="129" t="s">
        <v>299</v>
      </c>
      <c r="C30" s="132">
        <v>1212.54</v>
      </c>
      <c r="D30" s="132">
        <v>1322.77</v>
      </c>
      <c r="E30" s="126">
        <v>1267.6600000000001</v>
      </c>
    </row>
    <row r="31" spans="2:5" ht="14.5" x14ac:dyDescent="0.35">
      <c r="B31" s="129" t="s">
        <v>300</v>
      </c>
      <c r="C31" s="132">
        <v>1287.5</v>
      </c>
      <c r="D31" s="132">
        <v>1397.73</v>
      </c>
      <c r="E31" s="126">
        <v>1342.61</v>
      </c>
    </row>
    <row r="32" spans="2:5" ht="14.5" x14ac:dyDescent="0.35">
      <c r="B32" s="129" t="s">
        <v>301</v>
      </c>
      <c r="C32" s="132">
        <v>1388.91</v>
      </c>
      <c r="D32" s="132">
        <v>1499.14</v>
      </c>
      <c r="E32" s="126">
        <v>1444.03</v>
      </c>
    </row>
    <row r="33" spans="2:5" ht="14.5" x14ac:dyDescent="0.35">
      <c r="B33" s="222" t="s">
        <v>302</v>
      </c>
      <c r="C33" s="132">
        <v>1399.93</v>
      </c>
      <c r="D33" s="132">
        <v>1510.16</v>
      </c>
      <c r="E33" s="126">
        <v>1455.05</v>
      </c>
    </row>
    <row r="34" spans="2:5" ht="14.5" x14ac:dyDescent="0.35">
      <c r="B34" s="128" t="s">
        <v>303</v>
      </c>
      <c r="C34" s="132">
        <v>1455.05</v>
      </c>
      <c r="D34" s="132">
        <v>1554.26</v>
      </c>
      <c r="E34" s="126">
        <v>1504.65</v>
      </c>
    </row>
    <row r="35" spans="2:5" ht="14.5" x14ac:dyDescent="0.35">
      <c r="B35" s="223" t="s">
        <v>304</v>
      </c>
      <c r="C35" s="132">
        <v>1592.84</v>
      </c>
      <c r="D35" s="132">
        <v>1664.49</v>
      </c>
      <c r="E35" s="126">
        <v>1628.66</v>
      </c>
    </row>
    <row r="36" spans="2:5" ht="14.5" x14ac:dyDescent="0.35">
      <c r="B36" s="223" t="s">
        <v>305</v>
      </c>
      <c r="C36" s="221">
        <v>1719.6</v>
      </c>
      <c r="D36" s="221">
        <v>1785.74</v>
      </c>
      <c r="E36" s="221">
        <v>1752.67</v>
      </c>
    </row>
    <row r="37" spans="2:5" ht="14.5" x14ac:dyDescent="0.35">
      <c r="B37" s="246" t="s">
        <v>306</v>
      </c>
      <c r="C37" s="221">
        <v>1741.65</v>
      </c>
      <c r="D37" s="221">
        <v>1807.79</v>
      </c>
      <c r="E37" s="221"/>
    </row>
    <row r="38" spans="2:5" ht="14.5" x14ac:dyDescent="0.35">
      <c r="B38" s="246" t="s">
        <v>307</v>
      </c>
      <c r="C38" s="221">
        <v>1763.7</v>
      </c>
      <c r="D38" s="221">
        <v>1873.93</v>
      </c>
      <c r="E38" s="221"/>
    </row>
    <row r="39" spans="2:5" ht="14.5" x14ac:dyDescent="0.35">
      <c r="B39" s="246" t="s">
        <v>308</v>
      </c>
      <c r="C39" s="221">
        <v>1763.7</v>
      </c>
      <c r="D39" s="221">
        <v>1873.93</v>
      </c>
      <c r="E39" s="221"/>
    </row>
    <row r="40" spans="2:5" ht="14.5" x14ac:dyDescent="0.35">
      <c r="B40" s="246"/>
      <c r="C40" s="221"/>
      <c r="D40" s="221"/>
      <c r="E40" s="221"/>
    </row>
    <row r="43" spans="2:5" ht="14.5" x14ac:dyDescent="0.35">
      <c r="B43" s="56" t="s">
        <v>309</v>
      </c>
    </row>
    <row r="44" spans="2:5" ht="14.5" x14ac:dyDescent="0.35">
      <c r="B44" s="56" t="s">
        <v>310</v>
      </c>
    </row>
    <row r="45" spans="2:5" ht="14.5" x14ac:dyDescent="0.35">
      <c r="B45" s="56" t="s">
        <v>311</v>
      </c>
    </row>
    <row r="46" spans="2:5" ht="14.5" x14ac:dyDescent="0.35">
      <c r="B46" s="56" t="s">
        <v>312</v>
      </c>
    </row>
    <row r="47" spans="2:5" ht="14.5" x14ac:dyDescent="0.35">
      <c r="B47" s="56" t="s">
        <v>313</v>
      </c>
    </row>
    <row r="48" spans="2:5" ht="14.5" x14ac:dyDescent="0.35">
      <c r="B48" s="56" t="s">
        <v>314</v>
      </c>
    </row>
    <row r="49" spans="2:2" ht="14.5" x14ac:dyDescent="0.35">
      <c r="B49" s="56" t="s">
        <v>315</v>
      </c>
    </row>
    <row r="50" spans="2:2" ht="14.5" x14ac:dyDescent="0.35">
      <c r="B50" s="56" t="s">
        <v>316</v>
      </c>
    </row>
    <row r="51" spans="2:2" ht="14.5" x14ac:dyDescent="0.35">
      <c r="B51" s="56" t="s">
        <v>317</v>
      </c>
    </row>
  </sheetData>
  <phoneticPr fontId="26" type="noConversion"/>
  <pageMargins left="0.75" right="0.75" top="1" bottom="1" header="0.5" footer="0.5"/>
  <pageSetup orientation="portrait" horizontalDpi="300" verticalDpi="300" r:id="rId1"/>
  <headerFooter alignWithMargins="0"/>
  <customProperties>
    <customPr name="EpmWorksheetKeyString_GU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pageSetUpPr fitToPage="1"/>
  </sheetPr>
  <dimension ref="A3:BC34"/>
  <sheetViews>
    <sheetView showGridLines="0" topLeftCell="AG3" workbookViewId="0">
      <selection activeCell="AB45" sqref="AB45"/>
    </sheetView>
  </sheetViews>
  <sheetFormatPr defaultColWidth="9.1796875" defaultRowHeight="14.5" x14ac:dyDescent="0.35"/>
  <cols>
    <col min="1" max="1" width="4.81640625" customWidth="1"/>
    <col min="2" max="2" width="19" customWidth="1"/>
    <col min="3" max="3" width="31.453125" customWidth="1"/>
    <col min="4" max="4" width="14.1796875" customWidth="1"/>
    <col min="5" max="5" width="19.453125" customWidth="1"/>
    <col min="6" max="6" width="21.54296875" customWidth="1"/>
    <col min="7" max="7" width="28.54296875" customWidth="1"/>
    <col min="8" max="8" width="7.81640625" customWidth="1"/>
    <col min="9" max="19" width="7.81640625" bestFit="1" customWidth="1"/>
    <col min="20" max="20" width="7.81640625" customWidth="1"/>
    <col min="21" max="23" width="7.81640625" bestFit="1" customWidth="1"/>
  </cols>
  <sheetData>
    <row r="3" spans="1:55" x14ac:dyDescent="0.35">
      <c r="A3" s="46" t="s">
        <v>318</v>
      </c>
    </row>
    <row r="4" spans="1:55" x14ac:dyDescent="0.35">
      <c r="A4" t="s">
        <v>319</v>
      </c>
    </row>
    <row r="6" spans="1:55" x14ac:dyDescent="0.35">
      <c r="A6" s="47" t="s">
        <v>320</v>
      </c>
    </row>
    <row r="9" spans="1:55" x14ac:dyDescent="0.35">
      <c r="B9" t="s">
        <v>321</v>
      </c>
      <c r="C9" s="47"/>
    </row>
    <row r="10" spans="1:55" x14ac:dyDescent="0.35">
      <c r="B10" s="33" t="s">
        <v>322</v>
      </c>
      <c r="C10" s="33" t="s">
        <v>323</v>
      </c>
      <c r="D10" s="33" t="s">
        <v>324</v>
      </c>
      <c r="E10" s="33" t="s">
        <v>325</v>
      </c>
      <c r="F10" s="33" t="s">
        <v>326</v>
      </c>
      <c r="G10" s="33" t="s">
        <v>327</v>
      </c>
      <c r="H10" s="48">
        <v>43466</v>
      </c>
      <c r="I10" s="48">
        <v>43497</v>
      </c>
      <c r="J10" s="48">
        <v>43525</v>
      </c>
      <c r="K10" s="48">
        <v>43556</v>
      </c>
      <c r="L10" s="48">
        <v>43586</v>
      </c>
      <c r="M10" s="48">
        <v>43617</v>
      </c>
      <c r="N10" s="48">
        <v>43647</v>
      </c>
      <c r="O10" s="48">
        <v>43678</v>
      </c>
      <c r="P10" s="48">
        <v>43709</v>
      </c>
      <c r="Q10" s="48">
        <v>43739</v>
      </c>
      <c r="R10" s="48">
        <v>43770</v>
      </c>
      <c r="S10" s="48">
        <v>43800</v>
      </c>
      <c r="T10" s="48">
        <v>43831</v>
      </c>
      <c r="U10" s="48">
        <v>43862</v>
      </c>
      <c r="V10" s="48">
        <v>43891</v>
      </c>
      <c r="W10" s="48">
        <v>43922</v>
      </c>
      <c r="X10" s="48">
        <v>43952</v>
      </c>
      <c r="Y10" s="48">
        <v>43983</v>
      </c>
      <c r="Z10" s="48">
        <v>44013</v>
      </c>
      <c r="AA10" s="48">
        <v>44044</v>
      </c>
      <c r="AB10" s="48">
        <v>44075</v>
      </c>
      <c r="AC10" s="48">
        <v>44105</v>
      </c>
      <c r="AD10" s="48">
        <v>44136</v>
      </c>
      <c r="AE10" s="48">
        <v>44166</v>
      </c>
      <c r="AF10" s="48">
        <v>44197</v>
      </c>
      <c r="AG10" s="48">
        <v>44228</v>
      </c>
      <c r="AH10" s="48">
        <v>44256</v>
      </c>
      <c r="AI10" s="48">
        <v>44287</v>
      </c>
      <c r="AJ10" s="48">
        <v>44317</v>
      </c>
      <c r="AK10" s="48">
        <v>44348</v>
      </c>
      <c r="AL10" s="48">
        <v>44378</v>
      </c>
      <c r="AM10" s="48">
        <v>44409</v>
      </c>
      <c r="AN10" s="48">
        <v>44440</v>
      </c>
      <c r="AO10" s="48">
        <v>44470</v>
      </c>
      <c r="AP10" s="48">
        <v>44501</v>
      </c>
      <c r="AQ10" s="48">
        <v>44531</v>
      </c>
    </row>
    <row r="11" spans="1:55" hidden="1" x14ac:dyDescent="0.35">
      <c r="B11" t="s">
        <v>328</v>
      </c>
      <c r="C11" s="49" t="s">
        <v>329</v>
      </c>
      <c r="D11" t="s">
        <v>330</v>
      </c>
      <c r="E11" t="s">
        <v>331</v>
      </c>
      <c r="F11" t="s">
        <v>332</v>
      </c>
      <c r="G11" t="s">
        <v>333</v>
      </c>
      <c r="H11" s="50">
        <v>57.75</v>
      </c>
      <c r="I11" s="50">
        <v>58</v>
      </c>
      <c r="J11" s="50">
        <v>57.75</v>
      </c>
      <c r="K11" s="50">
        <v>55.75</v>
      </c>
      <c r="L11" s="50">
        <v>55.75</v>
      </c>
      <c r="M11" s="50">
        <v>55.75</v>
      </c>
      <c r="N11" s="50">
        <v>55.25</v>
      </c>
      <c r="O11" s="50">
        <v>54.25</v>
      </c>
      <c r="P11" s="50">
        <v>52.5</v>
      </c>
      <c r="Q11" s="50">
        <v>52.25</v>
      </c>
      <c r="R11" s="50">
        <v>52.25</v>
      </c>
      <c r="S11" s="50">
        <v>51.25</v>
      </c>
      <c r="T11" s="50">
        <v>53</v>
      </c>
      <c r="U11" s="50">
        <v>53</v>
      </c>
      <c r="V11" s="50">
        <v>55</v>
      </c>
      <c r="W11" s="51">
        <v>52.5</v>
      </c>
    </row>
    <row r="12" spans="1:55" hidden="1" x14ac:dyDescent="0.35">
      <c r="B12" t="s">
        <v>328</v>
      </c>
      <c r="C12" t="s">
        <v>334</v>
      </c>
      <c r="D12" t="s">
        <v>330</v>
      </c>
      <c r="E12" t="s">
        <v>331</v>
      </c>
      <c r="F12" t="s">
        <v>332</v>
      </c>
      <c r="G12" t="s">
        <v>335</v>
      </c>
      <c r="H12" s="50">
        <v>1857.3755000000001</v>
      </c>
      <c r="I12" s="50">
        <v>1862.8869999999999</v>
      </c>
      <c r="J12" s="50">
        <v>1857.3755000000001</v>
      </c>
      <c r="K12" s="50">
        <v>1813.2835</v>
      </c>
      <c r="L12" s="50">
        <v>1813.2835</v>
      </c>
      <c r="M12" s="50">
        <v>1813.2835</v>
      </c>
      <c r="N12" s="50">
        <v>1802.2605000000001</v>
      </c>
      <c r="O12" s="50">
        <v>1780.2145</v>
      </c>
      <c r="P12" s="50">
        <v>1747.1455000000001</v>
      </c>
      <c r="Q12" s="50">
        <v>1747.1455000000001</v>
      </c>
      <c r="R12" s="50">
        <v>1747.1455000000001</v>
      </c>
      <c r="S12" s="50">
        <v>1725.0995</v>
      </c>
      <c r="T12" s="50">
        <v>1754.8615560000001</v>
      </c>
      <c r="U12" s="50">
        <v>1752.6569999999999</v>
      </c>
      <c r="V12" s="50">
        <v>1796.749</v>
      </c>
      <c r="W12" s="50">
        <v>1741.634</v>
      </c>
    </row>
    <row r="13" spans="1:55" hidden="1" x14ac:dyDescent="0.35">
      <c r="B13" t="s">
        <v>328</v>
      </c>
      <c r="C13" t="s">
        <v>336</v>
      </c>
      <c r="D13" t="s">
        <v>330</v>
      </c>
      <c r="E13" t="s">
        <v>331</v>
      </c>
      <c r="F13" t="s">
        <v>332</v>
      </c>
      <c r="G13" t="s">
        <v>333</v>
      </c>
      <c r="H13" s="50">
        <v>70.75</v>
      </c>
      <c r="I13" s="50">
        <v>71</v>
      </c>
      <c r="J13" s="50">
        <v>69.125</v>
      </c>
      <c r="K13" s="50">
        <v>65.75</v>
      </c>
      <c r="L13" s="50">
        <v>65.5</v>
      </c>
      <c r="M13" s="50">
        <v>65.5</v>
      </c>
      <c r="N13" s="50">
        <v>65</v>
      </c>
      <c r="O13" s="50">
        <v>64</v>
      </c>
      <c r="P13" s="50">
        <v>62.25</v>
      </c>
      <c r="Q13" s="50">
        <v>62</v>
      </c>
      <c r="R13" s="50">
        <v>62</v>
      </c>
      <c r="S13" s="50">
        <v>61</v>
      </c>
      <c r="T13" s="50">
        <v>62.75</v>
      </c>
      <c r="U13" s="50">
        <v>62.75</v>
      </c>
      <c r="V13" s="50">
        <v>64.75</v>
      </c>
      <c r="W13" s="51">
        <v>62.25</v>
      </c>
    </row>
    <row r="14" spans="1:55" hidden="1" x14ac:dyDescent="0.35">
      <c r="B14" t="s">
        <v>328</v>
      </c>
      <c r="C14" t="s">
        <v>337</v>
      </c>
      <c r="D14" t="s">
        <v>330</v>
      </c>
      <c r="E14" t="s">
        <v>331</v>
      </c>
      <c r="F14" t="s">
        <v>332</v>
      </c>
      <c r="G14" t="s">
        <v>333</v>
      </c>
      <c r="H14" s="50">
        <v>81.75</v>
      </c>
      <c r="I14" s="50">
        <v>82</v>
      </c>
      <c r="J14" s="50">
        <v>81.75</v>
      </c>
      <c r="K14" s="50">
        <v>79.75</v>
      </c>
      <c r="L14" s="50">
        <v>79.75</v>
      </c>
      <c r="M14" s="50">
        <v>79.75</v>
      </c>
      <c r="N14" s="50">
        <v>79.25</v>
      </c>
      <c r="O14" s="50">
        <v>78.25</v>
      </c>
      <c r="P14" s="50">
        <v>76.75</v>
      </c>
      <c r="Q14" s="50">
        <v>76.75</v>
      </c>
      <c r="R14" s="50">
        <v>76.75</v>
      </c>
      <c r="S14" s="50">
        <v>75.75</v>
      </c>
      <c r="T14" s="50">
        <v>77.099997999999999</v>
      </c>
      <c r="U14" s="50">
        <v>77</v>
      </c>
      <c r="V14" s="50">
        <v>79</v>
      </c>
      <c r="W14" s="51">
        <v>76.5</v>
      </c>
    </row>
    <row r="15" spans="1:55" hidden="1" x14ac:dyDescent="0.35">
      <c r="B15" t="s">
        <v>328</v>
      </c>
      <c r="C15" t="s">
        <v>337</v>
      </c>
      <c r="D15" t="s">
        <v>330</v>
      </c>
      <c r="E15" t="s">
        <v>331</v>
      </c>
      <c r="F15" t="s">
        <v>332</v>
      </c>
      <c r="G15" t="s">
        <v>335</v>
      </c>
      <c r="H15" s="50">
        <v>1802.2605000000001</v>
      </c>
      <c r="I15" s="50">
        <v>1807.7719999999999</v>
      </c>
      <c r="J15" s="50">
        <v>1802.2605000000001</v>
      </c>
      <c r="K15" s="50">
        <v>1758.1685</v>
      </c>
      <c r="L15" s="50">
        <v>1758.1685</v>
      </c>
      <c r="M15" s="50">
        <v>1758.1685</v>
      </c>
      <c r="N15" s="50">
        <v>1747.1455000000001</v>
      </c>
      <c r="O15" s="50">
        <v>1725.0995</v>
      </c>
      <c r="P15" s="50">
        <v>1692.0305000000001</v>
      </c>
      <c r="Q15" s="50">
        <v>1692.0305000000001</v>
      </c>
      <c r="R15" s="50">
        <v>1692.0305000000001</v>
      </c>
      <c r="S15" s="50">
        <v>1669.9845</v>
      </c>
      <c r="T15" s="50">
        <v>1699.7465560000001</v>
      </c>
      <c r="U15" s="50">
        <v>1697.5419999999999</v>
      </c>
      <c r="V15" s="50">
        <v>1741.634</v>
      </c>
      <c r="W15" s="50">
        <v>1686.519</v>
      </c>
    </row>
    <row r="16" spans="1:55" x14ac:dyDescent="0.35">
      <c r="B16" t="s">
        <v>328</v>
      </c>
      <c r="C16" s="52" t="s">
        <v>338</v>
      </c>
      <c r="D16" t="s">
        <v>330</v>
      </c>
      <c r="E16" t="s">
        <v>331</v>
      </c>
      <c r="F16" s="93" t="s">
        <v>332</v>
      </c>
      <c r="G16" t="s">
        <v>335</v>
      </c>
      <c r="H16" s="53">
        <v>1427.4784999999999</v>
      </c>
      <c r="I16" s="53">
        <v>1432.99</v>
      </c>
      <c r="J16" s="53">
        <v>1427.4784999999999</v>
      </c>
      <c r="K16" s="53">
        <v>1383.3865000000001</v>
      </c>
      <c r="L16" s="53">
        <v>1383.3865000000001</v>
      </c>
      <c r="M16" s="53">
        <v>1383.3865000000001</v>
      </c>
      <c r="N16" s="53">
        <v>1372.3634999999999</v>
      </c>
      <c r="O16" s="53">
        <v>1350.3175000000001</v>
      </c>
      <c r="P16" s="53">
        <v>1317.2484999999999</v>
      </c>
      <c r="Q16" s="53">
        <v>1317.2484999999999</v>
      </c>
      <c r="R16" s="53">
        <v>1317.2484999999999</v>
      </c>
      <c r="S16" s="53">
        <v>1295.2025000000001</v>
      </c>
      <c r="T16" s="53">
        <v>1324.9645559999999</v>
      </c>
      <c r="U16" s="53">
        <v>1322.76</v>
      </c>
      <c r="V16" s="53">
        <v>1366.8520000000001</v>
      </c>
      <c r="W16" s="53">
        <v>1311.7370000000001</v>
      </c>
      <c r="X16" s="53">
        <v>1278.6679999999999</v>
      </c>
      <c r="Y16" s="53">
        <v>1267.645</v>
      </c>
      <c r="Z16" s="53">
        <v>1267.645</v>
      </c>
      <c r="AA16" s="53">
        <v>1267.645</v>
      </c>
      <c r="AB16" s="53">
        <v>1267.645</v>
      </c>
      <c r="AC16" s="53">
        <v>1267.645</v>
      </c>
      <c r="AD16" s="53">
        <v>1267.645</v>
      </c>
      <c r="AE16">
        <v>1240.0899999999999</v>
      </c>
      <c r="AF16" s="50">
        <v>1278.6679999999999</v>
      </c>
      <c r="AG16" s="50">
        <v>1306.2255</v>
      </c>
      <c r="AH16" s="50">
        <v>1350.3175000000001</v>
      </c>
      <c r="AI16" s="50">
        <v>1427.4784999999999</v>
      </c>
      <c r="AJ16" s="50">
        <v>1554.2429999999999</v>
      </c>
      <c r="AK16" s="50">
        <v>1686.519</v>
      </c>
      <c r="AL16" s="50">
        <v>1791.2375</v>
      </c>
      <c r="AM16" s="50">
        <v>1851.864</v>
      </c>
      <c r="AN16" s="50">
        <v>1851.864</v>
      </c>
      <c r="AO16" s="50">
        <v>1758.1685</v>
      </c>
      <c r="AP16" s="50">
        <v>1703.0535</v>
      </c>
      <c r="AQ16" s="50">
        <v>1669.9845</v>
      </c>
      <c r="AR16" s="50"/>
      <c r="AS16" s="50"/>
      <c r="AT16" s="50"/>
      <c r="AU16" s="50"/>
      <c r="AV16" s="50"/>
      <c r="AW16" s="50"/>
      <c r="AX16" s="50"/>
      <c r="AY16" s="50"/>
      <c r="AZ16" s="50"/>
      <c r="BA16" s="50"/>
      <c r="BB16" s="50"/>
      <c r="BC16" s="50"/>
    </row>
    <row r="17" spans="2:23" hidden="1" x14ac:dyDescent="0.35">
      <c r="B17" t="s">
        <v>328</v>
      </c>
      <c r="C17" s="49" t="s">
        <v>339</v>
      </c>
      <c r="D17" t="s">
        <v>330</v>
      </c>
      <c r="E17" t="s">
        <v>331</v>
      </c>
      <c r="F17" t="s">
        <v>332</v>
      </c>
      <c r="G17" t="s">
        <v>333</v>
      </c>
      <c r="H17" s="50">
        <v>15.878</v>
      </c>
      <c r="I17" s="50">
        <v>15.815</v>
      </c>
      <c r="J17" s="50">
        <v>15.8125</v>
      </c>
      <c r="K17" s="50">
        <v>15.0625</v>
      </c>
      <c r="L17" s="50">
        <v>15.15</v>
      </c>
      <c r="M17" s="50">
        <v>14.875</v>
      </c>
      <c r="N17" s="50">
        <v>14.75</v>
      </c>
      <c r="O17" s="50">
        <v>14.125999999999999</v>
      </c>
      <c r="P17" s="50">
        <v>11.5625</v>
      </c>
      <c r="Q17" s="50">
        <v>9.8000000000000007</v>
      </c>
      <c r="R17" s="50">
        <v>9.75</v>
      </c>
      <c r="S17" s="50">
        <v>9</v>
      </c>
      <c r="T17" s="50">
        <v>10.4</v>
      </c>
      <c r="U17" s="50">
        <v>11.3375</v>
      </c>
      <c r="V17" s="50">
        <v>11.75</v>
      </c>
      <c r="W17" s="51">
        <v>10.1</v>
      </c>
    </row>
    <row r="18" spans="2:23" hidden="1" x14ac:dyDescent="0.35">
      <c r="B18" t="s">
        <v>328</v>
      </c>
      <c r="C18" s="49" t="s">
        <v>339</v>
      </c>
      <c r="D18" t="s">
        <v>330</v>
      </c>
      <c r="E18" t="s">
        <v>331</v>
      </c>
      <c r="F18" t="s">
        <v>332</v>
      </c>
      <c r="G18" t="s">
        <v>335</v>
      </c>
      <c r="H18" s="50">
        <v>350.04638799999998</v>
      </c>
      <c r="I18" s="50">
        <v>348.65749</v>
      </c>
      <c r="J18" s="50">
        <v>348.60237499999999</v>
      </c>
      <c r="K18" s="50">
        <v>332.06787500000002</v>
      </c>
      <c r="L18" s="50">
        <v>333.99689999999998</v>
      </c>
      <c r="M18" s="50">
        <v>327.93425000000002</v>
      </c>
      <c r="N18" s="50">
        <v>325.17849999999999</v>
      </c>
      <c r="O18" s="50">
        <v>311.42179599999997</v>
      </c>
      <c r="P18" s="50">
        <v>254.90687500000001</v>
      </c>
      <c r="Q18" s="50">
        <v>216.05080000000001</v>
      </c>
      <c r="R18" s="50">
        <v>214.9485</v>
      </c>
      <c r="S18" s="50">
        <v>198.41399999999999</v>
      </c>
      <c r="T18" s="50">
        <v>229.2784</v>
      </c>
      <c r="U18" s="50">
        <v>249.94652500000001</v>
      </c>
      <c r="V18" s="50">
        <v>259.04050000000001</v>
      </c>
      <c r="W18" s="50">
        <v>222.66460000000001</v>
      </c>
    </row>
    <row r="19" spans="2:23" hidden="1" x14ac:dyDescent="0.35">
      <c r="B19" t="s">
        <v>328</v>
      </c>
      <c r="C19" t="s">
        <v>334</v>
      </c>
      <c r="D19" t="s">
        <v>330</v>
      </c>
      <c r="E19" t="s">
        <v>331</v>
      </c>
      <c r="F19" t="s">
        <v>332</v>
      </c>
      <c r="G19" t="s">
        <v>333</v>
      </c>
      <c r="H19" s="50">
        <v>84.25</v>
      </c>
      <c r="I19" s="50">
        <v>84.5</v>
      </c>
      <c r="J19" s="50">
        <v>84.25</v>
      </c>
      <c r="K19" s="50">
        <v>82.25</v>
      </c>
      <c r="L19" s="50">
        <v>82.25</v>
      </c>
      <c r="M19" s="50">
        <v>82.25</v>
      </c>
      <c r="N19" s="50">
        <v>81.75</v>
      </c>
      <c r="O19" s="50">
        <v>80.75</v>
      </c>
      <c r="P19" s="50">
        <v>79.25</v>
      </c>
      <c r="Q19" s="50">
        <v>79.25</v>
      </c>
      <c r="R19" s="50">
        <v>79.25</v>
      </c>
      <c r="S19" s="50">
        <v>78.25</v>
      </c>
      <c r="T19" s="50">
        <v>79.599997999999999</v>
      </c>
      <c r="U19" s="50">
        <v>79.5</v>
      </c>
      <c r="V19" s="50">
        <v>81.5</v>
      </c>
      <c r="W19" s="51">
        <v>79</v>
      </c>
    </row>
    <row r="20" spans="2:23" hidden="1" x14ac:dyDescent="0.35">
      <c r="B20" t="s">
        <v>328</v>
      </c>
      <c r="C20" s="49" t="s">
        <v>340</v>
      </c>
      <c r="D20" t="s">
        <v>330</v>
      </c>
      <c r="E20" t="s">
        <v>331</v>
      </c>
      <c r="F20" t="s">
        <v>341</v>
      </c>
      <c r="G20" t="s">
        <v>335</v>
      </c>
      <c r="H20" s="50">
        <v>1647.9385</v>
      </c>
      <c r="I20" s="50">
        <v>1653.45</v>
      </c>
      <c r="J20" s="50">
        <v>1647.9385</v>
      </c>
      <c r="K20" s="50">
        <v>1603.8465000000001</v>
      </c>
      <c r="L20" s="50">
        <v>1603.8465000000001</v>
      </c>
      <c r="M20" s="50">
        <v>1603.8465000000001</v>
      </c>
      <c r="N20" s="50">
        <v>1592.8235</v>
      </c>
      <c r="O20" s="50">
        <v>1570.7774999999999</v>
      </c>
      <c r="P20" s="50">
        <v>1537.7085</v>
      </c>
      <c r="Q20" s="50">
        <v>1537.7085</v>
      </c>
      <c r="R20" s="50">
        <v>1537.7085</v>
      </c>
      <c r="S20" s="50">
        <v>1515.6624999999999</v>
      </c>
      <c r="T20" s="50">
        <v>1545.4245559999999</v>
      </c>
      <c r="U20" s="50">
        <v>1543.22</v>
      </c>
      <c r="V20" s="50">
        <v>1587.3119999999999</v>
      </c>
      <c r="W20" s="50">
        <v>1532.1969999999999</v>
      </c>
    </row>
    <row r="21" spans="2:23" hidden="1" x14ac:dyDescent="0.35">
      <c r="B21" t="s">
        <v>328</v>
      </c>
      <c r="C21" s="49" t="s">
        <v>329</v>
      </c>
      <c r="D21" t="s">
        <v>330</v>
      </c>
      <c r="E21" t="s">
        <v>331</v>
      </c>
      <c r="F21" t="s">
        <v>332</v>
      </c>
      <c r="G21" t="s">
        <v>335</v>
      </c>
      <c r="H21" s="50">
        <v>1273.1565000000001</v>
      </c>
      <c r="I21" s="50">
        <v>1278.6679999999999</v>
      </c>
      <c r="J21" s="50">
        <v>1273.1565000000001</v>
      </c>
      <c r="K21" s="50">
        <v>1229.0645</v>
      </c>
      <c r="L21" s="50">
        <v>1229.0645</v>
      </c>
      <c r="M21" s="50">
        <v>1229.0645</v>
      </c>
      <c r="N21" s="50">
        <v>1218.0415</v>
      </c>
      <c r="O21" s="50">
        <v>1195.9955</v>
      </c>
      <c r="P21" s="50">
        <v>1157.415</v>
      </c>
      <c r="Q21" s="50">
        <v>1151.9034999999999</v>
      </c>
      <c r="R21" s="50">
        <v>1151.9034999999999</v>
      </c>
      <c r="S21" s="50">
        <v>1129.8575000000001</v>
      </c>
      <c r="T21" s="50">
        <v>1168.4380000000001</v>
      </c>
      <c r="U21" s="50">
        <v>1168.4380000000001</v>
      </c>
      <c r="V21" s="50">
        <v>1212.53</v>
      </c>
      <c r="W21" s="50">
        <v>1157.415</v>
      </c>
    </row>
    <row r="22" spans="2:23" hidden="1" x14ac:dyDescent="0.35">
      <c r="B22" t="s">
        <v>328</v>
      </c>
      <c r="C22" s="49" t="s">
        <v>338</v>
      </c>
      <c r="D22" t="s">
        <v>330</v>
      </c>
      <c r="E22" t="s">
        <v>331</v>
      </c>
      <c r="F22" t="s">
        <v>332</v>
      </c>
      <c r="G22" t="s">
        <v>333</v>
      </c>
      <c r="H22" s="50">
        <v>64.75</v>
      </c>
      <c r="I22" s="50">
        <v>65</v>
      </c>
      <c r="J22" s="50">
        <v>64.75</v>
      </c>
      <c r="K22" s="50">
        <v>62.75</v>
      </c>
      <c r="L22" s="50">
        <v>62.75</v>
      </c>
      <c r="M22" s="50">
        <v>62.75</v>
      </c>
      <c r="N22" s="50">
        <v>62.25</v>
      </c>
      <c r="O22" s="50">
        <v>61.25</v>
      </c>
      <c r="P22" s="50">
        <v>59.75</v>
      </c>
      <c r="Q22" s="50">
        <v>59.75</v>
      </c>
      <c r="R22" s="50">
        <v>59.75</v>
      </c>
      <c r="S22" s="50">
        <v>58.75</v>
      </c>
      <c r="T22" s="50">
        <v>60.099997999999999</v>
      </c>
      <c r="U22" s="50">
        <v>60</v>
      </c>
      <c r="V22" s="50">
        <v>62</v>
      </c>
      <c r="W22" s="51">
        <v>59.5</v>
      </c>
    </row>
    <row r="23" spans="2:23" hidden="1" x14ac:dyDescent="0.35">
      <c r="B23" t="s">
        <v>328</v>
      </c>
      <c r="C23" t="s">
        <v>342</v>
      </c>
      <c r="D23" t="s">
        <v>330</v>
      </c>
      <c r="E23" t="s">
        <v>331</v>
      </c>
      <c r="F23" t="s">
        <v>332</v>
      </c>
      <c r="G23" t="s">
        <v>335</v>
      </c>
      <c r="H23" s="50">
        <v>1405.4324999999999</v>
      </c>
      <c r="I23" s="50">
        <v>1410.944</v>
      </c>
      <c r="J23" s="50">
        <v>1386.1422500000001</v>
      </c>
      <c r="K23" s="50">
        <v>1317.2484999999999</v>
      </c>
      <c r="L23" s="50">
        <v>1311.7370000000001</v>
      </c>
      <c r="M23" s="50">
        <v>1311.7370000000001</v>
      </c>
      <c r="N23" s="50">
        <v>1300.7139999999999</v>
      </c>
      <c r="O23" s="50">
        <v>1278.6679999999999</v>
      </c>
      <c r="P23" s="50">
        <v>1240.0875000000001</v>
      </c>
      <c r="Q23" s="50">
        <v>1234.576</v>
      </c>
      <c r="R23" s="50">
        <v>1234.576</v>
      </c>
      <c r="S23" s="50">
        <v>1212.53</v>
      </c>
      <c r="T23" s="50">
        <v>1251.1105</v>
      </c>
      <c r="U23" s="50">
        <v>1251.1105</v>
      </c>
      <c r="V23" s="50">
        <v>1295.2025000000001</v>
      </c>
      <c r="W23" s="50">
        <v>1240.0875000000001</v>
      </c>
    </row>
    <row r="24" spans="2:23" hidden="1" x14ac:dyDescent="0.35">
      <c r="B24" t="s">
        <v>328</v>
      </c>
      <c r="C24" t="s">
        <v>343</v>
      </c>
      <c r="D24" t="s">
        <v>330</v>
      </c>
      <c r="E24" t="s">
        <v>331</v>
      </c>
      <c r="F24" t="s">
        <v>332</v>
      </c>
      <c r="G24" t="s">
        <v>333</v>
      </c>
      <c r="H24" s="50">
        <v>22.878</v>
      </c>
      <c r="I24" s="50">
        <v>22.815000999999999</v>
      </c>
      <c r="J24" s="50">
        <v>22.8125</v>
      </c>
      <c r="K24" s="50">
        <v>22.0625</v>
      </c>
      <c r="L24" s="50">
        <v>22.15</v>
      </c>
      <c r="M24" s="50">
        <v>21.875</v>
      </c>
      <c r="N24" s="50">
        <v>21.75</v>
      </c>
      <c r="O24" s="50">
        <v>21.125999</v>
      </c>
      <c r="P24" s="50">
        <v>18.5625</v>
      </c>
      <c r="Q24" s="50">
        <v>16.799999</v>
      </c>
      <c r="R24" s="50">
        <v>17.125</v>
      </c>
      <c r="S24" s="50">
        <v>16</v>
      </c>
      <c r="T24" s="50">
        <v>17.399999999999999</v>
      </c>
      <c r="U24" s="50">
        <v>18.337499999999999</v>
      </c>
      <c r="V24" s="50">
        <v>18.75</v>
      </c>
      <c r="W24" s="51">
        <v>17.100000000000001</v>
      </c>
    </row>
    <row r="25" spans="2:23" hidden="1" x14ac:dyDescent="0.35">
      <c r="B25" t="s">
        <v>328</v>
      </c>
      <c r="C25" t="s">
        <v>336</v>
      </c>
      <c r="D25" t="s">
        <v>330</v>
      </c>
      <c r="E25" t="s">
        <v>331</v>
      </c>
      <c r="F25" t="s">
        <v>332</v>
      </c>
      <c r="G25" t="s">
        <v>335</v>
      </c>
      <c r="H25" s="50">
        <v>1559.7545</v>
      </c>
      <c r="I25" s="50">
        <v>1565.2660000000001</v>
      </c>
      <c r="J25" s="50">
        <v>1523.92975</v>
      </c>
      <c r="K25" s="50">
        <v>1449.5245</v>
      </c>
      <c r="L25" s="50">
        <v>1444.0129999999999</v>
      </c>
      <c r="M25" s="50">
        <v>1444.0129999999999</v>
      </c>
      <c r="N25" s="50">
        <v>1432.99</v>
      </c>
      <c r="O25" s="50">
        <v>1410.944</v>
      </c>
      <c r="P25" s="50">
        <v>1372.3634999999999</v>
      </c>
      <c r="Q25" s="50">
        <v>1366.8520000000001</v>
      </c>
      <c r="R25" s="50">
        <v>1366.8520000000001</v>
      </c>
      <c r="S25" s="50">
        <v>1344.806</v>
      </c>
      <c r="T25" s="50">
        <v>1383.3865000000001</v>
      </c>
      <c r="U25" s="50">
        <v>1383.3865000000001</v>
      </c>
      <c r="V25" s="50">
        <v>1427.4784999999999</v>
      </c>
      <c r="W25" s="50">
        <v>1372.3634999999999</v>
      </c>
    </row>
    <row r="26" spans="2:23" hidden="1" x14ac:dyDescent="0.35">
      <c r="B26" t="s">
        <v>328</v>
      </c>
      <c r="C26" t="s">
        <v>343</v>
      </c>
      <c r="D26" t="s">
        <v>330</v>
      </c>
      <c r="E26" t="s">
        <v>331</v>
      </c>
      <c r="F26" t="s">
        <v>332</v>
      </c>
      <c r="G26" t="s">
        <v>335</v>
      </c>
      <c r="H26" s="50">
        <v>504.36838799999998</v>
      </c>
      <c r="I26" s="50">
        <v>502.979512</v>
      </c>
      <c r="J26" s="50">
        <v>502.924375</v>
      </c>
      <c r="K26" s="50">
        <v>486.38987500000002</v>
      </c>
      <c r="L26" s="50">
        <v>488.31889999999999</v>
      </c>
      <c r="M26" s="50">
        <v>482.25625000000002</v>
      </c>
      <c r="N26" s="50">
        <v>479.50049999999999</v>
      </c>
      <c r="O26" s="50">
        <v>465.74377399999997</v>
      </c>
      <c r="P26" s="50">
        <v>409.22887500000002</v>
      </c>
      <c r="Q26" s="50">
        <v>370.37277799999998</v>
      </c>
      <c r="R26" s="50">
        <v>377.53775000000002</v>
      </c>
      <c r="S26" s="50">
        <v>352.73599999999999</v>
      </c>
      <c r="T26" s="50">
        <v>383.60039999999998</v>
      </c>
      <c r="U26" s="50">
        <v>404.26852500000001</v>
      </c>
      <c r="V26" s="50">
        <v>413.36250000000001</v>
      </c>
      <c r="W26" s="50">
        <v>376.98660000000001</v>
      </c>
    </row>
    <row r="27" spans="2:23" hidden="1" x14ac:dyDescent="0.35">
      <c r="B27" t="s">
        <v>328</v>
      </c>
      <c r="C27" t="s">
        <v>342</v>
      </c>
      <c r="D27" t="s">
        <v>330</v>
      </c>
      <c r="E27" t="s">
        <v>331</v>
      </c>
      <c r="F27" t="s">
        <v>332</v>
      </c>
      <c r="G27" t="s">
        <v>333</v>
      </c>
      <c r="H27" s="50">
        <v>63.75</v>
      </c>
      <c r="I27" s="50">
        <v>64</v>
      </c>
      <c r="J27" s="50">
        <v>62.875</v>
      </c>
      <c r="K27" s="50">
        <v>59.75</v>
      </c>
      <c r="L27" s="50">
        <v>59.5</v>
      </c>
      <c r="M27" s="50">
        <v>59.5</v>
      </c>
      <c r="N27" s="50">
        <v>59</v>
      </c>
      <c r="O27" s="50">
        <v>58</v>
      </c>
      <c r="P27" s="50">
        <v>56.25</v>
      </c>
      <c r="Q27" s="50">
        <v>56</v>
      </c>
      <c r="R27" s="50">
        <v>56</v>
      </c>
      <c r="S27" s="50">
        <v>55</v>
      </c>
      <c r="T27" s="50">
        <v>56.75</v>
      </c>
      <c r="U27" s="50">
        <v>56.75</v>
      </c>
      <c r="V27" s="50">
        <v>58.75</v>
      </c>
      <c r="W27" s="51">
        <v>56.25</v>
      </c>
    </row>
    <row r="28" spans="2:23" hidden="1" x14ac:dyDescent="0.35">
      <c r="B28" t="s">
        <v>328</v>
      </c>
      <c r="C28" s="49" t="s">
        <v>340</v>
      </c>
      <c r="D28" t="s">
        <v>330</v>
      </c>
      <c r="E28" t="s">
        <v>331</v>
      </c>
      <c r="F28" t="s">
        <v>341</v>
      </c>
      <c r="G28" t="s">
        <v>333</v>
      </c>
      <c r="H28" s="50">
        <v>74.75</v>
      </c>
      <c r="I28" s="50">
        <v>75</v>
      </c>
      <c r="J28" s="50">
        <v>74.75</v>
      </c>
      <c r="K28" s="50">
        <v>72.75</v>
      </c>
      <c r="L28" s="50">
        <v>72.75</v>
      </c>
      <c r="M28" s="50">
        <v>72.75</v>
      </c>
      <c r="N28" s="50">
        <v>72.25</v>
      </c>
      <c r="O28" s="50">
        <v>71.25</v>
      </c>
      <c r="P28" s="50">
        <v>69.75</v>
      </c>
      <c r="Q28" s="50">
        <v>69.75</v>
      </c>
      <c r="R28" s="50">
        <v>69.75</v>
      </c>
      <c r="S28" s="50">
        <v>68.75</v>
      </c>
      <c r="T28" s="50">
        <v>70.099997999999999</v>
      </c>
      <c r="U28" s="50">
        <v>70</v>
      </c>
      <c r="V28" s="50">
        <v>72</v>
      </c>
      <c r="W28" s="51">
        <v>69.5</v>
      </c>
    </row>
    <row r="29" spans="2:23" x14ac:dyDescent="0.35">
      <c r="B29" s="47" t="s">
        <v>320</v>
      </c>
      <c r="H29" s="50"/>
      <c r="I29" s="50"/>
      <c r="J29" s="50"/>
      <c r="K29" s="50"/>
      <c r="L29" s="50"/>
      <c r="M29" s="50"/>
      <c r="N29" s="50"/>
      <c r="O29" s="50"/>
      <c r="P29" s="50"/>
      <c r="Q29" s="50"/>
      <c r="R29" s="50"/>
      <c r="S29" s="50"/>
      <c r="T29" s="50"/>
      <c r="U29" s="50"/>
      <c r="V29" s="50"/>
      <c r="W29" s="50"/>
    </row>
    <row r="34" spans="1:1" x14ac:dyDescent="0.35">
      <c r="A34" t="s">
        <v>344</v>
      </c>
    </row>
  </sheetData>
  <hyperlinks>
    <hyperlink ref="A3" r:id="rId1" xr:uid="{00000000-0004-0000-0300-000000000000}"/>
  </hyperlinks>
  <pageMargins left="0.7" right="0.7" top="0.75" bottom="0.75" header="0.3" footer="0.3"/>
  <pageSetup paperSize="9" scale="31" orientation="portrait" r:id="rId2"/>
  <customProperties>
    <customPr name="EpmWorksheetKeyString_GUID" r:id="rId3"/>
  </customProperties>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CF7"/>
  <sheetViews>
    <sheetView showGridLines="0" workbookViewId="0">
      <selection activeCell="BZ20" sqref="BZ20"/>
    </sheetView>
  </sheetViews>
  <sheetFormatPr defaultColWidth="10.54296875" defaultRowHeight="14.5" x14ac:dyDescent="0.35"/>
  <cols>
    <col min="2" max="23" width="10.54296875" hidden="1" customWidth="1"/>
    <col min="24" max="24" width="12.54296875" hidden="1" customWidth="1"/>
    <col min="25" max="25" width="0" hidden="1" customWidth="1"/>
    <col min="26" max="55" width="10.54296875" hidden="1" customWidth="1"/>
    <col min="56" max="76" width="0" hidden="1" customWidth="1"/>
  </cols>
  <sheetData>
    <row r="1" spans="1:84" x14ac:dyDescent="0.35">
      <c r="A1" s="16" t="s">
        <v>345</v>
      </c>
      <c r="B1" s="1"/>
      <c r="C1" s="1"/>
      <c r="D1" s="1"/>
      <c r="E1" s="1"/>
      <c r="F1" s="1"/>
      <c r="G1" s="1"/>
      <c r="H1" s="1"/>
      <c r="I1" s="1"/>
      <c r="J1" s="1"/>
      <c r="AX1" t="s">
        <v>346</v>
      </c>
    </row>
    <row r="2" spans="1:84" x14ac:dyDescent="0.35">
      <c r="A2" s="16"/>
      <c r="B2" s="1"/>
      <c r="C2" s="1"/>
      <c r="D2" s="1"/>
      <c r="E2" s="1"/>
      <c r="F2" s="1"/>
      <c r="G2" s="1"/>
      <c r="H2" s="1"/>
      <c r="I2" s="1"/>
      <c r="J2" s="1"/>
      <c r="AY2" s="323"/>
    </row>
    <row r="3" spans="1:84" x14ac:dyDescent="0.35">
      <c r="A3" s="1"/>
      <c r="B3" s="2">
        <v>43160</v>
      </c>
      <c r="C3" s="2">
        <v>43191</v>
      </c>
      <c r="D3" s="2">
        <v>43221</v>
      </c>
      <c r="E3" s="2">
        <v>43252</v>
      </c>
      <c r="F3" s="2">
        <v>43282</v>
      </c>
      <c r="G3" s="2">
        <v>43313</v>
      </c>
      <c r="H3" s="2">
        <v>43344</v>
      </c>
      <c r="I3" s="2">
        <v>43374</v>
      </c>
      <c r="J3" s="2">
        <v>43405</v>
      </c>
      <c r="K3" s="2">
        <v>43435</v>
      </c>
      <c r="L3" s="2">
        <v>43466</v>
      </c>
      <c r="M3" s="2">
        <v>43497</v>
      </c>
      <c r="N3" s="2">
        <v>43525</v>
      </c>
      <c r="O3" s="2">
        <v>43556</v>
      </c>
      <c r="P3" s="2">
        <v>43586</v>
      </c>
      <c r="Q3" s="2">
        <v>43617</v>
      </c>
      <c r="R3" s="2" t="s">
        <v>347</v>
      </c>
      <c r="S3" s="2" t="s">
        <v>348</v>
      </c>
      <c r="T3" s="2" t="s">
        <v>349</v>
      </c>
      <c r="U3" s="2" t="s">
        <v>350</v>
      </c>
      <c r="V3" s="2" t="s">
        <v>351</v>
      </c>
      <c r="W3" s="2" t="s">
        <v>352</v>
      </c>
      <c r="X3" s="2" t="s">
        <v>353</v>
      </c>
      <c r="Y3" s="2" t="s">
        <v>354</v>
      </c>
      <c r="Z3" s="2" t="s">
        <v>355</v>
      </c>
      <c r="AA3" s="2" t="s">
        <v>356</v>
      </c>
      <c r="AB3" s="2" t="s">
        <v>357</v>
      </c>
      <c r="AC3" s="2" t="s">
        <v>358</v>
      </c>
      <c r="AD3" s="2">
        <v>44013</v>
      </c>
      <c r="AE3" s="2" t="s">
        <v>359</v>
      </c>
      <c r="AF3" s="2" t="s">
        <v>360</v>
      </c>
      <c r="AG3" s="2" t="s">
        <v>361</v>
      </c>
      <c r="AH3" s="2" t="s">
        <v>362</v>
      </c>
      <c r="AI3" s="2" t="s">
        <v>363</v>
      </c>
      <c r="AJ3" s="2" t="s">
        <v>364</v>
      </c>
      <c r="AK3" s="2" t="s">
        <v>365</v>
      </c>
      <c r="AL3" s="2" t="s">
        <v>366</v>
      </c>
      <c r="AM3" s="2" t="s">
        <v>367</v>
      </c>
      <c r="AN3" s="2" t="s">
        <v>368</v>
      </c>
      <c r="AO3" s="2" t="s">
        <v>369</v>
      </c>
      <c r="AP3" s="2" t="s">
        <v>370</v>
      </c>
      <c r="AQ3" s="2" t="s">
        <v>371</v>
      </c>
      <c r="AR3" s="2" t="s">
        <v>372</v>
      </c>
      <c r="AS3" s="2" t="s">
        <v>373</v>
      </c>
      <c r="AT3" s="2" t="s">
        <v>374</v>
      </c>
      <c r="AU3" s="2" t="s">
        <v>375</v>
      </c>
      <c r="AV3" s="2">
        <v>44562</v>
      </c>
      <c r="AW3" s="2">
        <v>44594</v>
      </c>
      <c r="AX3" s="2">
        <v>44623</v>
      </c>
      <c r="AY3" s="2">
        <v>44652</v>
      </c>
      <c r="AZ3" s="2">
        <v>44682</v>
      </c>
      <c r="BA3" s="2">
        <v>44714</v>
      </c>
      <c r="BB3" s="2">
        <v>44745</v>
      </c>
      <c r="BC3" s="2">
        <v>44774</v>
      </c>
      <c r="BD3" s="2">
        <v>44806</v>
      </c>
      <c r="BE3" s="2">
        <v>44837</v>
      </c>
      <c r="BF3" s="2">
        <v>44869</v>
      </c>
      <c r="BG3" s="2">
        <v>44900</v>
      </c>
      <c r="BH3" s="2">
        <v>44932</v>
      </c>
      <c r="BI3" s="2">
        <v>44958</v>
      </c>
      <c r="BJ3" s="2">
        <v>44986</v>
      </c>
      <c r="BK3" s="2">
        <v>45020</v>
      </c>
      <c r="BL3" s="2">
        <v>45047</v>
      </c>
      <c r="BM3" s="2">
        <v>45079</v>
      </c>
      <c r="BN3" s="2">
        <v>45111</v>
      </c>
      <c r="BO3" s="2">
        <v>45143</v>
      </c>
      <c r="BP3" s="2">
        <v>45170</v>
      </c>
      <c r="BQ3" s="2">
        <v>45201</v>
      </c>
      <c r="BR3" s="2">
        <v>45232</v>
      </c>
      <c r="BS3" s="2">
        <v>45262</v>
      </c>
      <c r="BT3" s="2">
        <v>45293</v>
      </c>
      <c r="BU3" s="2">
        <v>45324</v>
      </c>
      <c r="BV3" s="2">
        <v>45352</v>
      </c>
      <c r="BW3" s="2">
        <v>45384</v>
      </c>
      <c r="BX3" s="2">
        <v>45415</v>
      </c>
      <c r="BY3" s="2">
        <v>45444</v>
      </c>
      <c r="BZ3" s="2">
        <v>45503</v>
      </c>
      <c r="CA3" s="2">
        <v>45535</v>
      </c>
      <c r="CB3" s="2">
        <v>45536</v>
      </c>
      <c r="CC3" s="2">
        <v>45567</v>
      </c>
      <c r="CD3" s="2">
        <v>45599</v>
      </c>
      <c r="CE3" s="2">
        <v>45630</v>
      </c>
      <c r="CF3" s="2">
        <v>45658</v>
      </c>
    </row>
    <row r="4" spans="1:84" x14ac:dyDescent="0.35">
      <c r="A4" s="1"/>
      <c r="B4" s="3">
        <v>1167</v>
      </c>
      <c r="C4" s="3">
        <v>1221.25</v>
      </c>
      <c r="D4" s="3">
        <v>1330</v>
      </c>
      <c r="E4" s="3">
        <v>1280</v>
      </c>
      <c r="F4" s="3">
        <v>1279.380005</v>
      </c>
      <c r="G4" s="3">
        <v>1275.5</v>
      </c>
      <c r="H4" s="3">
        <v>1330</v>
      </c>
      <c r="I4" s="3">
        <v>1266.25</v>
      </c>
      <c r="J4" s="3">
        <v>1125</v>
      </c>
      <c r="K4" s="3">
        <v>1058.130005</v>
      </c>
      <c r="L4" s="3">
        <v>1035</v>
      </c>
      <c r="M4" s="3">
        <v>1077.5</v>
      </c>
      <c r="N4" s="3">
        <v>1096.25</v>
      </c>
      <c r="O4" s="3">
        <v>1101.25</v>
      </c>
      <c r="P4" s="3">
        <v>1004.5</v>
      </c>
      <c r="Q4" s="3">
        <v>926.25</v>
      </c>
      <c r="R4" s="3">
        <v>966.88000499999998</v>
      </c>
      <c r="S4" s="3">
        <v>889</v>
      </c>
      <c r="T4" s="3">
        <v>868.75</v>
      </c>
      <c r="U4" s="3">
        <v>840</v>
      </c>
      <c r="V4" s="3">
        <v>818.75</v>
      </c>
      <c r="W4" s="3">
        <v>824.38000499999998</v>
      </c>
      <c r="X4" s="3">
        <v>840</v>
      </c>
      <c r="Y4" s="3">
        <v>804.38000499999998</v>
      </c>
      <c r="Z4" s="3">
        <v>736.88000499999998</v>
      </c>
      <c r="AA4" s="3">
        <v>655</v>
      </c>
      <c r="AB4" s="3">
        <v>669.38000499999998</v>
      </c>
      <c r="AC4" s="3">
        <v>678.13000499999998</v>
      </c>
      <c r="AD4" s="3">
        <v>659</v>
      </c>
      <c r="AE4" s="3">
        <v>647.5</v>
      </c>
      <c r="AF4" s="3">
        <v>649.38000499999998</v>
      </c>
      <c r="AG4" s="3">
        <v>641.5</v>
      </c>
      <c r="AH4" s="3">
        <v>648.13</v>
      </c>
      <c r="AI4" s="3">
        <v>713</v>
      </c>
      <c r="AJ4" s="3">
        <v>789.38</v>
      </c>
      <c r="AK4" s="3">
        <v>880.63</v>
      </c>
      <c r="AL4" s="3">
        <v>1018.75</v>
      </c>
      <c r="AM4" s="3">
        <v>960</v>
      </c>
      <c r="AN4" s="3">
        <v>932.5</v>
      </c>
      <c r="AO4" s="3">
        <v>920</v>
      </c>
      <c r="AP4" s="3">
        <v>960</v>
      </c>
      <c r="AQ4" s="3">
        <v>966.25</v>
      </c>
      <c r="AR4" s="3">
        <v>953</v>
      </c>
      <c r="AS4" s="3">
        <v>1111.8800000000001</v>
      </c>
      <c r="AT4" s="3">
        <v>1124.3800000000001</v>
      </c>
      <c r="AU4" s="3">
        <v>1026.5</v>
      </c>
      <c r="AV4" s="3">
        <v>1143.75</v>
      </c>
      <c r="AW4" s="3">
        <v>1138.1300000000001</v>
      </c>
      <c r="AX4" s="3">
        <v>1213</v>
      </c>
      <c r="AY4" s="3">
        <v>1198.75</v>
      </c>
      <c r="AZ4" s="3">
        <v>1216.25</v>
      </c>
      <c r="BA4" s="3">
        <v>1235</v>
      </c>
      <c r="BB4" s="3">
        <v>1125</v>
      </c>
      <c r="BC4" s="3">
        <v>1096.25</v>
      </c>
      <c r="BD4" s="3">
        <v>1048</v>
      </c>
      <c r="BE4" s="3">
        <v>975.63</v>
      </c>
      <c r="BF4" s="3">
        <v>897.5</v>
      </c>
      <c r="BG4" s="3">
        <v>890</v>
      </c>
      <c r="BH4" s="3">
        <v>941.88</v>
      </c>
      <c r="BI4" s="3">
        <v>965</v>
      </c>
      <c r="BJ4" s="3">
        <v>980</v>
      </c>
      <c r="BK4" s="3">
        <v>1018.75</v>
      </c>
      <c r="BL4" s="3">
        <v>938.13</v>
      </c>
      <c r="BM4" s="3">
        <v>882</v>
      </c>
      <c r="BN4" s="3">
        <v>878.75</v>
      </c>
      <c r="BO4" s="3">
        <v>889</v>
      </c>
      <c r="BP4" s="3">
        <v>898.75</v>
      </c>
      <c r="BQ4" s="3">
        <v>880</v>
      </c>
      <c r="BR4" s="3">
        <v>865</v>
      </c>
      <c r="BS4" s="3">
        <v>863.13</v>
      </c>
      <c r="BT4" s="3">
        <v>889.38</v>
      </c>
      <c r="BU4" s="3">
        <v>906.5</v>
      </c>
      <c r="BV4" s="3">
        <v>891.88</v>
      </c>
      <c r="BW4" s="3">
        <v>898.13</v>
      </c>
      <c r="BX4" s="3">
        <v>885</v>
      </c>
      <c r="BY4" s="3">
        <v>885.63</v>
      </c>
      <c r="BZ4" s="3">
        <v>896.25</v>
      </c>
      <c r="CA4" s="3">
        <v>874</v>
      </c>
      <c r="CB4" s="3">
        <v>815</v>
      </c>
      <c r="CC4" s="3">
        <v>842</v>
      </c>
      <c r="CD4" s="3">
        <v>802.5</v>
      </c>
      <c r="CE4" s="3">
        <v>791.25</v>
      </c>
      <c r="CF4" s="3">
        <v>793.5</v>
      </c>
    </row>
    <row r="5" spans="1:84" x14ac:dyDescent="0.35">
      <c r="A5" t="s">
        <v>376</v>
      </c>
      <c r="Y5" s="21">
        <f t="shared" ref="Y5:AI5" si="0">+Y4/X4-1</f>
        <v>-4.2404755952381024E-2</v>
      </c>
      <c r="Z5" s="21">
        <f t="shared" si="0"/>
        <v>-8.3915561774810632E-2</v>
      </c>
      <c r="AA5" s="21">
        <f t="shared" si="0"/>
        <v>-0.11111714857834953</v>
      </c>
      <c r="AB5" s="21">
        <f t="shared" si="0"/>
        <v>2.1954206106870267E-2</v>
      </c>
      <c r="AC5" s="21">
        <f t="shared" si="0"/>
        <v>1.3071797685382025E-2</v>
      </c>
      <c r="AD5" s="21">
        <f t="shared" si="0"/>
        <v>-2.8209937414581665E-2</v>
      </c>
      <c r="AE5" s="21">
        <f t="shared" si="0"/>
        <v>-1.7450682852807264E-2</v>
      </c>
      <c r="AF5" s="21">
        <f t="shared" si="0"/>
        <v>2.9034826254825674E-3</v>
      </c>
      <c r="AG5" s="21">
        <f t="shared" si="0"/>
        <v>-1.2134659119970914E-2</v>
      </c>
      <c r="AH5" s="21">
        <f t="shared" si="0"/>
        <v>1.0335151987529212E-2</v>
      </c>
      <c r="AI5" s="21">
        <f t="shared" si="0"/>
        <v>0.10008794531961174</v>
      </c>
      <c r="AJ5" s="21">
        <f t="shared" ref="AJ5:BF5" si="1">+AJ4/AI4-1</f>
        <v>0.10712482468443207</v>
      </c>
      <c r="AK5" s="21">
        <f t="shared" si="1"/>
        <v>0.11559705085003413</v>
      </c>
      <c r="AL5" s="21">
        <f t="shared" si="1"/>
        <v>0.15684226065430429</v>
      </c>
      <c r="AM5" s="21">
        <f t="shared" si="1"/>
        <v>-5.7668711656441718E-2</v>
      </c>
      <c r="AN5" s="21">
        <f t="shared" si="1"/>
        <v>-2.864583333333337E-2</v>
      </c>
      <c r="AO5" s="196">
        <f t="shared" si="1"/>
        <v>-1.3404825737265424E-2</v>
      </c>
      <c r="AP5" s="196">
        <f t="shared" si="1"/>
        <v>4.3478260869565188E-2</v>
      </c>
      <c r="AQ5" s="196">
        <f t="shared" si="1"/>
        <v>6.5104166666667407E-3</v>
      </c>
      <c r="AR5" s="196">
        <f t="shared" si="1"/>
        <v>-1.3712807244501968E-2</v>
      </c>
      <c r="AS5" s="196">
        <f t="shared" si="1"/>
        <v>0.16671563483735574</v>
      </c>
      <c r="AT5" s="196">
        <f t="shared" si="1"/>
        <v>1.1242220383494539E-2</v>
      </c>
      <c r="AU5" s="196">
        <f t="shared" si="1"/>
        <v>-8.7052420000355846E-2</v>
      </c>
      <c r="AV5" s="196">
        <f t="shared" si="1"/>
        <v>0.114223088163663</v>
      </c>
      <c r="AW5" s="196">
        <f t="shared" si="1"/>
        <v>-4.9136612021857262E-3</v>
      </c>
      <c r="AX5" s="196">
        <f t="shared" si="1"/>
        <v>6.5783346366407924E-2</v>
      </c>
      <c r="AY5" s="196">
        <f t="shared" si="1"/>
        <v>-1.1747732893652052E-2</v>
      </c>
      <c r="AZ5" s="196">
        <f t="shared" si="1"/>
        <v>1.4598540145985384E-2</v>
      </c>
      <c r="BA5" s="196">
        <f t="shared" si="1"/>
        <v>1.5416238437821139E-2</v>
      </c>
      <c r="BB5" s="196">
        <f t="shared" si="1"/>
        <v>-8.9068825910931126E-2</v>
      </c>
      <c r="BC5" s="196">
        <f t="shared" si="1"/>
        <v>-2.5555555555555554E-2</v>
      </c>
      <c r="BD5" s="196">
        <f t="shared" si="1"/>
        <v>-4.4013683010262206E-2</v>
      </c>
      <c r="BE5" s="196">
        <f t="shared" si="1"/>
        <v>-6.9055343511450373E-2</v>
      </c>
      <c r="BF5" s="196">
        <f t="shared" si="1"/>
        <v>-8.0081588307042595E-2</v>
      </c>
      <c r="BG5" s="196">
        <f t="shared" ref="BG5:CD5" si="2">+BG4/BF4-1</f>
        <v>-8.3565459610027704E-3</v>
      </c>
      <c r="BH5" s="196">
        <f t="shared" si="2"/>
        <v>5.8292134831460674E-2</v>
      </c>
      <c r="BI5" s="196">
        <f t="shared" si="2"/>
        <v>2.4546651378094975E-2</v>
      </c>
      <c r="BJ5" s="196">
        <f t="shared" si="2"/>
        <v>1.5544041450777257E-2</v>
      </c>
      <c r="BK5" s="196">
        <f t="shared" si="2"/>
        <v>3.9540816326530503E-2</v>
      </c>
      <c r="BL5" s="196">
        <f t="shared" si="2"/>
        <v>-7.9136196319018359E-2</v>
      </c>
      <c r="BM5" s="196">
        <f t="shared" si="2"/>
        <v>-5.9831793035080461E-2</v>
      </c>
      <c r="BN5" s="196">
        <f t="shared" si="2"/>
        <v>-3.684807256235878E-3</v>
      </c>
      <c r="BO5" s="196">
        <f t="shared" si="2"/>
        <v>1.1664295874822095E-2</v>
      </c>
      <c r="BP5" s="196">
        <f t="shared" si="2"/>
        <v>1.0967379077615247E-2</v>
      </c>
      <c r="BQ5" s="196">
        <f t="shared" si="2"/>
        <v>-2.0862308762169657E-2</v>
      </c>
      <c r="BR5" s="196">
        <f t="shared" si="2"/>
        <v>-1.7045454545454586E-2</v>
      </c>
      <c r="BS5" s="196">
        <f t="shared" si="2"/>
        <v>-2.1618497109826551E-3</v>
      </c>
      <c r="BT5" s="196">
        <f t="shared" si="2"/>
        <v>3.0412568211045876E-2</v>
      </c>
      <c r="BU5" s="196">
        <f t="shared" si="2"/>
        <v>1.9249364725988816E-2</v>
      </c>
      <c r="BV5" s="196">
        <f t="shared" si="2"/>
        <v>-1.612796469939326E-2</v>
      </c>
      <c r="BW5" s="196">
        <f t="shared" si="2"/>
        <v>7.0076691931650892E-3</v>
      </c>
      <c r="BX5" s="196">
        <f t="shared" si="2"/>
        <v>-1.4619264471735671E-2</v>
      </c>
      <c r="BY5" s="196">
        <f t="shared" si="2"/>
        <v>7.1186440677961649E-4</v>
      </c>
      <c r="BZ5" s="196">
        <f t="shared" si="2"/>
        <v>1.1991463703804106E-2</v>
      </c>
      <c r="CA5" s="196">
        <f t="shared" si="2"/>
        <v>-2.4825662482566235E-2</v>
      </c>
      <c r="CB5" s="196">
        <f t="shared" si="2"/>
        <v>-6.7505720823798576E-2</v>
      </c>
      <c r="CC5" s="196">
        <f t="shared" si="2"/>
        <v>3.3128834355828252E-2</v>
      </c>
      <c r="CD5" s="196">
        <f t="shared" si="2"/>
        <v>-4.6912114014251771E-2</v>
      </c>
      <c r="CE5" s="196">
        <f t="shared" ref="CE5" si="3">+CE4/CD4-1</f>
        <v>-1.4018691588784993E-2</v>
      </c>
      <c r="CF5" s="196">
        <f t="shared" ref="CF5" si="4">+CF4/CE4-1</f>
        <v>2.8436018957345155E-3</v>
      </c>
    </row>
    <row r="6" spans="1:84" x14ac:dyDescent="0.35">
      <c r="BF6" s="389"/>
      <c r="BG6" s="389"/>
      <c r="BH6" s="389"/>
      <c r="BI6" s="389"/>
      <c r="BJ6" s="389"/>
      <c r="BK6" s="389"/>
    </row>
    <row r="7" spans="1:84" x14ac:dyDescent="0.35">
      <c r="AV7" s="50"/>
      <c r="BF7" s="50"/>
      <c r="BG7" s="50"/>
      <c r="BH7" s="50"/>
      <c r="BI7" s="50"/>
      <c r="BJ7" s="50"/>
      <c r="BK7" s="50"/>
    </row>
  </sheetData>
  <phoneticPr fontId="26" type="noConversion"/>
  <pageMargins left="0.7" right="0.7" top="0.75" bottom="0.75" header="0.3" footer="0.3"/>
  <pageSetup orientation="portrait" r:id="rId1"/>
  <customProperties>
    <customPr name="EpmWorksheetKeyString_GU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D6CC-01C2-44E3-B9B6-612408B2BDA7}">
  <sheetPr>
    <outlinePr summaryBelow="0" summaryRight="0"/>
    <pageSetUpPr autoPageBreaks="0" fitToPage="1"/>
  </sheetPr>
  <dimension ref="B2:I24"/>
  <sheetViews>
    <sheetView showGridLines="0" topLeftCell="A4" workbookViewId="0">
      <selection activeCell="C21" sqref="C21"/>
    </sheetView>
  </sheetViews>
  <sheetFormatPr defaultColWidth="10.90625" defaultRowHeight="12.5" x14ac:dyDescent="0.25"/>
  <cols>
    <col min="1" max="1" width="4" style="703" customWidth="1"/>
    <col min="2" max="2" width="20" style="703" customWidth="1"/>
    <col min="3" max="3" width="30.7265625" style="703" customWidth="1"/>
    <col min="4" max="251" width="9.1796875" style="703" customWidth="1"/>
    <col min="252" max="252" width="4" style="703" customWidth="1"/>
    <col min="253" max="253" width="20" style="703" customWidth="1"/>
    <col min="254" max="255" width="0" style="703" hidden="1" customWidth="1"/>
    <col min="256" max="259" width="25" style="703" customWidth="1"/>
    <col min="260" max="507" width="9.1796875" style="703" customWidth="1"/>
    <col min="508" max="508" width="4" style="703" customWidth="1"/>
    <col min="509" max="509" width="20" style="703" customWidth="1"/>
    <col min="510" max="511" width="0" style="703" hidden="1" customWidth="1"/>
    <col min="512" max="515" width="25" style="703" customWidth="1"/>
    <col min="516" max="763" width="9.1796875" style="703" customWidth="1"/>
    <col min="764" max="764" width="4" style="703" customWidth="1"/>
    <col min="765" max="765" width="20" style="703" customWidth="1"/>
    <col min="766" max="767" width="0" style="703" hidden="1" customWidth="1"/>
    <col min="768" max="771" width="25" style="703" customWidth="1"/>
    <col min="772" max="1019" width="9.1796875" style="703" customWidth="1"/>
    <col min="1020" max="1020" width="4" style="703" customWidth="1"/>
    <col min="1021" max="1021" width="20" style="703" customWidth="1"/>
    <col min="1022" max="1023" width="0" style="703" hidden="1" customWidth="1"/>
    <col min="1024" max="1027" width="25" style="703" customWidth="1"/>
    <col min="1028" max="1275" width="9.1796875" style="703" customWidth="1"/>
    <col min="1276" max="1276" width="4" style="703" customWidth="1"/>
    <col min="1277" max="1277" width="20" style="703" customWidth="1"/>
    <col min="1278" max="1279" width="0" style="703" hidden="1" customWidth="1"/>
    <col min="1280" max="1283" width="25" style="703" customWidth="1"/>
    <col min="1284" max="1531" width="9.1796875" style="703" customWidth="1"/>
    <col min="1532" max="1532" width="4" style="703" customWidth="1"/>
    <col min="1533" max="1533" width="20" style="703" customWidth="1"/>
    <col min="1534" max="1535" width="0" style="703" hidden="1" customWidth="1"/>
    <col min="1536" max="1539" width="25" style="703" customWidth="1"/>
    <col min="1540" max="1787" width="9.1796875" style="703" customWidth="1"/>
    <col min="1788" max="1788" width="4" style="703" customWidth="1"/>
    <col min="1789" max="1789" width="20" style="703" customWidth="1"/>
    <col min="1790" max="1791" width="0" style="703" hidden="1" customWidth="1"/>
    <col min="1792" max="1795" width="25" style="703" customWidth="1"/>
    <col min="1796" max="2043" width="9.1796875" style="703" customWidth="1"/>
    <col min="2044" max="2044" width="4" style="703" customWidth="1"/>
    <col min="2045" max="2045" width="20" style="703" customWidth="1"/>
    <col min="2046" max="2047" width="0" style="703" hidden="1" customWidth="1"/>
    <col min="2048" max="2051" width="25" style="703" customWidth="1"/>
    <col min="2052" max="2299" width="9.1796875" style="703" customWidth="1"/>
    <col min="2300" max="2300" width="4" style="703" customWidth="1"/>
    <col min="2301" max="2301" width="20" style="703" customWidth="1"/>
    <col min="2302" max="2303" width="0" style="703" hidden="1" customWidth="1"/>
    <col min="2304" max="2307" width="25" style="703" customWidth="1"/>
    <col min="2308" max="2555" width="9.1796875" style="703" customWidth="1"/>
    <col min="2556" max="2556" width="4" style="703" customWidth="1"/>
    <col min="2557" max="2557" width="20" style="703" customWidth="1"/>
    <col min="2558" max="2559" width="0" style="703" hidden="1" customWidth="1"/>
    <col min="2560" max="2563" width="25" style="703" customWidth="1"/>
    <col min="2564" max="2811" width="9.1796875" style="703" customWidth="1"/>
    <col min="2812" max="2812" width="4" style="703" customWidth="1"/>
    <col min="2813" max="2813" width="20" style="703" customWidth="1"/>
    <col min="2814" max="2815" width="0" style="703" hidden="1" customWidth="1"/>
    <col min="2816" max="2819" width="25" style="703" customWidth="1"/>
    <col min="2820" max="3067" width="9.1796875" style="703" customWidth="1"/>
    <col min="3068" max="3068" width="4" style="703" customWidth="1"/>
    <col min="3069" max="3069" width="20" style="703" customWidth="1"/>
    <col min="3070" max="3071" width="0" style="703" hidden="1" customWidth="1"/>
    <col min="3072" max="3075" width="25" style="703" customWidth="1"/>
    <col min="3076" max="3323" width="9.1796875" style="703" customWidth="1"/>
    <col min="3324" max="3324" width="4" style="703" customWidth="1"/>
    <col min="3325" max="3325" width="20" style="703" customWidth="1"/>
    <col min="3326" max="3327" width="0" style="703" hidden="1" customWidth="1"/>
    <col min="3328" max="3331" width="25" style="703" customWidth="1"/>
    <col min="3332" max="3579" width="9.1796875" style="703" customWidth="1"/>
    <col min="3580" max="3580" width="4" style="703" customWidth="1"/>
    <col min="3581" max="3581" width="20" style="703" customWidth="1"/>
    <col min="3582" max="3583" width="0" style="703" hidden="1" customWidth="1"/>
    <col min="3584" max="3587" width="25" style="703" customWidth="1"/>
    <col min="3588" max="3835" width="9.1796875" style="703" customWidth="1"/>
    <col min="3836" max="3836" width="4" style="703" customWidth="1"/>
    <col min="3837" max="3837" width="20" style="703" customWidth="1"/>
    <col min="3838" max="3839" width="0" style="703" hidden="1" customWidth="1"/>
    <col min="3840" max="3843" width="25" style="703" customWidth="1"/>
    <col min="3844" max="4091" width="9.1796875" style="703" customWidth="1"/>
    <col min="4092" max="4092" width="4" style="703" customWidth="1"/>
    <col min="4093" max="4093" width="20" style="703" customWidth="1"/>
    <col min="4094" max="4095" width="0" style="703" hidden="1" customWidth="1"/>
    <col min="4096" max="4099" width="25" style="703" customWidth="1"/>
    <col min="4100" max="4347" width="9.1796875" style="703" customWidth="1"/>
    <col min="4348" max="4348" width="4" style="703" customWidth="1"/>
    <col min="4349" max="4349" width="20" style="703" customWidth="1"/>
    <col min="4350" max="4351" width="0" style="703" hidden="1" customWidth="1"/>
    <col min="4352" max="4355" width="25" style="703" customWidth="1"/>
    <col min="4356" max="4603" width="9.1796875" style="703" customWidth="1"/>
    <col min="4604" max="4604" width="4" style="703" customWidth="1"/>
    <col min="4605" max="4605" width="20" style="703" customWidth="1"/>
    <col min="4606" max="4607" width="0" style="703" hidden="1" customWidth="1"/>
    <col min="4608" max="4611" width="25" style="703" customWidth="1"/>
    <col min="4612" max="4859" width="9.1796875" style="703" customWidth="1"/>
    <col min="4860" max="4860" width="4" style="703" customWidth="1"/>
    <col min="4861" max="4861" width="20" style="703" customWidth="1"/>
    <col min="4862" max="4863" width="0" style="703" hidden="1" customWidth="1"/>
    <col min="4864" max="4867" width="25" style="703" customWidth="1"/>
    <col min="4868" max="5115" width="9.1796875" style="703" customWidth="1"/>
    <col min="5116" max="5116" width="4" style="703" customWidth="1"/>
    <col min="5117" max="5117" width="20" style="703" customWidth="1"/>
    <col min="5118" max="5119" width="0" style="703" hidden="1" customWidth="1"/>
    <col min="5120" max="5123" width="25" style="703" customWidth="1"/>
    <col min="5124" max="5371" width="9.1796875" style="703" customWidth="1"/>
    <col min="5372" max="5372" width="4" style="703" customWidth="1"/>
    <col min="5373" max="5373" width="20" style="703" customWidth="1"/>
    <col min="5374" max="5375" width="0" style="703" hidden="1" customWidth="1"/>
    <col min="5376" max="5379" width="25" style="703" customWidth="1"/>
    <col min="5380" max="5627" width="9.1796875" style="703" customWidth="1"/>
    <col min="5628" max="5628" width="4" style="703" customWidth="1"/>
    <col min="5629" max="5629" width="20" style="703" customWidth="1"/>
    <col min="5630" max="5631" width="0" style="703" hidden="1" customWidth="1"/>
    <col min="5632" max="5635" width="25" style="703" customWidth="1"/>
    <col min="5636" max="5883" width="9.1796875" style="703" customWidth="1"/>
    <col min="5884" max="5884" width="4" style="703" customWidth="1"/>
    <col min="5885" max="5885" width="20" style="703" customWidth="1"/>
    <col min="5886" max="5887" width="0" style="703" hidden="1" customWidth="1"/>
    <col min="5888" max="5891" width="25" style="703" customWidth="1"/>
    <col min="5892" max="6139" width="9.1796875" style="703" customWidth="1"/>
    <col min="6140" max="6140" width="4" style="703" customWidth="1"/>
    <col min="6141" max="6141" width="20" style="703" customWidth="1"/>
    <col min="6142" max="6143" width="0" style="703" hidden="1" customWidth="1"/>
    <col min="6144" max="6147" width="25" style="703" customWidth="1"/>
    <col min="6148" max="6395" width="9.1796875" style="703" customWidth="1"/>
    <col min="6396" max="6396" width="4" style="703" customWidth="1"/>
    <col min="6397" max="6397" width="20" style="703" customWidth="1"/>
    <col min="6398" max="6399" width="0" style="703" hidden="1" customWidth="1"/>
    <col min="6400" max="6403" width="25" style="703" customWidth="1"/>
    <col min="6404" max="6651" width="9.1796875" style="703" customWidth="1"/>
    <col min="6652" max="6652" width="4" style="703" customWidth="1"/>
    <col min="6653" max="6653" width="20" style="703" customWidth="1"/>
    <col min="6654" max="6655" width="0" style="703" hidden="1" customWidth="1"/>
    <col min="6656" max="6659" width="25" style="703" customWidth="1"/>
    <col min="6660" max="6907" width="9.1796875" style="703" customWidth="1"/>
    <col min="6908" max="6908" width="4" style="703" customWidth="1"/>
    <col min="6909" max="6909" width="20" style="703" customWidth="1"/>
    <col min="6910" max="6911" width="0" style="703" hidden="1" customWidth="1"/>
    <col min="6912" max="6915" width="25" style="703" customWidth="1"/>
    <col min="6916" max="7163" width="9.1796875" style="703" customWidth="1"/>
    <col min="7164" max="7164" width="4" style="703" customWidth="1"/>
    <col min="7165" max="7165" width="20" style="703" customWidth="1"/>
    <col min="7166" max="7167" width="0" style="703" hidden="1" customWidth="1"/>
    <col min="7168" max="7171" width="25" style="703" customWidth="1"/>
    <col min="7172" max="7419" width="9.1796875" style="703" customWidth="1"/>
    <col min="7420" max="7420" width="4" style="703" customWidth="1"/>
    <col min="7421" max="7421" width="20" style="703" customWidth="1"/>
    <col min="7422" max="7423" width="0" style="703" hidden="1" customWidth="1"/>
    <col min="7424" max="7427" width="25" style="703" customWidth="1"/>
    <col min="7428" max="7675" width="9.1796875" style="703" customWidth="1"/>
    <col min="7676" max="7676" width="4" style="703" customWidth="1"/>
    <col min="7677" max="7677" width="20" style="703" customWidth="1"/>
    <col min="7678" max="7679" width="0" style="703" hidden="1" customWidth="1"/>
    <col min="7680" max="7683" width="25" style="703" customWidth="1"/>
    <col min="7684" max="7931" width="9.1796875" style="703" customWidth="1"/>
    <col min="7932" max="7932" width="4" style="703" customWidth="1"/>
    <col min="7933" max="7933" width="20" style="703" customWidth="1"/>
    <col min="7934" max="7935" width="0" style="703" hidden="1" customWidth="1"/>
    <col min="7936" max="7939" width="25" style="703" customWidth="1"/>
    <col min="7940" max="8187" width="9.1796875" style="703" customWidth="1"/>
    <col min="8188" max="8188" width="4" style="703" customWidth="1"/>
    <col min="8189" max="8189" width="20" style="703" customWidth="1"/>
    <col min="8190" max="8191" width="0" style="703" hidden="1" customWidth="1"/>
    <col min="8192" max="8195" width="25" style="703" customWidth="1"/>
    <col min="8196" max="8443" width="9.1796875" style="703" customWidth="1"/>
    <col min="8444" max="8444" width="4" style="703" customWidth="1"/>
    <col min="8445" max="8445" width="20" style="703" customWidth="1"/>
    <col min="8446" max="8447" width="0" style="703" hidden="1" customWidth="1"/>
    <col min="8448" max="8451" width="25" style="703" customWidth="1"/>
    <col min="8452" max="8699" width="9.1796875" style="703" customWidth="1"/>
    <col min="8700" max="8700" width="4" style="703" customWidth="1"/>
    <col min="8701" max="8701" width="20" style="703" customWidth="1"/>
    <col min="8702" max="8703" width="0" style="703" hidden="1" customWidth="1"/>
    <col min="8704" max="8707" width="25" style="703" customWidth="1"/>
    <col min="8708" max="8955" width="9.1796875" style="703" customWidth="1"/>
    <col min="8956" max="8956" width="4" style="703" customWidth="1"/>
    <col min="8957" max="8957" width="20" style="703" customWidth="1"/>
    <col min="8958" max="8959" width="0" style="703" hidden="1" customWidth="1"/>
    <col min="8960" max="8963" width="25" style="703" customWidth="1"/>
    <col min="8964" max="9211" width="9.1796875" style="703" customWidth="1"/>
    <col min="9212" max="9212" width="4" style="703" customWidth="1"/>
    <col min="9213" max="9213" width="20" style="703" customWidth="1"/>
    <col min="9214" max="9215" width="0" style="703" hidden="1" customWidth="1"/>
    <col min="9216" max="9219" width="25" style="703" customWidth="1"/>
    <col min="9220" max="9467" width="9.1796875" style="703" customWidth="1"/>
    <col min="9468" max="9468" width="4" style="703" customWidth="1"/>
    <col min="9469" max="9469" width="20" style="703" customWidth="1"/>
    <col min="9470" max="9471" width="0" style="703" hidden="1" customWidth="1"/>
    <col min="9472" max="9475" width="25" style="703" customWidth="1"/>
    <col min="9476" max="9723" width="9.1796875" style="703" customWidth="1"/>
    <col min="9724" max="9724" width="4" style="703" customWidth="1"/>
    <col min="9725" max="9725" width="20" style="703" customWidth="1"/>
    <col min="9726" max="9727" width="0" style="703" hidden="1" customWidth="1"/>
    <col min="9728" max="9731" width="25" style="703" customWidth="1"/>
    <col min="9732" max="9979" width="9.1796875" style="703" customWidth="1"/>
    <col min="9980" max="9980" width="4" style="703" customWidth="1"/>
    <col min="9981" max="9981" width="20" style="703" customWidth="1"/>
    <col min="9982" max="9983" width="0" style="703" hidden="1" customWidth="1"/>
    <col min="9984" max="9987" width="25" style="703" customWidth="1"/>
    <col min="9988" max="10235" width="9.1796875" style="703" customWidth="1"/>
    <col min="10236" max="10236" width="4" style="703" customWidth="1"/>
    <col min="10237" max="10237" width="20" style="703" customWidth="1"/>
    <col min="10238" max="10239" width="0" style="703" hidden="1" customWidth="1"/>
    <col min="10240" max="10243" width="25" style="703" customWidth="1"/>
    <col min="10244" max="10491" width="9.1796875" style="703" customWidth="1"/>
    <col min="10492" max="10492" width="4" style="703" customWidth="1"/>
    <col min="10493" max="10493" width="20" style="703" customWidth="1"/>
    <col min="10494" max="10495" width="0" style="703" hidden="1" customWidth="1"/>
    <col min="10496" max="10499" width="25" style="703" customWidth="1"/>
    <col min="10500" max="10747" width="9.1796875" style="703" customWidth="1"/>
    <col min="10748" max="10748" width="4" style="703" customWidth="1"/>
    <col min="10749" max="10749" width="20" style="703" customWidth="1"/>
    <col min="10750" max="10751" width="0" style="703" hidden="1" customWidth="1"/>
    <col min="10752" max="10755" width="25" style="703" customWidth="1"/>
    <col min="10756" max="11003" width="9.1796875" style="703" customWidth="1"/>
    <col min="11004" max="11004" width="4" style="703" customWidth="1"/>
    <col min="11005" max="11005" width="20" style="703" customWidth="1"/>
    <col min="11006" max="11007" width="0" style="703" hidden="1" customWidth="1"/>
    <col min="11008" max="11011" width="25" style="703" customWidth="1"/>
    <col min="11012" max="11259" width="9.1796875" style="703" customWidth="1"/>
    <col min="11260" max="11260" width="4" style="703" customWidth="1"/>
    <col min="11261" max="11261" width="20" style="703" customWidth="1"/>
    <col min="11262" max="11263" width="0" style="703" hidden="1" customWidth="1"/>
    <col min="11264" max="11267" width="25" style="703" customWidth="1"/>
    <col min="11268" max="11515" width="9.1796875" style="703" customWidth="1"/>
    <col min="11516" max="11516" width="4" style="703" customWidth="1"/>
    <col min="11517" max="11517" width="20" style="703" customWidth="1"/>
    <col min="11518" max="11519" width="0" style="703" hidden="1" customWidth="1"/>
    <col min="11520" max="11523" width="25" style="703" customWidth="1"/>
    <col min="11524" max="11771" width="9.1796875" style="703" customWidth="1"/>
    <col min="11772" max="11772" width="4" style="703" customWidth="1"/>
    <col min="11773" max="11773" width="20" style="703" customWidth="1"/>
    <col min="11774" max="11775" width="0" style="703" hidden="1" customWidth="1"/>
    <col min="11776" max="11779" width="25" style="703" customWidth="1"/>
    <col min="11780" max="12027" width="9.1796875" style="703" customWidth="1"/>
    <col min="12028" max="12028" width="4" style="703" customWidth="1"/>
    <col min="12029" max="12029" width="20" style="703" customWidth="1"/>
    <col min="12030" max="12031" width="0" style="703" hidden="1" customWidth="1"/>
    <col min="12032" max="12035" width="25" style="703" customWidth="1"/>
    <col min="12036" max="12283" width="9.1796875" style="703" customWidth="1"/>
    <col min="12284" max="12284" width="4" style="703" customWidth="1"/>
    <col min="12285" max="12285" width="20" style="703" customWidth="1"/>
    <col min="12286" max="12287" width="0" style="703" hidden="1" customWidth="1"/>
    <col min="12288" max="12291" width="25" style="703" customWidth="1"/>
    <col min="12292" max="12539" width="9.1796875" style="703" customWidth="1"/>
    <col min="12540" max="12540" width="4" style="703" customWidth="1"/>
    <col min="12541" max="12541" width="20" style="703" customWidth="1"/>
    <col min="12542" max="12543" width="0" style="703" hidden="1" customWidth="1"/>
    <col min="12544" max="12547" width="25" style="703" customWidth="1"/>
    <col min="12548" max="12795" width="9.1796875" style="703" customWidth="1"/>
    <col min="12796" max="12796" width="4" style="703" customWidth="1"/>
    <col min="12797" max="12797" width="20" style="703" customWidth="1"/>
    <col min="12798" max="12799" width="0" style="703" hidden="1" customWidth="1"/>
    <col min="12800" max="12803" width="25" style="703" customWidth="1"/>
    <col min="12804" max="13051" width="9.1796875" style="703" customWidth="1"/>
    <col min="13052" max="13052" width="4" style="703" customWidth="1"/>
    <col min="13053" max="13053" width="20" style="703" customWidth="1"/>
    <col min="13054" max="13055" width="0" style="703" hidden="1" customWidth="1"/>
    <col min="13056" max="13059" width="25" style="703" customWidth="1"/>
    <col min="13060" max="13307" width="9.1796875" style="703" customWidth="1"/>
    <col min="13308" max="13308" width="4" style="703" customWidth="1"/>
    <col min="13309" max="13309" width="20" style="703" customWidth="1"/>
    <col min="13310" max="13311" width="0" style="703" hidden="1" customWidth="1"/>
    <col min="13312" max="13315" width="25" style="703" customWidth="1"/>
    <col min="13316" max="13563" width="9.1796875" style="703" customWidth="1"/>
    <col min="13564" max="13564" width="4" style="703" customWidth="1"/>
    <col min="13565" max="13565" width="20" style="703" customWidth="1"/>
    <col min="13566" max="13567" width="0" style="703" hidden="1" customWidth="1"/>
    <col min="13568" max="13571" width="25" style="703" customWidth="1"/>
    <col min="13572" max="13819" width="9.1796875" style="703" customWidth="1"/>
    <col min="13820" max="13820" width="4" style="703" customWidth="1"/>
    <col min="13821" max="13821" width="20" style="703" customWidth="1"/>
    <col min="13822" max="13823" width="0" style="703" hidden="1" customWidth="1"/>
    <col min="13824" max="13827" width="25" style="703" customWidth="1"/>
    <col min="13828" max="14075" width="9.1796875" style="703" customWidth="1"/>
    <col min="14076" max="14076" width="4" style="703" customWidth="1"/>
    <col min="14077" max="14077" width="20" style="703" customWidth="1"/>
    <col min="14078" max="14079" width="0" style="703" hidden="1" customWidth="1"/>
    <col min="14080" max="14083" width="25" style="703" customWidth="1"/>
    <col min="14084" max="14331" width="9.1796875" style="703" customWidth="1"/>
    <col min="14332" max="14332" width="4" style="703" customWidth="1"/>
    <col min="14333" max="14333" width="20" style="703" customWidth="1"/>
    <col min="14334" max="14335" width="0" style="703" hidden="1" customWidth="1"/>
    <col min="14336" max="14339" width="25" style="703" customWidth="1"/>
    <col min="14340" max="14587" width="9.1796875" style="703" customWidth="1"/>
    <col min="14588" max="14588" width="4" style="703" customWidth="1"/>
    <col min="14589" max="14589" width="20" style="703" customWidth="1"/>
    <col min="14590" max="14591" width="0" style="703" hidden="1" customWidth="1"/>
    <col min="14592" max="14595" width="25" style="703" customWidth="1"/>
    <col min="14596" max="14843" width="9.1796875" style="703" customWidth="1"/>
    <col min="14844" max="14844" width="4" style="703" customWidth="1"/>
    <col min="14845" max="14845" width="20" style="703" customWidth="1"/>
    <col min="14846" max="14847" width="0" style="703" hidden="1" customWidth="1"/>
    <col min="14848" max="14851" width="25" style="703" customWidth="1"/>
    <col min="14852" max="15099" width="9.1796875" style="703" customWidth="1"/>
    <col min="15100" max="15100" width="4" style="703" customWidth="1"/>
    <col min="15101" max="15101" width="20" style="703" customWidth="1"/>
    <col min="15102" max="15103" width="0" style="703" hidden="1" customWidth="1"/>
    <col min="15104" max="15107" width="25" style="703" customWidth="1"/>
    <col min="15108" max="15355" width="9.1796875" style="703" customWidth="1"/>
    <col min="15356" max="15356" width="4" style="703" customWidth="1"/>
    <col min="15357" max="15357" width="20" style="703" customWidth="1"/>
    <col min="15358" max="15359" width="0" style="703" hidden="1" customWidth="1"/>
    <col min="15360" max="15363" width="25" style="703" customWidth="1"/>
    <col min="15364" max="15611" width="9.1796875" style="703" customWidth="1"/>
    <col min="15612" max="15612" width="4" style="703" customWidth="1"/>
    <col min="15613" max="15613" width="20" style="703" customWidth="1"/>
    <col min="15614" max="15615" width="0" style="703" hidden="1" customWidth="1"/>
    <col min="15616" max="15619" width="25" style="703" customWidth="1"/>
    <col min="15620" max="15867" width="9.1796875" style="703" customWidth="1"/>
    <col min="15868" max="15868" width="4" style="703" customWidth="1"/>
    <col min="15869" max="15869" width="20" style="703" customWidth="1"/>
    <col min="15870" max="15871" width="0" style="703" hidden="1" customWidth="1"/>
    <col min="15872" max="15875" width="25" style="703" customWidth="1"/>
    <col min="15876" max="16123" width="9.1796875" style="703" customWidth="1"/>
    <col min="16124" max="16124" width="4" style="703" customWidth="1"/>
    <col min="16125" max="16125" width="20" style="703" customWidth="1"/>
    <col min="16126" max="16127" width="0" style="703" hidden="1" customWidth="1"/>
    <col min="16128" max="16131" width="25" style="703" customWidth="1"/>
    <col min="16132" max="16384" width="9.1796875" style="703" customWidth="1"/>
  </cols>
  <sheetData>
    <row r="2" spans="2:3" ht="20.149999999999999" customHeight="1" x14ac:dyDescent="0.45">
      <c r="B2" s="702" t="s">
        <v>262</v>
      </c>
    </row>
    <row r="3" spans="2:3" ht="13" thickBot="1" x14ac:dyDescent="0.3"/>
    <row r="4" spans="2:3" ht="90" customHeight="1" thickBot="1" x14ac:dyDescent="0.3">
      <c r="B4" s="716" t="s">
        <v>279</v>
      </c>
      <c r="C4" s="717" t="s">
        <v>446</v>
      </c>
    </row>
    <row r="5" spans="2:3" ht="15" thickTop="1" x14ac:dyDescent="0.35">
      <c r="B5" s="718" t="s">
        <v>490</v>
      </c>
      <c r="C5" s="719">
        <v>825</v>
      </c>
    </row>
    <row r="6" spans="2:3" ht="14.5" x14ac:dyDescent="0.35">
      <c r="B6" s="718" t="s">
        <v>491</v>
      </c>
      <c r="C6" s="719">
        <v>848.8</v>
      </c>
    </row>
    <row r="7" spans="2:3" ht="14.5" x14ac:dyDescent="0.35">
      <c r="B7" s="718" t="s">
        <v>492</v>
      </c>
      <c r="C7" s="719">
        <v>806</v>
      </c>
    </row>
    <row r="8" spans="2:3" ht="14.5" x14ac:dyDescent="0.35">
      <c r="B8" s="718" t="s">
        <v>493</v>
      </c>
      <c r="C8" s="719">
        <v>796.7</v>
      </c>
    </row>
    <row r="9" spans="2:3" ht="14.5" x14ac:dyDescent="0.35">
      <c r="B9" s="718" t="s">
        <v>494</v>
      </c>
      <c r="C9" s="719">
        <v>799.5</v>
      </c>
    </row>
    <row r="10" spans="2:3" ht="14.5" x14ac:dyDescent="0.35">
      <c r="B10" s="718" t="s">
        <v>495</v>
      </c>
      <c r="C10" s="719">
        <v>803.1</v>
      </c>
    </row>
    <row r="11" spans="2:3" ht="14.5" x14ac:dyDescent="0.35">
      <c r="B11" s="718" t="s">
        <v>496</v>
      </c>
      <c r="C11" s="719">
        <v>786.3</v>
      </c>
    </row>
    <row r="12" spans="2:3" ht="14.5" x14ac:dyDescent="0.35">
      <c r="B12" s="718" t="s">
        <v>497</v>
      </c>
      <c r="C12" s="719">
        <v>745.6</v>
      </c>
    </row>
    <row r="13" spans="2:3" ht="14.5" x14ac:dyDescent="0.35">
      <c r="B13" s="718" t="s">
        <v>498</v>
      </c>
      <c r="C13" s="719">
        <v>775</v>
      </c>
    </row>
    <row r="14" spans="2:3" ht="14.5" x14ac:dyDescent="0.35">
      <c r="B14" s="718" t="s">
        <v>499</v>
      </c>
      <c r="C14" s="719">
        <v>793.1</v>
      </c>
    </row>
    <row r="15" spans="2:3" ht="14.5" x14ac:dyDescent="0.35">
      <c r="B15" s="720" t="s">
        <v>500</v>
      </c>
      <c r="C15" s="719">
        <v>781.9</v>
      </c>
    </row>
    <row r="16" spans="2:3" ht="14.5" x14ac:dyDescent="0.35">
      <c r="B16" s="720" t="s">
        <v>501</v>
      </c>
      <c r="C16" s="719">
        <v>774</v>
      </c>
    </row>
    <row r="17" spans="2:9" ht="14.5" x14ac:dyDescent="0.35">
      <c r="B17" s="720" t="s">
        <v>503</v>
      </c>
      <c r="C17" s="719">
        <v>765</v>
      </c>
    </row>
    <row r="18" spans="2:9" ht="14.5" x14ac:dyDescent="0.35">
      <c r="B18" s="720" t="s">
        <v>505</v>
      </c>
      <c r="C18" s="719">
        <v>752</v>
      </c>
    </row>
    <row r="19" spans="2:9" ht="14.5" x14ac:dyDescent="0.35">
      <c r="B19" s="742" t="s">
        <v>509</v>
      </c>
      <c r="C19" s="743">
        <v>748.75</v>
      </c>
    </row>
    <row r="20" spans="2:9" ht="15" thickBot="1" x14ac:dyDescent="0.4">
      <c r="B20" s="724" t="s">
        <v>513</v>
      </c>
      <c r="C20" s="715">
        <v>756.25</v>
      </c>
    </row>
    <row r="21" spans="2:9" ht="15" thickBot="1" x14ac:dyDescent="0.4">
      <c r="B21" s="746" t="s">
        <v>517</v>
      </c>
      <c r="C21" s="747">
        <v>821.07500000000005</v>
      </c>
      <c r="I21" s="744"/>
    </row>
    <row r="22" spans="2:9" ht="14.5" x14ac:dyDescent="0.35">
      <c r="I22" s="744"/>
    </row>
    <row r="23" spans="2:9" ht="14.5" x14ac:dyDescent="0.35">
      <c r="I23" s="744"/>
    </row>
    <row r="24" spans="2:9" ht="14.5" x14ac:dyDescent="0.35">
      <c r="I24" s="744"/>
    </row>
  </sheetData>
  <phoneticPr fontId="26" type="noConversion"/>
  <pageMargins left="0.75" right="0.75" top="1" bottom="1" header="0.5" footer="0.5"/>
  <pageSetup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182F0-8A4E-4A9D-8F6D-3B268B78AC8E}">
  <sheetPr codeName="Hoja9"/>
  <dimension ref="B2:F7"/>
  <sheetViews>
    <sheetView showGridLines="0" zoomScale="70" zoomScaleNormal="70" workbookViewId="0">
      <selection activeCell="E3" sqref="E3"/>
    </sheetView>
  </sheetViews>
  <sheetFormatPr defaultColWidth="11.54296875" defaultRowHeight="14.5" x14ac:dyDescent="0.35"/>
  <cols>
    <col min="2" max="2" width="31.54296875" bestFit="1" customWidth="1"/>
    <col min="6" max="6" width="11.81640625" bestFit="1" customWidth="1"/>
  </cols>
  <sheetData>
    <row r="2" spans="2:6" x14ac:dyDescent="0.35">
      <c r="E2" s="391" t="s">
        <v>377</v>
      </c>
      <c r="F2" s="391" t="s">
        <v>1</v>
      </c>
    </row>
    <row r="3" spans="2:6" x14ac:dyDescent="0.35">
      <c r="D3" s="195">
        <v>46024</v>
      </c>
      <c r="E3" s="394">
        <v>3.5776200000000001E-2</v>
      </c>
      <c r="F3" s="727">
        <f>+((E3+2.5%)/365)*210</f>
        <v>3.4967128767123289E-2</v>
      </c>
    </row>
    <row r="4" spans="2:6" x14ac:dyDescent="0.35">
      <c r="F4" s="372"/>
    </row>
    <row r="7" spans="2:6" x14ac:dyDescent="0.35">
      <c r="B7" s="33" t="s">
        <v>484</v>
      </c>
    </row>
  </sheetData>
  <pageMargins left="0.7" right="0.7" top="0.75" bottom="0.75" header="0.3" footer="0.3"/>
  <pageSetup orientation="portrait" r:id="rId1"/>
  <customProperties>
    <customPr name="EpmWorksheetKeyString_GUID" r:id="rId2"/>
  </customProperties>
  <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7399-A544-4E9B-A231-9E3D802AB703}">
  <dimension ref="B1:CG39"/>
  <sheetViews>
    <sheetView showGridLines="0" topLeftCell="A32" zoomScaleNormal="100" workbookViewId="0">
      <selection activeCell="B28" sqref="B28:BR28"/>
    </sheetView>
  </sheetViews>
  <sheetFormatPr defaultColWidth="10.81640625" defaultRowHeight="14.5" x14ac:dyDescent="0.35"/>
  <cols>
    <col min="1" max="1" width="1.7265625" style="88" customWidth="1"/>
    <col min="2" max="2" width="22.1796875" style="413" customWidth="1"/>
    <col min="3" max="6" width="13" style="88" hidden="1" customWidth="1"/>
    <col min="7" max="7" width="11.453125" style="88" hidden="1" customWidth="1"/>
    <col min="8" max="8" width="13.453125" style="88" hidden="1" customWidth="1"/>
    <col min="9" max="9" width="11.453125" style="88" hidden="1" customWidth="1"/>
    <col min="10" max="10" width="13.453125" style="88" hidden="1" customWidth="1"/>
    <col min="11" max="11" width="11.453125" style="88" hidden="1" customWidth="1"/>
    <col min="12" max="12" width="13.453125" style="88" hidden="1" customWidth="1"/>
    <col min="13" max="13" width="12.453125" style="88" hidden="1" customWidth="1"/>
    <col min="14" max="14" width="14.453125" style="88" hidden="1" customWidth="1"/>
    <col min="15" max="15" width="11.26953125" style="88" hidden="1" customWidth="1"/>
    <col min="16" max="16" width="13.453125" style="88" hidden="1" customWidth="1"/>
    <col min="17" max="17" width="13.1796875" style="88" hidden="1" customWidth="1"/>
    <col min="18" max="18" width="13.7265625" style="88" hidden="1" customWidth="1"/>
    <col min="19" max="20" width="13.81640625" style="88" hidden="1" customWidth="1"/>
    <col min="21" max="21" width="13" style="88" hidden="1" customWidth="1"/>
    <col min="22" max="22" width="12.81640625" style="88" hidden="1" customWidth="1"/>
    <col min="23" max="26" width="13.1796875" style="88" hidden="1" customWidth="1"/>
    <col min="27" max="27" width="11.26953125" style="88" hidden="1" customWidth="1"/>
    <col min="28" max="28" width="13.453125" style="88" hidden="1" customWidth="1"/>
    <col min="29" max="29" width="11.26953125" style="88" hidden="1" customWidth="1"/>
    <col min="30" max="30" width="15" style="88" hidden="1" customWidth="1"/>
    <col min="31" max="32" width="12.81640625" style="88" hidden="1" customWidth="1"/>
    <col min="33" max="33" width="11.26953125" style="88" hidden="1" customWidth="1"/>
    <col min="34" max="37" width="0" style="88" hidden="1" customWidth="1"/>
    <col min="38" max="38" width="5.1796875" style="88" hidden="1" customWidth="1"/>
    <col min="39" max="39" width="11.54296875" style="88" hidden="1" customWidth="1"/>
    <col min="40" max="40" width="17.453125" style="88" hidden="1" customWidth="1"/>
    <col min="41" max="41" width="0" style="88" hidden="1" customWidth="1"/>
    <col min="42" max="42" width="14.26953125" style="88" hidden="1" customWidth="1"/>
    <col min="43" max="43" width="8.453125" style="88" hidden="1" customWidth="1"/>
    <col min="44" max="44" width="11.453125" style="88" hidden="1" customWidth="1"/>
    <col min="45" max="45" width="11.7265625" style="88" hidden="1" customWidth="1"/>
    <col min="46" max="46" width="12.54296875" style="88" hidden="1" customWidth="1"/>
    <col min="47" max="47" width="10.453125" style="88" hidden="1" customWidth="1"/>
    <col min="48" max="48" width="12.453125" style="88" hidden="1" customWidth="1"/>
    <col min="49" max="50" width="0" style="88" hidden="1" customWidth="1"/>
    <col min="51" max="51" width="7.81640625" style="88" hidden="1" customWidth="1"/>
    <col min="52" max="52" width="8.1796875" style="88" hidden="1" customWidth="1"/>
    <col min="53" max="53" width="7.81640625" style="88" hidden="1" customWidth="1"/>
    <col min="54" max="54" width="19.453125" style="88" hidden="1" customWidth="1"/>
    <col min="55" max="55" width="11.1796875" style="88" hidden="1" customWidth="1"/>
    <col min="56" max="56" width="8.1796875" style="88" hidden="1" customWidth="1"/>
    <col min="57" max="57" width="11.26953125" style="88" hidden="1" customWidth="1"/>
    <col min="58" max="58" width="13.453125" style="88" hidden="1" customWidth="1"/>
    <col min="59" max="59" width="7.81640625" style="88" hidden="1" customWidth="1"/>
    <col min="60" max="60" width="8.1796875" style="88" hidden="1" customWidth="1"/>
    <col min="61" max="61" width="7.81640625" style="88" hidden="1" customWidth="1"/>
    <col min="62" max="62" width="8.1796875" style="88" hidden="1" customWidth="1"/>
    <col min="63" max="63" width="7.81640625" style="88" hidden="1" customWidth="1"/>
    <col min="64" max="64" width="8.1796875" style="88" hidden="1" customWidth="1"/>
    <col min="65" max="65" width="7.81640625" style="88" hidden="1" customWidth="1"/>
    <col min="66" max="66" width="8.1796875" style="88" hidden="1" customWidth="1"/>
    <col min="67" max="67" width="7.81640625" style="88" hidden="1" customWidth="1"/>
    <col min="68" max="68" width="8.1796875" style="88" hidden="1" customWidth="1"/>
    <col min="69" max="69" width="7.81640625" style="88" hidden="1" customWidth="1"/>
    <col min="70" max="70" width="8.1796875" style="416" hidden="1" customWidth="1"/>
    <col min="71" max="71" width="7.81640625" style="88" bestFit="1" customWidth="1"/>
    <col min="72" max="72" width="8.1796875" style="416" bestFit="1" customWidth="1"/>
    <col min="73" max="73" width="7.81640625" style="88" bestFit="1" customWidth="1"/>
    <col min="74" max="74" width="8.1796875" style="416" bestFit="1" customWidth="1"/>
    <col min="75" max="75" width="7.81640625" style="88" bestFit="1" customWidth="1"/>
    <col min="76" max="76" width="8.1796875" style="416" bestFit="1" customWidth="1"/>
    <col min="77" max="77" width="7.81640625" style="88" bestFit="1" customWidth="1"/>
    <col min="78" max="78" width="8.1796875" style="416" bestFit="1" customWidth="1"/>
    <col min="79" max="83" width="10.81640625" style="88"/>
    <col min="84" max="84" width="11.54296875" style="88" bestFit="1" customWidth="1"/>
    <col min="85" max="16384" width="10.81640625" style="88"/>
  </cols>
  <sheetData>
    <row r="1" spans="2:80" ht="4.5" customHeight="1" x14ac:dyDescent="0.35"/>
    <row r="2" spans="2:80" hidden="1" x14ac:dyDescent="0.35">
      <c r="B2" s="831" t="s">
        <v>475</v>
      </c>
      <c r="C2" s="831"/>
      <c r="D2" s="831"/>
      <c r="E2" s="831"/>
      <c r="F2" s="831"/>
      <c r="G2" s="831"/>
      <c r="H2" s="831"/>
      <c r="I2" s="831"/>
      <c r="J2" s="831"/>
      <c r="K2" s="831"/>
      <c r="L2" s="831"/>
      <c r="M2" s="831"/>
      <c r="N2" s="831"/>
      <c r="O2" s="831"/>
      <c r="P2" s="831"/>
      <c r="Q2" s="831"/>
      <c r="R2" s="831"/>
      <c r="S2" s="831"/>
      <c r="T2" s="831"/>
      <c r="U2" s="831"/>
      <c r="V2" s="831"/>
      <c r="W2" s="831"/>
      <c r="X2" s="831"/>
      <c r="Y2" s="831"/>
      <c r="Z2" s="831"/>
      <c r="AA2" s="831"/>
      <c r="AB2" s="831"/>
      <c r="AC2" s="831"/>
      <c r="AD2" s="831"/>
      <c r="AE2" s="831"/>
      <c r="AF2" s="831"/>
      <c r="AG2" s="831"/>
      <c r="AH2" s="831"/>
      <c r="AI2" s="831"/>
      <c r="AJ2" s="831"/>
      <c r="AK2" s="831"/>
      <c r="AL2" s="831"/>
      <c r="AM2" s="831"/>
      <c r="AN2" s="831"/>
      <c r="AO2" s="831"/>
      <c r="AP2" s="831"/>
      <c r="AQ2" s="831"/>
      <c r="AR2" s="831"/>
      <c r="AS2" s="831"/>
      <c r="AT2" s="831"/>
      <c r="AU2" s="831"/>
      <c r="AV2" s="831"/>
      <c r="AW2" s="831"/>
      <c r="AX2" s="831"/>
      <c r="AY2" s="831"/>
      <c r="AZ2" s="831"/>
      <c r="BA2" s="831"/>
      <c r="BB2" s="831"/>
      <c r="BC2" s="831"/>
      <c r="BD2" s="831"/>
      <c r="BE2" s="831"/>
      <c r="BF2" s="831"/>
      <c r="BG2" s="831"/>
      <c r="BH2" s="831"/>
      <c r="BI2" s="831"/>
      <c r="BJ2" s="831"/>
      <c r="BK2" s="831"/>
      <c r="BL2" s="831"/>
      <c r="BM2" s="831"/>
      <c r="BN2" s="831"/>
      <c r="BO2" s="831"/>
      <c r="BP2" s="831"/>
      <c r="BQ2" s="831"/>
      <c r="BR2" s="831"/>
      <c r="BS2" s="723"/>
      <c r="BT2" s="723"/>
      <c r="BU2" s="723"/>
      <c r="BV2" s="723"/>
      <c r="BW2" s="723"/>
      <c r="BX2" s="723"/>
      <c r="BY2" s="723"/>
      <c r="BZ2" s="723"/>
    </row>
    <row r="3" spans="2:80" ht="5.25" hidden="1" customHeight="1" thickBot="1" x14ac:dyDescent="0.4">
      <c r="B3" s="414"/>
      <c r="C3" s="369"/>
      <c r="D3" s="369"/>
      <c r="E3" s="369"/>
      <c r="F3" s="369"/>
      <c r="G3" s="369"/>
      <c r="H3" s="369"/>
      <c r="I3" s="369"/>
      <c r="J3" s="369"/>
      <c r="K3" s="369"/>
      <c r="L3" s="369"/>
      <c r="M3" s="369"/>
      <c r="N3" s="369"/>
    </row>
    <row r="4" spans="2:80" ht="15" hidden="1" thickBot="1" x14ac:dyDescent="0.4">
      <c r="B4" s="357"/>
      <c r="C4" s="842" t="s">
        <v>138</v>
      </c>
      <c r="D4" s="843"/>
      <c r="E4" s="842" t="s">
        <v>139</v>
      </c>
      <c r="F4" s="843"/>
      <c r="G4" s="842" t="s">
        <v>140</v>
      </c>
      <c r="H4" s="843"/>
      <c r="I4" s="842" t="s">
        <v>98</v>
      </c>
      <c r="J4" s="843"/>
      <c r="K4" s="842" t="s">
        <v>87</v>
      </c>
      <c r="L4" s="843"/>
      <c r="M4" s="842" t="s">
        <v>88</v>
      </c>
      <c r="N4" s="843"/>
      <c r="O4" s="842" t="s">
        <v>89</v>
      </c>
      <c r="P4" s="843"/>
      <c r="Q4" s="842" t="s">
        <v>90</v>
      </c>
      <c r="R4" s="843"/>
      <c r="S4" s="842" t="s">
        <v>91</v>
      </c>
      <c r="T4" s="843"/>
      <c r="U4" s="842" t="s">
        <v>92</v>
      </c>
      <c r="V4" s="843"/>
      <c r="W4" s="842" t="s">
        <v>93</v>
      </c>
      <c r="X4" s="843"/>
      <c r="Y4" s="842" t="s">
        <v>94</v>
      </c>
      <c r="Z4" s="843"/>
      <c r="AA4" s="842" t="s">
        <v>380</v>
      </c>
      <c r="AB4" s="843"/>
      <c r="AC4" s="842" t="s">
        <v>96</v>
      </c>
      <c r="AD4" s="843"/>
      <c r="AE4" s="842" t="s">
        <v>97</v>
      </c>
      <c r="AF4" s="843"/>
      <c r="AG4" s="842" t="s">
        <v>98</v>
      </c>
      <c r="AH4" s="843"/>
      <c r="AI4" s="842" t="s">
        <v>87</v>
      </c>
      <c r="AJ4" s="843"/>
      <c r="AK4" s="842" t="s">
        <v>88</v>
      </c>
      <c r="AL4" s="843"/>
      <c r="AM4" s="842" t="s">
        <v>89</v>
      </c>
      <c r="AN4" s="843"/>
      <c r="AO4" s="842" t="s">
        <v>90</v>
      </c>
      <c r="AP4" s="843"/>
      <c r="AQ4" s="842" t="s">
        <v>91</v>
      </c>
      <c r="AR4" s="843"/>
      <c r="AS4" s="842" t="s">
        <v>92</v>
      </c>
      <c r="AT4" s="843"/>
      <c r="AU4" s="842" t="s">
        <v>93</v>
      </c>
      <c r="AV4" s="843"/>
      <c r="AW4" s="842" t="s">
        <v>94</v>
      </c>
      <c r="AX4" s="843"/>
      <c r="AY4" s="842" t="s">
        <v>380</v>
      </c>
      <c r="AZ4" s="843"/>
      <c r="BA4" s="842" t="s">
        <v>96</v>
      </c>
      <c r="BB4" s="843"/>
      <c r="BC4" s="842" t="s">
        <v>97</v>
      </c>
      <c r="BD4" s="843"/>
      <c r="BE4" s="842" t="s">
        <v>98</v>
      </c>
      <c r="BF4" s="843"/>
      <c r="BG4" s="842" t="s">
        <v>87</v>
      </c>
      <c r="BH4" s="843"/>
      <c r="BI4" s="842" t="str">
        <f>+BI17</f>
        <v>JUNIO</v>
      </c>
      <c r="BJ4" s="843"/>
      <c r="BK4" s="842" t="str">
        <f>+BK17</f>
        <v>JULIO</v>
      </c>
      <c r="BL4" s="843"/>
      <c r="BM4" s="842" t="str">
        <f>+BM17</f>
        <v>AGOSTO</v>
      </c>
      <c r="BN4" s="843"/>
      <c r="BO4" s="842" t="str">
        <f>+BO17</f>
        <v>SEPTIEM</v>
      </c>
      <c r="BP4" s="843"/>
      <c r="BQ4" s="842" t="str">
        <f>+BQ17</f>
        <v>OCTUBRE</v>
      </c>
      <c r="BR4" s="843"/>
      <c r="BS4" s="842" t="str">
        <f>+BS17</f>
        <v>NOVIEMBRE</v>
      </c>
      <c r="BT4" s="843"/>
      <c r="BU4" s="842" t="str">
        <f>+BU17</f>
        <v xml:space="preserve">DICIEMBRE </v>
      </c>
      <c r="BV4" s="843"/>
      <c r="BW4" s="842" t="str">
        <f>+BW17</f>
        <v>ENERO</v>
      </c>
      <c r="BX4" s="843"/>
      <c r="BY4" s="842" t="str">
        <f>+BY17</f>
        <v>FEBRERO</v>
      </c>
      <c r="BZ4" s="843"/>
      <c r="CA4" s="416"/>
    </row>
    <row r="5" spans="2:80" ht="52" hidden="1" x14ac:dyDescent="0.35">
      <c r="B5" s="357"/>
      <c r="C5" s="358" t="s">
        <v>381</v>
      </c>
      <c r="D5" s="359" t="s">
        <v>382</v>
      </c>
      <c r="E5" s="358" t="s">
        <v>381</v>
      </c>
      <c r="F5" s="359" t="s">
        <v>382</v>
      </c>
      <c r="G5" s="358" t="s">
        <v>381</v>
      </c>
      <c r="H5" s="359" t="s">
        <v>382</v>
      </c>
      <c r="I5" s="358" t="s">
        <v>381</v>
      </c>
      <c r="J5" s="359" t="s">
        <v>382</v>
      </c>
      <c r="K5" s="358" t="s">
        <v>381</v>
      </c>
      <c r="L5" s="359" t="s">
        <v>382</v>
      </c>
      <c r="M5" s="358" t="s">
        <v>381</v>
      </c>
      <c r="N5" s="359" t="s">
        <v>382</v>
      </c>
      <c r="O5" s="358" t="s">
        <v>381</v>
      </c>
      <c r="P5" s="359" t="s">
        <v>382</v>
      </c>
      <c r="Q5" s="358" t="s">
        <v>381</v>
      </c>
      <c r="R5" s="359" t="s">
        <v>382</v>
      </c>
      <c r="S5" s="358" t="s">
        <v>381</v>
      </c>
      <c r="T5" s="359" t="s">
        <v>382</v>
      </c>
      <c r="U5" s="358" t="s">
        <v>381</v>
      </c>
      <c r="V5" s="359" t="s">
        <v>382</v>
      </c>
      <c r="W5" s="419" t="s">
        <v>381</v>
      </c>
      <c r="X5" s="359" t="s">
        <v>382</v>
      </c>
      <c r="Y5" s="419" t="s">
        <v>381</v>
      </c>
      <c r="Z5" s="359" t="s">
        <v>382</v>
      </c>
      <c r="AA5" s="419" t="s">
        <v>381</v>
      </c>
      <c r="AB5" s="359" t="s">
        <v>382</v>
      </c>
      <c r="AC5" s="419" t="s">
        <v>381</v>
      </c>
      <c r="AD5" s="359" t="s">
        <v>382</v>
      </c>
      <c r="AE5" s="419" t="s">
        <v>381</v>
      </c>
      <c r="AF5" s="359" t="s">
        <v>382</v>
      </c>
      <c r="AG5" s="419" t="s">
        <v>381</v>
      </c>
      <c r="AH5" s="359" t="s">
        <v>382</v>
      </c>
      <c r="AI5" s="419" t="s">
        <v>381</v>
      </c>
      <c r="AJ5" s="359" t="s">
        <v>382</v>
      </c>
      <c r="AK5" s="419" t="s">
        <v>381</v>
      </c>
      <c r="AL5" s="496" t="s">
        <v>382</v>
      </c>
      <c r="AM5" s="419" t="s">
        <v>381</v>
      </c>
      <c r="AN5" s="496" t="s">
        <v>382</v>
      </c>
      <c r="AO5" s="419" t="s">
        <v>381</v>
      </c>
      <c r="AP5" s="496" t="s">
        <v>382</v>
      </c>
      <c r="AQ5" s="419" t="s">
        <v>381</v>
      </c>
      <c r="AR5" s="496" t="s">
        <v>382</v>
      </c>
      <c r="AS5" s="419" t="s">
        <v>381</v>
      </c>
      <c r="AT5" s="496" t="s">
        <v>382</v>
      </c>
      <c r="AU5" s="419" t="s">
        <v>381</v>
      </c>
      <c r="AV5" s="496" t="s">
        <v>382</v>
      </c>
      <c r="AW5" s="419" t="s">
        <v>381</v>
      </c>
      <c r="AX5" s="496" t="s">
        <v>382</v>
      </c>
      <c r="AY5" s="419" t="s">
        <v>381</v>
      </c>
      <c r="AZ5" s="496" t="s">
        <v>382</v>
      </c>
      <c r="BA5" s="419" t="s">
        <v>381</v>
      </c>
      <c r="BB5" s="496" t="s">
        <v>382</v>
      </c>
      <c r="BC5" s="419" t="s">
        <v>381</v>
      </c>
      <c r="BD5" s="496" t="s">
        <v>382</v>
      </c>
      <c r="BE5" s="419" t="s">
        <v>381</v>
      </c>
      <c r="BF5" s="496" t="s">
        <v>382</v>
      </c>
      <c r="BG5" s="419" t="s">
        <v>381</v>
      </c>
      <c r="BH5" s="496" t="s">
        <v>382</v>
      </c>
      <c r="BI5" s="419" t="s">
        <v>381</v>
      </c>
      <c r="BJ5" s="496" t="s">
        <v>382</v>
      </c>
      <c r="BK5" s="419" t="s">
        <v>381</v>
      </c>
      <c r="BL5" s="496" t="s">
        <v>382</v>
      </c>
      <c r="BM5" s="419" t="s">
        <v>381</v>
      </c>
      <c r="BN5" s="496" t="s">
        <v>382</v>
      </c>
      <c r="BO5" s="419" t="s">
        <v>381</v>
      </c>
      <c r="BP5" s="496" t="s">
        <v>382</v>
      </c>
      <c r="BQ5" s="419" t="s">
        <v>381</v>
      </c>
      <c r="BR5" s="496" t="s">
        <v>382</v>
      </c>
      <c r="BS5" s="419" t="s">
        <v>381</v>
      </c>
      <c r="BT5" s="496" t="s">
        <v>382</v>
      </c>
      <c r="BU5" s="419" t="s">
        <v>381</v>
      </c>
      <c r="BV5" s="496" t="s">
        <v>382</v>
      </c>
      <c r="BW5" s="419" t="s">
        <v>381</v>
      </c>
      <c r="BX5" s="496" t="s">
        <v>382</v>
      </c>
      <c r="BY5" s="419" t="s">
        <v>381</v>
      </c>
      <c r="BZ5" s="496" t="s">
        <v>382</v>
      </c>
      <c r="CA5" s="416"/>
    </row>
    <row r="6" spans="2:80" hidden="1" x14ac:dyDescent="0.35">
      <c r="B6" s="360" t="s">
        <v>383</v>
      </c>
      <c r="C6" s="397">
        <f>736.476216810411-225</f>
        <v>511.47621681041096</v>
      </c>
      <c r="D6" s="398">
        <f>+' PCR Enkador'!S139</f>
        <v>1511.4315793908329</v>
      </c>
      <c r="E6" s="397">
        <f t="shared" ref="E6:H6" si="0">+C9</f>
        <v>100.86725028541093</v>
      </c>
      <c r="F6" s="398">
        <f t="shared" si="0"/>
        <v>1531.7446399937737</v>
      </c>
      <c r="G6" s="397">
        <f t="shared" si="0"/>
        <v>531.39019326041102</v>
      </c>
      <c r="H6" s="398">
        <f t="shared" si="0"/>
        <v>1724.5587170675785</v>
      </c>
      <c r="I6" s="397">
        <f>+G9-225</f>
        <v>1745.8101932604113</v>
      </c>
      <c r="J6" s="398">
        <f t="shared" ref="J6" si="1">+H9</f>
        <v>1699.9966447831735</v>
      </c>
      <c r="K6" s="397">
        <f>+I9-255</f>
        <v>1310.6301932604115</v>
      </c>
      <c r="L6" s="398">
        <f t="shared" ref="L6" si="2">+J9</f>
        <v>1690.2249456104021</v>
      </c>
      <c r="M6" s="397">
        <f t="shared" ref="M6" si="3">+K9</f>
        <v>1052.9701932604116</v>
      </c>
      <c r="N6" s="398">
        <f t="shared" ref="N6" si="4">+L9</f>
        <v>1699.0064798607102</v>
      </c>
      <c r="O6" s="397">
        <f t="shared" ref="O6" si="5">+M9</f>
        <v>950.09019326041164</v>
      </c>
      <c r="P6" s="399">
        <f t="shared" ref="P6" si="6">+N9</f>
        <v>1698.7785121302347</v>
      </c>
      <c r="Q6" s="397">
        <f>+O9</f>
        <v>750.9901932604115</v>
      </c>
      <c r="R6" s="399">
        <f t="shared" ref="R6" si="7">+P9</f>
        <v>1730.0096796994926</v>
      </c>
      <c r="S6" s="397">
        <f>+Q9</f>
        <v>482.05630823541151</v>
      </c>
      <c r="T6" s="399">
        <f t="shared" ref="T6" si="8">+R9</f>
        <v>1773.5613698859654</v>
      </c>
      <c r="U6" s="397">
        <f>+S9</f>
        <v>173.96349003541138</v>
      </c>
      <c r="V6" s="399">
        <f t="shared" ref="V6" si="9">+T9</f>
        <v>1784.8755031362148</v>
      </c>
      <c r="W6" s="420">
        <f>+U9</f>
        <v>99.994893785411477</v>
      </c>
      <c r="X6" s="399">
        <f t="shared" ref="X6" si="10">+V9</f>
        <v>1784.8627904875952</v>
      </c>
      <c r="Y6" s="420">
        <f>+W9</f>
        <v>164.59679961041138</v>
      </c>
      <c r="Z6" s="399">
        <f t="shared" ref="Z6" si="11">+X9</f>
        <v>1813.0215091949406</v>
      </c>
      <c r="AA6" s="420">
        <f>+Y9</f>
        <v>520.9971298354111</v>
      </c>
      <c r="AB6" s="399">
        <f t="shared" ref="AB6" si="12">+Z9</f>
        <v>1904.7514447411731</v>
      </c>
      <c r="AC6" s="420">
        <f>+AA9</f>
        <v>786.33344441041129</v>
      </c>
      <c r="AD6" s="399">
        <f t="shared" ref="AD6" si="13">+AB9</f>
        <v>1962.2860661850234</v>
      </c>
      <c r="AE6" s="420">
        <f>+AC9</f>
        <v>1153.3334444104112</v>
      </c>
      <c r="AF6" s="399">
        <f t="shared" ref="AF6" si="14">+AD9</f>
        <v>1845.7119798851147</v>
      </c>
      <c r="AG6" s="420">
        <f>+AE9</f>
        <v>1406.5983490104111</v>
      </c>
      <c r="AH6" s="399">
        <f t="shared" ref="AH6" si="15">+AF9</f>
        <v>1890.2730666010166</v>
      </c>
      <c r="AI6" s="420">
        <f>+AG9</f>
        <v>1440.5983490104109</v>
      </c>
      <c r="AJ6" s="399">
        <f t="shared" ref="AJ6" si="16">+AH9</f>
        <v>1917.1799012981705</v>
      </c>
      <c r="AK6" s="420">
        <f>+AI9</f>
        <v>1201.9983490104109</v>
      </c>
      <c r="AL6" s="399">
        <f t="shared" ref="AL6" si="17">+AJ9</f>
        <v>1943.4781005633749</v>
      </c>
      <c r="AM6" s="420">
        <f>+AK9</f>
        <v>303.49834901041095</v>
      </c>
      <c r="AN6" s="399">
        <f t="shared" ref="AN6" si="18">+AL9</f>
        <v>1943.4781005633749</v>
      </c>
      <c r="AO6" s="420">
        <f>+AM9</f>
        <v>303.49834901041095</v>
      </c>
      <c r="AP6" s="399">
        <f t="shared" ref="AP6" si="19">+AN9</f>
        <v>2034.9008161852573</v>
      </c>
      <c r="AQ6" s="420">
        <f>+AO9</f>
        <v>293.60956561041098</v>
      </c>
      <c r="AR6" s="399">
        <f t="shared" ref="AR6" si="20">+AP9</f>
        <v>2114.7268131722512</v>
      </c>
      <c r="AS6" s="420">
        <f>+AQ9</f>
        <v>193.60956561041098</v>
      </c>
      <c r="AT6" s="399">
        <f t="shared" ref="AT6" si="21">+AR9</f>
        <v>2187.7265149697205</v>
      </c>
      <c r="AU6" s="420">
        <f>+AS9</f>
        <v>295.33450216041092</v>
      </c>
      <c r="AV6" s="399">
        <f t="shared" ref="AV6" si="22">+AT9</f>
        <v>2235.0890180084702</v>
      </c>
      <c r="AW6" s="420">
        <f>+AU9</f>
        <v>179.12001583541087</v>
      </c>
      <c r="AX6" s="399">
        <f t="shared" ref="AX6" si="23">+AV9</f>
        <v>2269.3398181541661</v>
      </c>
      <c r="AY6" s="420">
        <f>+AW9</f>
        <v>43.919371010410941</v>
      </c>
      <c r="AZ6" s="399">
        <f t="shared" ref="AZ6" si="24">+AX9</f>
        <v>2218.3558998675344</v>
      </c>
      <c r="BA6" s="420">
        <f>+AY9</f>
        <v>29.919371010410941</v>
      </c>
      <c r="BB6" s="399">
        <f t="shared" ref="BB6" si="25">+AZ9</f>
        <v>2236.8571959832875</v>
      </c>
      <c r="BC6" s="420">
        <f>+BA9</f>
        <v>135.70426218541093</v>
      </c>
      <c r="BD6" s="399">
        <f t="shared" ref="BD6" si="26">+BB9</f>
        <v>2321.275438326265</v>
      </c>
      <c r="BE6" s="420">
        <f>+BA9</f>
        <v>135.70426218541093</v>
      </c>
      <c r="BF6" s="399">
        <f t="shared" ref="BF6" si="27">+BB9</f>
        <v>2321.275438326265</v>
      </c>
      <c r="BG6" s="420">
        <f>+BC9</f>
        <v>126.00426218541088</v>
      </c>
      <c r="BH6" s="399">
        <f t="shared" ref="BH6" si="28">+BD9</f>
        <v>2410.4812551255363</v>
      </c>
      <c r="BI6" s="420">
        <f>+BE9</f>
        <v>41.82426218541093</v>
      </c>
      <c r="BJ6" s="399">
        <f t="shared" ref="BJ6" si="29">+BF9</f>
        <v>2410.8752553973495</v>
      </c>
      <c r="BK6" s="420">
        <f>+BG9</f>
        <v>126.00426218541088</v>
      </c>
      <c r="BL6" s="399">
        <f t="shared" ref="BL6" si="30">+BH9</f>
        <v>2358.2487742672233</v>
      </c>
      <c r="BM6" s="420">
        <f>+BI9</f>
        <v>41.82426218541093</v>
      </c>
      <c r="BN6" s="399">
        <f t="shared" ref="BN6" si="31">+BJ9</f>
        <v>119.77925002576144</v>
      </c>
      <c r="BO6" s="420">
        <f>+BK9</f>
        <v>126.00426218541088</v>
      </c>
      <c r="BP6" s="399">
        <f t="shared" ref="BP6" si="32">+BL9</f>
        <v>320.89419993586773</v>
      </c>
      <c r="BQ6" s="420">
        <f>+BM9</f>
        <v>41.82426218541093</v>
      </c>
      <c r="BR6" s="399">
        <f t="shared" ref="BR6" si="33">+BN9</f>
        <v>5.9509792987481704</v>
      </c>
      <c r="BS6" s="420">
        <f>+BO9</f>
        <v>126.00426218541088</v>
      </c>
      <c r="BT6" s="399">
        <f t="shared" ref="BT6" si="34">+BP9</f>
        <v>43.665065652150062</v>
      </c>
      <c r="BU6" s="420">
        <f>+BQ9</f>
        <v>41.82426218541093</v>
      </c>
      <c r="BV6" s="399">
        <f t="shared" ref="BV6" si="35">+BR9</f>
        <v>0.29566184966521808</v>
      </c>
      <c r="BW6" s="420">
        <f>+BS9</f>
        <v>126.00426218541088</v>
      </c>
      <c r="BX6" s="399">
        <f t="shared" ref="BX6" si="36">+BT9</f>
        <v>5.9416404496797544</v>
      </c>
      <c r="BY6" s="420">
        <f>+BU9</f>
        <v>41.82426218541093</v>
      </c>
      <c r="BZ6" s="399">
        <f t="shared" ref="BZ6" si="37">+BV9</f>
        <v>1.4689335142847273E-2</v>
      </c>
      <c r="CA6" s="416"/>
    </row>
    <row r="7" spans="2:80" hidden="1" x14ac:dyDescent="0.35">
      <c r="B7" s="361" t="s">
        <v>384</v>
      </c>
      <c r="C7" s="400">
        <v>260</v>
      </c>
      <c r="D7" s="401">
        <f>+' PCR Enkador'!T139</f>
        <v>1571.7048222592841</v>
      </c>
      <c r="E7" s="400">
        <v>790</v>
      </c>
      <c r="F7" s="401">
        <f>+' PCR Enkador'!U139</f>
        <v>1749.1772307014442</v>
      </c>
      <c r="G7" s="400">
        <v>1720</v>
      </c>
      <c r="H7" s="401">
        <f>+' PCR Enkador'!V139</f>
        <v>1692.4082469121936</v>
      </c>
      <c r="I7" s="400">
        <v>425</v>
      </c>
      <c r="J7" s="401">
        <f>+' PCR Enkador'!W139</f>
        <v>1650.0848702661715</v>
      </c>
      <c r="K7" s="400">
        <v>554</v>
      </c>
      <c r="L7" s="401">
        <f>+' PCR Enkador'!X139</f>
        <v>1719.7814689069273</v>
      </c>
      <c r="M7" s="400">
        <v>577</v>
      </c>
      <c r="N7" s="401">
        <f>+' PCR Enkador'!Y139</f>
        <v>1698.3624926757873</v>
      </c>
      <c r="O7" s="400">
        <v>526.27</v>
      </c>
      <c r="P7" s="402">
        <f>+' PCR Enkador'!Z139</f>
        <v>1786.3921944383619</v>
      </c>
      <c r="Q7" s="400">
        <v>552.07000000000005</v>
      </c>
      <c r="R7" s="402">
        <f>+' PCR Enkador'!AA139</f>
        <v>1832.805473405368</v>
      </c>
      <c r="S7" s="403">
        <f>474+100</f>
        <v>574</v>
      </c>
      <c r="T7" s="402">
        <f>+' PCR Enkador'!AB139</f>
        <v>1794.3773311945754</v>
      </c>
      <c r="U7" s="403">
        <v>957</v>
      </c>
      <c r="V7" s="402">
        <f>+' PCR Enkador'!AC139</f>
        <v>1784.8604795819303</v>
      </c>
      <c r="W7" s="421">
        <v>1163</v>
      </c>
      <c r="X7" s="402">
        <f>+' PCR Enkador'!AD139</f>
        <v>1815.4425995528729</v>
      </c>
      <c r="Y7" s="421">
        <v>1221</v>
      </c>
      <c r="Z7" s="402">
        <f>+' PCR Enkador'!AE139</f>
        <v>1917.1170907848905</v>
      </c>
      <c r="AA7" s="421">
        <v>1100</v>
      </c>
      <c r="AB7" s="402">
        <f>+' PCR Enkador'!AF139</f>
        <v>1989.5364049472171</v>
      </c>
      <c r="AC7" s="421">
        <v>1100</v>
      </c>
      <c r="AD7" s="402">
        <f>+' PCR Enkador'!AG139</f>
        <v>1762.3791591494746</v>
      </c>
      <c r="AE7" s="421">
        <v>1100</v>
      </c>
      <c r="AF7" s="402">
        <f>+' PCR Enkador'!AH139</f>
        <v>1936.9946953544004</v>
      </c>
      <c r="AG7" s="421">
        <v>869</v>
      </c>
      <c r="AH7" s="402">
        <f>+' PCR Enkador'!AI139</f>
        <v>1960.7323860646977</v>
      </c>
      <c r="AI7" s="421">
        <v>600</v>
      </c>
      <c r="AJ7" s="402">
        <f>+' PCR Enkador'!AJ139</f>
        <v>2006.6200046357087</v>
      </c>
      <c r="AK7" s="421"/>
      <c r="AL7" s="402">
        <f>+' PCR Enkador'!AK139</f>
        <v>2038.1934573861074</v>
      </c>
      <c r="AM7" s="421">
        <v>800</v>
      </c>
      <c r="AN7" s="402">
        <f>+' PCR Enkador'!AL139</f>
        <v>2069.5841202518686</v>
      </c>
      <c r="AO7" s="421">
        <v>800</v>
      </c>
      <c r="AP7" s="402">
        <f>+' PCR Enkador'!AM139</f>
        <v>2145.0106360393302</v>
      </c>
      <c r="AQ7" s="421">
        <v>800</v>
      </c>
      <c r="AR7" s="402">
        <f>+' PCR Enkador'!AN139</f>
        <v>2214.5182783877758</v>
      </c>
      <c r="AS7" s="421">
        <v>1000</v>
      </c>
      <c r="AT7" s="402">
        <f>+' PCR Enkador'!AO139</f>
        <v>2244.2588516480246</v>
      </c>
      <c r="AU7" s="421">
        <v>800</v>
      </c>
      <c r="AV7" s="402">
        <f>+' PCR Enkador'!AP139</f>
        <v>2281.9841219161976</v>
      </c>
      <c r="AW7" s="421">
        <v>800</v>
      </c>
      <c r="AX7" s="402">
        <f>+' PCR Enkador'!AQ139</f>
        <v>2206.9405995539732</v>
      </c>
      <c r="AY7" s="421">
        <v>800</v>
      </c>
      <c r="AZ7" s="402">
        <f>+' PCR Enkador'!AR139</f>
        <v>2237.8729025936364</v>
      </c>
      <c r="BA7" s="421">
        <v>800</v>
      </c>
      <c r="BB7" s="402">
        <f>+' PCR Enkador'!AS139</f>
        <v>2324.4326142171481</v>
      </c>
      <c r="BC7" s="421">
        <v>800</v>
      </c>
      <c r="BD7" s="402">
        <f>+' PCR Enkador'!AT139</f>
        <v>2425.6132670647744</v>
      </c>
      <c r="BE7" s="421">
        <v>800</v>
      </c>
      <c r="BF7" s="402">
        <f>+' PCR Enkador'!AU139</f>
        <v>2426.0741017318292</v>
      </c>
      <c r="BG7" s="421">
        <v>800</v>
      </c>
      <c r="BH7" s="402">
        <f>+' PCR Enkador'!AV139</f>
        <v>2350.0218802513937</v>
      </c>
      <c r="BI7" s="421">
        <v>800</v>
      </c>
      <c r="BJ7" s="402">
        <f>+' PCR Enkador'!BG139</f>
        <v>0</v>
      </c>
      <c r="BK7" s="421">
        <v>800</v>
      </c>
      <c r="BL7" s="402">
        <f>+' PCR Enkador'!BI139</f>
        <v>0</v>
      </c>
      <c r="BM7" s="421">
        <v>800</v>
      </c>
      <c r="BN7" s="402">
        <f>+' PCR Enkador'!BK139</f>
        <v>0</v>
      </c>
      <c r="BO7" s="421">
        <v>800</v>
      </c>
      <c r="BP7" s="402">
        <f>+' PCR Enkador'!BM139</f>
        <v>0</v>
      </c>
      <c r="BQ7" s="421">
        <v>800</v>
      </c>
      <c r="BR7" s="402">
        <f>+' PCR Enkador'!BO139</f>
        <v>0</v>
      </c>
      <c r="BS7" s="421">
        <v>800</v>
      </c>
      <c r="BT7" s="402">
        <f>+' PCR Enkador'!BQ139</f>
        <v>0</v>
      </c>
      <c r="BU7" s="421">
        <v>800</v>
      </c>
      <c r="BV7" s="402">
        <f>+' PCR Enkador'!BS139</f>
        <v>0</v>
      </c>
      <c r="BW7" s="421">
        <v>800</v>
      </c>
      <c r="BX7" s="402">
        <f>+' PCR Enkador'!BU139</f>
        <v>0</v>
      </c>
      <c r="BY7" s="421">
        <v>800</v>
      </c>
      <c r="BZ7" s="402">
        <f>+' PCR Enkador'!BW139</f>
        <v>0</v>
      </c>
      <c r="CA7" s="416"/>
    </row>
    <row r="8" spans="2:80" hidden="1" x14ac:dyDescent="0.35">
      <c r="B8" s="361" t="s">
        <v>385</v>
      </c>
      <c r="C8" s="400">
        <v>670.60896652500003</v>
      </c>
      <c r="D8" s="404">
        <f>+D13</f>
        <v>1531.7446399937735</v>
      </c>
      <c r="E8" s="400">
        <v>359.47705702499991</v>
      </c>
      <c r="F8" s="404">
        <f>+F13</f>
        <v>1724.5587170675783</v>
      </c>
      <c r="G8" s="400">
        <v>280.58</v>
      </c>
      <c r="H8" s="404">
        <f>+H13</f>
        <v>1699.9966447831737</v>
      </c>
      <c r="I8" s="400">
        <v>605.17999999999995</v>
      </c>
      <c r="J8" s="404">
        <f>+J13</f>
        <v>1690.2249456104023</v>
      </c>
      <c r="K8" s="400">
        <v>811.66</v>
      </c>
      <c r="L8" s="404">
        <f>+L13</f>
        <v>1699.0064798607102</v>
      </c>
      <c r="M8" s="400">
        <v>679.88</v>
      </c>
      <c r="N8" s="404">
        <f>+N13</f>
        <v>1698.7785121302345</v>
      </c>
      <c r="O8" s="400">
        <v>725.37</v>
      </c>
      <c r="P8" s="402">
        <f>+P13</f>
        <v>1730.0096796994928</v>
      </c>
      <c r="Q8" s="400">
        <v>821.00388502500005</v>
      </c>
      <c r="R8" s="402">
        <f>+R13</f>
        <v>1773.5613698859654</v>
      </c>
      <c r="S8" s="400">
        <v>882.09281820000012</v>
      </c>
      <c r="T8" s="402">
        <f>+T13</f>
        <v>1784.875503136215</v>
      </c>
      <c r="U8" s="400">
        <v>1030.9685962499998</v>
      </c>
      <c r="V8" s="423">
        <f>+V13</f>
        <v>1784.8627904875955</v>
      </c>
      <c r="W8" s="418">
        <v>1098.3980941750001</v>
      </c>
      <c r="X8" s="402">
        <f>+X13</f>
        <v>1813.0215091949415</v>
      </c>
      <c r="Y8" s="418">
        <v>864.59966977500028</v>
      </c>
      <c r="Z8" s="402">
        <f>+Z13</f>
        <v>1904.7514447411731</v>
      </c>
      <c r="AA8" s="418">
        <v>834.66368542499993</v>
      </c>
      <c r="AB8" s="402">
        <f>+AB13</f>
        <v>1962.2860661850234</v>
      </c>
      <c r="AC8" s="418">
        <v>733</v>
      </c>
      <c r="AD8" s="402">
        <f>+AD13</f>
        <v>1845.7119798851147</v>
      </c>
      <c r="AE8" s="418">
        <v>846.73509540000009</v>
      </c>
      <c r="AF8" s="402">
        <f>+AF13</f>
        <v>1890.2730666010168</v>
      </c>
      <c r="AG8" s="418">
        <v>835</v>
      </c>
      <c r="AH8" s="402">
        <f>+AH13</f>
        <v>1917.1799012981703</v>
      </c>
      <c r="AI8" s="418">
        <v>838.6</v>
      </c>
      <c r="AJ8" s="402">
        <f>+AJ13</f>
        <v>1943.4781005633749</v>
      </c>
      <c r="AK8" s="418">
        <v>898.5</v>
      </c>
      <c r="AL8" s="402">
        <f>+AL13</f>
        <v>1943.4781005633749</v>
      </c>
      <c r="AM8" s="418">
        <v>800</v>
      </c>
      <c r="AN8" s="405">
        <f>+AN13</f>
        <v>2034.9008161852571</v>
      </c>
      <c r="AO8" s="418">
        <v>809.88878339999997</v>
      </c>
      <c r="AP8" s="402">
        <f>+AP13</f>
        <v>2114.7268131722517</v>
      </c>
      <c r="AQ8" s="418">
        <v>900</v>
      </c>
      <c r="AR8" s="402">
        <f>+AR13</f>
        <v>2187.72651496972</v>
      </c>
      <c r="AS8" s="418">
        <v>898.27506345000006</v>
      </c>
      <c r="AT8" s="402">
        <f>+AT13</f>
        <v>2235.0890180084707</v>
      </c>
      <c r="AU8" s="418">
        <v>916.21448632500005</v>
      </c>
      <c r="AV8" s="402">
        <f>+AV13</f>
        <v>2269.3398181541666</v>
      </c>
      <c r="AW8" s="418">
        <v>935.20064482499993</v>
      </c>
      <c r="AX8" s="402">
        <f>+AX13</f>
        <v>2218.3558998675385</v>
      </c>
      <c r="AY8" s="418">
        <v>814</v>
      </c>
      <c r="AZ8" s="402">
        <f>+AZ13</f>
        <v>2236.8571959832848</v>
      </c>
      <c r="BA8" s="418">
        <v>694.21510882500002</v>
      </c>
      <c r="BB8" s="402">
        <f>+BB13</f>
        <v>2321.275438326265</v>
      </c>
      <c r="BC8" s="418">
        <v>809.7</v>
      </c>
      <c r="BD8" s="402">
        <f>+BD13</f>
        <v>2410.4812551255345</v>
      </c>
      <c r="BE8" s="418">
        <v>893.88</v>
      </c>
      <c r="BF8" s="402">
        <f>+BF13</f>
        <v>2410.8752553973541</v>
      </c>
      <c r="BG8" s="418">
        <v>800</v>
      </c>
      <c r="BH8" s="405">
        <f>+BH13</f>
        <v>2358.2487742672251</v>
      </c>
      <c r="BI8" s="418">
        <v>800</v>
      </c>
      <c r="BJ8" s="405">
        <f>+BJ13</f>
        <v>119.7792500257612</v>
      </c>
      <c r="BK8" s="418">
        <v>800</v>
      </c>
      <c r="BL8" s="405">
        <f>+BL13</f>
        <v>320.8941999358679</v>
      </c>
      <c r="BM8" s="418">
        <v>800</v>
      </c>
      <c r="BN8" s="405">
        <f>+BN13</f>
        <v>5.950979298748174</v>
      </c>
      <c r="BO8" s="418">
        <v>800</v>
      </c>
      <c r="BP8" s="405">
        <f>+BP13</f>
        <v>43.665065652150055</v>
      </c>
      <c r="BQ8" s="418">
        <v>800</v>
      </c>
      <c r="BR8" s="405">
        <f>+BR13</f>
        <v>0.29566184966521841</v>
      </c>
      <c r="BS8" s="418">
        <v>800</v>
      </c>
      <c r="BT8" s="405">
        <f>+BT13</f>
        <v>5.9416404496797561</v>
      </c>
      <c r="BU8" s="418">
        <v>800</v>
      </c>
      <c r="BV8" s="405">
        <f>+BV13</f>
        <v>1.468933514284727E-2</v>
      </c>
      <c r="BW8" s="418">
        <v>800</v>
      </c>
      <c r="BX8" s="405">
        <f>+BX13</f>
        <v>0.80849738128201631</v>
      </c>
      <c r="BY8" s="418">
        <v>800</v>
      </c>
      <c r="BZ8" s="405">
        <f>+BZ13</f>
        <v>7.2980862151547329E-4</v>
      </c>
      <c r="CA8" s="416"/>
    </row>
    <row r="9" spans="2:80" ht="15" hidden="1" thickBot="1" x14ac:dyDescent="0.4">
      <c r="B9" s="362" t="s">
        <v>386</v>
      </c>
      <c r="C9" s="406">
        <f>+C6+C7-C8</f>
        <v>100.86725028541093</v>
      </c>
      <c r="D9" s="407">
        <f>+(C6*D6+C7*D7-C8*D8)/C9</f>
        <v>1531.7446399937737</v>
      </c>
      <c r="E9" s="406">
        <f>+E6+E7-E8</f>
        <v>531.39019326041102</v>
      </c>
      <c r="F9" s="407">
        <f>+(E6*F6+E7*F7-E8*F8)/E9</f>
        <v>1724.5587170675785</v>
      </c>
      <c r="G9" s="406">
        <f>+G6+G7-G8</f>
        <v>1970.8101932604113</v>
      </c>
      <c r="H9" s="407">
        <f>+(G6*H6+G7*H7-G8*H8)/G9</f>
        <v>1699.9966447831735</v>
      </c>
      <c r="I9" s="406">
        <f>+I6+I7-I8</f>
        <v>1565.6301932604115</v>
      </c>
      <c r="J9" s="407">
        <f>+(I6*J6+I7*J7-I8*J8)/I9</f>
        <v>1690.2249456104021</v>
      </c>
      <c r="K9" s="406">
        <f>+K6+K7-K8</f>
        <v>1052.9701932604116</v>
      </c>
      <c r="L9" s="407">
        <f>+(K6*L6+K7*L7-K8*L8)/K9</f>
        <v>1699.0064798607102</v>
      </c>
      <c r="M9" s="406">
        <f>+M6+M7-M8</f>
        <v>950.09019326041164</v>
      </c>
      <c r="N9" s="407">
        <f>+(M6*N6+M7*N7-M8*N8)/M9</f>
        <v>1698.7785121302347</v>
      </c>
      <c r="O9" s="406">
        <f>+O6+O7-O8</f>
        <v>750.9901932604115</v>
      </c>
      <c r="P9" s="408">
        <f>+(O6*P6+O7*P7-O8*P8)/O9</f>
        <v>1730.0096796994926</v>
      </c>
      <c r="Q9" s="406">
        <f>+Q6+Q7-Q8</f>
        <v>482.05630823541151</v>
      </c>
      <c r="R9" s="408">
        <f>+(Q6*R6+Q7*R7-Q8*R8)/Q9</f>
        <v>1773.5613698859654</v>
      </c>
      <c r="S9" s="406">
        <f>+S6+S7-S8</f>
        <v>173.96349003541138</v>
      </c>
      <c r="T9" s="408">
        <f>+(S6*T6+S7*T7-S8*T8)/S9</f>
        <v>1784.8755031362148</v>
      </c>
      <c r="U9" s="406">
        <f>+U6+U7-U8</f>
        <v>99.994893785411477</v>
      </c>
      <c r="V9" s="408">
        <f>+(U6*V6+U7*V7-U8*V8)/U9</f>
        <v>1784.8627904875952</v>
      </c>
      <c r="W9" s="422">
        <f>+W6+W7-W8</f>
        <v>164.59679961041138</v>
      </c>
      <c r="X9" s="408">
        <f>+(W6*X6+W7*X7-W8*X8)/W9</f>
        <v>1813.0215091949406</v>
      </c>
      <c r="Y9" s="422">
        <f>+Y6+Y7-Y8</f>
        <v>520.9971298354111</v>
      </c>
      <c r="Z9" s="408">
        <f>+(Y6*Z6+Y7*Z7-Y8*Z8)/Y9</f>
        <v>1904.7514447411731</v>
      </c>
      <c r="AA9" s="422">
        <f>+AA6+AA7-AA8</f>
        <v>786.33344441041129</v>
      </c>
      <c r="AB9" s="408">
        <f>+(AA6*AB6+AA7*AB7-AA8*AB8)/AA9</f>
        <v>1962.2860661850234</v>
      </c>
      <c r="AC9" s="422">
        <f>+AC6+AC7-AC8</f>
        <v>1153.3334444104112</v>
      </c>
      <c r="AD9" s="408">
        <f>+(AC6*AD6+AC7*AD7-AC8*AD8)/AC9</f>
        <v>1845.7119798851147</v>
      </c>
      <c r="AE9" s="422">
        <f>+AE6+AE7-AE8</f>
        <v>1406.5983490104111</v>
      </c>
      <c r="AF9" s="408">
        <f>+(AE6*AF6+AE7*AF7-AE8*AF8)/AE9</f>
        <v>1890.2730666010166</v>
      </c>
      <c r="AG9" s="422">
        <f>+AG6+AG7-AG8</f>
        <v>1440.5983490104109</v>
      </c>
      <c r="AH9" s="408">
        <f>+(AG6*AH6+AG7*AH7-AG8*AH8)/AG9</f>
        <v>1917.1799012981705</v>
      </c>
      <c r="AI9" s="422">
        <f>+AI6+AI7-AI8</f>
        <v>1201.9983490104109</v>
      </c>
      <c r="AJ9" s="408">
        <f>+(AI6*AJ6+AI7*AJ7-AI8*AJ8)/AI9</f>
        <v>1943.4781005633749</v>
      </c>
      <c r="AK9" s="422">
        <f>+AK6+AK7-AK8</f>
        <v>303.49834901041095</v>
      </c>
      <c r="AL9" s="408">
        <f>+(AK6*AL6+AK7*AL7-AK8*AL8)/AK9</f>
        <v>1943.4781005633749</v>
      </c>
      <c r="AM9" s="422">
        <f>+AM6+AM7-AM8</f>
        <v>303.49834901041095</v>
      </c>
      <c r="AN9" s="408">
        <f>+(AM6*AN6+AM7*AN7-AM8*AN8)/AM9</f>
        <v>2034.9008161852573</v>
      </c>
      <c r="AO9" s="422">
        <f>+AO6+AO7-AO8</f>
        <v>293.60956561041098</v>
      </c>
      <c r="AP9" s="408">
        <f>+(AO6*AP6+AO7*AP7-AO8*AP8)/AO9</f>
        <v>2114.7268131722512</v>
      </c>
      <c r="AQ9" s="422">
        <f>+AQ6+AQ7-AQ8</f>
        <v>193.60956561041098</v>
      </c>
      <c r="AR9" s="408">
        <f>+(AQ6*AR6+AQ7*AR7-AQ8*AR8)/AQ9</f>
        <v>2187.7265149697205</v>
      </c>
      <c r="AS9" s="422">
        <f>+AS6+AS7-AS8</f>
        <v>295.33450216041092</v>
      </c>
      <c r="AT9" s="408">
        <f>+(AS6*AT6+AS7*AT7-AS8*AT8)/AS9</f>
        <v>2235.0890180084702</v>
      </c>
      <c r="AU9" s="422">
        <f>+AU6+AU7-AU8</f>
        <v>179.12001583541087</v>
      </c>
      <c r="AV9" s="408">
        <f>+(AU6*AV6+AU7*AV7-AU8*AV8)/AU9</f>
        <v>2269.3398181541661</v>
      </c>
      <c r="AW9" s="422">
        <f>+AW6+AW7-AW8</f>
        <v>43.919371010410941</v>
      </c>
      <c r="AX9" s="408">
        <f>+(AW6*AX6+AW7*AX7-AW8*AX8)/AW9</f>
        <v>2218.3558998675344</v>
      </c>
      <c r="AY9" s="422">
        <f>+AY6+AY7-AY8</f>
        <v>29.919371010410941</v>
      </c>
      <c r="AZ9" s="408">
        <f>+(AY6*AZ6+AY7*AZ7-AY8*AZ8)/AY9</f>
        <v>2236.8571959832875</v>
      </c>
      <c r="BA9" s="422">
        <f>+BA6+BA7-BA8</f>
        <v>135.70426218541093</v>
      </c>
      <c r="BB9" s="408">
        <f>+(BA6*BB6+BA7*BB7-BA8*BB8)/BA9</f>
        <v>2321.275438326265</v>
      </c>
      <c r="BC9" s="422">
        <f>+BC6+BC7-BC8</f>
        <v>126.00426218541088</v>
      </c>
      <c r="BD9" s="408">
        <f>+(BC6*BD6+BC7*BD7-BC8*BD8)/BC9</f>
        <v>2410.4812551255363</v>
      </c>
      <c r="BE9" s="422">
        <f>+BE6+BE7-BE8</f>
        <v>41.82426218541093</v>
      </c>
      <c r="BF9" s="408">
        <f>+(BE6*BF6+BE7*BF7-BE8*BF8)/BE9</f>
        <v>2410.8752553973495</v>
      </c>
      <c r="BG9" s="422">
        <f>+BG6+BG7-BG8</f>
        <v>126.00426218541088</v>
      </c>
      <c r="BH9" s="408">
        <f>+(BG6*BH6+BG7*BH7-BG8*BH8)/BG9</f>
        <v>2358.2487742672233</v>
      </c>
      <c r="BI9" s="422">
        <f>+BI6+BI7-BI8</f>
        <v>41.82426218541093</v>
      </c>
      <c r="BJ9" s="408">
        <f>+(BI6*BJ6+BI7*BJ7-BI8*BJ8)/BI9</f>
        <v>119.77925002576144</v>
      </c>
      <c r="BK9" s="422">
        <f>+BK6+BK7-BK8</f>
        <v>126.00426218541088</v>
      </c>
      <c r="BL9" s="408">
        <f>+(BK6*BL6+BK7*BL7-BK8*BL8)/BK9</f>
        <v>320.89419993586773</v>
      </c>
      <c r="BM9" s="422">
        <f>+BM6+BM7-BM8</f>
        <v>41.82426218541093</v>
      </c>
      <c r="BN9" s="408">
        <f>+(BM6*BN6+BM7*BN7-BM8*BN8)/BM9</f>
        <v>5.9509792987481704</v>
      </c>
      <c r="BO9" s="422">
        <f>+BO6+BO7-BO8</f>
        <v>126.00426218541088</v>
      </c>
      <c r="BP9" s="408">
        <f>+(BO6*BP6+BO7*BP7-BO8*BP8)/BO9</f>
        <v>43.665065652150062</v>
      </c>
      <c r="BQ9" s="422">
        <f>+BQ6+BQ7-BQ8</f>
        <v>41.82426218541093</v>
      </c>
      <c r="BR9" s="408">
        <f>+(BQ6*BR6+BQ7*BR7-BQ8*BR8)/BQ9</f>
        <v>0.29566184966521808</v>
      </c>
      <c r="BS9" s="422">
        <f>+BS6+BS7-BS8</f>
        <v>126.00426218541088</v>
      </c>
      <c r="BT9" s="408">
        <f>+(BS6*BT6+BS7*BT7-BS8*BT8)/BS9</f>
        <v>5.9416404496797544</v>
      </c>
      <c r="BU9" s="422">
        <f>+BU6+BU7-BU8</f>
        <v>41.82426218541093</v>
      </c>
      <c r="BV9" s="408">
        <f>+(BU6*BV6+BU7*BV7-BU8*BV8)/BU9</f>
        <v>1.4689335142847273E-2</v>
      </c>
      <c r="BW9" s="422">
        <f>+BW6+BW7-BW8</f>
        <v>126.00426218541088</v>
      </c>
      <c r="BX9" s="408">
        <f>+(BW6*BX6+BW7*BX7-BW8*BX8)/BW9</f>
        <v>0.8084973812820162</v>
      </c>
      <c r="BY9" s="422">
        <f>+BY6+BY7-BY8</f>
        <v>41.82426218541093</v>
      </c>
      <c r="BZ9" s="408">
        <f>+(BY6*BZ6+BY7*BZ7-BY8*BZ8)/BY9</f>
        <v>7.2980862151547318E-4</v>
      </c>
      <c r="CA9" s="416"/>
    </row>
    <row r="10" spans="2:80" hidden="1" x14ac:dyDescent="0.35">
      <c r="B10" s="415"/>
      <c r="O10" s="409"/>
      <c r="BR10" s="88"/>
      <c r="BT10" s="88"/>
      <c r="BV10" s="88"/>
      <c r="BX10" s="88"/>
      <c r="BZ10" s="88"/>
      <c r="CA10" s="416"/>
    </row>
    <row r="11" spans="2:80" hidden="1" x14ac:dyDescent="0.35">
      <c r="C11" s="410">
        <f t="shared" ref="C11:L11" si="38">+C6</f>
        <v>511.47621681041096</v>
      </c>
      <c r="D11" s="411">
        <f t="shared" si="38"/>
        <v>1511.4315793908329</v>
      </c>
      <c r="E11" s="410">
        <f t="shared" si="38"/>
        <v>100.86725028541093</v>
      </c>
      <c r="F11" s="411">
        <f t="shared" si="38"/>
        <v>1531.7446399937737</v>
      </c>
      <c r="G11" s="410">
        <f t="shared" si="38"/>
        <v>531.39019326041102</v>
      </c>
      <c r="H11" s="411">
        <f t="shared" si="38"/>
        <v>1724.5587170675785</v>
      </c>
      <c r="I11" s="410">
        <f t="shared" si="38"/>
        <v>1745.8101932604113</v>
      </c>
      <c r="J11" s="411">
        <f t="shared" si="38"/>
        <v>1699.9966447831735</v>
      </c>
      <c r="K11" s="410">
        <f t="shared" si="38"/>
        <v>1310.6301932604115</v>
      </c>
      <c r="L11" s="411">
        <f t="shared" si="38"/>
        <v>1690.2249456104021</v>
      </c>
      <c r="M11" s="410">
        <f t="shared" ref="M11:N11" si="39">+M6</f>
        <v>1052.9701932604116</v>
      </c>
      <c r="N11" s="411">
        <f t="shared" si="39"/>
        <v>1699.0064798607102</v>
      </c>
      <c r="O11" s="410">
        <f t="shared" ref="O11:P11" si="40">+O6</f>
        <v>950.09019326041164</v>
      </c>
      <c r="P11" s="411">
        <f t="shared" si="40"/>
        <v>1698.7785121302347</v>
      </c>
      <c r="Q11" s="410">
        <f t="shared" ref="Q11:R11" si="41">+Q6</f>
        <v>750.9901932604115</v>
      </c>
      <c r="R11" s="411">
        <f t="shared" si="41"/>
        <v>1730.0096796994926</v>
      </c>
      <c r="S11" s="410">
        <f t="shared" ref="S11:T11" si="42">+S6</f>
        <v>482.05630823541151</v>
      </c>
      <c r="T11" s="411">
        <f t="shared" si="42"/>
        <v>1773.5613698859654</v>
      </c>
      <c r="U11" s="410">
        <f t="shared" ref="U11:V11" si="43">+U6</f>
        <v>173.96349003541138</v>
      </c>
      <c r="V11" s="411">
        <f t="shared" si="43"/>
        <v>1784.8755031362148</v>
      </c>
      <c r="W11" s="410">
        <f t="shared" ref="W11:X11" si="44">+W6</f>
        <v>99.994893785411477</v>
      </c>
      <c r="X11" s="411">
        <f t="shared" si="44"/>
        <v>1784.8627904875952</v>
      </c>
      <c r="Y11" s="410">
        <f t="shared" ref="Y11:Z11" si="45">+Y6</f>
        <v>164.59679961041138</v>
      </c>
      <c r="Z11" s="411">
        <f t="shared" si="45"/>
        <v>1813.0215091949406</v>
      </c>
      <c r="AA11" s="410">
        <f t="shared" ref="AA11:AB11" si="46">+AA6</f>
        <v>520.9971298354111</v>
      </c>
      <c r="AB11" s="411">
        <f t="shared" si="46"/>
        <v>1904.7514447411731</v>
      </c>
      <c r="AC11" s="410">
        <f t="shared" ref="AC11:AD11" si="47">+AC6</f>
        <v>786.33344441041129</v>
      </c>
      <c r="AD11" s="411">
        <f t="shared" si="47"/>
        <v>1962.2860661850234</v>
      </c>
      <c r="AE11" s="410">
        <f t="shared" ref="AE11:AF11" si="48">+AE6</f>
        <v>1153.3334444104112</v>
      </c>
      <c r="AF11" s="411">
        <f t="shared" si="48"/>
        <v>1845.7119798851147</v>
      </c>
      <c r="AG11" s="410">
        <f t="shared" ref="AG11:AH11" si="49">+AG6</f>
        <v>1406.5983490104111</v>
      </c>
      <c r="AH11" s="411">
        <f t="shared" si="49"/>
        <v>1890.2730666010166</v>
      </c>
      <c r="AI11" s="410">
        <f t="shared" ref="AI11:AJ11" si="50">+AI6</f>
        <v>1440.5983490104109</v>
      </c>
      <c r="AJ11" s="411">
        <f t="shared" si="50"/>
        <v>1917.1799012981705</v>
      </c>
      <c r="AK11" s="410">
        <f t="shared" ref="AK11:AL11" si="51">+AK6</f>
        <v>1201.9983490104109</v>
      </c>
      <c r="AL11" s="411">
        <f t="shared" si="51"/>
        <v>1943.4781005633749</v>
      </c>
      <c r="AM11" s="410">
        <f t="shared" ref="AM11:AN11" si="52">+AM6</f>
        <v>303.49834901041095</v>
      </c>
      <c r="AN11" s="411">
        <f t="shared" si="52"/>
        <v>1943.4781005633749</v>
      </c>
      <c r="AO11" s="410">
        <f t="shared" ref="AO11:AP11" si="53">+AO6</f>
        <v>303.49834901041095</v>
      </c>
      <c r="AP11" s="411">
        <f t="shared" si="53"/>
        <v>2034.9008161852573</v>
      </c>
      <c r="AQ11" s="410">
        <f t="shared" ref="AQ11:AR11" si="54">+AQ6</f>
        <v>293.60956561041098</v>
      </c>
      <c r="AR11" s="411">
        <f t="shared" si="54"/>
        <v>2114.7268131722512</v>
      </c>
      <c r="AS11" s="410">
        <f t="shared" ref="AS11:AT11" si="55">+AS6</f>
        <v>193.60956561041098</v>
      </c>
      <c r="AT11" s="411">
        <f t="shared" si="55"/>
        <v>2187.7265149697205</v>
      </c>
      <c r="AU11" s="410">
        <f t="shared" ref="AU11:AV11" si="56">+AU6</f>
        <v>295.33450216041092</v>
      </c>
      <c r="AV11" s="411">
        <f t="shared" si="56"/>
        <v>2235.0890180084702</v>
      </c>
      <c r="AW11" s="410">
        <f t="shared" ref="AW11:AX11" si="57">+AW6</f>
        <v>179.12001583541087</v>
      </c>
      <c r="AX11" s="411">
        <f t="shared" si="57"/>
        <v>2269.3398181541661</v>
      </c>
      <c r="AY11" s="410">
        <f t="shared" ref="AY11:AZ11" si="58">+AY6</f>
        <v>43.919371010410941</v>
      </c>
      <c r="AZ11" s="411">
        <f t="shared" si="58"/>
        <v>2218.3558998675344</v>
      </c>
      <c r="BA11" s="410">
        <f t="shared" ref="BA11:BB11" si="59">+BA6</f>
        <v>29.919371010410941</v>
      </c>
      <c r="BB11" s="411">
        <f t="shared" si="59"/>
        <v>2236.8571959832875</v>
      </c>
      <c r="BC11" s="410">
        <f t="shared" ref="BC11:BF11" si="60">+BC6</f>
        <v>135.70426218541093</v>
      </c>
      <c r="BD11" s="411">
        <f t="shared" si="60"/>
        <v>2321.275438326265</v>
      </c>
      <c r="BE11" s="410">
        <f t="shared" si="60"/>
        <v>135.70426218541093</v>
      </c>
      <c r="BF11" s="411">
        <f t="shared" si="60"/>
        <v>2321.275438326265</v>
      </c>
      <c r="BG11" s="410">
        <f t="shared" ref="BG11:BH11" si="61">+BG6</f>
        <v>126.00426218541088</v>
      </c>
      <c r="BH11" s="411">
        <f t="shared" si="61"/>
        <v>2410.4812551255363</v>
      </c>
      <c r="BI11" s="410">
        <f t="shared" ref="BI11:BJ11" si="62">+BI6</f>
        <v>41.82426218541093</v>
      </c>
      <c r="BJ11" s="411">
        <f t="shared" si="62"/>
        <v>2410.8752553973495</v>
      </c>
      <c r="BK11" s="410">
        <f t="shared" ref="BK11:BL11" si="63">+BK6</f>
        <v>126.00426218541088</v>
      </c>
      <c r="BL11" s="411">
        <f t="shared" si="63"/>
        <v>2358.2487742672233</v>
      </c>
      <c r="BM11" s="410">
        <f t="shared" ref="BM11:BN11" si="64">+BM6</f>
        <v>41.82426218541093</v>
      </c>
      <c r="BN11" s="411">
        <f t="shared" si="64"/>
        <v>119.77925002576144</v>
      </c>
      <c r="BO11" s="410">
        <f t="shared" ref="BO11:BP11" si="65">+BO6</f>
        <v>126.00426218541088</v>
      </c>
      <c r="BP11" s="411">
        <f t="shared" si="65"/>
        <v>320.89419993586773</v>
      </c>
      <c r="BQ11" s="410">
        <f t="shared" ref="BQ11:BR11" si="66">+BQ6</f>
        <v>41.82426218541093</v>
      </c>
      <c r="BR11" s="411">
        <f t="shared" si="66"/>
        <v>5.9509792987481704</v>
      </c>
      <c r="BS11" s="410">
        <f t="shared" ref="BS11:BT11" si="67">+BS6</f>
        <v>126.00426218541088</v>
      </c>
      <c r="BT11" s="411">
        <f t="shared" si="67"/>
        <v>43.665065652150062</v>
      </c>
      <c r="BU11" s="410">
        <f t="shared" ref="BU11:BV11" si="68">+BU6</f>
        <v>41.82426218541093</v>
      </c>
      <c r="BV11" s="411">
        <f t="shared" si="68"/>
        <v>0.29566184966521808</v>
      </c>
      <c r="BW11" s="410">
        <f t="shared" ref="BW11:BX11" si="69">+BW6</f>
        <v>126.00426218541088</v>
      </c>
      <c r="BX11" s="411">
        <f t="shared" si="69"/>
        <v>5.9416404496797544</v>
      </c>
      <c r="BY11" s="410">
        <f t="shared" ref="BY11:BZ11" si="70">+BY6</f>
        <v>41.82426218541093</v>
      </c>
      <c r="BZ11" s="411">
        <f t="shared" si="70"/>
        <v>1.4689335142847273E-2</v>
      </c>
      <c r="CA11" s="416"/>
    </row>
    <row r="12" spans="2:80" hidden="1" x14ac:dyDescent="0.35">
      <c r="C12" s="410">
        <f t="shared" ref="C12:L12" si="71">+C7</f>
        <v>260</v>
      </c>
      <c r="D12" s="411">
        <f t="shared" si="71"/>
        <v>1571.7048222592841</v>
      </c>
      <c r="E12" s="410">
        <f t="shared" si="71"/>
        <v>790</v>
      </c>
      <c r="F12" s="411">
        <f t="shared" si="71"/>
        <v>1749.1772307014442</v>
      </c>
      <c r="G12" s="410">
        <f t="shared" si="71"/>
        <v>1720</v>
      </c>
      <c r="H12" s="411">
        <f t="shared" si="71"/>
        <v>1692.4082469121936</v>
      </c>
      <c r="I12" s="410">
        <f t="shared" si="71"/>
        <v>425</v>
      </c>
      <c r="J12" s="411">
        <f t="shared" si="71"/>
        <v>1650.0848702661715</v>
      </c>
      <c r="K12" s="410">
        <f t="shared" si="71"/>
        <v>554</v>
      </c>
      <c r="L12" s="411">
        <f t="shared" si="71"/>
        <v>1719.7814689069273</v>
      </c>
      <c r="M12" s="410">
        <f t="shared" ref="M12:N12" si="72">+M7</f>
        <v>577</v>
      </c>
      <c r="N12" s="411">
        <f t="shared" si="72"/>
        <v>1698.3624926757873</v>
      </c>
      <c r="O12" s="410">
        <f t="shared" ref="O12:P12" si="73">+O7</f>
        <v>526.27</v>
      </c>
      <c r="P12" s="411">
        <f t="shared" si="73"/>
        <v>1786.3921944383619</v>
      </c>
      <c r="Q12" s="410">
        <f t="shared" ref="Q12:R12" si="74">+Q7</f>
        <v>552.07000000000005</v>
      </c>
      <c r="R12" s="411">
        <f t="shared" si="74"/>
        <v>1832.805473405368</v>
      </c>
      <c r="S12" s="410">
        <f t="shared" ref="S12:T12" si="75">+S7</f>
        <v>574</v>
      </c>
      <c r="T12" s="411">
        <f t="shared" si="75"/>
        <v>1794.3773311945754</v>
      </c>
      <c r="U12" s="410">
        <f t="shared" ref="U12:V12" si="76">+U7</f>
        <v>957</v>
      </c>
      <c r="V12" s="411">
        <f t="shared" si="76"/>
        <v>1784.8604795819303</v>
      </c>
      <c r="W12" s="410">
        <f t="shared" ref="W12:X12" si="77">+W7</f>
        <v>1163</v>
      </c>
      <c r="X12" s="411">
        <f t="shared" si="77"/>
        <v>1815.4425995528729</v>
      </c>
      <c r="Y12" s="410">
        <f t="shared" ref="Y12:Z12" si="78">+Y7</f>
        <v>1221</v>
      </c>
      <c r="Z12" s="411">
        <f t="shared" si="78"/>
        <v>1917.1170907848905</v>
      </c>
      <c r="AA12" s="410">
        <f t="shared" ref="AA12:AB12" si="79">+AA7</f>
        <v>1100</v>
      </c>
      <c r="AB12" s="411">
        <f t="shared" si="79"/>
        <v>1989.5364049472171</v>
      </c>
      <c r="AC12" s="410">
        <f t="shared" ref="AC12:AD12" si="80">+AC7</f>
        <v>1100</v>
      </c>
      <c r="AD12" s="411">
        <f t="shared" si="80"/>
        <v>1762.3791591494746</v>
      </c>
      <c r="AE12" s="410">
        <f t="shared" ref="AE12:AF12" si="81">+AE7</f>
        <v>1100</v>
      </c>
      <c r="AF12" s="411">
        <f t="shared" si="81"/>
        <v>1936.9946953544004</v>
      </c>
      <c r="AG12" s="410">
        <f t="shared" ref="AG12:AH12" si="82">+AG7</f>
        <v>869</v>
      </c>
      <c r="AH12" s="411">
        <f t="shared" si="82"/>
        <v>1960.7323860646977</v>
      </c>
      <c r="AI12" s="410">
        <f t="shared" ref="AI12:AJ12" si="83">+AI7</f>
        <v>600</v>
      </c>
      <c r="AJ12" s="411">
        <f t="shared" si="83"/>
        <v>2006.6200046357087</v>
      </c>
      <c r="AK12" s="410">
        <f t="shared" ref="AK12:AL12" si="84">+AK7</f>
        <v>0</v>
      </c>
      <c r="AL12" s="411">
        <f t="shared" si="84"/>
        <v>2038.1934573861074</v>
      </c>
      <c r="AM12" s="410">
        <f t="shared" ref="AM12:AN12" si="85">+AM7</f>
        <v>800</v>
      </c>
      <c r="AN12" s="411">
        <f t="shared" si="85"/>
        <v>2069.5841202518686</v>
      </c>
      <c r="AO12" s="410">
        <f t="shared" ref="AO12:AP12" si="86">+AO7</f>
        <v>800</v>
      </c>
      <c r="AP12" s="411">
        <f t="shared" si="86"/>
        <v>2145.0106360393302</v>
      </c>
      <c r="AQ12" s="410">
        <f t="shared" ref="AQ12:AR12" si="87">+AQ7</f>
        <v>800</v>
      </c>
      <c r="AR12" s="411">
        <f t="shared" si="87"/>
        <v>2214.5182783877758</v>
      </c>
      <c r="AS12" s="410">
        <f t="shared" ref="AS12:AT12" si="88">+AS7</f>
        <v>1000</v>
      </c>
      <c r="AT12" s="411">
        <f t="shared" si="88"/>
        <v>2244.2588516480246</v>
      </c>
      <c r="AU12" s="410">
        <f t="shared" ref="AU12:AV12" si="89">+AU7</f>
        <v>800</v>
      </c>
      <c r="AV12" s="411">
        <f t="shared" si="89"/>
        <v>2281.9841219161976</v>
      </c>
      <c r="AW12" s="410">
        <f t="shared" ref="AW12:AX12" si="90">+AW7</f>
        <v>800</v>
      </c>
      <c r="AX12" s="411">
        <f t="shared" si="90"/>
        <v>2206.9405995539732</v>
      </c>
      <c r="AY12" s="410">
        <f t="shared" ref="AY12:AZ12" si="91">+AY7</f>
        <v>800</v>
      </c>
      <c r="AZ12" s="411">
        <f t="shared" si="91"/>
        <v>2237.8729025936364</v>
      </c>
      <c r="BA12" s="410">
        <f t="shared" ref="BA12:BB12" si="92">+BA7</f>
        <v>800</v>
      </c>
      <c r="BB12" s="411">
        <f t="shared" si="92"/>
        <v>2324.4326142171481</v>
      </c>
      <c r="BC12" s="410">
        <f t="shared" ref="BC12:BF12" si="93">+BC7</f>
        <v>800</v>
      </c>
      <c r="BD12" s="411">
        <f t="shared" si="93"/>
        <v>2425.6132670647744</v>
      </c>
      <c r="BE12" s="410">
        <f t="shared" si="93"/>
        <v>800</v>
      </c>
      <c r="BF12" s="411">
        <f t="shared" si="93"/>
        <v>2426.0741017318292</v>
      </c>
      <c r="BG12" s="410">
        <f t="shared" ref="BG12:BH12" si="94">+BG7</f>
        <v>800</v>
      </c>
      <c r="BH12" s="411">
        <f t="shared" si="94"/>
        <v>2350.0218802513937</v>
      </c>
      <c r="BI12" s="410">
        <f t="shared" ref="BI12:BJ12" si="95">+BI7</f>
        <v>800</v>
      </c>
      <c r="BJ12" s="411">
        <f t="shared" si="95"/>
        <v>0</v>
      </c>
      <c r="BK12" s="410">
        <f t="shared" ref="BK12:BL12" si="96">+BK7</f>
        <v>800</v>
      </c>
      <c r="BL12" s="411">
        <f t="shared" si="96"/>
        <v>0</v>
      </c>
      <c r="BM12" s="410">
        <f t="shared" ref="BM12:BN12" si="97">+BM7</f>
        <v>800</v>
      </c>
      <c r="BN12" s="411">
        <f t="shared" si="97"/>
        <v>0</v>
      </c>
      <c r="BO12" s="410">
        <f t="shared" ref="BO12:BP12" si="98">+BO7</f>
        <v>800</v>
      </c>
      <c r="BP12" s="411">
        <f t="shared" si="98"/>
        <v>0</v>
      </c>
      <c r="BQ12" s="410">
        <f t="shared" ref="BQ12:BR12" si="99">+BQ7</f>
        <v>800</v>
      </c>
      <c r="BR12" s="411">
        <f t="shared" si="99"/>
        <v>0</v>
      </c>
      <c r="BS12" s="410">
        <f t="shared" ref="BS12:BT12" si="100">+BS7</f>
        <v>800</v>
      </c>
      <c r="BT12" s="411">
        <f t="shared" si="100"/>
        <v>0</v>
      </c>
      <c r="BU12" s="410">
        <f t="shared" ref="BU12:BV12" si="101">+BU7</f>
        <v>800</v>
      </c>
      <c r="BV12" s="411">
        <f t="shared" si="101"/>
        <v>0</v>
      </c>
      <c r="BW12" s="410">
        <f t="shared" ref="BW12:BX12" si="102">+BW7</f>
        <v>800</v>
      </c>
      <c r="BX12" s="411">
        <f t="shared" si="102"/>
        <v>0</v>
      </c>
      <c r="BY12" s="410">
        <f t="shared" ref="BY12:BZ12" si="103">+BY7</f>
        <v>800</v>
      </c>
      <c r="BZ12" s="411">
        <f t="shared" si="103"/>
        <v>0</v>
      </c>
      <c r="CA12" s="416"/>
    </row>
    <row r="13" spans="2:80" hidden="1" x14ac:dyDescent="0.35">
      <c r="C13" s="410">
        <f>+C12+C11</f>
        <v>771.47621681041096</v>
      </c>
      <c r="D13" s="411">
        <f>+SUMPRODUCT(C11:C12,D11:D12)/C13</f>
        <v>1531.7446399937735</v>
      </c>
      <c r="E13" s="410">
        <f>+E12+E11</f>
        <v>890.86725028541093</v>
      </c>
      <c r="F13" s="411">
        <f>+SUMPRODUCT(E11:E12,F11:F12)/E13</f>
        <v>1724.5587170675783</v>
      </c>
      <c r="G13" s="410">
        <f>+G12+G11</f>
        <v>2251.3901932604113</v>
      </c>
      <c r="H13" s="411">
        <f>+SUMPRODUCT(G11:G12,H11:H12)/G13</f>
        <v>1699.9966447831737</v>
      </c>
      <c r="I13" s="410">
        <f>+I12+I11</f>
        <v>2170.8101932604113</v>
      </c>
      <c r="J13" s="411">
        <f>+SUMPRODUCT(I11:I12,J11:J12)/I13</f>
        <v>1690.2249456104023</v>
      </c>
      <c r="K13" s="410">
        <f>+K12+K11</f>
        <v>1864.6301932604115</v>
      </c>
      <c r="L13" s="411">
        <f>+SUMPRODUCT(K11:K12,L11:L12)/K13</f>
        <v>1699.0064798607102</v>
      </c>
      <c r="M13" s="410">
        <f>+M12+M11</f>
        <v>1629.9701932604116</v>
      </c>
      <c r="N13" s="411">
        <f>+SUMPRODUCT(M11:M12,N11:N12)/M13</f>
        <v>1698.7785121302345</v>
      </c>
      <c r="O13" s="410">
        <f>+O12+O11</f>
        <v>1476.3601932604115</v>
      </c>
      <c r="P13" s="411">
        <f>+SUMPRODUCT(O11:O12,P11:P12)/O13</f>
        <v>1730.0096796994928</v>
      </c>
      <c r="Q13" s="410">
        <f>+Q12+Q11</f>
        <v>1303.0601932604116</v>
      </c>
      <c r="R13" s="411">
        <f>+SUMPRODUCT(Q11:Q12,R11:R12)/Q13</f>
        <v>1773.5613698859654</v>
      </c>
      <c r="S13" s="410">
        <f>+S12+S11</f>
        <v>1056.0563082354115</v>
      </c>
      <c r="T13" s="411">
        <f>+SUMPRODUCT(S11:S12,T11:T12)/S13</f>
        <v>1784.875503136215</v>
      </c>
      <c r="U13" s="410">
        <f>+U12+U11</f>
        <v>1130.9634900354113</v>
      </c>
      <c r="V13" s="411">
        <f>+SUMPRODUCT(U11:U12,V11:V12)/U13</f>
        <v>1784.8627904875955</v>
      </c>
      <c r="W13" s="410">
        <f>+W12+W11</f>
        <v>1262.9948937854115</v>
      </c>
      <c r="X13" s="411">
        <f>+SUMPRODUCT(W11:W12,X11:X12)/W13</f>
        <v>1813.0215091949415</v>
      </c>
      <c r="Y13" s="410">
        <f>+Y12+Y11</f>
        <v>1385.5967996104114</v>
      </c>
      <c r="Z13" s="411">
        <f>+SUMPRODUCT(Y11:Y12,Z11:Z12)/Y13</f>
        <v>1904.7514447411731</v>
      </c>
      <c r="AA13" s="410">
        <f>+AA12+AA11</f>
        <v>1620.9971298354112</v>
      </c>
      <c r="AB13" s="411">
        <f>+SUMPRODUCT(AA11:AA12,AB11:AB12)/AA13</f>
        <v>1962.2860661850234</v>
      </c>
      <c r="AC13" s="410">
        <f>+AC12+AC11</f>
        <v>1886.3334444104112</v>
      </c>
      <c r="AD13" s="411">
        <f>+SUMPRODUCT(AC11:AC12,AD11:AD12)/AC13</f>
        <v>1845.7119798851147</v>
      </c>
      <c r="AE13" s="410">
        <f>+AE12+AE11</f>
        <v>2253.3334444104112</v>
      </c>
      <c r="AF13" s="411">
        <f>+SUMPRODUCT(AE11:AE12,AF11:AF12)/AE13</f>
        <v>1890.2730666010168</v>
      </c>
      <c r="AG13" s="410">
        <f>+AG12+AG11</f>
        <v>2275.5983490104109</v>
      </c>
      <c r="AH13" s="411">
        <f>+SUMPRODUCT(AG11:AG12,AH11:AH12)/AG13</f>
        <v>1917.1799012981703</v>
      </c>
      <c r="AI13" s="410">
        <f>+AI12+AI11</f>
        <v>2040.5983490104109</v>
      </c>
      <c r="AJ13" s="411">
        <f>+SUMPRODUCT(AI11:AI12,AJ11:AJ12)/AI13</f>
        <v>1943.4781005633749</v>
      </c>
      <c r="AK13" s="410">
        <f>+AK12+AK11</f>
        <v>1201.9983490104109</v>
      </c>
      <c r="AL13" s="411">
        <f>+SUMPRODUCT(AK11:AK12,AL11:AL12)/AK13</f>
        <v>1943.4781005633749</v>
      </c>
      <c r="AM13" s="410">
        <f>+AM12+AM11</f>
        <v>1103.4983490104109</v>
      </c>
      <c r="AN13" s="411">
        <f>+SUMPRODUCT(AM11:AM12,AN11:AN12)/AM13</f>
        <v>2034.9008161852571</v>
      </c>
      <c r="AO13" s="410">
        <f>+AO12+AO11</f>
        <v>1103.4983490104109</v>
      </c>
      <c r="AP13" s="411">
        <f>+SUMPRODUCT(AO11:AO12,AP11:AP12)/AO13</f>
        <v>2114.7268131722517</v>
      </c>
      <c r="AQ13" s="410">
        <f>+AQ12+AQ11</f>
        <v>1093.609565610411</v>
      </c>
      <c r="AR13" s="411">
        <f>+SUMPRODUCT(AQ11:AQ12,AR11:AR12)/AQ13</f>
        <v>2187.72651496972</v>
      </c>
      <c r="AS13" s="410">
        <f>+AS12+AS11</f>
        <v>1193.609565610411</v>
      </c>
      <c r="AT13" s="411">
        <f>+SUMPRODUCT(AS11:AS12,AT11:AT12)/AS13</f>
        <v>2235.0890180084707</v>
      </c>
      <c r="AU13" s="410">
        <f>+AU12+AU11</f>
        <v>1095.3345021604109</v>
      </c>
      <c r="AV13" s="411">
        <f>+SUMPRODUCT(AU11:AU12,AV11:AV12)/AU13</f>
        <v>2269.3398181541666</v>
      </c>
      <c r="AW13" s="410">
        <f>+AW12+AW11</f>
        <v>979.12001583541087</v>
      </c>
      <c r="AX13" s="411">
        <f>+SUMPRODUCT(AW11:AW12,AX11:AX12)/AW13</f>
        <v>2218.3558998675385</v>
      </c>
      <c r="AY13" s="410">
        <f>+AY12+AY11</f>
        <v>843.91937101041094</v>
      </c>
      <c r="AZ13" s="411">
        <f>+SUMPRODUCT(AY11:AY12,AZ11:AZ12)/AY13</f>
        <v>2236.8571959832848</v>
      </c>
      <c r="BA13" s="410">
        <f>+BA12+BA11</f>
        <v>829.91937101041094</v>
      </c>
      <c r="BB13" s="411">
        <f>+SUMPRODUCT(BA11:BA12,BB11:BB12)/BA13</f>
        <v>2321.275438326265</v>
      </c>
      <c r="BC13" s="410">
        <f>+BC12+BC11</f>
        <v>935.70426218541093</v>
      </c>
      <c r="BD13" s="411">
        <f>+SUMPRODUCT(BC11:BC12,BD11:BD12)/BC13</f>
        <v>2410.4812551255345</v>
      </c>
      <c r="BE13" s="410">
        <f>+BE12+BE11</f>
        <v>935.70426218541093</v>
      </c>
      <c r="BF13" s="411">
        <f>+SUMPRODUCT(BE11:BE12,BF11:BF12)/BE13</f>
        <v>2410.8752553973541</v>
      </c>
      <c r="BG13" s="410">
        <f>+BG12+BG11</f>
        <v>926.00426218541088</v>
      </c>
      <c r="BH13" s="411">
        <f>+SUMPRODUCT(BG11:BG12,BH11:BH12)/BG13</f>
        <v>2358.2487742672251</v>
      </c>
      <c r="BI13" s="410">
        <f>+BI12+BI11</f>
        <v>841.82426218541093</v>
      </c>
      <c r="BJ13" s="411">
        <f>+SUMPRODUCT(BI11:BI12,BJ11:BJ12)/BI13</f>
        <v>119.7792500257612</v>
      </c>
      <c r="BK13" s="410">
        <f>+BK12+BK11</f>
        <v>926.00426218541088</v>
      </c>
      <c r="BL13" s="411">
        <f>+SUMPRODUCT(BK11:BK12,BL11:BL12)/BK13</f>
        <v>320.8941999358679</v>
      </c>
      <c r="BM13" s="410">
        <f>+BM12+BM11</f>
        <v>841.82426218541093</v>
      </c>
      <c r="BN13" s="411">
        <f>+SUMPRODUCT(BM11:BM12,BN11:BN12)/BM13</f>
        <v>5.950979298748174</v>
      </c>
      <c r="BO13" s="410">
        <f>+BO12+BO11</f>
        <v>926.00426218541088</v>
      </c>
      <c r="BP13" s="411">
        <f>+SUMPRODUCT(BO11:BO12,BP11:BP12)/BO13</f>
        <v>43.665065652150055</v>
      </c>
      <c r="BQ13" s="410">
        <f>+BQ12+BQ11</f>
        <v>841.82426218541093</v>
      </c>
      <c r="BR13" s="411">
        <f>+SUMPRODUCT(BQ11:BQ12,BR11:BR12)/BQ13</f>
        <v>0.29566184966521841</v>
      </c>
      <c r="BS13" s="410">
        <f>+BS12+BS11</f>
        <v>926.00426218541088</v>
      </c>
      <c r="BT13" s="411">
        <f>+SUMPRODUCT(BS11:BS12,BT11:BT12)/BS13</f>
        <v>5.9416404496797561</v>
      </c>
      <c r="BU13" s="410">
        <f>+BU12+BU11</f>
        <v>841.82426218541093</v>
      </c>
      <c r="BV13" s="411">
        <f>+SUMPRODUCT(BU11:BU12,BV11:BV12)/BU13</f>
        <v>1.468933514284727E-2</v>
      </c>
      <c r="BW13" s="410">
        <f>+BW12+BW11</f>
        <v>926.00426218541088</v>
      </c>
      <c r="BX13" s="411">
        <f>+SUMPRODUCT(BW11:BW12,BX11:BX12)/BW13</f>
        <v>0.80849738128201631</v>
      </c>
      <c r="BY13" s="410">
        <f>+BY12+BY11</f>
        <v>841.82426218541093</v>
      </c>
      <c r="BZ13" s="411">
        <f>+SUMPRODUCT(BY11:BY12,BZ11:BZ12)/BY13</f>
        <v>7.2980862151547329E-4</v>
      </c>
      <c r="CA13" s="416"/>
      <c r="CB13" s="548"/>
    </row>
    <row r="14" spans="2:80" ht="5.25" customHeight="1" x14ac:dyDescent="0.35"/>
    <row r="15" spans="2:80" x14ac:dyDescent="0.35">
      <c r="B15" s="831" t="s">
        <v>387</v>
      </c>
      <c r="C15" s="831"/>
      <c r="D15" s="831"/>
      <c r="E15" s="831"/>
      <c r="F15" s="831"/>
      <c r="G15" s="831"/>
      <c r="H15" s="831"/>
      <c r="I15" s="831"/>
      <c r="J15" s="831"/>
      <c r="K15" s="831"/>
      <c r="L15" s="831"/>
      <c r="M15" s="831"/>
      <c r="N15" s="831"/>
      <c r="O15" s="831"/>
      <c r="P15" s="831"/>
      <c r="Q15" s="831"/>
      <c r="R15" s="831"/>
      <c r="S15" s="831"/>
      <c r="T15" s="831"/>
      <c r="U15" s="831"/>
      <c r="V15" s="831"/>
      <c r="W15" s="831"/>
      <c r="X15" s="831"/>
      <c r="Y15" s="831"/>
      <c r="Z15" s="831"/>
      <c r="AA15" s="831"/>
      <c r="AB15" s="831"/>
      <c r="AC15" s="831"/>
      <c r="AD15" s="831"/>
      <c r="AE15" s="831"/>
      <c r="AF15" s="831"/>
      <c r="AG15" s="831"/>
      <c r="AH15" s="831"/>
      <c r="AI15" s="831"/>
      <c r="AJ15" s="831"/>
      <c r="AK15" s="831"/>
      <c r="AL15" s="831"/>
      <c r="AM15" s="831"/>
      <c r="AN15" s="831"/>
      <c r="AO15" s="831"/>
      <c r="AP15" s="831"/>
      <c r="AQ15" s="831"/>
      <c r="AR15" s="831"/>
      <c r="AS15" s="831"/>
      <c r="AT15" s="831"/>
      <c r="AU15" s="831"/>
      <c r="AV15" s="831"/>
      <c r="AW15" s="831"/>
      <c r="AX15" s="831"/>
      <c r="AY15" s="831"/>
      <c r="AZ15" s="831"/>
      <c r="BA15" s="831"/>
      <c r="BB15" s="831"/>
      <c r="BC15" s="831"/>
      <c r="BD15" s="831"/>
      <c r="BE15" s="831"/>
      <c r="BF15" s="831"/>
      <c r="BG15" s="831"/>
      <c r="BH15" s="831"/>
      <c r="BI15" s="831"/>
      <c r="BJ15" s="831"/>
      <c r="BK15" s="831"/>
      <c r="BL15" s="831"/>
      <c r="BM15" s="831"/>
      <c r="BN15" s="831"/>
      <c r="BO15" s="831"/>
      <c r="BP15" s="831"/>
      <c r="BQ15" s="831"/>
      <c r="BR15" s="831"/>
      <c r="BS15" s="831"/>
      <c r="BT15" s="831"/>
      <c r="BU15" s="831"/>
      <c r="BV15" s="831"/>
      <c r="BW15" s="723"/>
      <c r="BX15" s="723"/>
      <c r="BY15" s="723"/>
      <c r="BZ15" s="723"/>
    </row>
    <row r="16" spans="2:80" ht="6.75" customHeight="1" thickBot="1" x14ac:dyDescent="0.4">
      <c r="B16" s="414"/>
      <c r="C16" s="369"/>
      <c r="D16" s="369"/>
      <c r="E16" s="369"/>
      <c r="F16" s="369"/>
      <c r="G16" s="369"/>
      <c r="H16" s="369"/>
      <c r="I16" s="369"/>
      <c r="J16" s="369"/>
      <c r="K16" s="369"/>
      <c r="L16" s="369"/>
      <c r="M16" s="369"/>
      <c r="N16" s="369"/>
    </row>
    <row r="17" spans="2:85" ht="15" thickBot="1" x14ac:dyDescent="0.4">
      <c r="B17" s="357"/>
      <c r="C17" s="842" t="s">
        <v>138</v>
      </c>
      <c r="D17" s="843"/>
      <c r="E17" s="842" t="s">
        <v>139</v>
      </c>
      <c r="F17" s="843"/>
      <c r="G17" s="842" t="s">
        <v>140</v>
      </c>
      <c r="H17" s="843"/>
      <c r="I17" s="842" t="s">
        <v>98</v>
      </c>
      <c r="J17" s="843"/>
      <c r="K17" s="842" t="s">
        <v>87</v>
      </c>
      <c r="L17" s="843"/>
      <c r="M17" s="842" t="s">
        <v>88</v>
      </c>
      <c r="N17" s="843"/>
      <c r="O17" s="842" t="s">
        <v>89</v>
      </c>
      <c r="P17" s="843"/>
      <c r="Q17" s="842" t="s">
        <v>90</v>
      </c>
      <c r="R17" s="843"/>
      <c r="S17" s="842" t="s">
        <v>91</v>
      </c>
      <c r="T17" s="843"/>
      <c r="U17" s="842" t="s">
        <v>92</v>
      </c>
      <c r="V17" s="843"/>
      <c r="W17" s="842" t="s">
        <v>93</v>
      </c>
      <c r="X17" s="843"/>
      <c r="Y17" s="842" t="s">
        <v>94</v>
      </c>
      <c r="Z17" s="843"/>
      <c r="AA17" s="842" t="s">
        <v>380</v>
      </c>
      <c r="AB17" s="843"/>
      <c r="AC17" s="842" t="s">
        <v>96</v>
      </c>
      <c r="AD17" s="843"/>
      <c r="AE17" s="842" t="str">
        <f>+AE4</f>
        <v>MARZO</v>
      </c>
      <c r="AF17" s="843"/>
      <c r="AG17" s="842" t="str">
        <f>+AG4</f>
        <v>ABRIL</v>
      </c>
      <c r="AH17" s="843"/>
      <c r="AI17" s="842" t="str">
        <f>+AI4</f>
        <v>MAYO</v>
      </c>
      <c r="AJ17" s="843"/>
      <c r="AK17" s="842" t="str">
        <f>+AK4</f>
        <v>JUNIO</v>
      </c>
      <c r="AL17" s="843"/>
      <c r="AM17" s="842" t="str">
        <f>+AM4</f>
        <v>JULIO</v>
      </c>
      <c r="AN17" s="843"/>
      <c r="AO17" s="842" t="str">
        <f>+AO4</f>
        <v>AGOSTO</v>
      </c>
      <c r="AP17" s="843"/>
      <c r="AQ17" s="842" t="str">
        <f>+AQ4</f>
        <v>SEPTIEMBRE</v>
      </c>
      <c r="AR17" s="843"/>
      <c r="AS17" s="842" t="str">
        <f>+AS4</f>
        <v>OCTUBRE</v>
      </c>
      <c r="AT17" s="843"/>
      <c r="AU17" s="842" t="s">
        <v>93</v>
      </c>
      <c r="AV17" s="843"/>
      <c r="AW17" s="842" t="str">
        <f>+AW4</f>
        <v>DICIEMBRE</v>
      </c>
      <c r="AX17" s="843"/>
      <c r="AY17" s="842" t="str">
        <f>+AY4</f>
        <v>ENERO</v>
      </c>
      <c r="AZ17" s="843"/>
      <c r="BA17" s="842" t="str">
        <f>+BA4</f>
        <v>FEBRERO</v>
      </c>
      <c r="BB17" s="843"/>
      <c r="BC17" s="842" t="str">
        <f>+BC4</f>
        <v>MARZO</v>
      </c>
      <c r="BD17" s="843"/>
      <c r="BE17" s="842" t="str">
        <f>+BE4</f>
        <v>ABRIL</v>
      </c>
      <c r="BF17" s="843"/>
      <c r="BG17" s="842" t="str">
        <f>+BG4</f>
        <v>MAYO</v>
      </c>
      <c r="BH17" s="843"/>
      <c r="BI17" s="842" t="s">
        <v>88</v>
      </c>
      <c r="BJ17" s="843"/>
      <c r="BK17" s="842" t="s">
        <v>89</v>
      </c>
      <c r="BL17" s="843"/>
      <c r="BM17" s="842" t="s">
        <v>90</v>
      </c>
      <c r="BN17" s="843"/>
      <c r="BO17" s="842" t="s">
        <v>488</v>
      </c>
      <c r="BP17" s="843"/>
      <c r="BQ17" s="842" t="s">
        <v>92</v>
      </c>
      <c r="BR17" s="843"/>
      <c r="BS17" s="842" t="s">
        <v>93</v>
      </c>
      <c r="BT17" s="843"/>
      <c r="BU17" s="842" t="s">
        <v>507</v>
      </c>
      <c r="BV17" s="843"/>
      <c r="BW17" s="842" t="s">
        <v>380</v>
      </c>
      <c r="BX17" s="843"/>
      <c r="BY17" s="842" t="s">
        <v>96</v>
      </c>
      <c r="BZ17" s="843"/>
      <c r="CA17" s="416"/>
    </row>
    <row r="18" spans="2:85" ht="52.5" thickBot="1" x14ac:dyDescent="0.4">
      <c r="B18" s="357"/>
      <c r="C18" s="358" t="s">
        <v>381</v>
      </c>
      <c r="D18" s="359" t="s">
        <v>382</v>
      </c>
      <c r="E18" s="358" t="s">
        <v>381</v>
      </c>
      <c r="F18" s="359" t="s">
        <v>382</v>
      </c>
      <c r="G18" s="358" t="s">
        <v>381</v>
      </c>
      <c r="H18" s="359" t="s">
        <v>382</v>
      </c>
      <c r="I18" s="358" t="s">
        <v>381</v>
      </c>
      <c r="J18" s="359" t="s">
        <v>382</v>
      </c>
      <c r="K18" s="358" t="s">
        <v>381</v>
      </c>
      <c r="L18" s="359" t="s">
        <v>382</v>
      </c>
      <c r="M18" s="358" t="s">
        <v>381</v>
      </c>
      <c r="N18" s="359" t="s">
        <v>382</v>
      </c>
      <c r="O18" s="358" t="s">
        <v>381</v>
      </c>
      <c r="P18" s="359" t="s">
        <v>382</v>
      </c>
      <c r="Q18" s="358" t="s">
        <v>381</v>
      </c>
      <c r="R18" s="359" t="s">
        <v>382</v>
      </c>
      <c r="S18" s="358" t="s">
        <v>381</v>
      </c>
      <c r="T18" s="359" t="s">
        <v>382</v>
      </c>
      <c r="U18" s="358" t="s">
        <v>381</v>
      </c>
      <c r="V18" s="359" t="s">
        <v>382</v>
      </c>
      <c r="W18" s="419" t="s">
        <v>381</v>
      </c>
      <c r="X18" s="359" t="s">
        <v>382</v>
      </c>
      <c r="Y18" s="419" t="s">
        <v>381</v>
      </c>
      <c r="Z18" s="359" t="s">
        <v>382</v>
      </c>
      <c r="AA18" s="419" t="s">
        <v>381</v>
      </c>
      <c r="AB18" s="359" t="s">
        <v>382</v>
      </c>
      <c r="AC18" s="419" t="s">
        <v>381</v>
      </c>
      <c r="AD18" s="359" t="s">
        <v>382</v>
      </c>
      <c r="AE18" s="419" t="s">
        <v>381</v>
      </c>
      <c r="AF18" s="359" t="s">
        <v>382</v>
      </c>
      <c r="AG18" s="419" t="s">
        <v>381</v>
      </c>
      <c r="AH18" s="359" t="s">
        <v>382</v>
      </c>
      <c r="AI18" s="419" t="s">
        <v>381</v>
      </c>
      <c r="AJ18" s="359" t="s">
        <v>382</v>
      </c>
      <c r="AK18" s="419" t="s">
        <v>381</v>
      </c>
      <c r="AL18" s="496" t="s">
        <v>382</v>
      </c>
      <c r="AM18" s="419" t="s">
        <v>381</v>
      </c>
      <c r="AN18" s="496" t="s">
        <v>382</v>
      </c>
      <c r="AO18" s="419" t="s">
        <v>381</v>
      </c>
      <c r="AP18" s="496" t="s">
        <v>382</v>
      </c>
      <c r="AQ18" s="419" t="s">
        <v>381</v>
      </c>
      <c r="AR18" s="496" t="s">
        <v>382</v>
      </c>
      <c r="AS18" s="419" t="s">
        <v>381</v>
      </c>
      <c r="AT18" s="496" t="s">
        <v>382</v>
      </c>
      <c r="AU18" s="419" t="s">
        <v>381</v>
      </c>
      <c r="AV18" s="496" t="s">
        <v>382</v>
      </c>
      <c r="AW18" s="419" t="s">
        <v>381</v>
      </c>
      <c r="AX18" s="496" t="s">
        <v>382</v>
      </c>
      <c r="AY18" s="419" t="s">
        <v>381</v>
      </c>
      <c r="AZ18" s="496" t="s">
        <v>382</v>
      </c>
      <c r="BA18" s="419" t="s">
        <v>381</v>
      </c>
      <c r="BB18" s="496" t="s">
        <v>382</v>
      </c>
      <c r="BC18" s="419" t="s">
        <v>381</v>
      </c>
      <c r="BD18" s="496" t="s">
        <v>382</v>
      </c>
      <c r="BE18" s="419" t="s">
        <v>381</v>
      </c>
      <c r="BF18" s="496" t="s">
        <v>382</v>
      </c>
      <c r="BG18" s="419" t="s">
        <v>381</v>
      </c>
      <c r="BH18" s="496" t="s">
        <v>382</v>
      </c>
      <c r="BI18" s="419" t="s">
        <v>381</v>
      </c>
      <c r="BJ18" s="496" t="s">
        <v>382</v>
      </c>
      <c r="BK18" s="419" t="s">
        <v>381</v>
      </c>
      <c r="BL18" s="496" t="s">
        <v>382</v>
      </c>
      <c r="BM18" s="419" t="s">
        <v>381</v>
      </c>
      <c r="BN18" s="496" t="s">
        <v>382</v>
      </c>
      <c r="BO18" s="419" t="s">
        <v>381</v>
      </c>
      <c r="BP18" s="496" t="s">
        <v>382</v>
      </c>
      <c r="BQ18" s="419" t="s">
        <v>381</v>
      </c>
      <c r="BR18" s="496" t="s">
        <v>382</v>
      </c>
      <c r="BS18" s="419" t="s">
        <v>381</v>
      </c>
      <c r="BT18" s="496" t="s">
        <v>382</v>
      </c>
      <c r="BU18" s="419" t="s">
        <v>381</v>
      </c>
      <c r="BV18" s="496" t="s">
        <v>382</v>
      </c>
      <c r="BW18" s="419" t="s">
        <v>381</v>
      </c>
      <c r="BX18" s="496" t="s">
        <v>382</v>
      </c>
      <c r="BY18" s="419" t="s">
        <v>381</v>
      </c>
      <c r="BZ18" s="496" t="s">
        <v>382</v>
      </c>
      <c r="CA18" s="416"/>
      <c r="CB18" s="549"/>
    </row>
    <row r="19" spans="2:85" x14ac:dyDescent="0.35">
      <c r="B19" s="360" t="s">
        <v>383</v>
      </c>
      <c r="C19" s="397">
        <v>500</v>
      </c>
      <c r="D19" s="398">
        <f>+'PCR Enka'!AH26</f>
        <v>1413.7082079935726</v>
      </c>
      <c r="E19" s="397">
        <f t="shared" ref="E19" si="104">+C22</f>
        <v>481.02843767499996</v>
      </c>
      <c r="F19" s="398">
        <f t="shared" ref="F19" si="105">+D22</f>
        <v>1432.4411670671445</v>
      </c>
      <c r="G19" s="397">
        <f t="shared" ref="G19" si="106">+E22</f>
        <v>636.73919924999996</v>
      </c>
      <c r="H19" s="398">
        <f t="shared" ref="H19" si="107">+F22</f>
        <v>1530.8825540249418</v>
      </c>
      <c r="I19" s="397">
        <f t="shared" ref="I19" si="108">+G22</f>
        <v>450.82919924999999</v>
      </c>
      <c r="J19" s="398">
        <f t="shared" ref="J19" si="109">+H22</f>
        <v>1536.7815155498031</v>
      </c>
      <c r="K19" s="397">
        <f t="shared" ref="K19" si="110">+I22</f>
        <v>369.77919924999998</v>
      </c>
      <c r="L19" s="398">
        <f t="shared" ref="L19" si="111">+J22</f>
        <v>1541.7235892107569</v>
      </c>
      <c r="M19" s="397">
        <f t="shared" ref="M19" si="112">+K22</f>
        <v>371.85919924999996</v>
      </c>
      <c r="N19" s="398">
        <f t="shared" ref="N19" si="113">+L22</f>
        <v>1572.230546542331</v>
      </c>
      <c r="O19" s="397">
        <f t="shared" ref="O19" si="114">+M22</f>
        <v>354.54919924999996</v>
      </c>
      <c r="P19" s="399">
        <f t="shared" ref="P19" si="115">+N22</f>
        <v>1582.7074802349362</v>
      </c>
      <c r="Q19" s="397">
        <f t="shared" ref="Q19" si="116">+O22</f>
        <v>402.34919924999991</v>
      </c>
      <c r="R19" s="399">
        <f t="shared" ref="R19" si="117">+P22</f>
        <v>1624.5182483405063</v>
      </c>
      <c r="S19" s="397">
        <f>+Q22</f>
        <v>362.61409822499991</v>
      </c>
      <c r="T19" s="399">
        <f>+R22</f>
        <v>1640.1021282038605</v>
      </c>
      <c r="U19" s="397">
        <f>+S22</f>
        <v>276.87113404999991</v>
      </c>
      <c r="V19" s="399">
        <f t="shared" ref="V19" si="118">+T22</f>
        <v>1640.1021282038605</v>
      </c>
      <c r="W19" s="420">
        <f>+U22</f>
        <v>243.87113404999991</v>
      </c>
      <c r="X19" s="399">
        <f t="shared" ref="X19" si="119">+V22</f>
        <v>1640.1021282038603</v>
      </c>
      <c r="Y19" s="420">
        <f>+W22</f>
        <v>211.06113404999991</v>
      </c>
      <c r="Z19" s="399">
        <f t="shared" ref="Z19" si="120">+X22</f>
        <v>1640.1021282038603</v>
      </c>
      <c r="AA19" s="420">
        <f>+Y22</f>
        <v>184.61356144999991</v>
      </c>
      <c r="AB19" s="399">
        <f t="shared" ref="AB19" si="121">+Z22</f>
        <v>1640.10212820386</v>
      </c>
      <c r="AC19" s="420">
        <f>+AA22</f>
        <v>156.03965644999991</v>
      </c>
      <c r="AD19" s="399">
        <f t="shared" ref="AD19" si="122">+AB22</f>
        <v>1640.1021282038603</v>
      </c>
      <c r="AE19" s="420">
        <f>+AC22</f>
        <v>123.03965644999991</v>
      </c>
      <c r="AF19" s="399">
        <f t="shared" ref="AF19" si="123">+AD22</f>
        <v>1640.1021282038603</v>
      </c>
      <c r="AG19" s="420">
        <f>+AE22</f>
        <v>123.03965644999991</v>
      </c>
      <c r="AH19" s="399">
        <f t="shared" ref="AH19" si="124">+AF22</f>
        <v>1640.1021282038603</v>
      </c>
      <c r="AI19" s="420">
        <f>+AG22</f>
        <v>103.1396564499999</v>
      </c>
      <c r="AJ19" s="399">
        <f t="shared" ref="AJ19" si="125">+AH22</f>
        <v>1640.1021282038605</v>
      </c>
      <c r="AK19" s="420">
        <f>+AI22</f>
        <v>81.639656449999904</v>
      </c>
      <c r="AL19" s="399">
        <f t="shared" ref="AL19" si="126">+AJ22</f>
        <v>1640.1021282038605</v>
      </c>
      <c r="AM19" s="420">
        <f>+AK22</f>
        <v>60.539656449999903</v>
      </c>
      <c r="AN19" s="399">
        <f t="shared" ref="AN19" si="127">+AL22</f>
        <v>1640.1021282038605</v>
      </c>
      <c r="AO19" s="420">
        <f>+AM22</f>
        <v>71.239656449999913</v>
      </c>
      <c r="AP19" s="399">
        <f t="shared" ref="AP19" si="128">+AN22</f>
        <v>1756.8307250572293</v>
      </c>
      <c r="AQ19" s="420">
        <f>+AO22</f>
        <v>83.060562249999919</v>
      </c>
      <c r="AR19" s="399">
        <f t="shared" ref="AR19" si="129">+AP22</f>
        <v>1848.5020188604979</v>
      </c>
      <c r="AS19" s="420">
        <f>+AQ22</f>
        <v>91.060562249999919</v>
      </c>
      <c r="AT19" s="399">
        <f t="shared" ref="AT19" si="130">+AR22</f>
        <v>1924.5345961916544</v>
      </c>
      <c r="AU19" s="420">
        <f>+AS22</f>
        <v>91.060562249999919</v>
      </c>
      <c r="AV19" s="399">
        <f t="shared" ref="AV19" si="131">+AT22</f>
        <v>1924.5345961916544</v>
      </c>
      <c r="AW19" s="420">
        <f>+AU22</f>
        <v>91.060562249999919</v>
      </c>
      <c r="AX19" s="399">
        <f t="shared" ref="AX19" si="132">+AV22</f>
        <v>1924.5345961916544</v>
      </c>
      <c r="AY19" s="420">
        <f>+AW22</f>
        <v>91.060562249999919</v>
      </c>
      <c r="AZ19" s="399">
        <f t="shared" ref="AZ19" si="133">+AX22</f>
        <v>1924.5345961916544</v>
      </c>
      <c r="BA19" s="420">
        <f>+AY22</f>
        <v>91.060562249999919</v>
      </c>
      <c r="BB19" s="553">
        <f t="shared" ref="BB19" si="134">+AZ22</f>
        <v>1924.5345961916544</v>
      </c>
      <c r="BC19" s="397">
        <f>+BA22</f>
        <v>75.21994044999991</v>
      </c>
      <c r="BD19" s="553">
        <f t="shared" ref="BD19" si="135">+BB22</f>
        <v>1924.5345961916544</v>
      </c>
      <c r="BE19" s="397">
        <f>+BA22</f>
        <v>75.21994044999991</v>
      </c>
      <c r="BF19" s="553">
        <f t="shared" ref="BF19" si="136">+BB22</f>
        <v>1924.5345961916544</v>
      </c>
      <c r="BG19" s="397">
        <f>+BC22</f>
        <v>108.21994044999991</v>
      </c>
      <c r="BH19" s="399">
        <f t="shared" ref="BH19" si="137">+BD22</f>
        <v>2047.4441943061959</v>
      </c>
      <c r="BI19" s="397">
        <f>+BG22</f>
        <v>111.21994044999991</v>
      </c>
      <c r="BJ19" s="399">
        <f t="shared" ref="BJ19" si="138">+BF22</f>
        <v>2047.5847187229492</v>
      </c>
      <c r="BK19" s="397">
        <f t="shared" ref="BK19:BP19" si="139">+BI22</f>
        <v>124.21994044999991</v>
      </c>
      <c r="BL19" s="399">
        <f t="shared" si="139"/>
        <v>2103.550947181317</v>
      </c>
      <c r="BM19" s="397">
        <f t="shared" si="139"/>
        <v>136.67994044999992</v>
      </c>
      <c r="BN19" s="399">
        <f t="shared" si="139"/>
        <v>2141.3654444938461</v>
      </c>
      <c r="BO19" s="397">
        <f t="shared" si="139"/>
        <v>136.67994044999992</v>
      </c>
      <c r="BP19" s="399">
        <f t="shared" si="139"/>
        <v>2141.3654444938461</v>
      </c>
      <c r="BQ19" s="397">
        <f t="shared" ref="BQ19" si="140">+BO22</f>
        <v>116.13994044999993</v>
      </c>
      <c r="BR19" s="399">
        <f t="shared" ref="BR19" si="141">+BP22</f>
        <v>2141.3654444938461</v>
      </c>
      <c r="BS19" s="397">
        <f t="shared" ref="BS19" si="142">+BQ22</f>
        <v>116.13994044999993</v>
      </c>
      <c r="BT19" s="399">
        <f t="shared" ref="BT19" si="143">+BR22</f>
        <v>2141.3654444938461</v>
      </c>
      <c r="BU19" s="397">
        <f t="shared" ref="BU19" si="144">+BS22</f>
        <v>108.23994044999992</v>
      </c>
      <c r="BV19" s="399">
        <f t="shared" ref="BV19" si="145">+BT22</f>
        <v>2141.3654444938461</v>
      </c>
      <c r="BW19" s="397">
        <f t="shared" ref="BW19" si="146">+BU22</f>
        <v>108.23994044999992</v>
      </c>
      <c r="BX19" s="399">
        <f t="shared" ref="BX19" si="147">+BV22</f>
        <v>2141.3654444938461</v>
      </c>
      <c r="BY19" s="397">
        <f t="shared" ref="BY19" si="148">+BW22</f>
        <v>92.439940449999924</v>
      </c>
      <c r="BZ19" s="399">
        <f t="shared" ref="BZ19" si="149">+BX22</f>
        <v>2141.3654444938461</v>
      </c>
      <c r="CA19" s="416"/>
      <c r="CF19" s="416"/>
      <c r="CG19" s="726"/>
    </row>
    <row r="20" spans="2:85" x14ac:dyDescent="0.35">
      <c r="B20" s="361" t="s">
        <v>384</v>
      </c>
      <c r="C20" s="400">
        <v>231</v>
      </c>
      <c r="D20" s="401">
        <f>+'PCR Enka'!AI26</f>
        <v>1472.9886975294212</v>
      </c>
      <c r="E20" s="400">
        <v>396</v>
      </c>
      <c r="F20" s="401">
        <f>+'PCR Enka'!AJ26</f>
        <v>1650.4611059715812</v>
      </c>
      <c r="G20" s="400">
        <v>66</v>
      </c>
      <c r="H20" s="401">
        <f>+'PCR Enka'!AK26</f>
        <v>1593.6921221823306</v>
      </c>
      <c r="I20" s="400">
        <v>231</v>
      </c>
      <c r="J20" s="401">
        <f>+'PCR Enka'!AL26</f>
        <v>1551.3687455363086</v>
      </c>
      <c r="K20" s="400">
        <v>231</v>
      </c>
      <c r="L20" s="401">
        <f>+'PCR Enka'!AM26</f>
        <v>1621.0653441770644</v>
      </c>
      <c r="M20" s="400">
        <v>230</v>
      </c>
      <c r="N20" s="401">
        <f>+'PCR Enka'!AN26</f>
        <v>1599.6463679459243</v>
      </c>
      <c r="O20" s="403">
        <v>231</v>
      </c>
      <c r="P20" s="402">
        <f>+'PCR Enka'!AO26</f>
        <v>1688.6912974827455</v>
      </c>
      <c r="Q20" s="403">
        <v>66</v>
      </c>
      <c r="R20" s="402">
        <f>+'PCR Enka'!AP26</f>
        <v>1735.1045764497517</v>
      </c>
      <c r="S20" s="403"/>
      <c r="T20" s="402">
        <f>+' PCR Enkador'!AB134</f>
        <v>1696.676434238959</v>
      </c>
      <c r="U20" s="403"/>
      <c r="V20" s="402">
        <f>+'PCR Enka'!AR26</f>
        <v>1687.159582626314</v>
      </c>
      <c r="W20" s="421"/>
      <c r="X20" s="402">
        <f>+'PCR Enka'!AS26</f>
        <v>1717.7417025972566</v>
      </c>
      <c r="Y20" s="421"/>
      <c r="Z20" s="402">
        <f>+'PCR Enka'!AT26</f>
        <v>1819.4161938292741</v>
      </c>
      <c r="AA20" s="421"/>
      <c r="AB20" s="402">
        <f>+'PCR Enka'!AV26</f>
        <v>0</v>
      </c>
      <c r="AC20" s="421"/>
      <c r="AD20" s="402">
        <f>+'PCR Enka'!AX26</f>
        <v>0</v>
      </c>
      <c r="AE20" s="421"/>
      <c r="AF20" s="402">
        <f>+'PCR Enka'!AZ26</f>
        <v>0</v>
      </c>
      <c r="AG20" s="421"/>
      <c r="AH20" s="402">
        <f>+'PCR Enka'!BB26</f>
        <v>0</v>
      </c>
      <c r="AI20" s="421"/>
      <c r="AJ20" s="402">
        <f>+'PCR Enka'!BD26</f>
        <v>0</v>
      </c>
      <c r="AK20" s="421"/>
      <c r="AL20" s="402">
        <f>+'PCR Enka'!BF26</f>
        <v>0</v>
      </c>
      <c r="AM20" s="421">
        <v>33</v>
      </c>
      <c r="AN20" s="402">
        <f>+' PCR Enkador'!AL134</f>
        <v>1970.9734266146086</v>
      </c>
      <c r="AO20" s="421">
        <v>33</v>
      </c>
      <c r="AP20" s="402">
        <f>+' PCR Enkador'!AM134</f>
        <v>2046.3999424020699</v>
      </c>
      <c r="AQ20" s="421">
        <v>33</v>
      </c>
      <c r="AR20" s="402">
        <f>+' PCR Enkador'!AN134</f>
        <v>2115.9075847505155</v>
      </c>
      <c r="AS20" s="421">
        <v>0</v>
      </c>
      <c r="AT20" s="402">
        <f>+' PCR Enkador'!AO134</f>
        <v>2145.6481580107643</v>
      </c>
      <c r="AU20" s="550">
        <v>0</v>
      </c>
      <c r="AV20" s="402">
        <f>+' PCR Enkador'!AP134</f>
        <v>2183.3734282789374</v>
      </c>
      <c r="AW20" s="550">
        <v>0</v>
      </c>
      <c r="AX20" s="402">
        <f>+' PCR Enkador'!AQ134</f>
        <v>2108.329905916713</v>
      </c>
      <c r="AY20" s="550">
        <v>0</v>
      </c>
      <c r="AZ20" s="402">
        <f>+' PCR Enkador'!AR134</f>
        <v>2139.8630010747324</v>
      </c>
      <c r="BA20" s="550">
        <v>0</v>
      </c>
      <c r="BB20" s="551">
        <f>+' PCR Enkador'!AS134</f>
        <v>2226.4227126982441</v>
      </c>
      <c r="BC20" s="400">
        <v>33</v>
      </c>
      <c r="BD20" s="551">
        <f>+'PCR Enka'!DN26</f>
        <v>2327.6033655458705</v>
      </c>
      <c r="BE20" s="400">
        <v>33</v>
      </c>
      <c r="BF20" s="551">
        <f>+'PCR Enka'!DO26</f>
        <v>2328.0642002129252</v>
      </c>
      <c r="BG20" s="400">
        <v>33</v>
      </c>
      <c r="BH20" s="402">
        <f>+'PCR Enka'!DP26</f>
        <v>2252.0119787324898</v>
      </c>
      <c r="BI20" s="400">
        <v>33</v>
      </c>
      <c r="BJ20" s="402">
        <f>+'PCR Enka'!DQ26</f>
        <v>2292.1739955555827</v>
      </c>
      <c r="BK20" s="400">
        <v>33</v>
      </c>
      <c r="BL20" s="402">
        <f>+' PCR Enkador'!AX134</f>
        <v>2283.7083112910909</v>
      </c>
      <c r="BM20" s="400">
        <v>0</v>
      </c>
      <c r="BN20" s="402">
        <f>+'PCR Enka'!DS26</f>
        <v>2279.7954577816849</v>
      </c>
      <c r="BO20" s="400">
        <v>0</v>
      </c>
      <c r="BP20" s="402">
        <f>+'PCR Aurora '!W14</f>
        <v>2211.199110058772</v>
      </c>
      <c r="BQ20" s="400">
        <v>0</v>
      </c>
      <c r="BR20" s="402">
        <f>+'PCR Enka'!DU26</f>
        <v>2217.1689299218096</v>
      </c>
      <c r="BS20" s="400">
        <v>0</v>
      </c>
      <c r="BT20" s="402">
        <f>+'PCR Enka'!DW26</f>
        <v>2206.9082939317395</v>
      </c>
      <c r="BU20" s="400">
        <v>0</v>
      </c>
      <c r="BV20" s="402">
        <f>+'PCR Enka'!DY26</f>
        <v>0</v>
      </c>
      <c r="BW20" s="400">
        <v>0</v>
      </c>
      <c r="BX20" s="402">
        <f>+'PCR Enka'!EA26</f>
        <v>0</v>
      </c>
      <c r="BY20" s="400">
        <v>0</v>
      </c>
      <c r="BZ20" s="402">
        <f>+'PCR Enka'!EC26</f>
        <v>0</v>
      </c>
      <c r="CA20" s="416"/>
      <c r="CB20" s="689"/>
    </row>
    <row r="21" spans="2:85" x14ac:dyDescent="0.35">
      <c r="B21" s="361" t="s">
        <v>385</v>
      </c>
      <c r="C21" s="400">
        <v>249.97156232500001</v>
      </c>
      <c r="D21" s="404">
        <f>+D26</f>
        <v>1432.4411670671445</v>
      </c>
      <c r="E21" s="400">
        <v>240.28923842500001</v>
      </c>
      <c r="F21" s="404">
        <f>+F26</f>
        <v>1530.8825540249418</v>
      </c>
      <c r="G21" s="400">
        <v>251.91</v>
      </c>
      <c r="H21" s="404">
        <f>+H26</f>
        <v>1536.7815155498031</v>
      </c>
      <c r="I21" s="400">
        <v>312.05</v>
      </c>
      <c r="J21" s="404">
        <f>+J26</f>
        <v>1541.7235892107569</v>
      </c>
      <c r="K21" s="400">
        <v>228.92</v>
      </c>
      <c r="L21" s="404">
        <f>+L26</f>
        <v>1572.2305465423312</v>
      </c>
      <c r="M21" s="400">
        <v>247.31</v>
      </c>
      <c r="N21" s="404">
        <f>+N26</f>
        <v>1582.7074802349359</v>
      </c>
      <c r="O21" s="400">
        <v>183.2</v>
      </c>
      <c r="P21" s="402">
        <f>+P26</f>
        <v>1624.5182483405063</v>
      </c>
      <c r="Q21" s="400">
        <v>105.73510102499999</v>
      </c>
      <c r="R21" s="402">
        <f>+R26</f>
        <v>1640.1021282038605</v>
      </c>
      <c r="S21" s="400">
        <v>85.742964175000012</v>
      </c>
      <c r="T21" s="402">
        <f>+T26</f>
        <v>1640.1021282038605</v>
      </c>
      <c r="U21" s="400">
        <v>33</v>
      </c>
      <c r="V21" s="423">
        <f>+V26</f>
        <v>1640.1021282038605</v>
      </c>
      <c r="W21" s="418">
        <v>32.81</v>
      </c>
      <c r="X21" s="402">
        <f>+X26</f>
        <v>1640.1021282038603</v>
      </c>
      <c r="Y21" s="418">
        <v>26.447572600000001</v>
      </c>
      <c r="Z21" s="402">
        <f>+Z26</f>
        <v>1640.1021282038603</v>
      </c>
      <c r="AA21" s="418">
        <v>28.573905</v>
      </c>
      <c r="AB21" s="402">
        <f>+AB26</f>
        <v>1640.10212820386</v>
      </c>
      <c r="AC21" s="418">
        <v>33</v>
      </c>
      <c r="AD21" s="402">
        <f>+AD26</f>
        <v>1640.1021282038603</v>
      </c>
      <c r="AE21" s="418">
        <v>0</v>
      </c>
      <c r="AF21" s="402">
        <f>+AF26</f>
        <v>1640.1021282038603</v>
      </c>
      <c r="AG21" s="418">
        <v>19.899999999999999</v>
      </c>
      <c r="AH21" s="402">
        <f>+AH26</f>
        <v>1640.1021282038603</v>
      </c>
      <c r="AI21" s="418">
        <v>21.5</v>
      </c>
      <c r="AJ21" s="402">
        <f>+AJ26</f>
        <v>1640.1021282038605</v>
      </c>
      <c r="AK21" s="418">
        <v>21.1</v>
      </c>
      <c r="AL21" s="402">
        <f>+AL26</f>
        <v>1640.1021282038605</v>
      </c>
      <c r="AM21" s="418">
        <v>22.3</v>
      </c>
      <c r="AN21" s="405">
        <f>+AN26</f>
        <v>1756.8307250572293</v>
      </c>
      <c r="AO21" s="418">
        <v>21.179094199999998</v>
      </c>
      <c r="AP21" s="402">
        <f>+AP26</f>
        <v>1848.5020188604981</v>
      </c>
      <c r="AQ21" s="418">
        <v>25</v>
      </c>
      <c r="AR21" s="402">
        <f>+AR26</f>
        <v>1924.5345961916541</v>
      </c>
      <c r="AS21" s="418">
        <v>0</v>
      </c>
      <c r="AT21" s="402">
        <f>+AT26</f>
        <v>1924.5345961916544</v>
      </c>
      <c r="AU21" s="418">
        <v>0</v>
      </c>
      <c r="AV21" s="402">
        <f>+AV26</f>
        <v>1924.5345961916544</v>
      </c>
      <c r="AW21" s="418">
        <v>0</v>
      </c>
      <c r="AX21" s="402">
        <f>+AX26</f>
        <v>1924.5345961916544</v>
      </c>
      <c r="AY21" s="418">
        <v>0</v>
      </c>
      <c r="AZ21" s="402">
        <f>+AZ26</f>
        <v>1924.5345961916544</v>
      </c>
      <c r="BA21" s="418">
        <f>1002571*(15.8/1000000)</f>
        <v>15.840621800000001</v>
      </c>
      <c r="BB21" s="551">
        <f>+BB26</f>
        <v>1924.5345961916544</v>
      </c>
      <c r="BC21" s="400">
        <v>0</v>
      </c>
      <c r="BD21" s="552">
        <f>+BD26</f>
        <v>2047.4441943061959</v>
      </c>
      <c r="BE21" s="400"/>
      <c r="BF21" s="552">
        <f>+BF26</f>
        <v>2047.5847187229492</v>
      </c>
      <c r="BG21" s="400">
        <v>30</v>
      </c>
      <c r="BH21" s="402">
        <f>+BH26</f>
        <v>2095.2471948212533</v>
      </c>
      <c r="BI21" s="400">
        <v>20</v>
      </c>
      <c r="BJ21" s="402">
        <f>+BJ26</f>
        <v>2103.550947181317</v>
      </c>
      <c r="BK21" s="400">
        <v>20.54</v>
      </c>
      <c r="BL21" s="402">
        <f>+BL26</f>
        <v>2141.3654444938466</v>
      </c>
      <c r="BM21" s="400">
        <v>0</v>
      </c>
      <c r="BN21" s="405">
        <f>+BN26</f>
        <v>2141.3654444938461</v>
      </c>
      <c r="BO21" s="400">
        <v>20.54</v>
      </c>
      <c r="BP21" s="405">
        <f>+BP26</f>
        <v>2141.3654444938461</v>
      </c>
      <c r="BQ21" s="400">
        <v>0</v>
      </c>
      <c r="BR21" s="405">
        <f>+BR26</f>
        <v>2141.3654444938461</v>
      </c>
      <c r="BS21" s="725">
        <f>+(15.8*500000)/1000000</f>
        <v>7.9</v>
      </c>
      <c r="BT21" s="405">
        <f>+BT26</f>
        <v>2141.3654444938461</v>
      </c>
      <c r="BU21" s="400">
        <v>0</v>
      </c>
      <c r="BV21" s="405">
        <f>+BV26</f>
        <v>2141.3654444938461</v>
      </c>
      <c r="BW21" s="725">
        <f>+(15.8*1000000)/1000000</f>
        <v>15.8</v>
      </c>
      <c r="BX21" s="405">
        <f>+BX26</f>
        <v>2141.3654444938461</v>
      </c>
      <c r="BY21" s="400">
        <v>0</v>
      </c>
      <c r="BZ21" s="405">
        <f>+BZ26</f>
        <v>2141.3654444938461</v>
      </c>
      <c r="CA21" s="416"/>
    </row>
    <row r="22" spans="2:85" ht="15" thickBot="1" x14ac:dyDescent="0.4">
      <c r="B22" s="362" t="s">
        <v>386</v>
      </c>
      <c r="C22" s="406">
        <f>+C19+C20-C21</f>
        <v>481.02843767499996</v>
      </c>
      <c r="D22" s="407">
        <f>+(C19*D19+C20*D20-C21*D21)/C22</f>
        <v>1432.4411670671445</v>
      </c>
      <c r="E22" s="406">
        <f>+E19+E20-E21</f>
        <v>636.73919924999996</v>
      </c>
      <c r="F22" s="407">
        <f>+(E19*F19+E20*F20-E21*F21)/E22</f>
        <v>1530.8825540249418</v>
      </c>
      <c r="G22" s="406">
        <f>+G19+G20-G21</f>
        <v>450.82919924999999</v>
      </c>
      <c r="H22" s="407">
        <f>+(G19*H19+G20*H20-G21*H21)/G22</f>
        <v>1536.7815155498031</v>
      </c>
      <c r="I22" s="406">
        <f>+I19+I20-I21</f>
        <v>369.77919924999998</v>
      </c>
      <c r="J22" s="407">
        <f>+(I19*J19+I20*J20-I21*J21)/I22</f>
        <v>1541.7235892107569</v>
      </c>
      <c r="K22" s="406">
        <f>+K19+K20-K21</f>
        <v>371.85919924999996</v>
      </c>
      <c r="L22" s="407">
        <f>+(K19*L19+K20*L20-K21*L21)/K22</f>
        <v>1572.230546542331</v>
      </c>
      <c r="M22" s="406">
        <f>+M19+M20-M21</f>
        <v>354.54919924999996</v>
      </c>
      <c r="N22" s="407">
        <f>+(M19*N19+M20*N20-M21*N21)/M22</f>
        <v>1582.7074802349362</v>
      </c>
      <c r="O22" s="406">
        <f>+O19+O20-O21</f>
        <v>402.34919924999991</v>
      </c>
      <c r="P22" s="408">
        <f>+(O19*P19+O20*P20-O21*P21)/O22</f>
        <v>1624.5182483405063</v>
      </c>
      <c r="Q22" s="406">
        <f>+Q19+Q20-Q21</f>
        <v>362.61409822499991</v>
      </c>
      <c r="R22" s="408">
        <f>+(Q19*R19+Q20*R20-Q21*R21)/Q22</f>
        <v>1640.1021282038605</v>
      </c>
      <c r="S22" s="406">
        <f>+S19+S20-S21</f>
        <v>276.87113404999991</v>
      </c>
      <c r="T22" s="408">
        <f>+(S19*T19+S20*T20-S21*T21)/S22</f>
        <v>1640.1021282038605</v>
      </c>
      <c r="U22" s="406">
        <f>+U19+U20-U21</f>
        <v>243.87113404999991</v>
      </c>
      <c r="V22" s="408">
        <f>+(U19*V19+U20*V20-U21*V21)/U22</f>
        <v>1640.1021282038603</v>
      </c>
      <c r="W22" s="422">
        <f>+W19+W20-W21</f>
        <v>211.06113404999991</v>
      </c>
      <c r="X22" s="408">
        <f>+(W19*X19+W20*X20-W21*X21)/W22</f>
        <v>1640.1021282038603</v>
      </c>
      <c r="Y22" s="422">
        <f>+Y19+Y20-Y21</f>
        <v>184.61356144999991</v>
      </c>
      <c r="Z22" s="408">
        <f>+(Y19*Z19+Y20*Z20-Y21*Z21)/Y22</f>
        <v>1640.10212820386</v>
      </c>
      <c r="AA22" s="422">
        <f>+AA19+AA20-AA21</f>
        <v>156.03965644999991</v>
      </c>
      <c r="AB22" s="408">
        <f>+(AA19*AB19+AA20*AB20-AA21*AB21)/AA22</f>
        <v>1640.1021282038603</v>
      </c>
      <c r="AC22" s="422">
        <f>+AC19+AC20-AC21</f>
        <v>123.03965644999991</v>
      </c>
      <c r="AD22" s="408">
        <f>+(AC19*AD19+AC20*AD20-AC21*AD21)/AC22</f>
        <v>1640.1021282038603</v>
      </c>
      <c r="AE22" s="422">
        <f>+AE19+AE20-AE21</f>
        <v>123.03965644999991</v>
      </c>
      <c r="AF22" s="408">
        <f>+(AE19*AF19+AE20*AF20-AE21*AF21)/AE22</f>
        <v>1640.1021282038603</v>
      </c>
      <c r="AG22" s="422">
        <f>+AG19+AG20-AG21</f>
        <v>103.1396564499999</v>
      </c>
      <c r="AH22" s="408">
        <f>+(AG19*AH19+AG20*AH20-AG21*AH21)/AG22</f>
        <v>1640.1021282038605</v>
      </c>
      <c r="AI22" s="422">
        <f>+AI19+AI20-AI21</f>
        <v>81.639656449999904</v>
      </c>
      <c r="AJ22" s="408">
        <f>+(AI19*AJ19+AI20*AJ20-AI21*AJ21)/AI22</f>
        <v>1640.1021282038605</v>
      </c>
      <c r="AK22" s="422">
        <f>+AK19+AK20-AK21</f>
        <v>60.539656449999903</v>
      </c>
      <c r="AL22" s="408">
        <f>+(AK19*AL19+AK20*AL20-AK21*AL21)/AK22</f>
        <v>1640.1021282038605</v>
      </c>
      <c r="AM22" s="422">
        <f>+AM19+AM20-AM21</f>
        <v>71.239656449999913</v>
      </c>
      <c r="AN22" s="408">
        <f>+(AM19*AN19+AM20*AN20-AM21*AN21)/AM22</f>
        <v>1756.8307250572293</v>
      </c>
      <c r="AO22" s="422">
        <f>+AO19+AO20-AO21</f>
        <v>83.060562249999919</v>
      </c>
      <c r="AP22" s="408">
        <f>+(AO19*AP19+AO20*AP20-AO21*AP21)/AO22</f>
        <v>1848.5020188604979</v>
      </c>
      <c r="AQ22" s="422">
        <f>+AQ19+AQ20-AQ21</f>
        <v>91.060562249999919</v>
      </c>
      <c r="AR22" s="408">
        <f>+(AQ19*AR19+AQ20*AR20-AQ21*AR21)/AQ22</f>
        <v>1924.5345961916544</v>
      </c>
      <c r="AS22" s="422">
        <f>+AS19+AS20-AS21</f>
        <v>91.060562249999919</v>
      </c>
      <c r="AT22" s="408">
        <f>+(AS19*AT19+AS20*AT20-AS21*AT21)/AS22</f>
        <v>1924.5345961916544</v>
      </c>
      <c r="AU22" s="422">
        <f>+AU19+AU20-AU21</f>
        <v>91.060562249999919</v>
      </c>
      <c r="AV22" s="408">
        <f>+(AU19*AV19+AU20*AV20-AU21*AV21)/AU22</f>
        <v>1924.5345961916544</v>
      </c>
      <c r="AW22" s="422">
        <f>+AW19+AW20-AW21</f>
        <v>91.060562249999919</v>
      </c>
      <c r="AX22" s="408">
        <f>+(AW19*AX19+AW20*AX20-AW21*AX21)/AW22</f>
        <v>1924.5345961916544</v>
      </c>
      <c r="AY22" s="422">
        <f>+AY19+AY20-AY21</f>
        <v>91.060562249999919</v>
      </c>
      <c r="AZ22" s="408">
        <f>+(AY19*AZ19+AY20*AZ20-AY21*AZ21)/AY22</f>
        <v>1924.5345961916544</v>
      </c>
      <c r="BA22" s="422">
        <f>+BA19+BA20-BA21</f>
        <v>75.21994044999991</v>
      </c>
      <c r="BB22" s="554">
        <f>+(BA19*BB19+BA20*BB20-BA21*BB21)/BA22</f>
        <v>1924.5345961916544</v>
      </c>
      <c r="BC22" s="406">
        <f>+BC19+BC20-BC21</f>
        <v>108.21994044999991</v>
      </c>
      <c r="BD22" s="554">
        <f>+(BC19*BD19+BC20*BD20-BC21*BD21)/BC22</f>
        <v>2047.4441943061959</v>
      </c>
      <c r="BE22" s="406">
        <f>+BE19+BE20-BE21</f>
        <v>108.21994044999991</v>
      </c>
      <c r="BF22" s="554">
        <f>+(BE19*BF19+BE20*BF20-BE21*BF21)/BE22</f>
        <v>2047.5847187229492</v>
      </c>
      <c r="BG22" s="406">
        <f>+BG19+BG20-BG21</f>
        <v>111.21994044999991</v>
      </c>
      <c r="BH22" s="408">
        <f>+(BG19*BH19+BG20*BH20-BG21*BH21)/BG22</f>
        <v>2095.2471948212533</v>
      </c>
      <c r="BI22" s="406">
        <f>+BI19+BI20-BI21</f>
        <v>124.21994044999991</v>
      </c>
      <c r="BJ22" s="408">
        <f>+(BI19*BJ19+BI20*BJ20-BI21*BJ21)/BI22</f>
        <v>2103.550947181317</v>
      </c>
      <c r="BK22" s="406">
        <f>+BK19+BK20-BK21</f>
        <v>136.67994044999992</v>
      </c>
      <c r="BL22" s="408">
        <f>+(BK19*BL19+BK20*BL20-BK21*BL21)/BK22</f>
        <v>2141.3654444938461</v>
      </c>
      <c r="BM22" s="406">
        <f>+BM19+BM20-BM21</f>
        <v>136.67994044999992</v>
      </c>
      <c r="BN22" s="408">
        <f>+(BM19*BN19+BM20*BN20-BM21*BN21)/BM22</f>
        <v>2141.3654444938461</v>
      </c>
      <c r="BO22" s="406">
        <f>+BO19+BO20-BO21</f>
        <v>116.13994044999993</v>
      </c>
      <c r="BP22" s="408">
        <f>+(BO19*BP19+BO20*BP20-BO21*BP21)/BO22</f>
        <v>2141.3654444938461</v>
      </c>
      <c r="BQ22" s="406">
        <f>+BQ19+BQ20-BQ21</f>
        <v>116.13994044999993</v>
      </c>
      <c r="BR22" s="408">
        <f>+(BQ19*BR19+BQ20*BR20-BQ21*BR21)/BQ22</f>
        <v>2141.3654444938461</v>
      </c>
      <c r="BS22" s="406">
        <f>+BS19+BS20-BS21</f>
        <v>108.23994044999992</v>
      </c>
      <c r="BT22" s="408">
        <f>+(BS19*BT19+BS20*BT20-BS21*BT21)/BS22</f>
        <v>2141.3654444938461</v>
      </c>
      <c r="BU22" s="406">
        <f>+BU19+BU20-BU21</f>
        <v>108.23994044999992</v>
      </c>
      <c r="BV22" s="408">
        <f>+(BU19*BV19+BU20*BV20-BU21*BV21)/BU22</f>
        <v>2141.3654444938461</v>
      </c>
      <c r="BW22" s="406">
        <f>+BW19+BW20-BW21</f>
        <v>92.439940449999924</v>
      </c>
      <c r="BX22" s="408">
        <f>+(BW19*BX19+BW20*BX20-BW21*BX21)/BW22</f>
        <v>2141.3654444938461</v>
      </c>
      <c r="BY22" s="406">
        <f>+BY19+BY20-BY21</f>
        <v>92.439940449999924</v>
      </c>
      <c r="BZ22" s="408">
        <f>+(BY19*BZ19+BY20*BZ20-BY21*BZ21)/BY22</f>
        <v>2141.3654444938461</v>
      </c>
      <c r="CA22" s="416"/>
    </row>
    <row r="23" spans="2:85" ht="7.5" customHeight="1" x14ac:dyDescent="0.35">
      <c r="BR23" s="88"/>
      <c r="BT23" s="88"/>
      <c r="BV23" s="88"/>
      <c r="BX23" s="88"/>
      <c r="BZ23" s="88"/>
      <c r="CA23" s="416"/>
    </row>
    <row r="24" spans="2:85" x14ac:dyDescent="0.35">
      <c r="C24" s="410">
        <f t="shared" ref="C24:H25" si="150">+C19</f>
        <v>500</v>
      </c>
      <c r="D24" s="411">
        <f t="shared" si="150"/>
        <v>1413.7082079935726</v>
      </c>
      <c r="E24" s="410">
        <f t="shared" si="150"/>
        <v>481.02843767499996</v>
      </c>
      <c r="F24" s="411">
        <f t="shared" si="150"/>
        <v>1432.4411670671445</v>
      </c>
      <c r="G24" s="410">
        <f t="shared" si="150"/>
        <v>636.73919924999996</v>
      </c>
      <c r="H24" s="411">
        <f t="shared" si="150"/>
        <v>1530.8825540249418</v>
      </c>
      <c r="I24" s="410">
        <f t="shared" ref="I24:J24" si="151">+I19</f>
        <v>450.82919924999999</v>
      </c>
      <c r="J24" s="411">
        <f t="shared" si="151"/>
        <v>1536.7815155498031</v>
      </c>
      <c r="K24" s="410">
        <f t="shared" ref="K24:L24" si="152">+K19</f>
        <v>369.77919924999998</v>
      </c>
      <c r="L24" s="411">
        <f t="shared" si="152"/>
        <v>1541.7235892107569</v>
      </c>
      <c r="M24" s="410">
        <f t="shared" ref="M24:N24" si="153">+M19</f>
        <v>371.85919924999996</v>
      </c>
      <c r="N24" s="411">
        <f t="shared" si="153"/>
        <v>1572.230546542331</v>
      </c>
      <c r="O24" s="410">
        <f t="shared" ref="O24:P24" si="154">+O19</f>
        <v>354.54919924999996</v>
      </c>
      <c r="P24" s="411">
        <f t="shared" si="154"/>
        <v>1582.7074802349362</v>
      </c>
      <c r="Q24" s="410">
        <f t="shared" ref="Q24:R24" si="155">+Q19</f>
        <v>402.34919924999991</v>
      </c>
      <c r="R24" s="411">
        <f t="shared" si="155"/>
        <v>1624.5182483405063</v>
      </c>
      <c r="S24" s="410">
        <f t="shared" ref="S24:T24" si="156">+S19</f>
        <v>362.61409822499991</v>
      </c>
      <c r="T24" s="411">
        <f t="shared" si="156"/>
        <v>1640.1021282038605</v>
      </c>
      <c r="U24" s="410">
        <f t="shared" ref="U24:V24" si="157">+U19</f>
        <v>276.87113404999991</v>
      </c>
      <c r="V24" s="411">
        <f t="shared" si="157"/>
        <v>1640.1021282038605</v>
      </c>
      <c r="W24" s="410">
        <f t="shared" ref="W24:X24" si="158">+W19</f>
        <v>243.87113404999991</v>
      </c>
      <c r="X24" s="411">
        <f t="shared" si="158"/>
        <v>1640.1021282038603</v>
      </c>
      <c r="Y24" s="410">
        <f t="shared" ref="Y24:Z24" si="159">+Y19</f>
        <v>211.06113404999991</v>
      </c>
      <c r="Z24" s="411">
        <f t="shared" si="159"/>
        <v>1640.1021282038603</v>
      </c>
      <c r="AA24" s="410">
        <f t="shared" ref="AA24:AB24" si="160">+AA19</f>
        <v>184.61356144999991</v>
      </c>
      <c r="AB24" s="411">
        <f t="shared" si="160"/>
        <v>1640.10212820386</v>
      </c>
      <c r="AC24" s="410">
        <f t="shared" ref="AC24:AD24" si="161">+AC19</f>
        <v>156.03965644999991</v>
      </c>
      <c r="AD24" s="411">
        <f t="shared" si="161"/>
        <v>1640.1021282038603</v>
      </c>
      <c r="AE24" s="410">
        <f t="shared" ref="AE24:AF24" si="162">+AE19</f>
        <v>123.03965644999991</v>
      </c>
      <c r="AF24" s="411">
        <f t="shared" si="162"/>
        <v>1640.1021282038603</v>
      </c>
      <c r="AG24" s="410">
        <f t="shared" ref="AG24:AH24" si="163">+AG19</f>
        <v>123.03965644999991</v>
      </c>
      <c r="AH24" s="411">
        <f t="shared" si="163"/>
        <v>1640.1021282038603</v>
      </c>
      <c r="AI24" s="410">
        <f t="shared" ref="AI24:AJ24" si="164">+AI19</f>
        <v>103.1396564499999</v>
      </c>
      <c r="AJ24" s="411">
        <f t="shared" si="164"/>
        <v>1640.1021282038605</v>
      </c>
      <c r="AK24" s="410">
        <f t="shared" ref="AK24:AL24" si="165">+AK19</f>
        <v>81.639656449999904</v>
      </c>
      <c r="AL24" s="411">
        <f t="shared" si="165"/>
        <v>1640.1021282038605</v>
      </c>
      <c r="AM24" s="410">
        <f t="shared" ref="AM24:AN24" si="166">+AM19</f>
        <v>60.539656449999903</v>
      </c>
      <c r="AN24" s="411">
        <f t="shared" si="166"/>
        <v>1640.1021282038605</v>
      </c>
      <c r="AO24" s="410">
        <f t="shared" ref="AO24:AP24" si="167">+AO19</f>
        <v>71.239656449999913</v>
      </c>
      <c r="AP24" s="411">
        <f t="shared" si="167"/>
        <v>1756.8307250572293</v>
      </c>
      <c r="AQ24" s="410">
        <f t="shared" ref="AQ24:AR24" si="168">+AQ19</f>
        <v>83.060562249999919</v>
      </c>
      <c r="AR24" s="411">
        <f t="shared" si="168"/>
        <v>1848.5020188604979</v>
      </c>
      <c r="AS24" s="410">
        <f t="shared" ref="AS24:AT24" si="169">+AS19</f>
        <v>91.060562249999919</v>
      </c>
      <c r="AT24" s="411">
        <f t="shared" si="169"/>
        <v>1924.5345961916544</v>
      </c>
      <c r="AU24" s="410">
        <f t="shared" ref="AU24:AV24" si="170">+AU19</f>
        <v>91.060562249999919</v>
      </c>
      <c r="AV24" s="411">
        <f t="shared" si="170"/>
        <v>1924.5345961916544</v>
      </c>
      <c r="AW24" s="410">
        <f t="shared" ref="AW24:AX24" si="171">+AW19</f>
        <v>91.060562249999919</v>
      </c>
      <c r="AX24" s="411">
        <f t="shared" si="171"/>
        <v>1924.5345961916544</v>
      </c>
      <c r="AY24" s="410">
        <f t="shared" ref="AY24:AZ24" si="172">+AY19</f>
        <v>91.060562249999919</v>
      </c>
      <c r="AZ24" s="411">
        <f t="shared" si="172"/>
        <v>1924.5345961916544</v>
      </c>
      <c r="BA24" s="410">
        <f t="shared" ref="BA24:BB24" si="173">+BA19</f>
        <v>91.060562249999919</v>
      </c>
      <c r="BB24" s="411">
        <f t="shared" si="173"/>
        <v>1924.5345961916544</v>
      </c>
      <c r="BC24" s="410">
        <f t="shared" ref="BC24:BF24" si="174">+BC19</f>
        <v>75.21994044999991</v>
      </c>
      <c r="BD24" s="411">
        <f t="shared" si="174"/>
        <v>1924.5345961916544</v>
      </c>
      <c r="BE24" s="410">
        <f t="shared" si="174"/>
        <v>75.21994044999991</v>
      </c>
      <c r="BF24" s="411">
        <f t="shared" si="174"/>
        <v>1924.5345961916544</v>
      </c>
      <c r="BG24" s="410">
        <f t="shared" ref="BG24:BH24" si="175">+BG19</f>
        <v>108.21994044999991</v>
      </c>
      <c r="BH24" s="411">
        <f t="shared" si="175"/>
        <v>2047.4441943061959</v>
      </c>
      <c r="BI24" s="410">
        <f t="shared" ref="BI24:BJ24" si="176">+BI19</f>
        <v>111.21994044999991</v>
      </c>
      <c r="BJ24" s="411">
        <f t="shared" si="176"/>
        <v>2047.5847187229492</v>
      </c>
      <c r="BK24" s="410">
        <f t="shared" ref="BK24:BL24" si="177">+BK19</f>
        <v>124.21994044999991</v>
      </c>
      <c r="BL24" s="411">
        <f t="shared" si="177"/>
        <v>2103.550947181317</v>
      </c>
      <c r="BM24" s="410">
        <f t="shared" ref="BM24:BN24" si="178">+BM19</f>
        <v>136.67994044999992</v>
      </c>
      <c r="BN24" s="411">
        <f t="shared" si="178"/>
        <v>2141.3654444938461</v>
      </c>
      <c r="BO24" s="410">
        <f t="shared" ref="BO24:BP24" si="179">+BO19</f>
        <v>136.67994044999992</v>
      </c>
      <c r="BP24" s="411">
        <f t="shared" si="179"/>
        <v>2141.3654444938461</v>
      </c>
      <c r="BQ24" s="410">
        <f t="shared" ref="BQ24:BR24" si="180">+BQ19</f>
        <v>116.13994044999993</v>
      </c>
      <c r="BR24" s="411">
        <f t="shared" si="180"/>
        <v>2141.3654444938461</v>
      </c>
      <c r="BS24" s="410">
        <f t="shared" ref="BS24:BT24" si="181">+BS19</f>
        <v>116.13994044999993</v>
      </c>
      <c r="BT24" s="411">
        <f t="shared" si="181"/>
        <v>2141.3654444938461</v>
      </c>
      <c r="BU24" s="410">
        <f t="shared" ref="BU24:BV24" si="182">+BU19</f>
        <v>108.23994044999992</v>
      </c>
      <c r="BV24" s="411">
        <f t="shared" si="182"/>
        <v>2141.3654444938461</v>
      </c>
      <c r="BW24" s="410">
        <f t="shared" ref="BW24:BX24" si="183">+BW19</f>
        <v>108.23994044999992</v>
      </c>
      <c r="BX24" s="411">
        <f t="shared" si="183"/>
        <v>2141.3654444938461</v>
      </c>
      <c r="BY24" s="410">
        <f t="shared" ref="BY24:BZ24" si="184">+BY19</f>
        <v>92.439940449999924</v>
      </c>
      <c r="BZ24" s="411">
        <f t="shared" si="184"/>
        <v>2141.3654444938461</v>
      </c>
      <c r="CA24" s="416"/>
    </row>
    <row r="25" spans="2:85" x14ac:dyDescent="0.35">
      <c r="C25" s="410">
        <f t="shared" si="150"/>
        <v>231</v>
      </c>
      <c r="D25" s="411">
        <f t="shared" si="150"/>
        <v>1472.9886975294212</v>
      </c>
      <c r="E25" s="410">
        <f t="shared" si="150"/>
        <v>396</v>
      </c>
      <c r="F25" s="411">
        <f t="shared" si="150"/>
        <v>1650.4611059715812</v>
      </c>
      <c r="G25" s="410">
        <f t="shared" si="150"/>
        <v>66</v>
      </c>
      <c r="H25" s="411">
        <f t="shared" si="150"/>
        <v>1593.6921221823306</v>
      </c>
      <c r="I25" s="410">
        <f t="shared" ref="I25:J25" si="185">+I20</f>
        <v>231</v>
      </c>
      <c r="J25" s="411">
        <f t="shared" si="185"/>
        <v>1551.3687455363086</v>
      </c>
      <c r="K25" s="410">
        <f t="shared" ref="K25:L25" si="186">+K20</f>
        <v>231</v>
      </c>
      <c r="L25" s="411">
        <f t="shared" si="186"/>
        <v>1621.0653441770644</v>
      </c>
      <c r="M25" s="410">
        <f t="shared" ref="M25:N25" si="187">+M20</f>
        <v>230</v>
      </c>
      <c r="N25" s="411">
        <f t="shared" si="187"/>
        <v>1599.6463679459243</v>
      </c>
      <c r="O25" s="410">
        <f t="shared" ref="O25:P25" si="188">+O20</f>
        <v>231</v>
      </c>
      <c r="P25" s="411">
        <f t="shared" si="188"/>
        <v>1688.6912974827455</v>
      </c>
      <c r="Q25" s="410">
        <f t="shared" ref="Q25:R25" si="189">+Q20</f>
        <v>66</v>
      </c>
      <c r="R25" s="411">
        <f t="shared" si="189"/>
        <v>1735.1045764497517</v>
      </c>
      <c r="S25" s="410">
        <f t="shared" ref="S25:T25" si="190">+S20</f>
        <v>0</v>
      </c>
      <c r="T25" s="411">
        <f t="shared" si="190"/>
        <v>1696.676434238959</v>
      </c>
      <c r="U25" s="410">
        <f t="shared" ref="U25:V25" si="191">+U20</f>
        <v>0</v>
      </c>
      <c r="V25" s="411">
        <f t="shared" si="191"/>
        <v>1687.159582626314</v>
      </c>
      <c r="W25" s="410">
        <f t="shared" ref="W25:X25" si="192">+W20</f>
        <v>0</v>
      </c>
      <c r="X25" s="411">
        <f t="shared" si="192"/>
        <v>1717.7417025972566</v>
      </c>
      <c r="Y25" s="410">
        <f t="shared" ref="Y25:Z25" si="193">+Y20</f>
        <v>0</v>
      </c>
      <c r="Z25" s="411">
        <f t="shared" si="193"/>
        <v>1819.4161938292741</v>
      </c>
      <c r="AA25" s="410">
        <f t="shared" ref="AA25:AB25" si="194">+AA20</f>
        <v>0</v>
      </c>
      <c r="AB25" s="411">
        <f t="shared" si="194"/>
        <v>0</v>
      </c>
      <c r="AC25" s="410">
        <f t="shared" ref="AC25:AD25" si="195">+AC20</f>
        <v>0</v>
      </c>
      <c r="AD25" s="411">
        <f t="shared" si="195"/>
        <v>0</v>
      </c>
      <c r="AE25" s="410">
        <f t="shared" ref="AE25:AF25" si="196">+AE20</f>
        <v>0</v>
      </c>
      <c r="AF25" s="411">
        <f t="shared" si="196"/>
        <v>0</v>
      </c>
      <c r="AG25" s="410">
        <f t="shared" ref="AG25:AH25" si="197">+AG20</f>
        <v>0</v>
      </c>
      <c r="AH25" s="411">
        <f t="shared" si="197"/>
        <v>0</v>
      </c>
      <c r="AI25" s="410">
        <f t="shared" ref="AI25:AJ25" si="198">+AI20</f>
        <v>0</v>
      </c>
      <c r="AJ25" s="411">
        <f t="shared" si="198"/>
        <v>0</v>
      </c>
      <c r="AK25" s="410">
        <f t="shared" ref="AK25:AL25" si="199">+AK20</f>
        <v>0</v>
      </c>
      <c r="AL25" s="411">
        <f t="shared" si="199"/>
        <v>0</v>
      </c>
      <c r="AM25" s="410">
        <f t="shared" ref="AM25:AN25" si="200">+AM20</f>
        <v>33</v>
      </c>
      <c r="AN25" s="411">
        <f t="shared" si="200"/>
        <v>1970.9734266146086</v>
      </c>
      <c r="AO25" s="410">
        <f t="shared" ref="AO25:AP25" si="201">+AO20</f>
        <v>33</v>
      </c>
      <c r="AP25" s="411">
        <f t="shared" si="201"/>
        <v>2046.3999424020699</v>
      </c>
      <c r="AQ25" s="410">
        <f t="shared" ref="AQ25:AR25" si="202">+AQ20</f>
        <v>33</v>
      </c>
      <c r="AR25" s="411">
        <f t="shared" si="202"/>
        <v>2115.9075847505155</v>
      </c>
      <c r="AS25" s="410">
        <f t="shared" ref="AS25:AT25" si="203">+AS20</f>
        <v>0</v>
      </c>
      <c r="AT25" s="411">
        <f t="shared" si="203"/>
        <v>2145.6481580107643</v>
      </c>
      <c r="AU25" s="410">
        <f t="shared" ref="AU25:AV25" si="204">+AU20</f>
        <v>0</v>
      </c>
      <c r="AV25" s="411">
        <f t="shared" si="204"/>
        <v>2183.3734282789374</v>
      </c>
      <c r="AW25" s="410">
        <f t="shared" ref="AW25:AX25" si="205">+AW20</f>
        <v>0</v>
      </c>
      <c r="AX25" s="411">
        <f t="shared" si="205"/>
        <v>2108.329905916713</v>
      </c>
      <c r="AY25" s="410">
        <f t="shared" ref="AY25:AZ25" si="206">+AY20</f>
        <v>0</v>
      </c>
      <c r="AZ25" s="411">
        <f t="shared" si="206"/>
        <v>2139.8630010747324</v>
      </c>
      <c r="BA25" s="410">
        <f t="shared" ref="BA25:BB25" si="207">+BA20</f>
        <v>0</v>
      </c>
      <c r="BB25" s="411">
        <f t="shared" si="207"/>
        <v>2226.4227126982441</v>
      </c>
      <c r="BC25" s="410">
        <f t="shared" ref="BC25:BF25" si="208">+BC20</f>
        <v>33</v>
      </c>
      <c r="BD25" s="411">
        <f t="shared" si="208"/>
        <v>2327.6033655458705</v>
      </c>
      <c r="BE25" s="410">
        <f t="shared" si="208"/>
        <v>33</v>
      </c>
      <c r="BF25" s="411">
        <f t="shared" si="208"/>
        <v>2328.0642002129252</v>
      </c>
      <c r="BG25" s="410">
        <f t="shared" ref="BG25:BH25" si="209">+BG20</f>
        <v>33</v>
      </c>
      <c r="BH25" s="411">
        <f t="shared" si="209"/>
        <v>2252.0119787324898</v>
      </c>
      <c r="BI25" s="410">
        <f t="shared" ref="BI25:BJ25" si="210">+BI20</f>
        <v>33</v>
      </c>
      <c r="BJ25" s="411">
        <f t="shared" si="210"/>
        <v>2292.1739955555827</v>
      </c>
      <c r="BK25" s="410">
        <f t="shared" ref="BK25:BL25" si="211">+BK20</f>
        <v>33</v>
      </c>
      <c r="BL25" s="411">
        <f t="shared" si="211"/>
        <v>2283.7083112910909</v>
      </c>
      <c r="BM25" s="410">
        <f t="shared" ref="BM25:BN25" si="212">+BM20</f>
        <v>0</v>
      </c>
      <c r="BN25" s="411">
        <f t="shared" si="212"/>
        <v>2279.7954577816849</v>
      </c>
      <c r="BO25" s="410">
        <f t="shared" ref="BO25:BP25" si="213">+BO20</f>
        <v>0</v>
      </c>
      <c r="BP25" s="411">
        <f t="shared" si="213"/>
        <v>2211.199110058772</v>
      </c>
      <c r="BQ25" s="410">
        <f t="shared" ref="BQ25:BR25" si="214">+BQ20</f>
        <v>0</v>
      </c>
      <c r="BR25" s="411">
        <f t="shared" si="214"/>
        <v>2217.1689299218096</v>
      </c>
      <c r="BS25" s="410">
        <f t="shared" ref="BS25:BT25" si="215">+BS20</f>
        <v>0</v>
      </c>
      <c r="BT25" s="411">
        <f t="shared" si="215"/>
        <v>2206.9082939317395</v>
      </c>
      <c r="BU25" s="410">
        <f t="shared" ref="BU25:BV25" si="216">+BU20</f>
        <v>0</v>
      </c>
      <c r="BV25" s="411">
        <f t="shared" si="216"/>
        <v>0</v>
      </c>
      <c r="BW25" s="410">
        <f t="shared" ref="BW25:BX25" si="217">+BW20</f>
        <v>0</v>
      </c>
      <c r="BX25" s="411">
        <f t="shared" si="217"/>
        <v>0</v>
      </c>
      <c r="BY25" s="410">
        <f t="shared" ref="BY25:BZ25" si="218">+BY20</f>
        <v>0</v>
      </c>
      <c r="BZ25" s="411">
        <f t="shared" si="218"/>
        <v>0</v>
      </c>
      <c r="CA25" s="416"/>
    </row>
    <row r="26" spans="2:85" x14ac:dyDescent="0.35">
      <c r="C26" s="410">
        <f>+C25+C24</f>
        <v>731</v>
      </c>
      <c r="D26" s="411">
        <f>+SUMPRODUCT(C24:C25,D24:D25)/C26</f>
        <v>1432.4411670671445</v>
      </c>
      <c r="E26" s="410">
        <f>+E25+E24</f>
        <v>877.02843767499996</v>
      </c>
      <c r="F26" s="411">
        <f>+SUMPRODUCT(E24:E25,F24:F25)/E26</f>
        <v>1530.8825540249418</v>
      </c>
      <c r="G26" s="410">
        <f>+G25+G24</f>
        <v>702.73919924999996</v>
      </c>
      <c r="H26" s="411">
        <f>+SUMPRODUCT(G24:G25,H24:H25)/G26</f>
        <v>1536.7815155498031</v>
      </c>
      <c r="I26" s="410">
        <f>+I25+I24</f>
        <v>681.82919924999999</v>
      </c>
      <c r="J26" s="411">
        <f>+SUMPRODUCT(I24:I25,J24:J25)/I26</f>
        <v>1541.7235892107569</v>
      </c>
      <c r="K26" s="410">
        <f>+K25+K24</f>
        <v>600.77919924999992</v>
      </c>
      <c r="L26" s="411">
        <f>+SUMPRODUCT(K24:K25,L24:L25)/K26</f>
        <v>1572.2305465423312</v>
      </c>
      <c r="M26" s="410">
        <f>+M25+M24</f>
        <v>601.85919924999996</v>
      </c>
      <c r="N26" s="411">
        <f>+SUMPRODUCT(M24:M25,N24:N25)/M26</f>
        <v>1582.7074802349359</v>
      </c>
      <c r="O26" s="410">
        <f>+O25+O24</f>
        <v>585.5491992499999</v>
      </c>
      <c r="P26" s="411">
        <f>+SUMPRODUCT(O24:O25,P24:P25)/O26</f>
        <v>1624.5182483405063</v>
      </c>
      <c r="Q26" s="410">
        <f>+Q25+Q24</f>
        <v>468.34919924999991</v>
      </c>
      <c r="R26" s="411">
        <f>+SUMPRODUCT(Q24:Q25,R24:R25)/Q26</f>
        <v>1640.1021282038605</v>
      </c>
      <c r="S26" s="410">
        <f>+S25+S24</f>
        <v>362.61409822499991</v>
      </c>
      <c r="T26" s="411">
        <f>+SUMPRODUCT(S24:S25,T24:T25)/S26</f>
        <v>1640.1021282038605</v>
      </c>
      <c r="U26" s="410">
        <f>+U25+U24</f>
        <v>276.87113404999991</v>
      </c>
      <c r="V26" s="411">
        <f>+SUMPRODUCT(U24:U25,V24:V25)/U26</f>
        <v>1640.1021282038605</v>
      </c>
      <c r="W26" s="410">
        <f>+W25+W24</f>
        <v>243.87113404999991</v>
      </c>
      <c r="X26" s="411">
        <f>+SUMPRODUCT(W24:W25,X24:X25)/W26</f>
        <v>1640.1021282038603</v>
      </c>
      <c r="Y26" s="410">
        <f>+Y25+Y24</f>
        <v>211.06113404999991</v>
      </c>
      <c r="Z26" s="411">
        <f>+SUMPRODUCT(Y24:Y25,Z24:Z25)/Y26</f>
        <v>1640.1021282038603</v>
      </c>
      <c r="AA26" s="410">
        <f>+AA25+AA24</f>
        <v>184.61356144999991</v>
      </c>
      <c r="AB26" s="411">
        <f>+SUMPRODUCT(AA24:AA25,AB24:AB25)/AA26</f>
        <v>1640.10212820386</v>
      </c>
      <c r="AC26" s="410">
        <f>+AC25+AC24</f>
        <v>156.03965644999991</v>
      </c>
      <c r="AD26" s="411">
        <f>+SUMPRODUCT(AC24:AC25,AD24:AD25)/AC26</f>
        <v>1640.1021282038603</v>
      </c>
      <c r="AE26" s="410">
        <f>+AE25+AE24</f>
        <v>123.03965644999991</v>
      </c>
      <c r="AF26" s="411">
        <f>+SUMPRODUCT(AE24:AE25,AF24:AF25)/AE26</f>
        <v>1640.1021282038603</v>
      </c>
      <c r="AG26" s="410">
        <f>+AG25+AG24</f>
        <v>123.03965644999991</v>
      </c>
      <c r="AH26" s="411">
        <f>+SUMPRODUCT(AG24:AG25,AH24:AH25)/AG26</f>
        <v>1640.1021282038603</v>
      </c>
      <c r="AI26" s="410">
        <f>+AI25+AI24</f>
        <v>103.1396564499999</v>
      </c>
      <c r="AJ26" s="411">
        <f>+SUMPRODUCT(AI24:AI25,AJ24:AJ25)/AI26</f>
        <v>1640.1021282038605</v>
      </c>
      <c r="AK26" s="410">
        <f>+AK25+AK24</f>
        <v>81.639656449999904</v>
      </c>
      <c r="AL26" s="411">
        <f>+SUMPRODUCT(AK24:AK25,AL24:AL25)/AK26</f>
        <v>1640.1021282038605</v>
      </c>
      <c r="AM26" s="410">
        <f>+AM25+AM24</f>
        <v>93.53965644999991</v>
      </c>
      <c r="AN26" s="411">
        <f>+SUMPRODUCT(AM24:AM25,AN24:AN25)/AM26</f>
        <v>1756.8307250572293</v>
      </c>
      <c r="AO26" s="410">
        <f>+AO25+AO24</f>
        <v>104.23965644999991</v>
      </c>
      <c r="AP26" s="411">
        <f>+SUMPRODUCT(AO24:AO25,AP24:AP25)/AO26</f>
        <v>1848.5020188604981</v>
      </c>
      <c r="AQ26" s="410">
        <f>+AQ25+AQ24</f>
        <v>116.06056224999992</v>
      </c>
      <c r="AR26" s="411">
        <f>+SUMPRODUCT(AQ24:AQ25,AR24:AR25)/AQ26</f>
        <v>1924.5345961916541</v>
      </c>
      <c r="AS26" s="410">
        <f>+AS25+AS24</f>
        <v>91.060562249999919</v>
      </c>
      <c r="AT26" s="411">
        <f>+SUMPRODUCT(AS24:AS25,AT24:AT25)/AS26</f>
        <v>1924.5345961916544</v>
      </c>
      <c r="AU26" s="410">
        <f>+AU25+AU24</f>
        <v>91.060562249999919</v>
      </c>
      <c r="AV26" s="411">
        <f>+SUMPRODUCT(AU24:AU25,AV24:AV25)/AU26</f>
        <v>1924.5345961916544</v>
      </c>
      <c r="AW26" s="410">
        <f>+AW25+AW24</f>
        <v>91.060562249999919</v>
      </c>
      <c r="AX26" s="411">
        <f>+SUMPRODUCT(AW24:AW25,AX24:AX25)/AW26</f>
        <v>1924.5345961916544</v>
      </c>
      <c r="AY26" s="410">
        <f>+AY25+AY24</f>
        <v>91.060562249999919</v>
      </c>
      <c r="AZ26" s="411">
        <f>+SUMPRODUCT(AY24:AY25,AZ24:AZ25)/AY26</f>
        <v>1924.5345961916544</v>
      </c>
      <c r="BA26" s="410">
        <f>+BA25+BA24</f>
        <v>91.060562249999919</v>
      </c>
      <c r="BB26" s="411">
        <f>+SUMPRODUCT(BA24:BA25,BB24:BB25)/BA26</f>
        <v>1924.5345961916544</v>
      </c>
      <c r="BC26" s="410">
        <f>+BC25+BC24</f>
        <v>108.21994044999991</v>
      </c>
      <c r="BD26" s="411">
        <f>+SUMPRODUCT(BC24:BC25,BD24:BD25)/BC26</f>
        <v>2047.4441943061959</v>
      </c>
      <c r="BE26" s="410">
        <f>+BE25+BE24</f>
        <v>108.21994044999991</v>
      </c>
      <c r="BF26" s="411">
        <f>+SUMPRODUCT(BE24:BE25,BF24:BF25)/BE26</f>
        <v>2047.5847187229492</v>
      </c>
      <c r="BG26" s="410">
        <f>+BG25+BG24</f>
        <v>141.21994044999991</v>
      </c>
      <c r="BH26" s="411">
        <f>+SUMPRODUCT(BG24:BG25,BH24:BH25)/BG26</f>
        <v>2095.2471948212533</v>
      </c>
      <c r="BI26" s="410">
        <f>+BI25+BI24</f>
        <v>144.21994044999991</v>
      </c>
      <c r="BJ26" s="411">
        <f>+SUMPRODUCT(BI24:BI25,BJ24:BJ25)/BI26</f>
        <v>2103.550947181317</v>
      </c>
      <c r="BK26" s="410">
        <f>+BK25+BK24</f>
        <v>157.21994044999991</v>
      </c>
      <c r="BL26" s="411">
        <f>+SUMPRODUCT(BK24:BK25,BL24:BL25)/BK26</f>
        <v>2141.3654444938466</v>
      </c>
      <c r="BM26" s="410">
        <f>+BM25+BM24</f>
        <v>136.67994044999992</v>
      </c>
      <c r="BN26" s="411">
        <f>+SUMPRODUCT(BM24:BM25,BN24:BN25)/BM26</f>
        <v>2141.3654444938461</v>
      </c>
      <c r="BO26" s="410">
        <f>+BO25+BO24</f>
        <v>136.67994044999992</v>
      </c>
      <c r="BP26" s="411">
        <f>+SUMPRODUCT(BO24:BO25,BP24:BP25)/BO26</f>
        <v>2141.3654444938461</v>
      </c>
      <c r="BQ26" s="410">
        <f>+BQ25+BQ24</f>
        <v>116.13994044999993</v>
      </c>
      <c r="BR26" s="411">
        <f>+SUMPRODUCT(BQ24:BQ25,BR24:BR25)/BQ26</f>
        <v>2141.3654444938461</v>
      </c>
      <c r="BS26" s="410">
        <f>+BS25+BS24</f>
        <v>116.13994044999993</v>
      </c>
      <c r="BT26" s="411">
        <f>+SUMPRODUCT(BS24:BS25,BT24:BT25)/BS26</f>
        <v>2141.3654444938461</v>
      </c>
      <c r="BU26" s="410">
        <f>+BU25+BU24</f>
        <v>108.23994044999992</v>
      </c>
      <c r="BV26" s="411">
        <f>+SUMPRODUCT(BU24:BU25,BV24:BV25)/BU26</f>
        <v>2141.3654444938461</v>
      </c>
      <c r="BW26" s="410">
        <f>+BW25+BW24</f>
        <v>108.23994044999992</v>
      </c>
      <c r="BX26" s="411">
        <f>+SUMPRODUCT(BW24:BW25,BX24:BX25)/BW26</f>
        <v>2141.3654444938461</v>
      </c>
      <c r="BY26" s="410">
        <f>+BY25+BY24</f>
        <v>92.439940449999924</v>
      </c>
      <c r="BZ26" s="411">
        <f>+SUMPRODUCT(BY24:BY25,BZ24:BZ25)/BY26</f>
        <v>2141.3654444938461</v>
      </c>
      <c r="CA26" s="416"/>
    </row>
    <row r="27" spans="2:85" ht="6" customHeight="1" x14ac:dyDescent="0.35">
      <c r="C27" s="409"/>
      <c r="D27" s="412"/>
      <c r="E27" s="409"/>
      <c r="F27" s="412"/>
      <c r="G27" s="409"/>
      <c r="H27" s="412"/>
      <c r="I27" s="409"/>
      <c r="J27" s="412"/>
      <c r="Z27" s="416"/>
    </row>
    <row r="28" spans="2:85" x14ac:dyDescent="0.35">
      <c r="B28" s="831" t="s">
        <v>483</v>
      </c>
      <c r="C28" s="831"/>
      <c r="D28" s="831"/>
      <c r="E28" s="831"/>
      <c r="F28" s="831"/>
      <c r="G28" s="831"/>
      <c r="H28" s="831"/>
      <c r="I28" s="831"/>
      <c r="J28" s="831"/>
      <c r="K28" s="831"/>
      <c r="L28" s="831"/>
      <c r="M28" s="831"/>
      <c r="N28" s="831"/>
      <c r="O28" s="831"/>
      <c r="P28" s="831"/>
      <c r="Q28" s="831"/>
      <c r="R28" s="831"/>
      <c r="S28" s="831"/>
      <c r="T28" s="831"/>
      <c r="U28" s="831"/>
      <c r="V28" s="831"/>
      <c r="W28" s="831"/>
      <c r="X28" s="831"/>
      <c r="Y28" s="831"/>
      <c r="Z28" s="831"/>
      <c r="AA28" s="831"/>
      <c r="AB28" s="831"/>
      <c r="AC28" s="831"/>
      <c r="AD28" s="831"/>
      <c r="AE28" s="831"/>
      <c r="AF28" s="831"/>
      <c r="AG28" s="831"/>
      <c r="AH28" s="831"/>
      <c r="AI28" s="831"/>
      <c r="AJ28" s="831"/>
      <c r="AK28" s="831"/>
      <c r="AL28" s="831"/>
      <c r="AM28" s="831"/>
      <c r="AN28" s="831"/>
      <c r="AO28" s="831"/>
      <c r="AP28" s="831"/>
      <c r="AQ28" s="831"/>
      <c r="AR28" s="831"/>
      <c r="AS28" s="831"/>
      <c r="AT28" s="831"/>
      <c r="AU28" s="831"/>
      <c r="AV28" s="831"/>
      <c r="AW28" s="831"/>
      <c r="AX28" s="831"/>
      <c r="AY28" s="831"/>
      <c r="AZ28" s="831"/>
      <c r="BA28" s="831"/>
      <c r="BB28" s="831"/>
      <c r="BC28" s="831"/>
      <c r="BD28" s="831"/>
      <c r="BE28" s="831"/>
      <c r="BF28" s="831"/>
      <c r="BG28" s="831"/>
      <c r="BH28" s="831"/>
      <c r="BI28" s="831"/>
      <c r="BJ28" s="831"/>
      <c r="BK28" s="831"/>
      <c r="BL28" s="831"/>
      <c r="BM28" s="831"/>
      <c r="BN28" s="831"/>
      <c r="BO28" s="831"/>
      <c r="BP28" s="831"/>
      <c r="BQ28" s="831"/>
      <c r="BR28" s="831"/>
      <c r="BS28" s="723"/>
      <c r="BT28" s="723"/>
      <c r="BU28" s="723"/>
      <c r="BV28" s="723"/>
      <c r="BW28" s="723"/>
      <c r="BX28" s="723"/>
      <c r="BY28" s="723"/>
      <c r="BZ28" s="723"/>
    </row>
    <row r="29" spans="2:85" ht="5.25" customHeight="1" thickBot="1" x14ac:dyDescent="0.4">
      <c r="C29" s="409"/>
      <c r="D29" s="412"/>
      <c r="E29" s="409"/>
      <c r="F29" s="412"/>
      <c r="G29" s="409"/>
      <c r="H29" s="412"/>
      <c r="I29" s="409"/>
      <c r="J29" s="412"/>
      <c r="Z29" s="416"/>
    </row>
    <row r="30" spans="2:85" ht="15" thickBot="1" x14ac:dyDescent="0.4">
      <c r="B30" s="357"/>
      <c r="C30" s="842" t="s">
        <v>138</v>
      </c>
      <c r="D30" s="843"/>
      <c r="E30" s="842" t="s">
        <v>139</v>
      </c>
      <c r="F30" s="843"/>
      <c r="G30" s="842" t="s">
        <v>140</v>
      </c>
      <c r="H30" s="843"/>
      <c r="I30" s="842" t="s">
        <v>98</v>
      </c>
      <c r="J30" s="843"/>
      <c r="K30" s="842" t="s">
        <v>87</v>
      </c>
      <c r="L30" s="843"/>
      <c r="M30" s="842" t="s">
        <v>88</v>
      </c>
      <c r="N30" s="843"/>
      <c r="O30" s="842" t="s">
        <v>89</v>
      </c>
      <c r="P30" s="843"/>
      <c r="Q30" s="842" t="s">
        <v>90</v>
      </c>
      <c r="R30" s="843"/>
      <c r="S30" s="842" t="s">
        <v>91</v>
      </c>
      <c r="T30" s="843"/>
      <c r="U30" s="842" t="s">
        <v>92</v>
      </c>
      <c r="V30" s="843"/>
      <c r="W30" s="842" t="s">
        <v>93</v>
      </c>
      <c r="X30" s="843"/>
      <c r="Y30" s="842" t="s">
        <v>94</v>
      </c>
      <c r="Z30" s="843"/>
      <c r="AA30" s="842" t="s">
        <v>380</v>
      </c>
      <c r="AB30" s="843"/>
      <c r="AC30" s="842" t="s">
        <v>96</v>
      </c>
      <c r="AD30" s="843"/>
      <c r="AE30" s="842" t="s">
        <v>97</v>
      </c>
      <c r="AF30" s="843"/>
      <c r="AG30" s="842" t="s">
        <v>98</v>
      </c>
      <c r="AH30" s="843"/>
      <c r="AI30" s="842" t="s">
        <v>87</v>
      </c>
      <c r="AJ30" s="843"/>
      <c r="AK30" s="842" t="s">
        <v>88</v>
      </c>
      <c r="AL30" s="843"/>
      <c r="AM30" s="842" t="s">
        <v>89</v>
      </c>
      <c r="AN30" s="843"/>
      <c r="AO30" s="842" t="s">
        <v>90</v>
      </c>
      <c r="AP30" s="843"/>
      <c r="AQ30" s="842" t="s">
        <v>91</v>
      </c>
      <c r="AR30" s="843"/>
      <c r="AS30" s="842" t="s">
        <v>92</v>
      </c>
      <c r="AT30" s="843"/>
      <c r="AU30" s="842" t="s">
        <v>93</v>
      </c>
      <c r="AV30" s="843"/>
      <c r="AW30" s="842" t="s">
        <v>94</v>
      </c>
      <c r="AX30" s="843"/>
      <c r="AY30" s="842" t="s">
        <v>380</v>
      </c>
      <c r="AZ30" s="843"/>
      <c r="BA30" s="842" t="s">
        <v>96</v>
      </c>
      <c r="BB30" s="843"/>
      <c r="BC30" s="842" t="s">
        <v>97</v>
      </c>
      <c r="BD30" s="843"/>
      <c r="BE30" s="842" t="s">
        <v>98</v>
      </c>
      <c r="BF30" s="843"/>
      <c r="BG30" s="842" t="s">
        <v>87</v>
      </c>
      <c r="BH30" s="843"/>
      <c r="BI30" s="842" t="str">
        <f>+BI17</f>
        <v>JUNIO</v>
      </c>
      <c r="BJ30" s="843"/>
      <c r="BK30" s="842" t="str">
        <f>+BK17</f>
        <v>JULIO</v>
      </c>
      <c r="BL30" s="843"/>
      <c r="BM30" s="842" t="str">
        <f>+BM17</f>
        <v>AGOSTO</v>
      </c>
      <c r="BN30" s="843"/>
      <c r="BO30" s="842" t="str">
        <f>+BO17</f>
        <v>SEPTIEM</v>
      </c>
      <c r="BP30" s="843"/>
      <c r="BQ30" s="842" t="str">
        <f>+BQ17</f>
        <v>OCTUBRE</v>
      </c>
      <c r="BR30" s="843"/>
      <c r="BS30" s="842" t="str">
        <f>+BS17</f>
        <v>NOVIEMBRE</v>
      </c>
      <c r="BT30" s="843"/>
      <c r="BU30" s="842" t="str">
        <f>+BU17</f>
        <v xml:space="preserve">DICIEMBRE </v>
      </c>
      <c r="BV30" s="843"/>
      <c r="BW30" s="842" t="str">
        <f>+BW17</f>
        <v>ENERO</v>
      </c>
      <c r="BX30" s="843"/>
      <c r="BY30" s="842" t="str">
        <f>+BY17</f>
        <v>FEBRERO</v>
      </c>
      <c r="BZ30" s="843"/>
      <c r="CA30" s="416"/>
    </row>
    <row r="31" spans="2:85" ht="52.5" thickBot="1" x14ac:dyDescent="0.4">
      <c r="B31" s="357"/>
      <c r="C31" s="358" t="s">
        <v>381</v>
      </c>
      <c r="D31" s="359" t="s">
        <v>382</v>
      </c>
      <c r="E31" s="358" t="s">
        <v>381</v>
      </c>
      <c r="F31" s="359" t="s">
        <v>382</v>
      </c>
      <c r="G31" s="358" t="s">
        <v>381</v>
      </c>
      <c r="H31" s="359" t="s">
        <v>382</v>
      </c>
      <c r="I31" s="358" t="s">
        <v>381</v>
      </c>
      <c r="J31" s="359" t="s">
        <v>382</v>
      </c>
      <c r="K31" s="358" t="s">
        <v>381</v>
      </c>
      <c r="L31" s="359" t="s">
        <v>382</v>
      </c>
      <c r="M31" s="358" t="s">
        <v>381</v>
      </c>
      <c r="N31" s="359" t="s">
        <v>382</v>
      </c>
      <c r="O31" s="358" t="s">
        <v>381</v>
      </c>
      <c r="P31" s="359" t="s">
        <v>382</v>
      </c>
      <c r="Q31" s="358" t="s">
        <v>381</v>
      </c>
      <c r="R31" s="359" t="s">
        <v>382</v>
      </c>
      <c r="S31" s="358" t="s">
        <v>381</v>
      </c>
      <c r="T31" s="359" t="s">
        <v>382</v>
      </c>
      <c r="U31" s="358" t="s">
        <v>381</v>
      </c>
      <c r="V31" s="359" t="s">
        <v>382</v>
      </c>
      <c r="W31" s="419" t="s">
        <v>381</v>
      </c>
      <c r="X31" s="359" t="s">
        <v>382</v>
      </c>
      <c r="Y31" s="419" t="s">
        <v>381</v>
      </c>
      <c r="Z31" s="359" t="s">
        <v>382</v>
      </c>
      <c r="AA31" s="419" t="s">
        <v>381</v>
      </c>
      <c r="AB31" s="359" t="s">
        <v>382</v>
      </c>
      <c r="AC31" s="419" t="s">
        <v>381</v>
      </c>
      <c r="AD31" s="359" t="s">
        <v>382</v>
      </c>
      <c r="AE31" s="419" t="s">
        <v>381</v>
      </c>
      <c r="AF31" s="359" t="s">
        <v>382</v>
      </c>
      <c r="AG31" s="419" t="s">
        <v>381</v>
      </c>
      <c r="AH31" s="359" t="s">
        <v>382</v>
      </c>
      <c r="AI31" s="419" t="s">
        <v>381</v>
      </c>
      <c r="AJ31" s="359" t="s">
        <v>382</v>
      </c>
      <c r="AK31" s="419" t="s">
        <v>381</v>
      </c>
      <c r="AL31" s="496" t="s">
        <v>382</v>
      </c>
      <c r="AM31" s="419" t="s">
        <v>381</v>
      </c>
      <c r="AN31" s="496" t="s">
        <v>382</v>
      </c>
      <c r="AO31" s="419" t="s">
        <v>381</v>
      </c>
      <c r="AP31" s="496" t="s">
        <v>382</v>
      </c>
      <c r="AQ31" s="419" t="s">
        <v>381</v>
      </c>
      <c r="AR31" s="496" t="s">
        <v>382</v>
      </c>
      <c r="AS31" s="419" t="s">
        <v>381</v>
      </c>
      <c r="AT31" s="496" t="s">
        <v>382</v>
      </c>
      <c r="AU31" s="419" t="s">
        <v>381</v>
      </c>
      <c r="AV31" s="496" t="s">
        <v>382</v>
      </c>
      <c r="AW31" s="419" t="s">
        <v>381</v>
      </c>
      <c r="AX31" s="496" t="s">
        <v>382</v>
      </c>
      <c r="AY31" s="419" t="s">
        <v>381</v>
      </c>
      <c r="AZ31" s="496" t="s">
        <v>382</v>
      </c>
      <c r="BA31" s="419" t="s">
        <v>381</v>
      </c>
      <c r="BB31" s="496" t="s">
        <v>382</v>
      </c>
      <c r="BC31" s="419" t="s">
        <v>381</v>
      </c>
      <c r="BD31" s="496" t="s">
        <v>382</v>
      </c>
      <c r="BE31" s="419" t="s">
        <v>381</v>
      </c>
      <c r="BF31" s="496" t="s">
        <v>382</v>
      </c>
      <c r="BG31" s="419" t="s">
        <v>381</v>
      </c>
      <c r="BH31" s="496" t="s">
        <v>382</v>
      </c>
      <c r="BI31" s="419" t="s">
        <v>381</v>
      </c>
      <c r="BJ31" s="496" t="s">
        <v>382</v>
      </c>
      <c r="BK31" s="419" t="s">
        <v>381</v>
      </c>
      <c r="BL31" s="496" t="s">
        <v>382</v>
      </c>
      <c r="BM31" s="419" t="s">
        <v>381</v>
      </c>
      <c r="BN31" s="496" t="s">
        <v>382</v>
      </c>
      <c r="BO31" s="419" t="s">
        <v>381</v>
      </c>
      <c r="BP31" s="496" t="s">
        <v>382</v>
      </c>
      <c r="BQ31" s="419" t="s">
        <v>381</v>
      </c>
      <c r="BR31" s="496" t="s">
        <v>382</v>
      </c>
      <c r="BS31" s="419" t="s">
        <v>381</v>
      </c>
      <c r="BT31" s="496" t="s">
        <v>382</v>
      </c>
      <c r="BU31" s="419" t="s">
        <v>381</v>
      </c>
      <c r="BV31" s="496" t="s">
        <v>382</v>
      </c>
      <c r="BW31" s="419" t="s">
        <v>381</v>
      </c>
      <c r="BX31" s="496" t="s">
        <v>382</v>
      </c>
      <c r="BY31" s="419" t="s">
        <v>381</v>
      </c>
      <c r="BZ31" s="496" t="s">
        <v>382</v>
      </c>
      <c r="CA31" s="416"/>
    </row>
    <row r="32" spans="2:85" x14ac:dyDescent="0.35">
      <c r="B32" s="360" t="s">
        <v>383</v>
      </c>
      <c r="C32" s="397">
        <f>736.476216810411-225</f>
        <v>511.47621681041096</v>
      </c>
      <c r="D32" s="398">
        <f>+' PCR Enkador'!S163</f>
        <v>0</v>
      </c>
      <c r="E32" s="397">
        <f t="shared" ref="E32" si="219">+C35</f>
        <v>100.86725028541093</v>
      </c>
      <c r="F32" s="398">
        <f t="shared" ref="F32" si="220">+D35</f>
        <v>0</v>
      </c>
      <c r="G32" s="397">
        <f t="shared" ref="G32" si="221">+E35</f>
        <v>531.39019326041102</v>
      </c>
      <c r="H32" s="398">
        <f t="shared" ref="H32" si="222">+F35</f>
        <v>0</v>
      </c>
      <c r="I32" s="397">
        <f>+G35-225</f>
        <v>1745.8101932604113</v>
      </c>
      <c r="J32" s="398">
        <f t="shared" ref="J32" si="223">+H35</f>
        <v>0</v>
      </c>
      <c r="K32" s="397">
        <f>+I35-255</f>
        <v>1310.6301932604115</v>
      </c>
      <c r="L32" s="398">
        <f t="shared" ref="L32" si="224">+J35</f>
        <v>0</v>
      </c>
      <c r="M32" s="397">
        <f t="shared" ref="M32" si="225">+K35</f>
        <v>1052.9701932604116</v>
      </c>
      <c r="N32" s="398">
        <f t="shared" ref="N32" si="226">+L35</f>
        <v>0</v>
      </c>
      <c r="O32" s="397">
        <f t="shared" ref="O32" si="227">+M35</f>
        <v>950.09019326041164</v>
      </c>
      <c r="P32" s="399">
        <f t="shared" ref="P32" si="228">+N35</f>
        <v>0</v>
      </c>
      <c r="Q32" s="397">
        <f>+O35</f>
        <v>750.9901932604115</v>
      </c>
      <c r="R32" s="399">
        <f t="shared" ref="R32" si="229">+P35</f>
        <v>0</v>
      </c>
      <c r="S32" s="397">
        <f>+Q35</f>
        <v>482.05630823541151</v>
      </c>
      <c r="T32" s="399">
        <f t="shared" ref="T32" si="230">+R35</f>
        <v>0</v>
      </c>
      <c r="U32" s="397">
        <f>+S35</f>
        <v>173.96349003541138</v>
      </c>
      <c r="V32" s="399">
        <f t="shared" ref="V32" si="231">+T35</f>
        <v>0</v>
      </c>
      <c r="W32" s="420">
        <f>+U35</f>
        <v>99.994893785411477</v>
      </c>
      <c r="X32" s="399">
        <f t="shared" ref="X32" si="232">+V35</f>
        <v>0</v>
      </c>
      <c r="Y32" s="420">
        <f>+W35</f>
        <v>164.59679961041138</v>
      </c>
      <c r="Z32" s="399">
        <f t="shared" ref="Z32" si="233">+X35</f>
        <v>0</v>
      </c>
      <c r="AA32" s="420">
        <f>+Y35</f>
        <v>520.9971298354111</v>
      </c>
      <c r="AB32" s="399">
        <f t="shared" ref="AB32" si="234">+Z35</f>
        <v>0</v>
      </c>
      <c r="AC32" s="420">
        <f>+AA35</f>
        <v>786.33344441041129</v>
      </c>
      <c r="AD32" s="399">
        <f t="shared" ref="AD32" si="235">+AB35</f>
        <v>0</v>
      </c>
      <c r="AE32" s="420">
        <f>+AC35</f>
        <v>1153.3334444104112</v>
      </c>
      <c r="AF32" s="399">
        <f t="shared" ref="AF32" si="236">+AD35</f>
        <v>0</v>
      </c>
      <c r="AG32" s="420">
        <f>+AE35</f>
        <v>1406.5983490104111</v>
      </c>
      <c r="AH32" s="399">
        <f t="shared" ref="AH32" si="237">+AF35</f>
        <v>0</v>
      </c>
      <c r="AI32" s="420">
        <f>+AG35</f>
        <v>1440.5983490104109</v>
      </c>
      <c r="AJ32" s="399">
        <f t="shared" ref="AJ32" si="238">+AH35</f>
        <v>0</v>
      </c>
      <c r="AK32" s="420">
        <f>+AI35</f>
        <v>1201.9983490104109</v>
      </c>
      <c r="AL32" s="399">
        <f t="shared" ref="AL32" si="239">+AJ35</f>
        <v>0</v>
      </c>
      <c r="AM32" s="420">
        <f>+AK35</f>
        <v>303.49834901041095</v>
      </c>
      <c r="AN32" s="399">
        <f t="shared" ref="AN32" si="240">+AL35</f>
        <v>0</v>
      </c>
      <c r="AO32" s="420">
        <f>+AM35</f>
        <v>303.49834901041095</v>
      </c>
      <c r="AP32" s="399">
        <f t="shared" ref="AP32" si="241">+AN35</f>
        <v>0</v>
      </c>
      <c r="AQ32" s="420">
        <f>+AO35</f>
        <v>293.60956561041098</v>
      </c>
      <c r="AR32" s="399">
        <f t="shared" ref="AR32" si="242">+AP35</f>
        <v>0</v>
      </c>
      <c r="AS32" s="420">
        <f>+AQ35</f>
        <v>193.60956561041098</v>
      </c>
      <c r="AT32" s="399">
        <f t="shared" ref="AT32" si="243">+AR35</f>
        <v>0</v>
      </c>
      <c r="AU32" s="420">
        <f>+AS35</f>
        <v>295.33450216041092</v>
      </c>
      <c r="AV32" s="399">
        <f t="shared" ref="AV32" si="244">+AT35</f>
        <v>0</v>
      </c>
      <c r="AW32" s="420">
        <f>+AU35</f>
        <v>179.12001583541087</v>
      </c>
      <c r="AX32" s="399">
        <f t="shared" ref="AX32" si="245">+AV35</f>
        <v>0</v>
      </c>
      <c r="AY32" s="420">
        <f>+AW35</f>
        <v>43.919371010410941</v>
      </c>
      <c r="AZ32" s="399">
        <f t="shared" ref="AZ32" si="246">+AX35</f>
        <v>0</v>
      </c>
      <c r="BA32" s="420">
        <f>+AY35</f>
        <v>29.919371010410941</v>
      </c>
      <c r="BB32" s="399">
        <f t="shared" ref="BB32" si="247">+AZ35</f>
        <v>0</v>
      </c>
      <c r="BC32" s="420">
        <f>+BA35</f>
        <v>135.70426218541093</v>
      </c>
      <c r="BD32" s="399">
        <f t="shared" ref="BD32" si="248">+BB35</f>
        <v>0</v>
      </c>
      <c r="BE32" s="420"/>
      <c r="BF32" s="399">
        <f t="shared" ref="BF32" si="249">+BB35</f>
        <v>0</v>
      </c>
      <c r="BG32" s="420">
        <v>0</v>
      </c>
      <c r="BH32" s="399">
        <f t="shared" ref="BH32" si="250">+BD35</f>
        <v>0</v>
      </c>
      <c r="BI32" s="420">
        <f t="shared" ref="BI32:BN32" si="251">+BG35</f>
        <v>245</v>
      </c>
      <c r="BJ32" s="399">
        <f t="shared" si="251"/>
        <v>2350.0218802513937</v>
      </c>
      <c r="BK32" s="420">
        <f t="shared" si="251"/>
        <v>367</v>
      </c>
      <c r="BL32" s="399">
        <f t="shared" si="251"/>
        <v>2363.3727414296422</v>
      </c>
      <c r="BM32" s="420">
        <f t="shared" si="251"/>
        <v>816</v>
      </c>
      <c r="BN32" s="399">
        <f t="shared" si="251"/>
        <v>2373.4672471279</v>
      </c>
      <c r="BO32" s="420">
        <f t="shared" ref="BO32" si="252">+BM35</f>
        <v>816</v>
      </c>
      <c r="BP32" s="399">
        <f t="shared" ref="BP32" si="253">+BN35</f>
        <v>2373.4672471279</v>
      </c>
      <c r="BQ32" s="420">
        <f t="shared" ref="BQ32" si="254">+BO35</f>
        <v>816</v>
      </c>
      <c r="BR32" s="399">
        <f t="shared" ref="BR32" si="255">+BP35</f>
        <v>2373.4672471279</v>
      </c>
      <c r="BS32" s="420">
        <f t="shared" ref="BS32" si="256">+BQ35</f>
        <v>816</v>
      </c>
      <c r="BT32" s="399">
        <f t="shared" ref="BT32" si="257">+BR35</f>
        <v>2373.4672471279</v>
      </c>
      <c r="BU32" s="420">
        <f t="shared" ref="BU32" si="258">+BS35</f>
        <v>816</v>
      </c>
      <c r="BV32" s="399">
        <f t="shared" ref="BV32" si="259">+BT35</f>
        <v>2373.4672471279</v>
      </c>
      <c r="BW32" s="420">
        <f t="shared" ref="BW32" si="260">+BU35</f>
        <v>816</v>
      </c>
      <c r="BX32" s="399">
        <f t="shared" ref="BX32" si="261">+BV35</f>
        <v>2373.4672471279</v>
      </c>
      <c r="BY32" s="420">
        <f t="shared" ref="BY32" si="262">+BW35</f>
        <v>816</v>
      </c>
      <c r="BZ32" s="399">
        <f t="shared" ref="BZ32" si="263">+BX35</f>
        <v>2373.4672471279</v>
      </c>
      <c r="CA32" s="416"/>
    </row>
    <row r="33" spans="2:79" x14ac:dyDescent="0.35">
      <c r="B33" s="361" t="s">
        <v>384</v>
      </c>
      <c r="C33" s="400">
        <v>260</v>
      </c>
      <c r="D33" s="401">
        <f>+' PCR Enkador'!T163</f>
        <v>0</v>
      </c>
      <c r="E33" s="400">
        <v>790</v>
      </c>
      <c r="F33" s="401">
        <f>+' PCR Enkador'!U163</f>
        <v>0</v>
      </c>
      <c r="G33" s="400">
        <v>1720</v>
      </c>
      <c r="H33" s="401">
        <f>+' PCR Enkador'!V163</f>
        <v>0</v>
      </c>
      <c r="I33" s="400">
        <v>425</v>
      </c>
      <c r="J33" s="401">
        <f>+' PCR Enkador'!W163</f>
        <v>0</v>
      </c>
      <c r="K33" s="400">
        <v>554</v>
      </c>
      <c r="L33" s="401">
        <f>+' PCR Enkador'!X163</f>
        <v>0</v>
      </c>
      <c r="M33" s="400">
        <v>577</v>
      </c>
      <c r="N33" s="401">
        <f>+' PCR Enkador'!Y163</f>
        <v>0</v>
      </c>
      <c r="O33" s="400">
        <v>526.27</v>
      </c>
      <c r="P33" s="402">
        <f>+' PCR Enkador'!Z163</f>
        <v>0</v>
      </c>
      <c r="Q33" s="400">
        <v>552.07000000000005</v>
      </c>
      <c r="R33" s="402">
        <f>+' PCR Enkador'!AA163</f>
        <v>0</v>
      </c>
      <c r="S33" s="403">
        <f>474+100</f>
        <v>574</v>
      </c>
      <c r="T33" s="402">
        <f>+' PCR Enkador'!AB163</f>
        <v>0</v>
      </c>
      <c r="U33" s="403">
        <v>957</v>
      </c>
      <c r="V33" s="402">
        <f>+' PCR Enkador'!AC163</f>
        <v>0</v>
      </c>
      <c r="W33" s="421">
        <v>1163</v>
      </c>
      <c r="X33" s="402">
        <f>+' PCR Enkador'!AD163</f>
        <v>0</v>
      </c>
      <c r="Y33" s="421">
        <v>1221</v>
      </c>
      <c r="Z33" s="402">
        <f>+' PCR Enkador'!AE163</f>
        <v>0</v>
      </c>
      <c r="AA33" s="421">
        <v>1100</v>
      </c>
      <c r="AB33" s="402">
        <f>+' PCR Enkador'!AF163</f>
        <v>0</v>
      </c>
      <c r="AC33" s="421">
        <v>1100</v>
      </c>
      <c r="AD33" s="402">
        <f>+' PCR Enkador'!AG163</f>
        <v>0</v>
      </c>
      <c r="AE33" s="421">
        <v>1100</v>
      </c>
      <c r="AF33" s="402">
        <f>+' PCR Enkador'!AH163</f>
        <v>0</v>
      </c>
      <c r="AG33" s="421">
        <v>869</v>
      </c>
      <c r="AH33" s="402">
        <f>+' PCR Enkador'!AI163</f>
        <v>0</v>
      </c>
      <c r="AI33" s="421">
        <v>600</v>
      </c>
      <c r="AJ33" s="402">
        <f>+' PCR Enkador'!AJ163</f>
        <v>0</v>
      </c>
      <c r="AK33" s="421"/>
      <c r="AL33" s="402">
        <f>+' PCR Enkador'!AK163</f>
        <v>0</v>
      </c>
      <c r="AM33" s="421">
        <v>800</v>
      </c>
      <c r="AN33" s="402">
        <f>+' PCR Enkador'!AL163</f>
        <v>0</v>
      </c>
      <c r="AO33" s="421">
        <v>800</v>
      </c>
      <c r="AP33" s="402">
        <f>+' PCR Enkador'!AM163</f>
        <v>0</v>
      </c>
      <c r="AQ33" s="421">
        <v>800</v>
      </c>
      <c r="AR33" s="402">
        <f>+' PCR Enkador'!AN163</f>
        <v>0</v>
      </c>
      <c r="AS33" s="421">
        <v>1000</v>
      </c>
      <c r="AT33" s="402">
        <f>+' PCR Enkador'!AO163</f>
        <v>0</v>
      </c>
      <c r="AU33" s="421">
        <v>800</v>
      </c>
      <c r="AV33" s="402">
        <f>+' PCR Enkador'!AP163</f>
        <v>0</v>
      </c>
      <c r="AW33" s="421">
        <v>800</v>
      </c>
      <c r="AX33" s="402">
        <f>+' PCR Enkador'!AQ163</f>
        <v>0</v>
      </c>
      <c r="AY33" s="421">
        <v>800</v>
      </c>
      <c r="AZ33" s="402">
        <f>+' PCR Enkador'!AR163</f>
        <v>0</v>
      </c>
      <c r="BA33" s="421">
        <v>800</v>
      </c>
      <c r="BB33" s="402">
        <f>+' PCR Enkador'!AS163</f>
        <v>0</v>
      </c>
      <c r="BC33" s="421">
        <v>800</v>
      </c>
      <c r="BD33" s="402">
        <f>+' PCR Enkador'!AT163</f>
        <v>0</v>
      </c>
      <c r="BE33" s="421">
        <v>0</v>
      </c>
      <c r="BF33" s="402">
        <f>+' PCR Enkador'!AU163</f>
        <v>0</v>
      </c>
      <c r="BG33" s="421">
        <v>245</v>
      </c>
      <c r="BH33" s="402">
        <f>+' PCR Enkador'!AV139</f>
        <v>2350.0218802513937</v>
      </c>
      <c r="BI33" s="421">
        <v>122</v>
      </c>
      <c r="BJ33" s="402">
        <f>+' PCR Enkador'!AW139</f>
        <v>2390.1838970744866</v>
      </c>
      <c r="BK33" s="421">
        <v>449</v>
      </c>
      <c r="BL33" s="402">
        <f>+' PCR Enkador'!AX139</f>
        <v>2381.7182128099948</v>
      </c>
      <c r="BM33" s="421"/>
      <c r="BN33" s="402">
        <f>+' PCR Enkador'!BG139</f>
        <v>0</v>
      </c>
      <c r="BO33" s="421"/>
      <c r="BP33" s="402">
        <f>+' PCR Enkador'!BI139</f>
        <v>0</v>
      </c>
      <c r="BQ33" s="421"/>
      <c r="BR33" s="402">
        <f>+' PCR Enkador'!BK139</f>
        <v>0</v>
      </c>
      <c r="BS33" s="421"/>
      <c r="BT33" s="402">
        <f>+' PCR Enkador'!BM139</f>
        <v>0</v>
      </c>
      <c r="BU33" s="421"/>
      <c r="BV33" s="402">
        <f>+' PCR Enkador'!BO139</f>
        <v>0</v>
      </c>
      <c r="BW33" s="421"/>
      <c r="BX33" s="402">
        <f>+' PCR Enkador'!BQ139</f>
        <v>0</v>
      </c>
      <c r="BY33" s="421"/>
      <c r="BZ33" s="402">
        <f>+' PCR Enkador'!BS139</f>
        <v>0</v>
      </c>
      <c r="CA33" s="416"/>
    </row>
    <row r="34" spans="2:79" x14ac:dyDescent="0.35">
      <c r="B34" s="361" t="s">
        <v>385</v>
      </c>
      <c r="C34" s="400">
        <v>670.60896652500003</v>
      </c>
      <c r="D34" s="404">
        <f>+D39</f>
        <v>0</v>
      </c>
      <c r="E34" s="400">
        <v>359.47705702499991</v>
      </c>
      <c r="F34" s="404">
        <f>+F39</f>
        <v>0</v>
      </c>
      <c r="G34" s="400">
        <v>280.58</v>
      </c>
      <c r="H34" s="404">
        <f>+H39</f>
        <v>0</v>
      </c>
      <c r="I34" s="400">
        <v>605.17999999999995</v>
      </c>
      <c r="J34" s="404">
        <f>+J39</f>
        <v>0</v>
      </c>
      <c r="K34" s="400">
        <v>811.66</v>
      </c>
      <c r="L34" s="404">
        <f>+L39</f>
        <v>0</v>
      </c>
      <c r="M34" s="400">
        <v>679.88</v>
      </c>
      <c r="N34" s="404">
        <f>+N39</f>
        <v>0</v>
      </c>
      <c r="O34" s="400">
        <v>725.37</v>
      </c>
      <c r="P34" s="402">
        <f>+P39</f>
        <v>0</v>
      </c>
      <c r="Q34" s="400">
        <v>821.00388502500005</v>
      </c>
      <c r="R34" s="402">
        <f>+R39</f>
        <v>0</v>
      </c>
      <c r="S34" s="400">
        <v>882.09281820000012</v>
      </c>
      <c r="T34" s="402">
        <f>+T39</f>
        <v>0</v>
      </c>
      <c r="U34" s="400">
        <v>1030.9685962499998</v>
      </c>
      <c r="V34" s="423">
        <f>+V39</f>
        <v>0</v>
      </c>
      <c r="W34" s="418">
        <v>1098.3980941750001</v>
      </c>
      <c r="X34" s="402">
        <f>+X39</f>
        <v>0</v>
      </c>
      <c r="Y34" s="418">
        <v>864.59966977500028</v>
      </c>
      <c r="Z34" s="402">
        <f>+Z39</f>
        <v>0</v>
      </c>
      <c r="AA34" s="418">
        <v>834.66368542499993</v>
      </c>
      <c r="AB34" s="402">
        <f>+AB39</f>
        <v>0</v>
      </c>
      <c r="AC34" s="418">
        <v>733</v>
      </c>
      <c r="AD34" s="402">
        <f>+AD39</f>
        <v>0</v>
      </c>
      <c r="AE34" s="418">
        <v>846.73509540000009</v>
      </c>
      <c r="AF34" s="402">
        <f>+AF39</f>
        <v>0</v>
      </c>
      <c r="AG34" s="418">
        <v>835</v>
      </c>
      <c r="AH34" s="402">
        <f>+AH39</f>
        <v>0</v>
      </c>
      <c r="AI34" s="418">
        <v>838.6</v>
      </c>
      <c r="AJ34" s="402">
        <f>+AJ39</f>
        <v>0</v>
      </c>
      <c r="AK34" s="418">
        <v>898.5</v>
      </c>
      <c r="AL34" s="402">
        <f>+AL39</f>
        <v>0</v>
      </c>
      <c r="AM34" s="418">
        <v>800</v>
      </c>
      <c r="AN34" s="405">
        <f>+AN39</f>
        <v>0</v>
      </c>
      <c r="AO34" s="418">
        <v>809.88878339999997</v>
      </c>
      <c r="AP34" s="402">
        <f>+AP39</f>
        <v>0</v>
      </c>
      <c r="AQ34" s="418">
        <v>900</v>
      </c>
      <c r="AR34" s="402">
        <f>+AR39</f>
        <v>0</v>
      </c>
      <c r="AS34" s="418">
        <v>898.27506345000006</v>
      </c>
      <c r="AT34" s="402">
        <f>+AT39</f>
        <v>0</v>
      </c>
      <c r="AU34" s="418">
        <v>916.21448632500005</v>
      </c>
      <c r="AV34" s="402">
        <f>+AV39</f>
        <v>0</v>
      </c>
      <c r="AW34" s="418">
        <v>935.20064482499993</v>
      </c>
      <c r="AX34" s="402">
        <f>+AX39</f>
        <v>0</v>
      </c>
      <c r="AY34" s="418">
        <v>814</v>
      </c>
      <c r="AZ34" s="402">
        <f>+AZ39</f>
        <v>0</v>
      </c>
      <c r="BA34" s="418">
        <v>694.21510882500002</v>
      </c>
      <c r="BB34" s="402">
        <f>+BB39</f>
        <v>0</v>
      </c>
      <c r="BC34" s="418">
        <v>809.7</v>
      </c>
      <c r="BD34" s="402">
        <f>+BD39</f>
        <v>0</v>
      </c>
      <c r="BE34" s="418"/>
      <c r="BF34" s="402" t="e">
        <f>+BF39</f>
        <v>#DIV/0!</v>
      </c>
      <c r="BG34" s="418">
        <v>0</v>
      </c>
      <c r="BH34" s="405">
        <f>+BH39</f>
        <v>2350.0218802513937</v>
      </c>
      <c r="BI34" s="418">
        <v>0</v>
      </c>
      <c r="BJ34" s="405">
        <f>+BJ39</f>
        <v>2363.3727414296422</v>
      </c>
      <c r="BK34" s="418">
        <v>0</v>
      </c>
      <c r="BL34" s="405">
        <f>+BL39</f>
        <v>2373.4672471279</v>
      </c>
      <c r="BM34" s="418">
        <v>0</v>
      </c>
      <c r="BN34" s="405">
        <f>+BN39</f>
        <v>2373.4672471279</v>
      </c>
      <c r="BO34" s="418">
        <v>0</v>
      </c>
      <c r="BP34" s="405">
        <f>+BP39</f>
        <v>2373.4672471279</v>
      </c>
      <c r="BQ34" s="418">
        <v>0</v>
      </c>
      <c r="BR34" s="405">
        <f>+BR39</f>
        <v>2373.4672471279</v>
      </c>
      <c r="BS34" s="418">
        <v>0</v>
      </c>
      <c r="BT34" s="405">
        <f>+BT39</f>
        <v>2373.4672471279</v>
      </c>
      <c r="BU34" s="418">
        <v>0</v>
      </c>
      <c r="BV34" s="405">
        <f>+BV39</f>
        <v>2373.4672471279</v>
      </c>
      <c r="BW34" s="418">
        <v>0</v>
      </c>
      <c r="BX34" s="405">
        <f>+BX39</f>
        <v>2373.4672471279</v>
      </c>
      <c r="BY34" s="418">
        <v>0</v>
      </c>
      <c r="BZ34" s="405">
        <f>+BZ39</f>
        <v>2373.4672471279</v>
      </c>
      <c r="CA34" s="416"/>
    </row>
    <row r="35" spans="2:79" ht="15" thickBot="1" x14ac:dyDescent="0.4">
      <c r="B35" s="362" t="s">
        <v>386</v>
      </c>
      <c r="C35" s="406">
        <f>+C32+C33-C34</f>
        <v>100.86725028541093</v>
      </c>
      <c r="D35" s="407">
        <f>+(C32*D32+C33*D33-C34*D34)/C35</f>
        <v>0</v>
      </c>
      <c r="E35" s="406">
        <f>+E32+E33-E34</f>
        <v>531.39019326041102</v>
      </c>
      <c r="F35" s="407">
        <f>+(E32*F32+E33*F33-E34*F34)/E35</f>
        <v>0</v>
      </c>
      <c r="G35" s="406">
        <f>+G32+G33-G34</f>
        <v>1970.8101932604113</v>
      </c>
      <c r="H35" s="407">
        <f>+(G32*H32+G33*H33-G34*H34)/G35</f>
        <v>0</v>
      </c>
      <c r="I35" s="406">
        <f>+I32+I33-I34</f>
        <v>1565.6301932604115</v>
      </c>
      <c r="J35" s="407">
        <f>+(I32*J32+I33*J33-I34*J34)/I35</f>
        <v>0</v>
      </c>
      <c r="K35" s="406">
        <f>+K32+K33-K34</f>
        <v>1052.9701932604116</v>
      </c>
      <c r="L35" s="407">
        <f>+(K32*L32+K33*L33-K34*L34)/K35</f>
        <v>0</v>
      </c>
      <c r="M35" s="406">
        <f>+M32+M33-M34</f>
        <v>950.09019326041164</v>
      </c>
      <c r="N35" s="407">
        <f>+(M32*N32+M33*N33-M34*N34)/M35</f>
        <v>0</v>
      </c>
      <c r="O35" s="406">
        <f>+O32+O33-O34</f>
        <v>750.9901932604115</v>
      </c>
      <c r="P35" s="408">
        <f>+(O32*P32+O33*P33-O34*P34)/O35</f>
        <v>0</v>
      </c>
      <c r="Q35" s="406">
        <f>+Q32+Q33-Q34</f>
        <v>482.05630823541151</v>
      </c>
      <c r="R35" s="408">
        <f>+(Q32*R32+Q33*R33-Q34*R34)/Q35</f>
        <v>0</v>
      </c>
      <c r="S35" s="406">
        <f>+S32+S33-S34</f>
        <v>173.96349003541138</v>
      </c>
      <c r="T35" s="408">
        <f>+(S32*T32+S33*T33-S34*T34)/S35</f>
        <v>0</v>
      </c>
      <c r="U35" s="406">
        <f>+U32+U33-U34</f>
        <v>99.994893785411477</v>
      </c>
      <c r="V35" s="408">
        <f>+(U32*V32+U33*V33-U34*V34)/U35</f>
        <v>0</v>
      </c>
      <c r="W35" s="422">
        <f>+W32+W33-W34</f>
        <v>164.59679961041138</v>
      </c>
      <c r="X35" s="408">
        <f>+(W32*X32+W33*X33-W34*X34)/W35</f>
        <v>0</v>
      </c>
      <c r="Y35" s="422">
        <f>+Y32+Y33-Y34</f>
        <v>520.9971298354111</v>
      </c>
      <c r="Z35" s="408">
        <f>+(Y32*Z32+Y33*Z33-Y34*Z34)/Y35</f>
        <v>0</v>
      </c>
      <c r="AA35" s="422">
        <f>+AA32+AA33-AA34</f>
        <v>786.33344441041129</v>
      </c>
      <c r="AB35" s="408">
        <f>+(AA32*AB32+AA33*AB33-AA34*AB34)/AA35</f>
        <v>0</v>
      </c>
      <c r="AC35" s="422">
        <f>+AC32+AC33-AC34</f>
        <v>1153.3334444104112</v>
      </c>
      <c r="AD35" s="408">
        <f>+(AC32*AD32+AC33*AD33-AC34*AD34)/AC35</f>
        <v>0</v>
      </c>
      <c r="AE35" s="422">
        <f>+AE32+AE33-AE34</f>
        <v>1406.5983490104111</v>
      </c>
      <c r="AF35" s="408">
        <f>+(AE32*AF32+AE33*AF33-AE34*AF34)/AE35</f>
        <v>0</v>
      </c>
      <c r="AG35" s="422">
        <f>+AG32+AG33-AG34</f>
        <v>1440.5983490104109</v>
      </c>
      <c r="AH35" s="408">
        <f>+(AG32*AH32+AG33*AH33-AG34*AH34)/AG35</f>
        <v>0</v>
      </c>
      <c r="AI35" s="422">
        <f>+AI32+AI33-AI34</f>
        <v>1201.9983490104109</v>
      </c>
      <c r="AJ35" s="408">
        <f>+(AI32*AJ32+AI33*AJ33-AI34*AJ34)/AI35</f>
        <v>0</v>
      </c>
      <c r="AK35" s="422">
        <f>+AK32+AK33-AK34</f>
        <v>303.49834901041095</v>
      </c>
      <c r="AL35" s="408">
        <f>+(AK32*AL32+AK33*AL33-AK34*AL34)/AK35</f>
        <v>0</v>
      </c>
      <c r="AM35" s="422">
        <f>+AM32+AM33-AM34</f>
        <v>303.49834901041095</v>
      </c>
      <c r="AN35" s="408">
        <f>+(AM32*AN32+AM33*AN33-AM34*AN34)/AM35</f>
        <v>0</v>
      </c>
      <c r="AO35" s="422">
        <f>+AO32+AO33-AO34</f>
        <v>293.60956561041098</v>
      </c>
      <c r="AP35" s="408">
        <f>+(AO32*AP32+AO33*AP33-AO34*AP34)/AO35</f>
        <v>0</v>
      </c>
      <c r="AQ35" s="422">
        <f>+AQ32+AQ33-AQ34</f>
        <v>193.60956561041098</v>
      </c>
      <c r="AR35" s="408">
        <f>+(AQ32*AR32+AQ33*AR33-AQ34*AR34)/AQ35</f>
        <v>0</v>
      </c>
      <c r="AS35" s="422">
        <f>+AS32+AS33-AS34</f>
        <v>295.33450216041092</v>
      </c>
      <c r="AT35" s="408">
        <f>+(AS32*AT32+AS33*AT33-AS34*AT34)/AS35</f>
        <v>0</v>
      </c>
      <c r="AU35" s="422">
        <f>+AU32+AU33-AU34</f>
        <v>179.12001583541087</v>
      </c>
      <c r="AV35" s="408">
        <f>+(AU32*AV32+AU33*AV33-AU34*AV34)/AU35</f>
        <v>0</v>
      </c>
      <c r="AW35" s="422">
        <f>+AW32+AW33-AW34</f>
        <v>43.919371010410941</v>
      </c>
      <c r="AX35" s="408">
        <f>+(AW32*AX32+AW33*AX33-AW34*AX34)/AW35</f>
        <v>0</v>
      </c>
      <c r="AY35" s="422">
        <f>+AY32+AY33-AY34</f>
        <v>29.919371010410941</v>
      </c>
      <c r="AZ35" s="408">
        <f>+(AY32*AZ32+AY33*AZ33-AY34*AZ34)/AY35</f>
        <v>0</v>
      </c>
      <c r="BA35" s="422">
        <f>+BA32+BA33-BA34</f>
        <v>135.70426218541093</v>
      </c>
      <c r="BB35" s="408">
        <f>+(BA32*BB32+BA33*BB33-BA34*BB34)/BA35</f>
        <v>0</v>
      </c>
      <c r="BC35" s="422">
        <f>+BC32+BC33-BC34</f>
        <v>126.00426218541088</v>
      </c>
      <c r="BD35" s="408">
        <f>+(BC32*BD32+BC33*BD33-BC34*BD34)/BC35</f>
        <v>0</v>
      </c>
      <c r="BE35" s="422">
        <f>+BE32+BE33-BE34</f>
        <v>0</v>
      </c>
      <c r="BF35" s="408" t="e">
        <f>+(BE32*BF32+BE33*BF33-BE34*BF34)/BE35</f>
        <v>#DIV/0!</v>
      </c>
      <c r="BG35" s="422">
        <f>+BG32+BG33-BG34</f>
        <v>245</v>
      </c>
      <c r="BH35" s="408">
        <f>+(BG32*BH32+BG33*BH33-BG34*BH34)/BG35</f>
        <v>2350.0218802513937</v>
      </c>
      <c r="BI35" s="422">
        <f>+BI32+BI33-BI34</f>
        <v>367</v>
      </c>
      <c r="BJ35" s="408">
        <f>+(BI32*BJ32+BI33*BJ33-BI34*BJ34)/BI35</f>
        <v>2363.3727414296422</v>
      </c>
      <c r="BK35" s="422">
        <f>+BK32+BK33-BK34</f>
        <v>816</v>
      </c>
      <c r="BL35" s="408">
        <f>+(BK32*BL32+BK33*BL33-BK34*BL34)/BK35</f>
        <v>2373.4672471279</v>
      </c>
      <c r="BM35" s="422">
        <f>+BM32+BM33-BM34</f>
        <v>816</v>
      </c>
      <c r="BN35" s="408">
        <f>+(BM32*BN32+BM33*BN33-BM34*BN34)/BM35</f>
        <v>2373.4672471279</v>
      </c>
      <c r="BO35" s="422">
        <f>+BO32+BO33-BO34</f>
        <v>816</v>
      </c>
      <c r="BP35" s="408">
        <f>+(BO32*BP32+BO33*BP33-BO34*BP34)/BO35</f>
        <v>2373.4672471279</v>
      </c>
      <c r="BQ35" s="422">
        <f>+BQ32+BQ33-BQ34</f>
        <v>816</v>
      </c>
      <c r="BR35" s="408">
        <f>+(BQ32*BR32+BQ33*BR33-BQ34*BR34)/BQ35</f>
        <v>2373.4672471279</v>
      </c>
      <c r="BS35" s="422">
        <f>+BS32+BS33-BS34</f>
        <v>816</v>
      </c>
      <c r="BT35" s="408">
        <f>+(BS32*BT32+BS33*BT33-BS34*BT34)/BS35</f>
        <v>2373.4672471279</v>
      </c>
      <c r="BU35" s="422">
        <f>+BU32+BU33-BU34</f>
        <v>816</v>
      </c>
      <c r="BV35" s="408">
        <f>+(BU32*BV32+BU33*BV33-BU34*BV34)/BU35</f>
        <v>2373.4672471279</v>
      </c>
      <c r="BW35" s="422">
        <f>+BW32+BW33-BW34</f>
        <v>816</v>
      </c>
      <c r="BX35" s="408">
        <f>+(BW32*BX32+BW33*BX33-BW34*BX34)/BW35</f>
        <v>2373.4672471279</v>
      </c>
      <c r="BY35" s="422">
        <f>+BY32+BY33-BY34</f>
        <v>816</v>
      </c>
      <c r="BZ35" s="408">
        <f>+(BY32*BZ32+BY33*BZ33-BY34*BZ34)/BY35</f>
        <v>2373.4672471279</v>
      </c>
      <c r="CA35" s="416"/>
    </row>
    <row r="36" spans="2:79" x14ac:dyDescent="0.35">
      <c r="B36" s="415"/>
      <c r="O36" s="409"/>
      <c r="BR36" s="88"/>
      <c r="BT36" s="88"/>
      <c r="BV36" s="88"/>
      <c r="BX36" s="88"/>
      <c r="BZ36" s="88"/>
      <c r="CA36" s="416"/>
    </row>
    <row r="37" spans="2:79" x14ac:dyDescent="0.35">
      <c r="C37" s="410">
        <f t="shared" ref="C37:BL37" si="264">+C32</f>
        <v>511.47621681041096</v>
      </c>
      <c r="D37" s="411">
        <f t="shared" si="264"/>
        <v>0</v>
      </c>
      <c r="E37" s="410">
        <f t="shared" si="264"/>
        <v>100.86725028541093</v>
      </c>
      <c r="F37" s="411">
        <f t="shared" si="264"/>
        <v>0</v>
      </c>
      <c r="G37" s="410">
        <f t="shared" si="264"/>
        <v>531.39019326041102</v>
      </c>
      <c r="H37" s="411">
        <f t="shared" si="264"/>
        <v>0</v>
      </c>
      <c r="I37" s="410">
        <f t="shared" si="264"/>
        <v>1745.8101932604113</v>
      </c>
      <c r="J37" s="411">
        <f t="shared" si="264"/>
        <v>0</v>
      </c>
      <c r="K37" s="410">
        <f t="shared" si="264"/>
        <v>1310.6301932604115</v>
      </c>
      <c r="L37" s="411">
        <f t="shared" si="264"/>
        <v>0</v>
      </c>
      <c r="M37" s="410">
        <f t="shared" si="264"/>
        <v>1052.9701932604116</v>
      </c>
      <c r="N37" s="411">
        <f t="shared" si="264"/>
        <v>0</v>
      </c>
      <c r="O37" s="410">
        <f t="shared" si="264"/>
        <v>950.09019326041164</v>
      </c>
      <c r="P37" s="411">
        <f t="shared" si="264"/>
        <v>0</v>
      </c>
      <c r="Q37" s="410">
        <f t="shared" si="264"/>
        <v>750.9901932604115</v>
      </c>
      <c r="R37" s="411">
        <f t="shared" si="264"/>
        <v>0</v>
      </c>
      <c r="S37" s="410">
        <f t="shared" si="264"/>
        <v>482.05630823541151</v>
      </c>
      <c r="T37" s="411">
        <f t="shared" si="264"/>
        <v>0</v>
      </c>
      <c r="U37" s="410">
        <f t="shared" si="264"/>
        <v>173.96349003541138</v>
      </c>
      <c r="V37" s="411">
        <f t="shared" si="264"/>
        <v>0</v>
      </c>
      <c r="W37" s="410">
        <f t="shared" si="264"/>
        <v>99.994893785411477</v>
      </c>
      <c r="X37" s="411">
        <f t="shared" si="264"/>
        <v>0</v>
      </c>
      <c r="Y37" s="410">
        <f t="shared" si="264"/>
        <v>164.59679961041138</v>
      </c>
      <c r="Z37" s="411">
        <f t="shared" si="264"/>
        <v>0</v>
      </c>
      <c r="AA37" s="410">
        <f t="shared" si="264"/>
        <v>520.9971298354111</v>
      </c>
      <c r="AB37" s="411">
        <f t="shared" si="264"/>
        <v>0</v>
      </c>
      <c r="AC37" s="410">
        <f t="shared" si="264"/>
        <v>786.33344441041129</v>
      </c>
      <c r="AD37" s="411">
        <f t="shared" si="264"/>
        <v>0</v>
      </c>
      <c r="AE37" s="410">
        <f t="shared" si="264"/>
        <v>1153.3334444104112</v>
      </c>
      <c r="AF37" s="411">
        <f t="shared" si="264"/>
        <v>0</v>
      </c>
      <c r="AG37" s="410">
        <f t="shared" si="264"/>
        <v>1406.5983490104111</v>
      </c>
      <c r="AH37" s="411">
        <f t="shared" si="264"/>
        <v>0</v>
      </c>
      <c r="AI37" s="410">
        <f t="shared" si="264"/>
        <v>1440.5983490104109</v>
      </c>
      <c r="AJ37" s="411">
        <f t="shared" si="264"/>
        <v>0</v>
      </c>
      <c r="AK37" s="410">
        <f t="shared" si="264"/>
        <v>1201.9983490104109</v>
      </c>
      <c r="AL37" s="411">
        <f t="shared" si="264"/>
        <v>0</v>
      </c>
      <c r="AM37" s="410">
        <f t="shared" si="264"/>
        <v>303.49834901041095</v>
      </c>
      <c r="AN37" s="411">
        <f t="shared" si="264"/>
        <v>0</v>
      </c>
      <c r="AO37" s="410">
        <f t="shared" si="264"/>
        <v>303.49834901041095</v>
      </c>
      <c r="AP37" s="411">
        <f t="shared" si="264"/>
        <v>0</v>
      </c>
      <c r="AQ37" s="410">
        <f t="shared" si="264"/>
        <v>293.60956561041098</v>
      </c>
      <c r="AR37" s="411">
        <f t="shared" si="264"/>
        <v>0</v>
      </c>
      <c r="AS37" s="410">
        <f t="shared" si="264"/>
        <v>193.60956561041098</v>
      </c>
      <c r="AT37" s="411">
        <f t="shared" si="264"/>
        <v>0</v>
      </c>
      <c r="AU37" s="410">
        <f t="shared" si="264"/>
        <v>295.33450216041092</v>
      </c>
      <c r="AV37" s="411">
        <f t="shared" si="264"/>
        <v>0</v>
      </c>
      <c r="AW37" s="410">
        <f t="shared" si="264"/>
        <v>179.12001583541087</v>
      </c>
      <c r="AX37" s="411">
        <f t="shared" si="264"/>
        <v>0</v>
      </c>
      <c r="AY37" s="410">
        <f t="shared" si="264"/>
        <v>43.919371010410941</v>
      </c>
      <c r="AZ37" s="411">
        <f t="shared" si="264"/>
        <v>0</v>
      </c>
      <c r="BA37" s="410">
        <f t="shared" si="264"/>
        <v>29.919371010410941</v>
      </c>
      <c r="BB37" s="411">
        <f t="shared" si="264"/>
        <v>0</v>
      </c>
      <c r="BC37" s="410">
        <f t="shared" si="264"/>
        <v>135.70426218541093</v>
      </c>
      <c r="BD37" s="411">
        <f t="shared" si="264"/>
        <v>0</v>
      </c>
      <c r="BE37" s="410">
        <f t="shared" si="264"/>
        <v>0</v>
      </c>
      <c r="BF37" s="411">
        <f t="shared" si="264"/>
        <v>0</v>
      </c>
      <c r="BG37" s="410">
        <f t="shared" si="264"/>
        <v>0</v>
      </c>
      <c r="BH37" s="411">
        <f t="shared" si="264"/>
        <v>0</v>
      </c>
      <c r="BI37" s="410">
        <f t="shared" si="264"/>
        <v>245</v>
      </c>
      <c r="BJ37" s="411">
        <f t="shared" si="264"/>
        <v>2350.0218802513937</v>
      </c>
      <c r="BK37" s="410">
        <f t="shared" si="264"/>
        <v>367</v>
      </c>
      <c r="BL37" s="411">
        <f t="shared" si="264"/>
        <v>2363.3727414296422</v>
      </c>
      <c r="BM37" s="410">
        <f t="shared" ref="BM37:BN37" si="265">+BM32</f>
        <v>816</v>
      </c>
      <c r="BN37" s="411">
        <f t="shared" si="265"/>
        <v>2373.4672471279</v>
      </c>
      <c r="BO37" s="410">
        <f t="shared" ref="BO37:BP37" si="266">+BO32</f>
        <v>816</v>
      </c>
      <c r="BP37" s="411">
        <f t="shared" si="266"/>
        <v>2373.4672471279</v>
      </c>
      <c r="BQ37" s="410">
        <f t="shared" ref="BQ37:BR37" si="267">+BQ32</f>
        <v>816</v>
      </c>
      <c r="BR37" s="411">
        <f t="shared" si="267"/>
        <v>2373.4672471279</v>
      </c>
      <c r="BS37" s="410">
        <f t="shared" ref="BS37:BT37" si="268">+BS32</f>
        <v>816</v>
      </c>
      <c r="BT37" s="411">
        <f t="shared" si="268"/>
        <v>2373.4672471279</v>
      </c>
      <c r="BU37" s="410">
        <f t="shared" ref="BU37:BV37" si="269">+BU32</f>
        <v>816</v>
      </c>
      <c r="BV37" s="411">
        <f t="shared" si="269"/>
        <v>2373.4672471279</v>
      </c>
      <c r="BW37" s="410">
        <f t="shared" ref="BW37:BX37" si="270">+BW32</f>
        <v>816</v>
      </c>
      <c r="BX37" s="411">
        <f t="shared" si="270"/>
        <v>2373.4672471279</v>
      </c>
      <c r="BY37" s="410">
        <f t="shared" ref="BY37:BZ37" si="271">+BY32</f>
        <v>816</v>
      </c>
      <c r="BZ37" s="411">
        <f t="shared" si="271"/>
        <v>2373.4672471279</v>
      </c>
      <c r="CA37" s="416"/>
    </row>
    <row r="38" spans="2:79" x14ac:dyDescent="0.35">
      <c r="C38" s="410">
        <f t="shared" ref="C38:BL38" si="272">+C33</f>
        <v>260</v>
      </c>
      <c r="D38" s="411">
        <f t="shared" si="272"/>
        <v>0</v>
      </c>
      <c r="E38" s="410">
        <f t="shared" si="272"/>
        <v>790</v>
      </c>
      <c r="F38" s="411">
        <f t="shared" si="272"/>
        <v>0</v>
      </c>
      <c r="G38" s="410">
        <f t="shared" si="272"/>
        <v>1720</v>
      </c>
      <c r="H38" s="411">
        <f t="shared" si="272"/>
        <v>0</v>
      </c>
      <c r="I38" s="410">
        <f t="shared" si="272"/>
        <v>425</v>
      </c>
      <c r="J38" s="411">
        <f t="shared" si="272"/>
        <v>0</v>
      </c>
      <c r="K38" s="410">
        <f t="shared" si="272"/>
        <v>554</v>
      </c>
      <c r="L38" s="411">
        <f t="shared" si="272"/>
        <v>0</v>
      </c>
      <c r="M38" s="410">
        <f t="shared" si="272"/>
        <v>577</v>
      </c>
      <c r="N38" s="411">
        <f t="shared" si="272"/>
        <v>0</v>
      </c>
      <c r="O38" s="410">
        <f t="shared" si="272"/>
        <v>526.27</v>
      </c>
      <c r="P38" s="411">
        <f t="shared" si="272"/>
        <v>0</v>
      </c>
      <c r="Q38" s="410">
        <f t="shared" si="272"/>
        <v>552.07000000000005</v>
      </c>
      <c r="R38" s="411">
        <f t="shared" si="272"/>
        <v>0</v>
      </c>
      <c r="S38" s="410">
        <f t="shared" si="272"/>
        <v>574</v>
      </c>
      <c r="T38" s="411">
        <f t="shared" si="272"/>
        <v>0</v>
      </c>
      <c r="U38" s="410">
        <f t="shared" si="272"/>
        <v>957</v>
      </c>
      <c r="V38" s="411">
        <f t="shared" si="272"/>
        <v>0</v>
      </c>
      <c r="W38" s="410">
        <f t="shared" si="272"/>
        <v>1163</v>
      </c>
      <c r="X38" s="411">
        <f t="shared" si="272"/>
        <v>0</v>
      </c>
      <c r="Y38" s="410">
        <f t="shared" si="272"/>
        <v>1221</v>
      </c>
      <c r="Z38" s="411">
        <f t="shared" si="272"/>
        <v>0</v>
      </c>
      <c r="AA38" s="410">
        <f t="shared" si="272"/>
        <v>1100</v>
      </c>
      <c r="AB38" s="411">
        <f t="shared" si="272"/>
        <v>0</v>
      </c>
      <c r="AC38" s="410">
        <f t="shared" si="272"/>
        <v>1100</v>
      </c>
      <c r="AD38" s="411">
        <f t="shared" si="272"/>
        <v>0</v>
      </c>
      <c r="AE38" s="410">
        <f t="shared" si="272"/>
        <v>1100</v>
      </c>
      <c r="AF38" s="411">
        <f t="shared" si="272"/>
        <v>0</v>
      </c>
      <c r="AG38" s="410">
        <f t="shared" si="272"/>
        <v>869</v>
      </c>
      <c r="AH38" s="411">
        <f t="shared" si="272"/>
        <v>0</v>
      </c>
      <c r="AI38" s="410">
        <f t="shared" si="272"/>
        <v>600</v>
      </c>
      <c r="AJ38" s="411">
        <f t="shared" si="272"/>
        <v>0</v>
      </c>
      <c r="AK38" s="410">
        <f t="shared" si="272"/>
        <v>0</v>
      </c>
      <c r="AL38" s="411">
        <f t="shared" si="272"/>
        <v>0</v>
      </c>
      <c r="AM38" s="410">
        <f t="shared" si="272"/>
        <v>800</v>
      </c>
      <c r="AN38" s="411">
        <f t="shared" si="272"/>
        <v>0</v>
      </c>
      <c r="AO38" s="410">
        <f t="shared" si="272"/>
        <v>800</v>
      </c>
      <c r="AP38" s="411">
        <f t="shared" si="272"/>
        <v>0</v>
      </c>
      <c r="AQ38" s="410">
        <f t="shared" si="272"/>
        <v>800</v>
      </c>
      <c r="AR38" s="411">
        <f t="shared" si="272"/>
        <v>0</v>
      </c>
      <c r="AS38" s="410">
        <f t="shared" si="272"/>
        <v>1000</v>
      </c>
      <c r="AT38" s="411">
        <f t="shared" si="272"/>
        <v>0</v>
      </c>
      <c r="AU38" s="410">
        <f t="shared" si="272"/>
        <v>800</v>
      </c>
      <c r="AV38" s="411">
        <f t="shared" si="272"/>
        <v>0</v>
      </c>
      <c r="AW38" s="410">
        <f t="shared" si="272"/>
        <v>800</v>
      </c>
      <c r="AX38" s="411">
        <f t="shared" si="272"/>
        <v>0</v>
      </c>
      <c r="AY38" s="410">
        <f t="shared" si="272"/>
        <v>800</v>
      </c>
      <c r="AZ38" s="411">
        <f t="shared" si="272"/>
        <v>0</v>
      </c>
      <c r="BA38" s="410">
        <f t="shared" si="272"/>
        <v>800</v>
      </c>
      <c r="BB38" s="411">
        <f t="shared" si="272"/>
        <v>0</v>
      </c>
      <c r="BC38" s="410">
        <f t="shared" si="272"/>
        <v>800</v>
      </c>
      <c r="BD38" s="411">
        <f t="shared" si="272"/>
        <v>0</v>
      </c>
      <c r="BE38" s="410">
        <f t="shared" si="272"/>
        <v>0</v>
      </c>
      <c r="BF38" s="411">
        <f t="shared" si="272"/>
        <v>0</v>
      </c>
      <c r="BG38" s="410">
        <f t="shared" si="272"/>
        <v>245</v>
      </c>
      <c r="BH38" s="411">
        <f t="shared" si="272"/>
        <v>2350.0218802513937</v>
      </c>
      <c r="BI38" s="410">
        <f t="shared" si="272"/>
        <v>122</v>
      </c>
      <c r="BJ38" s="411">
        <f t="shared" si="272"/>
        <v>2390.1838970744866</v>
      </c>
      <c r="BK38" s="410">
        <f t="shared" si="272"/>
        <v>449</v>
      </c>
      <c r="BL38" s="411">
        <f t="shared" si="272"/>
        <v>2381.7182128099948</v>
      </c>
      <c r="BM38" s="410">
        <f t="shared" ref="BM38:BN38" si="273">+BM33</f>
        <v>0</v>
      </c>
      <c r="BN38" s="411">
        <f t="shared" si="273"/>
        <v>0</v>
      </c>
      <c r="BO38" s="410">
        <f t="shared" ref="BO38:BP38" si="274">+BO33</f>
        <v>0</v>
      </c>
      <c r="BP38" s="411">
        <f t="shared" si="274"/>
        <v>0</v>
      </c>
      <c r="BQ38" s="410">
        <f t="shared" ref="BQ38:BR38" si="275">+BQ33</f>
        <v>0</v>
      </c>
      <c r="BR38" s="411">
        <f t="shared" si="275"/>
        <v>0</v>
      </c>
      <c r="BS38" s="410">
        <f t="shared" ref="BS38:BT38" si="276">+BS33</f>
        <v>0</v>
      </c>
      <c r="BT38" s="411">
        <f t="shared" si="276"/>
        <v>0</v>
      </c>
      <c r="BU38" s="410">
        <f t="shared" ref="BU38:BV38" si="277">+BU33</f>
        <v>0</v>
      </c>
      <c r="BV38" s="411">
        <f t="shared" si="277"/>
        <v>0</v>
      </c>
      <c r="BW38" s="410">
        <f t="shared" ref="BW38:BX38" si="278">+BW33</f>
        <v>0</v>
      </c>
      <c r="BX38" s="411">
        <f t="shared" si="278"/>
        <v>0</v>
      </c>
      <c r="BY38" s="410">
        <f t="shared" ref="BY38:BZ38" si="279">+BY33</f>
        <v>0</v>
      </c>
      <c r="BZ38" s="411">
        <f t="shared" si="279"/>
        <v>0</v>
      </c>
      <c r="CA38" s="416"/>
    </row>
    <row r="39" spans="2:79" x14ac:dyDescent="0.35">
      <c r="C39" s="410">
        <f>+C38+C37</f>
        <v>771.47621681041096</v>
      </c>
      <c r="D39" s="411">
        <f>+SUMPRODUCT(C37:C38,D37:D38)/C39</f>
        <v>0</v>
      </c>
      <c r="E39" s="410">
        <f>+E38+E37</f>
        <v>890.86725028541093</v>
      </c>
      <c r="F39" s="411">
        <f>+SUMPRODUCT(E37:E38,F37:F38)/E39</f>
        <v>0</v>
      </c>
      <c r="G39" s="410">
        <f>+G38+G37</f>
        <v>2251.3901932604113</v>
      </c>
      <c r="H39" s="411">
        <f>+SUMPRODUCT(G37:G38,H37:H38)/G39</f>
        <v>0</v>
      </c>
      <c r="I39" s="410">
        <f>+I38+I37</f>
        <v>2170.8101932604113</v>
      </c>
      <c r="J39" s="411">
        <f>+SUMPRODUCT(I37:I38,J37:J38)/I39</f>
        <v>0</v>
      </c>
      <c r="K39" s="410">
        <f>+K38+K37</f>
        <v>1864.6301932604115</v>
      </c>
      <c r="L39" s="411">
        <f>+SUMPRODUCT(K37:K38,L37:L38)/K39</f>
        <v>0</v>
      </c>
      <c r="M39" s="410">
        <f>+M38+M37</f>
        <v>1629.9701932604116</v>
      </c>
      <c r="N39" s="411">
        <f>+SUMPRODUCT(M37:M38,N37:N38)/M39</f>
        <v>0</v>
      </c>
      <c r="O39" s="410">
        <f>+O38+O37</f>
        <v>1476.3601932604115</v>
      </c>
      <c r="P39" s="411">
        <f>+SUMPRODUCT(O37:O38,P37:P38)/O39</f>
        <v>0</v>
      </c>
      <c r="Q39" s="410">
        <f>+Q38+Q37</f>
        <v>1303.0601932604116</v>
      </c>
      <c r="R39" s="411">
        <f>+SUMPRODUCT(Q37:Q38,R37:R38)/Q39</f>
        <v>0</v>
      </c>
      <c r="S39" s="410">
        <f>+S38+S37</f>
        <v>1056.0563082354115</v>
      </c>
      <c r="T39" s="411">
        <f>+SUMPRODUCT(S37:S38,T37:T38)/S39</f>
        <v>0</v>
      </c>
      <c r="U39" s="410">
        <f>+U38+U37</f>
        <v>1130.9634900354113</v>
      </c>
      <c r="V39" s="411">
        <f>+SUMPRODUCT(U37:U38,V37:V38)/U39</f>
        <v>0</v>
      </c>
      <c r="W39" s="410">
        <f>+W38+W37</f>
        <v>1262.9948937854115</v>
      </c>
      <c r="X39" s="411">
        <f>+SUMPRODUCT(W37:W38,X37:X38)/W39</f>
        <v>0</v>
      </c>
      <c r="Y39" s="410">
        <f>+Y38+Y37</f>
        <v>1385.5967996104114</v>
      </c>
      <c r="Z39" s="411">
        <f>+SUMPRODUCT(Y37:Y38,Z37:Z38)/Y39</f>
        <v>0</v>
      </c>
      <c r="AA39" s="410">
        <f>+AA38+AA37</f>
        <v>1620.9971298354112</v>
      </c>
      <c r="AB39" s="411">
        <f>+SUMPRODUCT(AA37:AA38,AB37:AB38)/AA39</f>
        <v>0</v>
      </c>
      <c r="AC39" s="410">
        <f>+AC38+AC37</f>
        <v>1886.3334444104112</v>
      </c>
      <c r="AD39" s="411">
        <f>+SUMPRODUCT(AC37:AC38,AD37:AD38)/AC39</f>
        <v>0</v>
      </c>
      <c r="AE39" s="410">
        <f>+AE38+AE37</f>
        <v>2253.3334444104112</v>
      </c>
      <c r="AF39" s="411">
        <f>+SUMPRODUCT(AE37:AE38,AF37:AF38)/AE39</f>
        <v>0</v>
      </c>
      <c r="AG39" s="410">
        <f>+AG38+AG37</f>
        <v>2275.5983490104109</v>
      </c>
      <c r="AH39" s="411">
        <f>+SUMPRODUCT(AG37:AG38,AH37:AH38)/AG39</f>
        <v>0</v>
      </c>
      <c r="AI39" s="410">
        <f>+AI38+AI37</f>
        <v>2040.5983490104109</v>
      </c>
      <c r="AJ39" s="411">
        <f>+SUMPRODUCT(AI37:AI38,AJ37:AJ38)/AI39</f>
        <v>0</v>
      </c>
      <c r="AK39" s="410">
        <f>+AK38+AK37</f>
        <v>1201.9983490104109</v>
      </c>
      <c r="AL39" s="411">
        <f>+SUMPRODUCT(AK37:AK38,AL37:AL38)/AK39</f>
        <v>0</v>
      </c>
      <c r="AM39" s="410">
        <f>+AM38+AM37</f>
        <v>1103.4983490104109</v>
      </c>
      <c r="AN39" s="411">
        <f>+SUMPRODUCT(AM37:AM38,AN37:AN38)/AM39</f>
        <v>0</v>
      </c>
      <c r="AO39" s="410">
        <f>+AO38+AO37</f>
        <v>1103.4983490104109</v>
      </c>
      <c r="AP39" s="411">
        <f>+SUMPRODUCT(AO37:AO38,AP37:AP38)/AO39</f>
        <v>0</v>
      </c>
      <c r="AQ39" s="410">
        <f>+AQ38+AQ37</f>
        <v>1093.609565610411</v>
      </c>
      <c r="AR39" s="411">
        <f>+SUMPRODUCT(AQ37:AQ38,AR37:AR38)/AQ39</f>
        <v>0</v>
      </c>
      <c r="AS39" s="410">
        <f>+AS38+AS37</f>
        <v>1193.609565610411</v>
      </c>
      <c r="AT39" s="411">
        <f>+SUMPRODUCT(AS37:AS38,AT37:AT38)/AS39</f>
        <v>0</v>
      </c>
      <c r="AU39" s="410">
        <f>+AU38+AU37</f>
        <v>1095.3345021604109</v>
      </c>
      <c r="AV39" s="411">
        <f>+SUMPRODUCT(AU37:AU38,AV37:AV38)/AU39</f>
        <v>0</v>
      </c>
      <c r="AW39" s="410">
        <f>+AW38+AW37</f>
        <v>979.12001583541087</v>
      </c>
      <c r="AX39" s="411">
        <f>+SUMPRODUCT(AW37:AW38,AX37:AX38)/AW39</f>
        <v>0</v>
      </c>
      <c r="AY39" s="410">
        <f>+AY38+AY37</f>
        <v>843.91937101041094</v>
      </c>
      <c r="AZ39" s="411">
        <f>+SUMPRODUCT(AY37:AY38,AZ37:AZ38)/AY39</f>
        <v>0</v>
      </c>
      <c r="BA39" s="410">
        <f>+BA38+BA37</f>
        <v>829.91937101041094</v>
      </c>
      <c r="BB39" s="411">
        <f>+SUMPRODUCT(BA37:BA38,BB37:BB38)/BA39</f>
        <v>0</v>
      </c>
      <c r="BC39" s="410">
        <f>+BC38+BC37</f>
        <v>935.70426218541093</v>
      </c>
      <c r="BD39" s="411">
        <f>+SUMPRODUCT(BC37:BC38,BD37:BD38)/BC39</f>
        <v>0</v>
      </c>
      <c r="BE39" s="410">
        <f>+BE38+BE37</f>
        <v>0</v>
      </c>
      <c r="BF39" s="411" t="e">
        <f>+SUMPRODUCT(BE37:BE38,BF37:BF38)/BE39</f>
        <v>#DIV/0!</v>
      </c>
      <c r="BG39" s="410">
        <f>+BG38+BG37</f>
        <v>245</v>
      </c>
      <c r="BH39" s="411">
        <f>+SUMPRODUCT(BG37:BG38,BH37:BH38)/BG39</f>
        <v>2350.0218802513937</v>
      </c>
      <c r="BI39" s="410">
        <f>+BI38+BI37</f>
        <v>367</v>
      </c>
      <c r="BJ39" s="411">
        <f>+SUMPRODUCT(BI37:BI38,BJ37:BJ38)/BI39</f>
        <v>2363.3727414296422</v>
      </c>
      <c r="BK39" s="410">
        <f>+BK38+BK37</f>
        <v>816</v>
      </c>
      <c r="BL39" s="411">
        <f>+SUMPRODUCT(BK37:BK38,BL37:BL38)/BK39</f>
        <v>2373.4672471279</v>
      </c>
      <c r="BM39" s="410">
        <f>+BM38+BM37</f>
        <v>816</v>
      </c>
      <c r="BN39" s="411">
        <f>+SUMPRODUCT(BM37:BM38,BN37:BN38)/BM39</f>
        <v>2373.4672471279</v>
      </c>
      <c r="BO39" s="410">
        <f>+BO38+BO37</f>
        <v>816</v>
      </c>
      <c r="BP39" s="411">
        <f>+SUMPRODUCT(BO37:BO38,BP37:BP38)/BO39</f>
        <v>2373.4672471279</v>
      </c>
      <c r="BQ39" s="410">
        <f>+BQ38+BQ37</f>
        <v>816</v>
      </c>
      <c r="BR39" s="411">
        <f>+SUMPRODUCT(BQ37:BQ38,BR37:BR38)/BQ39</f>
        <v>2373.4672471279</v>
      </c>
      <c r="BS39" s="410">
        <f>+BS38+BS37</f>
        <v>816</v>
      </c>
      <c r="BT39" s="411">
        <f>+SUMPRODUCT(BS37:BS38,BT37:BT38)/BS39</f>
        <v>2373.4672471279</v>
      </c>
      <c r="BU39" s="410">
        <f>+BU38+BU37</f>
        <v>816</v>
      </c>
      <c r="BV39" s="411">
        <f>+SUMPRODUCT(BU37:BU38,BV37:BV38)/BU39</f>
        <v>2373.4672471279</v>
      </c>
      <c r="BW39" s="410">
        <f>+BW38+BW37</f>
        <v>816</v>
      </c>
      <c r="BX39" s="411">
        <f>+SUMPRODUCT(BW37:BW38,BX37:BX38)/BW39</f>
        <v>2373.4672471279</v>
      </c>
      <c r="BY39" s="410">
        <f>+BY38+BY37</f>
        <v>816</v>
      </c>
      <c r="BZ39" s="411">
        <f>+SUMPRODUCT(BY37:BY38,BZ37:BZ38)/BY39</f>
        <v>2373.4672471279</v>
      </c>
      <c r="CA39" s="416"/>
    </row>
  </sheetData>
  <mergeCells count="117">
    <mergeCell ref="AW4:AX4"/>
    <mergeCell ref="AW17:AX17"/>
    <mergeCell ref="AC4:AD4"/>
    <mergeCell ref="AU4:AV4"/>
    <mergeCell ref="AU17:AV17"/>
    <mergeCell ref="BQ4:BR4"/>
    <mergeCell ref="BQ17:BR17"/>
    <mergeCell ref="AS4:AT4"/>
    <mergeCell ref="AS17:AT17"/>
    <mergeCell ref="AO4:AP4"/>
    <mergeCell ref="AO17:AP17"/>
    <mergeCell ref="AM4:AN4"/>
    <mergeCell ref="AM17:AN17"/>
    <mergeCell ref="AI4:AJ4"/>
    <mergeCell ref="AI17:AJ17"/>
    <mergeCell ref="AE4:AF4"/>
    <mergeCell ref="AE17:AF17"/>
    <mergeCell ref="AK4:AL4"/>
    <mergeCell ref="AK17:AL17"/>
    <mergeCell ref="AI30:AJ30"/>
    <mergeCell ref="AK30:AL30"/>
    <mergeCell ref="AM30:AN30"/>
    <mergeCell ref="AO30:AP30"/>
    <mergeCell ref="AQ30:AR30"/>
    <mergeCell ref="AQ17:AR17"/>
    <mergeCell ref="Y4:Z4"/>
    <mergeCell ref="B28:BR28"/>
    <mergeCell ref="BQ30:BR30"/>
    <mergeCell ref="BO4:BP4"/>
    <mergeCell ref="BO17:BP17"/>
    <mergeCell ref="BO30:BP30"/>
    <mergeCell ref="BE4:BF4"/>
    <mergeCell ref="BE17:BF17"/>
    <mergeCell ref="AS30:AT30"/>
    <mergeCell ref="BA4:BB4"/>
    <mergeCell ref="BA17:BB17"/>
    <mergeCell ref="AY4:AZ4"/>
    <mergeCell ref="AY17:AZ17"/>
    <mergeCell ref="BI4:BJ4"/>
    <mergeCell ref="BI17:BJ17"/>
    <mergeCell ref="AQ4:AR4"/>
    <mergeCell ref="BC4:BD4"/>
    <mergeCell ref="BC17:BD17"/>
    <mergeCell ref="Y17:Z17"/>
    <mergeCell ref="AG4:AH4"/>
    <mergeCell ref="AG17:AH17"/>
    <mergeCell ref="AA4:AB4"/>
    <mergeCell ref="AC17:AD17"/>
    <mergeCell ref="AA17:AB17"/>
    <mergeCell ref="S30:T30"/>
    <mergeCell ref="U30:V30"/>
    <mergeCell ref="W30:X30"/>
    <mergeCell ref="Y30:Z30"/>
    <mergeCell ref="AA30:AB30"/>
    <mergeCell ref="AE30:AF30"/>
    <mergeCell ref="AG30:AH30"/>
    <mergeCell ref="O4:P4"/>
    <mergeCell ref="G17:H17"/>
    <mergeCell ref="M4:N4"/>
    <mergeCell ref="M17:N17"/>
    <mergeCell ref="K4:L4"/>
    <mergeCell ref="U4:V4"/>
    <mergeCell ref="Q4:R4"/>
    <mergeCell ref="O17:P17"/>
    <mergeCell ref="K17:L17"/>
    <mergeCell ref="I17:J17"/>
    <mergeCell ref="S4:T4"/>
    <mergeCell ref="S17:T17"/>
    <mergeCell ref="U17:V17"/>
    <mergeCell ref="B2:BR2"/>
    <mergeCell ref="AU30:AV30"/>
    <mergeCell ref="AW30:AX30"/>
    <mergeCell ref="BM4:BN4"/>
    <mergeCell ref="BM17:BN17"/>
    <mergeCell ref="BM30:BN30"/>
    <mergeCell ref="BI30:BJ30"/>
    <mergeCell ref="BK30:BL30"/>
    <mergeCell ref="AY30:AZ30"/>
    <mergeCell ref="BA30:BB30"/>
    <mergeCell ref="BC30:BD30"/>
    <mergeCell ref="BE30:BF30"/>
    <mergeCell ref="BG30:BH30"/>
    <mergeCell ref="BK4:BL4"/>
    <mergeCell ref="BK17:BL17"/>
    <mergeCell ref="BG4:BH4"/>
    <mergeCell ref="BG17:BH17"/>
    <mergeCell ref="C17:D17"/>
    <mergeCell ref="E17:F17"/>
    <mergeCell ref="W4:X4"/>
    <mergeCell ref="W17:X17"/>
    <mergeCell ref="Q17:R17"/>
    <mergeCell ref="C4:D4"/>
    <mergeCell ref="E4:F4"/>
    <mergeCell ref="BW4:BX4"/>
    <mergeCell ref="BW17:BX17"/>
    <mergeCell ref="BW30:BX30"/>
    <mergeCell ref="BY4:BZ4"/>
    <mergeCell ref="BY17:BZ17"/>
    <mergeCell ref="BY30:BZ30"/>
    <mergeCell ref="BS4:BT4"/>
    <mergeCell ref="BS17:BT17"/>
    <mergeCell ref="BS30:BT30"/>
    <mergeCell ref="BU4:BV4"/>
    <mergeCell ref="BU17:BV17"/>
    <mergeCell ref="BU30:BV30"/>
    <mergeCell ref="B15:BV15"/>
    <mergeCell ref="G4:H4"/>
    <mergeCell ref="I4:J4"/>
    <mergeCell ref="C30:D30"/>
    <mergeCell ref="E30:F30"/>
    <mergeCell ref="G30:H30"/>
    <mergeCell ref="AC30:AD30"/>
    <mergeCell ref="I30:J30"/>
    <mergeCell ref="K30:L30"/>
    <mergeCell ref="M30:N30"/>
    <mergeCell ref="O30:P30"/>
    <mergeCell ref="Q30:R30"/>
  </mergeCells>
  <phoneticPr fontId="26" type="noConversion"/>
  <pageMargins left="0.7" right="0.7" top="0.75" bottom="0.75" header="0.3" footer="0.3"/>
  <pageSetup orientation="portrait" r:id="rId1"/>
  <customProperties>
    <customPr name="EpmWorksheetKeyString_GUID" r:id="rId2"/>
  </customProperties>
  <ignoredErrors>
    <ignoredError sqref="F26 D26 K22:L22 K9:L9 N9:Q9 N22:Q22 M13 O13 M26 O26 W9 W13 W22 W26 Y26 Y22 X23:Z25 X22 Z22 X26 Z26 Y13 Y9 X10:Z12 X9 Z9 X13 Z13 AA9:AA13 AA22:AA26 AG22:AK22 AK9 BG39:BL39 BG26:BL26 BG13:BL13" formula="1"/>
  </ignoredErrors>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5AE9-73CF-4ADC-B34D-A4B552C09DCD}">
  <dimension ref="B1:K29"/>
  <sheetViews>
    <sheetView showGridLines="0" zoomScale="85" zoomScaleNormal="85" workbookViewId="0">
      <selection activeCell="J16" sqref="J16"/>
    </sheetView>
  </sheetViews>
  <sheetFormatPr defaultColWidth="8.81640625" defaultRowHeight="13" x14ac:dyDescent="0.3"/>
  <cols>
    <col min="1" max="1" width="8.81640625" style="62"/>
    <col min="2" max="2" width="39.26953125" style="62" customWidth="1"/>
    <col min="3" max="3" width="9" style="62" customWidth="1"/>
    <col min="4" max="4" width="12.453125" style="62" customWidth="1"/>
    <col min="5" max="5" width="3.26953125" style="62" customWidth="1"/>
    <col min="6" max="6" width="37.26953125" style="62" bestFit="1" customWidth="1"/>
    <col min="7" max="7" width="9" style="62" bestFit="1" customWidth="1"/>
    <col min="8" max="8" width="12.453125" style="62" bestFit="1" customWidth="1"/>
    <col min="9" max="9" width="8.81640625" style="62"/>
    <col min="10" max="10" width="8" style="62" bestFit="1" customWidth="1"/>
    <col min="11" max="11" width="15.26953125" style="62" bestFit="1" customWidth="1"/>
    <col min="12" max="16384" width="8.81640625" style="62"/>
  </cols>
  <sheetData>
    <row r="1" spans="2:11" x14ac:dyDescent="0.3">
      <c r="J1" s="457">
        <v>4222.43</v>
      </c>
      <c r="K1" s="457" t="s">
        <v>388</v>
      </c>
    </row>
    <row r="2" spans="2:11" x14ac:dyDescent="0.3">
      <c r="C2" s="844" t="s">
        <v>389</v>
      </c>
      <c r="D2" s="845"/>
      <c r="E2" s="458"/>
      <c r="G2" s="846" t="s">
        <v>390</v>
      </c>
      <c r="H2" s="847"/>
    </row>
    <row r="3" spans="2:11" x14ac:dyDescent="0.3">
      <c r="C3" s="459" t="s">
        <v>197</v>
      </c>
      <c r="D3" s="460" t="s">
        <v>391</v>
      </c>
      <c r="G3" s="459" t="s">
        <v>197</v>
      </c>
      <c r="H3" s="460" t="s">
        <v>391</v>
      </c>
    </row>
    <row r="4" spans="2:11" x14ac:dyDescent="0.3">
      <c r="B4" s="461" t="s">
        <v>392</v>
      </c>
      <c r="C4" s="462"/>
      <c r="D4" s="463">
        <v>463000</v>
      </c>
      <c r="E4" s="464"/>
      <c r="F4" s="465" t="s">
        <v>393</v>
      </c>
      <c r="G4" s="462"/>
      <c r="H4" s="463">
        <v>660465</v>
      </c>
    </row>
    <row r="5" spans="2:11" x14ac:dyDescent="0.3">
      <c r="B5" s="466" t="s">
        <v>394</v>
      </c>
      <c r="C5" s="467">
        <f>118+18</f>
        <v>136</v>
      </c>
      <c r="D5" s="468">
        <v>574250.48</v>
      </c>
      <c r="E5" s="464"/>
      <c r="F5" s="469" t="s">
        <v>395</v>
      </c>
      <c r="G5" s="467">
        <f>118+18</f>
        <v>136</v>
      </c>
      <c r="H5" s="468">
        <v>574250.48</v>
      </c>
    </row>
    <row r="6" spans="2:11" x14ac:dyDescent="0.3">
      <c r="B6" s="466" t="s">
        <v>396</v>
      </c>
      <c r="C6" s="467">
        <v>299</v>
      </c>
      <c r="D6" s="468">
        <v>1262506.57</v>
      </c>
      <c r="E6" s="464"/>
      <c r="F6" s="469" t="s">
        <v>397</v>
      </c>
      <c r="G6" s="467">
        <v>299</v>
      </c>
      <c r="H6" s="468">
        <v>1262506.57</v>
      </c>
    </row>
    <row r="7" spans="2:11" x14ac:dyDescent="0.3">
      <c r="B7" s="466" t="s">
        <v>256</v>
      </c>
      <c r="C7" s="467"/>
      <c r="D7" s="468">
        <v>4862000</v>
      </c>
      <c r="E7" s="464"/>
      <c r="F7" s="469" t="s">
        <v>398</v>
      </c>
      <c r="G7" s="467"/>
      <c r="H7" s="468">
        <v>4862000</v>
      </c>
    </row>
    <row r="8" spans="2:11" ht="26" x14ac:dyDescent="0.3">
      <c r="B8" s="470" t="s">
        <v>399</v>
      </c>
      <c r="C8" s="467"/>
      <c r="D8" s="468">
        <v>2146000</v>
      </c>
      <c r="E8" s="464"/>
      <c r="F8" s="471" t="s">
        <v>400</v>
      </c>
      <c r="G8" s="467"/>
      <c r="H8" s="468">
        <v>2346000</v>
      </c>
    </row>
    <row r="9" spans="2:11" x14ac:dyDescent="0.3">
      <c r="B9" s="472" t="s">
        <v>401</v>
      </c>
      <c r="C9" s="473"/>
      <c r="D9" s="474">
        <f>SUM(D4:D8)</f>
        <v>9307757.0500000007</v>
      </c>
      <c r="E9" s="475"/>
      <c r="F9" s="472" t="s">
        <v>401</v>
      </c>
      <c r="G9" s="473"/>
      <c r="H9" s="474">
        <f>SUM(H4:H8)</f>
        <v>9705222.0500000007</v>
      </c>
    </row>
    <row r="10" spans="2:11" x14ac:dyDescent="0.3">
      <c r="B10" s="476" t="s">
        <v>402</v>
      </c>
      <c r="C10" s="477">
        <f>+D10/$J$1</f>
        <v>100.19819533043554</v>
      </c>
      <c r="D10" s="478">
        <f>+D9/22</f>
        <v>423079.86590909096</v>
      </c>
      <c r="E10" s="479"/>
      <c r="F10" s="480" t="s">
        <v>402</v>
      </c>
      <c r="G10" s="477">
        <f>+H10/$J$1</f>
        <v>104.4769141982654</v>
      </c>
      <c r="H10" s="478">
        <f>+H9/22</f>
        <v>441146.45681818185</v>
      </c>
    </row>
    <row r="12" spans="2:11" x14ac:dyDescent="0.3">
      <c r="B12" s="461" t="s">
        <v>403</v>
      </c>
      <c r="C12" s="465"/>
      <c r="D12" s="463">
        <v>440000</v>
      </c>
      <c r="F12" s="461" t="str">
        <f>+B12</f>
        <v>Aduana DTA (Declaracion Transito Aduanero)</v>
      </c>
      <c r="G12" s="462"/>
      <c r="H12" s="463">
        <v>440000</v>
      </c>
    </row>
    <row r="13" spans="2:11" hidden="1" x14ac:dyDescent="0.3">
      <c r="B13" s="466" t="s">
        <v>404</v>
      </c>
      <c r="C13" s="469"/>
      <c r="D13" s="468">
        <v>0</v>
      </c>
      <c r="F13" s="466" t="str">
        <f t="shared" ref="F13:F22" si="0">+B13</f>
        <v>Almacenamiento usario comercial zona franca</v>
      </c>
      <c r="G13" s="467"/>
      <c r="H13" s="468">
        <v>0</v>
      </c>
    </row>
    <row r="14" spans="2:11" x14ac:dyDescent="0.3">
      <c r="B14" s="466" t="s">
        <v>405</v>
      </c>
      <c r="C14" s="469"/>
      <c r="D14" s="468">
        <v>160000</v>
      </c>
      <c r="F14" s="466" t="str">
        <f t="shared" si="0"/>
        <v xml:space="preserve">Manipulacion de carga y pesaje de big bags </v>
      </c>
      <c r="G14" s="467"/>
      <c r="H14" s="468">
        <v>160000</v>
      </c>
    </row>
    <row r="15" spans="2:11" x14ac:dyDescent="0.3">
      <c r="B15" s="466" t="s">
        <v>406</v>
      </c>
      <c r="C15" s="469"/>
      <c r="D15" s="468">
        <v>29000</v>
      </c>
      <c r="F15" s="466" t="str">
        <f t="shared" si="0"/>
        <v>Costo * fmm ingreso</v>
      </c>
      <c r="G15" s="467"/>
      <c r="H15" s="468">
        <v>29000</v>
      </c>
    </row>
    <row r="16" spans="2:11" x14ac:dyDescent="0.3">
      <c r="B16" s="466" t="s">
        <v>407</v>
      </c>
      <c r="C16" s="469"/>
      <c r="D16" s="468">
        <v>29000</v>
      </c>
      <c r="F16" s="466" t="str">
        <f t="shared" si="0"/>
        <v>Costo * fmm salida</v>
      </c>
      <c r="G16" s="467"/>
      <c r="H16" s="468">
        <v>29000</v>
      </c>
    </row>
    <row r="17" spans="2:8" x14ac:dyDescent="0.3">
      <c r="B17" s="466" t="s">
        <v>408</v>
      </c>
      <c r="C17" s="469"/>
      <c r="D17" s="468">
        <v>29000</v>
      </c>
      <c r="F17" s="466" t="str">
        <f t="shared" si="0"/>
        <v>Arin (bascula) ingreso</v>
      </c>
      <c r="G17" s="467"/>
      <c r="H17" s="468">
        <v>29000</v>
      </c>
    </row>
    <row r="18" spans="2:8" x14ac:dyDescent="0.3">
      <c r="B18" s="466" t="s">
        <v>409</v>
      </c>
      <c r="C18" s="469"/>
      <c r="D18" s="468">
        <v>29000</v>
      </c>
      <c r="F18" s="466" t="str">
        <f t="shared" si="0"/>
        <v>Arin (bascula) salida</v>
      </c>
      <c r="G18" s="467"/>
      <c r="H18" s="468">
        <v>29000</v>
      </c>
    </row>
    <row r="19" spans="2:8" x14ac:dyDescent="0.3">
      <c r="B19" s="466" t="s">
        <v>410</v>
      </c>
      <c r="C19" s="469"/>
      <c r="D19" s="468">
        <v>307800</v>
      </c>
      <c r="F19" s="466" t="str">
        <f t="shared" si="0"/>
        <v>Estibas adicionales</v>
      </c>
      <c r="G19" s="467"/>
      <c r="H19" s="468">
        <v>307800</v>
      </c>
    </row>
    <row r="20" spans="2:8" x14ac:dyDescent="0.3">
      <c r="B20" s="466" t="s">
        <v>411</v>
      </c>
      <c r="C20" s="469"/>
      <c r="D20" s="468">
        <v>135000</v>
      </c>
      <c r="F20" s="466" t="str">
        <f t="shared" si="0"/>
        <v>Descargue contenedor</v>
      </c>
      <c r="G20" s="469"/>
      <c r="H20" s="468">
        <v>135000</v>
      </c>
    </row>
    <row r="21" spans="2:8" x14ac:dyDescent="0.3">
      <c r="B21" s="466" t="s">
        <v>412</v>
      </c>
      <c r="C21" s="469"/>
      <c r="D21" s="468">
        <v>280000</v>
      </c>
      <c r="F21" s="466" t="str">
        <f t="shared" si="0"/>
        <v>Cargue tractomula * 30ton</v>
      </c>
      <c r="G21" s="469"/>
      <c r="H21" s="468">
        <v>280000</v>
      </c>
    </row>
    <row r="22" spans="2:8" x14ac:dyDescent="0.3">
      <c r="B22" s="466" t="s">
        <v>413</v>
      </c>
      <c r="C22" s="469"/>
      <c r="D22" s="468">
        <v>194077.66130500002</v>
      </c>
      <c r="F22" s="466" t="str">
        <f t="shared" si="0"/>
        <v>Poliza seguro vr cif</v>
      </c>
      <c r="G22" s="469"/>
      <c r="H22" s="468">
        <v>194077.66130500002</v>
      </c>
    </row>
    <row r="23" spans="2:8" x14ac:dyDescent="0.3">
      <c r="B23" s="481" t="s">
        <v>414</v>
      </c>
      <c r="C23" s="482"/>
      <c r="D23" s="483">
        <f>SUM(D12:D22)</f>
        <v>1632877.6613050001</v>
      </c>
      <c r="F23" s="481" t="s">
        <v>414</v>
      </c>
      <c r="G23" s="484"/>
      <c r="H23" s="483">
        <f>SUM(H12:H22)</f>
        <v>1632877.6613050001</v>
      </c>
    </row>
    <row r="25" spans="2:8" x14ac:dyDescent="0.3">
      <c r="B25" s="472" t="s">
        <v>415</v>
      </c>
      <c r="C25" s="473"/>
      <c r="D25" s="474">
        <f>+D9+D23</f>
        <v>10940634.711305</v>
      </c>
      <c r="F25" s="472" t="s">
        <v>415</v>
      </c>
      <c r="G25" s="485"/>
      <c r="H25" s="474">
        <f>+H9+H23</f>
        <v>11338099.711305</v>
      </c>
    </row>
    <row r="26" spans="2:8" x14ac:dyDescent="0.3">
      <c r="B26" s="476" t="s">
        <v>416</v>
      </c>
      <c r="C26" s="477">
        <f>+D26/$J$1</f>
        <v>117.77615680700234</v>
      </c>
      <c r="D26" s="478">
        <f>+D25/22</f>
        <v>497301.5777865909</v>
      </c>
      <c r="E26" s="479"/>
      <c r="F26" s="480" t="s">
        <v>416</v>
      </c>
      <c r="G26" s="477">
        <f>+H26/$J$1</f>
        <v>122.0548756748322</v>
      </c>
      <c r="H26" s="478">
        <f>+H25/22</f>
        <v>515368.16869568179</v>
      </c>
    </row>
    <row r="27" spans="2:8" x14ac:dyDescent="0.3">
      <c r="D27" s="486">
        <f>+D26/D10-1</f>
        <v>0.17543191689828208</v>
      </c>
      <c r="E27" s="486"/>
      <c r="G27" s="487">
        <f>+G26-G10</f>
        <v>17.577961476566799</v>
      </c>
      <c r="H27" s="486">
        <f>+H26/H10-1</f>
        <v>0.16824732632521266</v>
      </c>
    </row>
    <row r="28" spans="2:8" x14ac:dyDescent="0.3">
      <c r="G28" s="488" t="s">
        <v>417</v>
      </c>
      <c r="H28" s="489">
        <f>+H26*0.5+H10*0.5</f>
        <v>478257.31275693182</v>
      </c>
    </row>
    <row r="29" spans="2:8" x14ac:dyDescent="0.3">
      <c r="H29" s="475">
        <f>+H28-H10</f>
        <v>37110.85593874997</v>
      </c>
    </row>
  </sheetData>
  <mergeCells count="2">
    <mergeCell ref="C2:D2"/>
    <mergeCell ref="G2:H2"/>
  </mergeCells>
  <pageMargins left="0.7" right="0.7" top="0.75" bottom="0.75" header="0.3" footer="0.3"/>
  <pageSetup orientation="portrait" r:id="rId1"/>
  <customProperties>
    <customPr name="EpmWorksheetKeyString_GU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2067B-56C2-4B80-9050-AF9B445A8AFF}">
  <dimension ref="B2:K51"/>
  <sheetViews>
    <sheetView showGridLines="0" zoomScale="70" zoomScaleNormal="70" workbookViewId="0">
      <selection activeCell="I61" sqref="I61"/>
    </sheetView>
  </sheetViews>
  <sheetFormatPr defaultColWidth="11.453125" defaultRowHeight="14.5" x14ac:dyDescent="0.35"/>
  <cols>
    <col min="2" max="2" width="32.7265625" bestFit="1" customWidth="1"/>
    <col min="3" max="3" width="9.453125" bestFit="1" customWidth="1"/>
    <col min="4" max="4" width="2.7265625" customWidth="1"/>
    <col min="5" max="5" width="13.26953125" bestFit="1" customWidth="1"/>
    <col min="6" max="6" width="4.81640625" customWidth="1"/>
    <col min="7" max="7" width="14.7265625" bestFit="1" customWidth="1"/>
    <col min="10" max="10" width="25" bestFit="1" customWidth="1"/>
    <col min="11" max="11" width="189.7265625" bestFit="1" customWidth="1"/>
  </cols>
  <sheetData>
    <row r="2" spans="2:11" ht="16" x14ac:dyDescent="0.45">
      <c r="B2" s="425" t="s">
        <v>418</v>
      </c>
      <c r="C2" s="426">
        <v>0.10298321001720001</v>
      </c>
      <c r="D2" s="427"/>
      <c r="E2" s="428"/>
      <c r="F2" s="428"/>
      <c r="G2" s="428"/>
    </row>
    <row r="3" spans="2:11" ht="16" x14ac:dyDescent="0.45">
      <c r="B3" s="455"/>
      <c r="C3" s="456"/>
      <c r="D3" s="428"/>
      <c r="E3" s="428"/>
      <c r="F3" s="428"/>
      <c r="G3" s="428"/>
    </row>
    <row r="4" spans="2:11" ht="16" x14ac:dyDescent="0.45">
      <c r="B4" s="455"/>
      <c r="C4" s="456"/>
      <c r="D4" s="428"/>
      <c r="E4" s="431"/>
      <c r="F4" s="428"/>
      <c r="G4" s="428"/>
      <c r="J4" s="454" t="s">
        <v>419</v>
      </c>
      <c r="K4" s="36" t="s">
        <v>420</v>
      </c>
    </row>
    <row r="5" spans="2:11" ht="16" x14ac:dyDescent="0.45">
      <c r="B5" s="429" t="s">
        <v>421</v>
      </c>
      <c r="C5" s="430">
        <v>16000</v>
      </c>
      <c r="D5" s="428"/>
      <c r="E5" s="428"/>
      <c r="F5" s="428"/>
      <c r="G5" s="428"/>
      <c r="J5" s="454" t="s">
        <v>422</v>
      </c>
      <c r="K5" s="36" t="s">
        <v>423</v>
      </c>
    </row>
    <row r="6" spans="2:11" ht="16" x14ac:dyDescent="0.45">
      <c r="B6" s="432" t="s">
        <v>424</v>
      </c>
      <c r="C6" s="433">
        <v>6935</v>
      </c>
      <c r="D6" s="428"/>
      <c r="E6" s="428"/>
      <c r="F6" s="428"/>
      <c r="G6" s="428"/>
    </row>
    <row r="7" spans="2:11" ht="16" x14ac:dyDescent="0.45">
      <c r="B7" s="429" t="s">
        <v>425</v>
      </c>
      <c r="C7" s="430">
        <v>3467.5</v>
      </c>
      <c r="D7" s="428"/>
      <c r="E7" s="428"/>
      <c r="F7" s="428"/>
      <c r="G7" s="428"/>
    </row>
    <row r="8" spans="2:11" ht="16" x14ac:dyDescent="0.45">
      <c r="B8" s="434" t="s">
        <v>426</v>
      </c>
      <c r="C8" s="435">
        <v>0.38251516822945392</v>
      </c>
      <c r="D8" s="428"/>
      <c r="E8" s="428"/>
      <c r="F8" s="428"/>
      <c r="G8" s="428"/>
    </row>
    <row r="9" spans="2:11" ht="16.5" thickBot="1" x14ac:dyDescent="0.5">
      <c r="B9" s="425"/>
      <c r="C9" s="428"/>
      <c r="D9" s="428"/>
      <c r="E9" s="428"/>
      <c r="F9" s="428"/>
      <c r="G9" s="428"/>
    </row>
    <row r="10" spans="2:11" ht="16.5" thickBot="1" x14ac:dyDescent="0.5">
      <c r="B10" s="436" t="s">
        <v>427</v>
      </c>
      <c r="C10" s="437" t="s">
        <v>428</v>
      </c>
      <c r="D10" s="437"/>
      <c r="E10" s="437" t="s">
        <v>429</v>
      </c>
      <c r="F10" s="437"/>
      <c r="G10" s="438" t="s">
        <v>430</v>
      </c>
    </row>
    <row r="11" spans="2:11" ht="16" x14ac:dyDescent="0.45">
      <c r="B11" s="439" t="s">
        <v>431</v>
      </c>
      <c r="C11" s="440">
        <v>0.40200000000000002</v>
      </c>
      <c r="D11" s="441"/>
      <c r="E11" s="442">
        <v>0</v>
      </c>
      <c r="F11" s="441"/>
      <c r="G11" s="443">
        <v>0</v>
      </c>
    </row>
    <row r="12" spans="2:11" ht="16" x14ac:dyDescent="0.45">
      <c r="B12" s="444" t="s">
        <v>432</v>
      </c>
      <c r="C12" s="445">
        <v>0.1182</v>
      </c>
      <c r="D12" s="446"/>
      <c r="E12" s="447">
        <v>0.13120000000000001</v>
      </c>
      <c r="F12" s="446"/>
      <c r="G12" s="447">
        <v>1.5507840000000002E-2</v>
      </c>
    </row>
    <row r="13" spans="2:11" ht="16" x14ac:dyDescent="0.45">
      <c r="B13" s="432" t="s">
        <v>433</v>
      </c>
      <c r="C13" s="445">
        <v>0.1182</v>
      </c>
      <c r="D13" s="446"/>
      <c r="E13" s="448">
        <v>0.09</v>
      </c>
      <c r="F13" s="446"/>
      <c r="G13" s="447">
        <v>1.0638E-2</v>
      </c>
    </row>
    <row r="14" spans="2:11" ht="16.5" thickBot="1" x14ac:dyDescent="0.5">
      <c r="B14" s="449" t="s">
        <v>434</v>
      </c>
      <c r="C14" s="450">
        <v>0.47970000000000002</v>
      </c>
      <c r="D14" s="446"/>
      <c r="E14" s="447">
        <v>5.1234876000000006E-2</v>
      </c>
      <c r="F14" s="446"/>
      <c r="G14" s="451">
        <v>2.4577370017200003E-2</v>
      </c>
    </row>
    <row r="15" spans="2:11" ht="16.5" thickBot="1" x14ac:dyDescent="0.5">
      <c r="B15" s="452" t="s">
        <v>435</v>
      </c>
      <c r="C15" s="428"/>
      <c r="D15" s="428"/>
      <c r="E15" s="428"/>
      <c r="F15" s="428"/>
      <c r="G15" s="453">
        <v>5.072321001720001E-2</v>
      </c>
    </row>
    <row r="51" spans="11:11" x14ac:dyDescent="0.35">
      <c r="K51" t="s">
        <v>481</v>
      </c>
    </row>
  </sheetData>
  <pageMargins left="0.7" right="0.7" top="0.75" bottom="0.75" header="0.3" footer="0.3"/>
  <pageSetup orientation="portrait" horizontalDpi="300" verticalDpi="300" r:id="rId1"/>
  <customProperties>
    <customPr name="EpmWorksheetKeyString_GUID" r:id="rId2"/>
  </customPropertie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F8E4-AE50-4065-B6F6-756B27A06046}">
  <sheetPr codeName="Hoja8"/>
  <dimension ref="A1:D11"/>
  <sheetViews>
    <sheetView workbookViewId="0">
      <selection activeCell="C13" sqref="C13"/>
    </sheetView>
  </sheetViews>
  <sheetFormatPr defaultColWidth="10.54296875" defaultRowHeight="14.5" x14ac:dyDescent="0.35"/>
  <cols>
    <col min="4" max="4" width="14.1796875" customWidth="1"/>
  </cols>
  <sheetData>
    <row r="1" spans="1:4" x14ac:dyDescent="0.35">
      <c r="A1" s="105"/>
      <c r="B1" s="106" t="s">
        <v>143</v>
      </c>
      <c r="C1" s="106" t="s">
        <v>144</v>
      </c>
      <c r="D1" s="106" t="s">
        <v>436</v>
      </c>
    </row>
    <row r="2" spans="1:4" x14ac:dyDescent="0.35">
      <c r="A2" s="115" t="s">
        <v>437</v>
      </c>
      <c r="B2" s="108">
        <v>937</v>
      </c>
      <c r="C2" s="108">
        <v>1034</v>
      </c>
      <c r="D2" s="109"/>
    </row>
    <row r="3" spans="1:4" x14ac:dyDescent="0.35">
      <c r="A3" s="116" t="s">
        <v>251</v>
      </c>
      <c r="B3" s="111">
        <v>986.44666001994017</v>
      </c>
      <c r="C3" s="111">
        <v>940</v>
      </c>
      <c r="D3" s="112">
        <f>+((B2*B3)+(C2*C3))/(B2+C2)</f>
        <v>962.08042640217343</v>
      </c>
    </row>
    <row r="4" spans="1:4" x14ac:dyDescent="0.35">
      <c r="A4" s="116"/>
      <c r="B4" s="110"/>
      <c r="C4" s="110"/>
      <c r="D4" s="113"/>
    </row>
    <row r="5" spans="1:4" x14ac:dyDescent="0.35">
      <c r="A5" s="117" t="s">
        <v>438</v>
      </c>
      <c r="B5" s="114"/>
      <c r="C5" s="114"/>
      <c r="D5" s="118">
        <f>+D3</f>
        <v>962.08042640217343</v>
      </c>
    </row>
    <row r="7" spans="1:4" x14ac:dyDescent="0.35">
      <c r="A7" s="105"/>
      <c r="B7" s="106" t="s">
        <v>144</v>
      </c>
      <c r="C7" s="106" t="s">
        <v>145</v>
      </c>
      <c r="D7" s="106" t="s">
        <v>439</v>
      </c>
    </row>
    <row r="8" spans="1:4" x14ac:dyDescent="0.35">
      <c r="A8" s="107" t="s">
        <v>437</v>
      </c>
      <c r="B8" s="108">
        <v>810</v>
      </c>
      <c r="C8" s="108">
        <v>900</v>
      </c>
      <c r="D8" s="109"/>
    </row>
    <row r="9" spans="1:4" x14ac:dyDescent="0.35">
      <c r="A9" s="110" t="s">
        <v>251</v>
      </c>
      <c r="B9" s="111">
        <f>+D5</f>
        <v>962.08042640217343</v>
      </c>
      <c r="C9" s="111">
        <v>950.59587621310789</v>
      </c>
      <c r="D9" s="112">
        <f>+((B8*B9)+(C8*C9))/(B8+C8)</f>
        <v>956.0359263026653</v>
      </c>
    </row>
    <row r="10" spans="1:4" x14ac:dyDescent="0.35">
      <c r="A10" s="110"/>
      <c r="B10" s="110"/>
      <c r="C10" s="110"/>
      <c r="D10" s="113"/>
    </row>
    <row r="11" spans="1:4" x14ac:dyDescent="0.35">
      <c r="A11" s="114" t="s">
        <v>438</v>
      </c>
      <c r="B11" s="114"/>
      <c r="C11" s="114"/>
      <c r="D11" s="118">
        <v>956.0359263026653</v>
      </c>
    </row>
  </sheetData>
  <pageMargins left="0.7" right="0.7" top="0.75" bottom="0.75" header="0.3" footer="0.3"/>
  <customProperties>
    <customPr name="EpmWorksheetKeyString_GUID" r:id="rId1"/>
  </customPropertie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ICIS Price Forecast</vt:lpstr>
      <vt:lpstr>Drewry</vt:lpstr>
      <vt:lpstr>Amcor - Columbia </vt:lpstr>
      <vt:lpstr>Fórmula Apr (2)</vt:lpstr>
      <vt:lpstr>Fórmula Marzo 26</vt:lpstr>
      <vt:lpstr>Fórmula Ago</vt:lpstr>
      <vt:lpstr>PCR Aurora </vt:lpstr>
      <vt:lpstr> PCR Enkador</vt:lpstr>
      <vt:lpstr>PCR Enka</vt:lpstr>
      <vt:lpstr>PCR INTERCIA</vt:lpstr>
      <vt:lpstr>ICIS PCR</vt:lpstr>
      <vt:lpstr>IHS PCR</vt:lpstr>
      <vt:lpstr>IHS Index</vt:lpstr>
      <vt:lpstr>ICIS -1</vt:lpstr>
      <vt:lpstr>SOFR</vt:lpstr>
      <vt:lpstr>FIFO</vt:lpstr>
      <vt:lpstr>Cambio en Condiciones ZF</vt:lpstr>
      <vt:lpstr>Soportes </vt:lpstr>
      <vt:lpstr>Balance</vt:lpstr>
      <vt:lpstr>'IHS PCR'!Print_Area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Vallecillo</dc:creator>
  <cp:keywords/>
  <dc:description/>
  <cp:lastModifiedBy>Murugan Narendhra Kumar</cp:lastModifiedBy>
  <cp:revision/>
  <dcterms:created xsi:type="dcterms:W3CDTF">2018-04-13T13:51:39Z</dcterms:created>
  <dcterms:modified xsi:type="dcterms:W3CDTF">2026-05-06T11:05:35Z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2026-04-20T15:45:46Z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06998eb1-ced3-430d-8959-cdc70b077010</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ies>
</file>