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53BD4F9-01F3-44B8-AB1B-C34CAFC2BAB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</sheets>
  <definedNames>
    <definedName name="КВТ">Лист1!$C$3</definedName>
    <definedName name="Талон">Лист2!$C$14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4" l="1"/>
  <c r="E13" i="14"/>
  <c r="F13" i="14"/>
  <c r="G13" i="14"/>
  <c r="H13" i="14"/>
  <c r="C13" i="14"/>
  <c r="H8" i="14"/>
  <c r="H9" i="14"/>
  <c r="H10" i="14"/>
  <c r="H11" i="14"/>
  <c r="H12" i="14"/>
  <c r="H7" i="14"/>
  <c r="F8" i="14"/>
  <c r="F9" i="14"/>
  <c r="F10" i="14"/>
  <c r="F11" i="14"/>
  <c r="F12" i="14"/>
  <c r="F7" i="14"/>
  <c r="D8" i="14"/>
  <c r="D9" i="14"/>
  <c r="D10" i="14"/>
  <c r="D11" i="14"/>
  <c r="D12" i="14"/>
  <c r="D7" i="14"/>
  <c r="F11" i="13"/>
  <c r="G11" i="13"/>
  <c r="H11" i="13"/>
  <c r="I11" i="13"/>
  <c r="J11" i="13"/>
  <c r="E11" i="13"/>
  <c r="J4" i="13"/>
  <c r="J5" i="13"/>
  <c r="J6" i="13"/>
  <c r="J7" i="13"/>
  <c r="J8" i="13"/>
  <c r="J9" i="13"/>
  <c r="J10" i="13"/>
  <c r="J3" i="13"/>
  <c r="I4" i="13"/>
  <c r="I5" i="13"/>
  <c r="I6" i="13"/>
  <c r="I7" i="13"/>
  <c r="I8" i="13"/>
  <c r="I9" i="13"/>
  <c r="I10" i="13"/>
  <c r="I3" i="13"/>
  <c r="H4" i="13"/>
  <c r="H5" i="13"/>
  <c r="H6" i="13"/>
  <c r="H7" i="13"/>
  <c r="H8" i="13"/>
  <c r="H9" i="13"/>
  <c r="H10" i="13"/>
  <c r="H3" i="13"/>
  <c r="G4" i="13"/>
  <c r="G5" i="13"/>
  <c r="G6" i="13"/>
  <c r="G7" i="13"/>
  <c r="G8" i="13"/>
  <c r="G9" i="13"/>
  <c r="G10" i="13"/>
  <c r="G3" i="13"/>
  <c r="F4" i="13"/>
  <c r="F5" i="13"/>
  <c r="F6" i="13"/>
  <c r="F7" i="13"/>
  <c r="F8" i="13"/>
  <c r="F9" i="13"/>
  <c r="F10" i="13"/>
  <c r="F3" i="13"/>
  <c r="D1" i="13"/>
  <c r="B1" i="13"/>
  <c r="C16" i="12"/>
  <c r="C5" i="12"/>
  <c r="C6" i="12"/>
  <c r="C7" i="12"/>
  <c r="C8" i="12"/>
  <c r="C9" i="12"/>
  <c r="C10" i="12"/>
  <c r="C11" i="12"/>
  <c r="C12" i="12"/>
  <c r="C13" i="12"/>
  <c r="C14" i="12"/>
  <c r="C15" i="12"/>
  <c r="C4" i="12"/>
  <c r="B6" i="12"/>
  <c r="B7" i="12"/>
  <c r="B8" i="12" s="1"/>
  <c r="B9" i="12" s="1"/>
  <c r="B10" i="12" s="1"/>
  <c r="B11" i="12" s="1"/>
  <c r="B12" i="12" s="1"/>
  <c r="B13" i="12" s="1"/>
  <c r="B14" i="12" s="1"/>
  <c r="B15" i="12" s="1"/>
  <c r="B5" i="12"/>
  <c r="C18" i="11"/>
  <c r="C9" i="11"/>
  <c r="C10" i="11"/>
  <c r="C11" i="11"/>
  <c r="C12" i="11"/>
  <c r="C13" i="11"/>
  <c r="C14" i="11"/>
  <c r="C15" i="11"/>
  <c r="C16" i="11"/>
  <c r="C17" i="11"/>
  <c r="B9" i="11"/>
  <c r="B10" i="11"/>
  <c r="B11" i="11" s="1"/>
  <c r="B12" i="11" s="1"/>
  <c r="B13" i="11" s="1"/>
  <c r="B14" i="11" s="1"/>
  <c r="B15" i="11" s="1"/>
  <c r="B16" i="11" s="1"/>
  <c r="B17" i="11" s="1"/>
  <c r="C8" i="11"/>
  <c r="B8" i="11"/>
  <c r="C7" i="11"/>
  <c r="B7" i="11"/>
  <c r="C6" i="11"/>
  <c r="C5" i="11"/>
  <c r="B6" i="11"/>
  <c r="B5" i="11"/>
  <c r="E4" i="10"/>
  <c r="E5" i="10"/>
  <c r="E6" i="10"/>
  <c r="E3" i="10"/>
  <c r="D6" i="10"/>
  <c r="D4" i="10"/>
  <c r="D5" i="10"/>
  <c r="D3" i="10"/>
  <c r="C22" i="9"/>
  <c r="B22" i="9"/>
  <c r="C15" i="9"/>
  <c r="C16" i="9"/>
  <c r="C17" i="9"/>
  <c r="C18" i="9"/>
  <c r="C19" i="9"/>
  <c r="C20" i="9"/>
  <c r="C21" i="9"/>
  <c r="C14" i="9"/>
  <c r="E6" i="9"/>
  <c r="E7" i="9"/>
  <c r="E8" i="9"/>
  <c r="E9" i="9"/>
  <c r="E10" i="9"/>
  <c r="E5" i="9"/>
  <c r="D6" i="9"/>
  <c r="D7" i="9"/>
  <c r="D8" i="9"/>
  <c r="D9" i="9"/>
  <c r="D10" i="9"/>
  <c r="D5" i="9"/>
  <c r="C6" i="9"/>
  <c r="C7" i="9"/>
  <c r="C8" i="9"/>
  <c r="C9" i="9"/>
  <c r="C10" i="9"/>
  <c r="C5" i="9"/>
  <c r="K6" i="8"/>
  <c r="K7" i="8"/>
  <c r="K8" i="8"/>
  <c r="K9" i="8"/>
  <c r="K10" i="8"/>
  <c r="K11" i="8"/>
  <c r="C11" i="8"/>
  <c r="C7" i="8"/>
  <c r="C8" i="8"/>
  <c r="C9" i="8"/>
  <c r="C10" i="8"/>
  <c r="C6" i="8"/>
  <c r="D7" i="8"/>
  <c r="D6" i="8"/>
  <c r="D8" i="8"/>
  <c r="D9" i="8"/>
  <c r="D10" i="8"/>
  <c r="D11" i="8"/>
  <c r="J11" i="8"/>
  <c r="J7" i="8"/>
  <c r="J8" i="8"/>
  <c r="J9" i="8"/>
  <c r="J10" i="8"/>
  <c r="J6" i="8"/>
  <c r="I7" i="8"/>
  <c r="I8" i="8"/>
  <c r="I9" i="8"/>
  <c r="I10" i="8"/>
  <c r="I11" i="8"/>
  <c r="I6" i="8"/>
  <c r="G6" i="8"/>
  <c r="H6" i="8"/>
  <c r="H7" i="8"/>
  <c r="H8" i="8"/>
  <c r="H9" i="8"/>
  <c r="H10" i="8"/>
  <c r="H11" i="8"/>
  <c r="G7" i="8"/>
  <c r="G8" i="8"/>
  <c r="G9" i="8"/>
  <c r="G10" i="8"/>
  <c r="G11" i="8"/>
  <c r="F7" i="8"/>
  <c r="F8" i="8"/>
  <c r="F9" i="8"/>
  <c r="F10" i="8"/>
  <c r="F11" i="8"/>
  <c r="F6" i="8"/>
  <c r="E7" i="8"/>
  <c r="E8" i="8"/>
  <c r="E9" i="8"/>
  <c r="E10" i="8"/>
  <c r="E11" i="8"/>
  <c r="E6" i="8"/>
  <c r="C12" i="7"/>
  <c r="D12" i="7"/>
  <c r="B12" i="7"/>
  <c r="B13" i="7"/>
  <c r="C13" i="7"/>
  <c r="D13" i="7"/>
  <c r="D14" i="7" s="1"/>
  <c r="D15" i="7" s="1"/>
  <c r="C14" i="7"/>
  <c r="C15" i="7" s="1"/>
  <c r="B14" i="7"/>
  <c r="B15" i="7" s="1"/>
  <c r="C6" i="7"/>
  <c r="D6" i="7"/>
  <c r="B6" i="7"/>
  <c r="C5" i="7"/>
  <c r="D5" i="7"/>
  <c r="B5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5" i="6"/>
  <c r="C19" i="6"/>
  <c r="B19" i="6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7" i="5"/>
  <c r="I2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7" i="5"/>
  <c r="G8" i="5"/>
  <c r="G10" i="5"/>
  <c r="G12" i="5"/>
  <c r="G14" i="5"/>
  <c r="G16" i="5"/>
  <c r="G18" i="5"/>
  <c r="G20" i="5"/>
  <c r="E21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7" i="5"/>
  <c r="F21" i="5"/>
  <c r="G9" i="5" s="1"/>
  <c r="C21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7" i="5"/>
  <c r="H21" i="5"/>
  <c r="D21" i="5"/>
  <c r="B21" i="5"/>
  <c r="G17" i="4"/>
  <c r="H17" i="4"/>
  <c r="F17" i="4"/>
  <c r="E17" i="4"/>
  <c r="F6" i="4"/>
  <c r="F7" i="4"/>
  <c r="F8" i="4"/>
  <c r="F9" i="4"/>
  <c r="F10" i="4"/>
  <c r="F11" i="4"/>
  <c r="F12" i="4"/>
  <c r="F13" i="4"/>
  <c r="F14" i="4"/>
  <c r="F15" i="4"/>
  <c r="F16" i="4"/>
  <c r="F5" i="4"/>
  <c r="E6" i="4"/>
  <c r="E7" i="4"/>
  <c r="E8" i="4"/>
  <c r="E9" i="4"/>
  <c r="E10" i="4"/>
  <c r="E11" i="4"/>
  <c r="E12" i="4"/>
  <c r="E13" i="4"/>
  <c r="E14" i="4"/>
  <c r="E15" i="4"/>
  <c r="E16" i="4"/>
  <c r="E5" i="4"/>
  <c r="D17" i="4"/>
  <c r="C17" i="4"/>
  <c r="B17" i="4"/>
  <c r="C18" i="1"/>
  <c r="D19" i="6" l="1"/>
  <c r="G7" i="5"/>
  <c r="G19" i="5"/>
  <c r="G17" i="5"/>
  <c r="G15" i="5"/>
  <c r="G13" i="5"/>
  <c r="G11" i="5"/>
  <c r="E5" i="3"/>
  <c r="E4" i="3"/>
  <c r="F4" i="3" s="1"/>
  <c r="E6" i="3"/>
  <c r="F6" i="3" s="1"/>
  <c r="E7" i="3"/>
  <c r="E8" i="3"/>
  <c r="F8" i="3" s="1"/>
  <c r="E9" i="3"/>
  <c r="E10" i="3"/>
  <c r="F10" i="3" s="1"/>
  <c r="E11" i="3"/>
  <c r="E12" i="3"/>
  <c r="E13" i="3"/>
  <c r="E14" i="3"/>
  <c r="E15" i="3"/>
  <c r="F12" i="3"/>
  <c r="F14" i="3"/>
  <c r="F7" i="3"/>
  <c r="F11" i="3"/>
  <c r="F13" i="3"/>
  <c r="F15" i="3"/>
  <c r="F5" i="3"/>
  <c r="F9" i="3"/>
  <c r="G12" i="2"/>
  <c r="G6" i="2"/>
  <c r="G7" i="2"/>
  <c r="G8" i="2"/>
  <c r="G9" i="2"/>
  <c r="G10" i="2"/>
  <c r="G11" i="2"/>
  <c r="G5" i="2"/>
  <c r="E12" i="2"/>
  <c r="F12" i="2"/>
  <c r="D12" i="2"/>
  <c r="C12" i="2"/>
  <c r="B12" i="2"/>
  <c r="C19" i="1"/>
  <c r="C7" i="1"/>
  <c r="C8" i="1"/>
  <c r="C9" i="1"/>
  <c r="C10" i="1"/>
  <c r="C11" i="1"/>
  <c r="C12" i="1"/>
  <c r="C13" i="1"/>
  <c r="C14" i="1"/>
  <c r="C15" i="1"/>
  <c r="C16" i="1"/>
  <c r="C17" i="1"/>
  <c r="C6" i="1"/>
  <c r="G21" i="5" l="1"/>
</calcChain>
</file>

<file path=xl/sharedStrings.xml><?xml version="1.0" encoding="utf-8"?>
<sst xmlns="http://schemas.openxmlformats.org/spreadsheetml/2006/main" count="290" uniqueCount="227">
  <si>
    <t>Данные по расходу элекроэнергии за 2004 год</t>
  </si>
  <si>
    <t>Месяц</t>
  </si>
  <si>
    <t>Показания счетчика, квт</t>
  </si>
  <si>
    <t>Оплата за месяц, руб</t>
  </si>
  <si>
    <t>Стоимость 1 квт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</si>
  <si>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</si>
  <si>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</si>
  <si>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</si>
  <si>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</si>
  <si>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</si>
  <si>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</si>
  <si>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</si>
  <si>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</si>
  <si>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</si>
  <si>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</si>
  <si>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</si>
  <si>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</si>
  <si>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год</t>
  </si>
  <si>
    <t>Затраты на транспорт</t>
  </si>
  <si>
    <t>день недели</t>
  </si>
  <si>
    <t>Кол-во использованных талонов</t>
  </si>
  <si>
    <t>Всего, руб</t>
  </si>
  <si>
    <t xml:space="preserve">Мама </t>
  </si>
  <si>
    <t>Папа</t>
  </si>
  <si>
    <t>Сын</t>
  </si>
  <si>
    <t>Дочь</t>
  </si>
  <si>
    <t>Бабушка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</si>
  <si>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</si>
  <si>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</si>
  <si>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</si>
  <si>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</si>
  <si>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</si>
  <si>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</si>
  <si>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</si>
  <si>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Неделньные затраты семьи</t>
  </si>
  <si>
    <t xml:space="preserve">стоимотсь одного талона </t>
  </si>
  <si>
    <t xml:space="preserve">Оплата за квартиру </t>
  </si>
  <si>
    <t xml:space="preserve">Последний день оплаты </t>
  </si>
  <si>
    <t xml:space="preserve">Дата оплаты </t>
  </si>
  <si>
    <t>Кварплата</t>
  </si>
  <si>
    <t>Пеня</t>
  </si>
  <si>
    <t>К оплате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</si>
  <si>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</si>
  <si>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</si>
  <si>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</si>
  <si>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</si>
  <si>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</si>
  <si>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</si>
  <si>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</si>
  <si>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</si>
  <si>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</si>
  <si>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</si>
  <si>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</si>
  <si>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</si>
  <si>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Ритмичность развития товарооборота торговой фирмы млн.руб.</t>
  </si>
  <si>
    <t>Месяцы</t>
  </si>
  <si>
    <t>Фактически за прошлый год</t>
  </si>
  <si>
    <t>Отчетный год</t>
  </si>
  <si>
    <t>Отклонение</t>
  </si>
  <si>
    <t>план</t>
  </si>
  <si>
    <t>факт</t>
  </si>
  <si>
    <t>% выполнения плана</t>
  </si>
  <si>
    <t>от плана</t>
  </si>
  <si>
    <t>От прошлого года</t>
  </si>
  <si>
    <t>В % к прошлому году</t>
  </si>
  <si>
    <t>Информация о структура товрооборота формы, млн руб.</t>
  </si>
  <si>
    <t>Товары группы и товары</t>
  </si>
  <si>
    <t>Фактически</t>
  </si>
  <si>
    <t>Сумма</t>
  </si>
  <si>
    <t>уд вес %</t>
  </si>
  <si>
    <t>Факт</t>
  </si>
  <si>
    <t>сумма</t>
  </si>
  <si>
    <t>%</t>
  </si>
  <si>
    <t>В действующих</t>
  </si>
  <si>
    <t>в сопоставимых</t>
  </si>
  <si>
    <t>В действ.</t>
  </si>
  <si>
    <t>в сопост</t>
  </si>
  <si>
    <t>мясо и птица</t>
  </si>
  <si>
    <t>колабсные изделия</t>
  </si>
  <si>
    <t>рыба</t>
  </si>
  <si>
    <t xml:space="preserve">Масло </t>
  </si>
  <si>
    <t>молочные изделия</t>
  </si>
  <si>
    <t xml:space="preserve">Яйца </t>
  </si>
  <si>
    <t>Сахар</t>
  </si>
  <si>
    <t>Кондитерские изделия</t>
  </si>
  <si>
    <t>Хлеб</t>
  </si>
  <si>
    <t xml:space="preserve">Макаронные изделия </t>
  </si>
  <si>
    <t xml:space="preserve">Водка </t>
  </si>
  <si>
    <t>Вино</t>
  </si>
  <si>
    <t>Прочие прод. Товары</t>
  </si>
  <si>
    <t>Непродов. Товары</t>
  </si>
  <si>
    <t>Всего</t>
  </si>
  <si>
    <t>Расчет себестоймости продукции</t>
  </si>
  <si>
    <t>Статья затрат</t>
  </si>
  <si>
    <t>Фактический выпуск товарной продукции, тыс. руб</t>
  </si>
  <si>
    <t>По плановой себестоймости</t>
  </si>
  <si>
    <t>По фактической себестоймости</t>
  </si>
  <si>
    <t>Сырье и материалы</t>
  </si>
  <si>
    <t>Отклонение от плана(+,-)</t>
  </si>
  <si>
    <t>покупные комплектующие изделия, полуфабрикаты</t>
  </si>
  <si>
    <t>возратные отходы</t>
  </si>
  <si>
    <t>Топливо и энергия на технологические цели</t>
  </si>
  <si>
    <t>Основная зарплата производственных рабочих</t>
  </si>
  <si>
    <t>Отчисления на социальные нужды</t>
  </si>
  <si>
    <t xml:space="preserve">износ инструментов </t>
  </si>
  <si>
    <t>общехозяйственные расходы</t>
  </si>
  <si>
    <t xml:space="preserve">Расходы на подготовку и освоение производства </t>
  </si>
  <si>
    <t>потери от брака</t>
  </si>
  <si>
    <t>прочие производсвенные расходы</t>
  </si>
  <si>
    <t>Дополнительная зарплата производственых рабочих</t>
  </si>
  <si>
    <t>общественные расходы</t>
  </si>
  <si>
    <t>коммерческие расходы</t>
  </si>
  <si>
    <t>Итого:</t>
  </si>
  <si>
    <t xml:space="preserve">Отчет о прибыли и расходах предприятия </t>
  </si>
  <si>
    <t>показатель</t>
  </si>
  <si>
    <t>Валовая выручка</t>
  </si>
  <si>
    <t>Налог на добавленную стоимоть</t>
  </si>
  <si>
    <t>Выручка от реализации</t>
  </si>
  <si>
    <t>Затраты на производство продкуции</t>
  </si>
  <si>
    <t>в том число: Заработанная плата</t>
  </si>
  <si>
    <t>Аренбная плата</t>
  </si>
  <si>
    <t xml:space="preserve">аренда оборудования </t>
  </si>
  <si>
    <t xml:space="preserve">другие расходы </t>
  </si>
  <si>
    <t>Валовая прибыль</t>
  </si>
  <si>
    <t>Облагаемы доход</t>
  </si>
  <si>
    <t xml:space="preserve">Налог на доход предприятия </t>
  </si>
  <si>
    <t xml:space="preserve">чистый доход предприятия </t>
  </si>
  <si>
    <t xml:space="preserve">Налог на добавленную стоимость </t>
  </si>
  <si>
    <t>Налог на доход предпиятия</t>
  </si>
  <si>
    <t>Отопление, руб/кв. м</t>
  </si>
  <si>
    <t>Тех. Обслуживаение, руб/кв. м</t>
  </si>
  <si>
    <t>холодная вода, руб/чел</t>
  </si>
  <si>
    <t>Горячая вода, руб/чел</t>
  </si>
  <si>
    <t>Газ, руб/чел</t>
  </si>
  <si>
    <t>Канализцаия руб/чел</t>
  </si>
  <si>
    <t>Сан. Очистка руб/чел</t>
  </si>
  <si>
    <t>Расчет месячной кварплаты и платы за коммунальные устулги</t>
  </si>
  <si>
    <t>Общ. Площадь квартиры кв.м</t>
  </si>
  <si>
    <t>Число жильцов</t>
  </si>
  <si>
    <t>Плата за отпление руб</t>
  </si>
  <si>
    <t>плата за тех. Обслуж. Руб</t>
  </si>
  <si>
    <t>плата за хол воду руб</t>
  </si>
  <si>
    <t>плата за гор. Воду руб</t>
  </si>
  <si>
    <t>плата за газ, руб</t>
  </si>
  <si>
    <t>плата за канализ, руб</t>
  </si>
  <si>
    <t>плата за сан. Очистку</t>
  </si>
  <si>
    <t>сумма руб.</t>
  </si>
  <si>
    <t>оплата за телефон</t>
  </si>
  <si>
    <t>Плата за телефон руб.</t>
  </si>
  <si>
    <t>Отопление руб/кв. м</t>
  </si>
  <si>
    <t>хол. Вода, руб/чел</t>
  </si>
  <si>
    <t>Общ плозадь квартиры кв. м</t>
  </si>
  <si>
    <t>Плата отопления .руб</t>
  </si>
  <si>
    <t>Плата за хол.воду руб.</t>
  </si>
  <si>
    <t>Общая сумма за квартиру руб</t>
  </si>
  <si>
    <t>курс$</t>
  </si>
  <si>
    <t>Наименование товара</t>
  </si>
  <si>
    <t>Цена товара руб.</t>
  </si>
  <si>
    <t>Цена товара $</t>
  </si>
  <si>
    <t xml:space="preserve">Бумага </t>
  </si>
  <si>
    <t>Конверт</t>
  </si>
  <si>
    <t>Папка</t>
  </si>
  <si>
    <t>Скрепки</t>
  </si>
  <si>
    <t xml:space="preserve">Кнопки </t>
  </si>
  <si>
    <t xml:space="preserve">Ручка </t>
  </si>
  <si>
    <t xml:space="preserve">Степлер </t>
  </si>
  <si>
    <t>Клей</t>
  </si>
  <si>
    <t>Общая сумма</t>
  </si>
  <si>
    <t>Рост цен на товары в апреле по сравнению с мартом соствавил</t>
  </si>
  <si>
    <t>Наименование</t>
  </si>
  <si>
    <t>Количество</t>
  </si>
  <si>
    <t>Цена, руб. ( в марте)</t>
  </si>
  <si>
    <t>Сумма руб.( в марте)</t>
  </si>
  <si>
    <t>Сумма руб. (в апреле)</t>
  </si>
  <si>
    <t>Бумага для принтеров, пачки</t>
  </si>
  <si>
    <t>Папки для дел, шт.</t>
  </si>
  <si>
    <t>Конверты для писем, шт.</t>
  </si>
  <si>
    <t>Итого</t>
  </si>
  <si>
    <t>Абонентская плата, руб.</t>
  </si>
  <si>
    <t>Плата за муждугородн. Переговоры (в явнаваре). Руб</t>
  </si>
  <si>
    <t>Прирост месячной платы за переговоры %</t>
  </si>
  <si>
    <t>Плата за междугородние переговоры руб.</t>
  </si>
  <si>
    <t>Всего за телефон, руб</t>
  </si>
  <si>
    <t>Янаварь</t>
  </si>
  <si>
    <t>Итого за год:</t>
  </si>
  <si>
    <t>прирост продаж за месяц</t>
  </si>
  <si>
    <t>Налог на доб стоим</t>
  </si>
  <si>
    <t>Сумма без НДС</t>
  </si>
  <si>
    <t xml:space="preserve">Март </t>
  </si>
  <si>
    <t>Сумма продаж</t>
  </si>
  <si>
    <t>Общая сумма дохода за год</t>
  </si>
  <si>
    <t>№</t>
  </si>
  <si>
    <t>ед изм</t>
  </si>
  <si>
    <t>Цена</t>
  </si>
  <si>
    <t>кол-во</t>
  </si>
  <si>
    <t>НДС(20%)</t>
  </si>
  <si>
    <t>Предоплата</t>
  </si>
  <si>
    <t>Остаток</t>
  </si>
  <si>
    <t>Время</t>
  </si>
  <si>
    <t>Дата</t>
  </si>
  <si>
    <t>Модем Zyxel</t>
  </si>
  <si>
    <t>шт.</t>
  </si>
  <si>
    <t>Принтер HP</t>
  </si>
  <si>
    <t>Телефакс</t>
  </si>
  <si>
    <t>Сканер BenQ</t>
  </si>
  <si>
    <t>Телефон LG</t>
  </si>
  <si>
    <t xml:space="preserve">Коловнки </t>
  </si>
  <si>
    <t>Концентратор</t>
  </si>
  <si>
    <t>Web камера</t>
  </si>
  <si>
    <t>комп</t>
  </si>
  <si>
    <t>Стоимость 1 страницы $</t>
  </si>
  <si>
    <t>Оргвзнос, $</t>
  </si>
  <si>
    <t>Почтовые услуги, $</t>
  </si>
  <si>
    <t>Проживание за сутки, $</t>
  </si>
  <si>
    <t>фИО</t>
  </si>
  <si>
    <t>кол-во страниц</t>
  </si>
  <si>
    <t>Затраты на издание статьи</t>
  </si>
  <si>
    <t>Кол-во суток проживания</t>
  </si>
  <si>
    <t>Затраты на прожив</t>
  </si>
  <si>
    <t>Затраты на дорогу  $</t>
  </si>
  <si>
    <t>Суммарные затраты</t>
  </si>
  <si>
    <t>Смирнов К.И.</t>
  </si>
  <si>
    <t>Пенкина О.С.</t>
  </si>
  <si>
    <t>Неров П.А.</t>
  </si>
  <si>
    <t>Весова К.Д.</t>
  </si>
  <si>
    <t>Веденеев В.В.</t>
  </si>
  <si>
    <t>Прнин У.Ж.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</si>
</sst>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RUB]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1" applyNumberFormat="1" applyFon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4" fillId="2" borderId="1" xfId="2" applyBorder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0" fontId="1" fillId="6" borderId="1" xfId="6" applyBorder="1" applyAlignment="1">
      <alignment horizontal="left" vertical="top" wrapText="1"/>
    </xf>
    <xf numFmtId="0" fontId="4" fillId="2" borderId="1" xfId="2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1" fillId="6" borderId="1" xfId="6" applyBorder="1" applyAlignment="1">
      <alignment horizontal="right" vertical="top" wrapText="1"/>
    </xf>
    <xf numFmtId="0" fontId="4" fillId="2" borderId="1" xfId="2" applyBorder="1"/>
    <xf numFmtId="0" fontId="4" fillId="2" borderId="1" xfId="2" applyBorder="1" applyAlignment="1">
      <alignment wrapText="1"/>
    </xf>
    <xf numFmtId="0" fontId="4" fillId="2" borderId="1" xfId="2" applyBorder="1" applyAlignment="1">
      <alignment vertical="top" wrapText="1"/>
    </xf>
    <xf numFmtId="0" fontId="4" fillId="2" borderId="0" xfId="2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2" fontId="0" fillId="0" borderId="0" xfId="0" applyNumberFormat="1"/>
    <xf numFmtId="9" fontId="3" fillId="0" borderId="0" xfId="0" applyNumberFormat="1" applyFont="1"/>
    <xf numFmtId="0" fontId="3" fillId="0" borderId="0" xfId="0" applyFon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9" fontId="4" fillId="2" borderId="1" xfId="2" applyNumberFormat="1" applyBorder="1"/>
    <xf numFmtId="9" fontId="5" fillId="3" borderId="1" xfId="3" applyNumberFormat="1" applyBorder="1"/>
    <xf numFmtId="18" fontId="0" fillId="0" borderId="1" xfId="0" applyNumberFormat="1" applyBorder="1"/>
    <xf numFmtId="14" fontId="0" fillId="0" borderId="1" xfId="0" applyNumberFormat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0" xfId="6" applyAlignment="1">
      <alignment horizontal="center"/>
    </xf>
    <xf numFmtId="0" fontId="3" fillId="0" borderId="0" xfId="0" applyFont="1" applyAlignment="1">
      <alignment horizontal="left" wrapText="1"/>
    </xf>
    <xf numFmtId="2" fontId="0" fillId="0" borderId="0" xfId="0" applyNumberFormat="1" applyAlignment="1">
      <alignment horizontal="center"/>
    </xf>
    <xf numFmtId="0" fontId="4" fillId="2" borderId="8" xfId="2" applyBorder="1" applyAlignment="1">
      <alignment horizontal="center" wrapText="1"/>
    </xf>
    <xf numFmtId="0" fontId="4" fillId="2" borderId="9" xfId="2" applyBorder="1" applyAlignment="1">
      <alignment horizontal="center" wrapText="1"/>
    </xf>
    <xf numFmtId="0" fontId="5" fillId="3" borderId="8" xfId="3" applyBorder="1" applyAlignment="1">
      <alignment horizontal="center"/>
    </xf>
    <xf numFmtId="0" fontId="5" fillId="3" borderId="9" xfId="3" applyBorder="1" applyAlignment="1">
      <alignment horizontal="center"/>
    </xf>
    <xf numFmtId="9" fontId="0" fillId="0" borderId="0" xfId="1" applyFont="1" applyAlignment="1">
      <alignment horizontal="center"/>
    </xf>
    <xf numFmtId="0" fontId="1" fillId="5" borderId="1" xfId="5" applyBorder="1" applyAlignment="1">
      <alignment horizontal="center"/>
    </xf>
    <xf numFmtId="0" fontId="6" fillId="4" borderId="0" xfId="4" applyAlignment="1">
      <alignment horizontal="center"/>
    </xf>
  </cellXfs>
  <cellStyles count="7">
    <cellStyle name="40% — акцент1" xfId="5" builtinId="31"/>
    <cellStyle name="60% — акцент4" xfId="6" builtinId="44"/>
    <cellStyle name="Акцент1" xfId="4" builtinId="29"/>
    <cellStyle name="Нейтральный" xfId="3" builtinId="28"/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0" workbookViewId="0">
      <selection activeCell="G16" sqref="G16"/>
    </sheetView>
  </sheetViews>
  <sheetFormatPr defaultRowHeight="15" x14ac:dyDescent="0.25"/>
  <cols>
    <col min="2" max="2" width="14.85546875" customWidth="1"/>
    <col min="3" max="3" width="11.7109375" customWidth="1"/>
  </cols>
  <sheetData>
    <row r="1" spans="1:7" x14ac:dyDescent="0.25">
      <c r="A1" s="44" t="s">
        <v>0</v>
      </c>
      <c r="B1" s="44"/>
      <c r="C1" s="44"/>
      <c r="D1" s="44"/>
      <c r="E1" s="44"/>
      <c r="F1" s="44"/>
      <c r="G1" s="44"/>
    </row>
    <row r="3" spans="1:7" x14ac:dyDescent="0.25">
      <c r="A3" s="45" t="s">
        <v>4</v>
      </c>
      <c r="B3" s="45"/>
      <c r="C3">
        <v>10</v>
      </c>
    </row>
    <row r="5" spans="1:7" ht="48" customHeight="1" x14ac:dyDescent="0.25">
      <c r="A5" s="3" t="s">
        <v>1</v>
      </c>
      <c r="B5" s="4" t="s">
        <v>2</v>
      </c>
      <c r="C5" s="4" t="s">
        <v>3</v>
      </c>
    </row>
    <row r="6" spans="1:7" x14ac:dyDescent="0.25">
      <c r="A6" s="3"/>
      <c r="B6" s="5">
        <v>1230</v>
      </c>
      <c r="C6" s="3">
        <f t="shared" ref="C6:C17" si="0">B6*КВТ</f>
        <v>12300</v>
      </c>
    </row>
    <row r="7" spans="1:7" x14ac:dyDescent="0.25">
      <c r="A7" s="3" t="s">
        <v>5</v>
      </c>
      <c r="B7" s="5">
        <v>1385</v>
      </c>
      <c r="C7" s="3">
        <f t="shared" si="0"/>
        <v>13850</v>
      </c>
    </row>
    <row r="8" spans="1:7" x14ac:dyDescent="0.25">
      <c r="A8" s="3" t="s">
        <v>6</v>
      </c>
      <c r="B8" s="5">
        <v>1538</v>
      </c>
      <c r="C8" s="3">
        <f t="shared" si="0"/>
        <v>15380</v>
      </c>
    </row>
    <row r="9" spans="1:7" x14ac:dyDescent="0.25">
      <c r="A9" s="3" t="s">
        <v>7</v>
      </c>
      <c r="B9" s="5">
        <v>1674</v>
      </c>
      <c r="C9" s="3">
        <f t="shared" si="0"/>
        <v>16740</v>
      </c>
    </row>
    <row r="10" spans="1:7" x14ac:dyDescent="0.25">
      <c r="A10" s="3" t="s">
        <v>8</v>
      </c>
      <c r="B10" s="5">
        <v>1825</v>
      </c>
      <c r="C10" s="3">
        <f t="shared" si="0"/>
        <v>18250</v>
      </c>
    </row>
    <row r="11" spans="1:7" x14ac:dyDescent="0.25">
      <c r="A11" s="3" t="s">
        <v>9</v>
      </c>
      <c r="B11" s="5">
        <v>1950</v>
      </c>
      <c r="C11" s="3">
        <f t="shared" si="0"/>
        <v>19500</v>
      </c>
    </row>
    <row r="12" spans="1:7" x14ac:dyDescent="0.25">
      <c r="A12" s="3" t="s">
        <v>10</v>
      </c>
      <c r="B12" s="5">
        <v>2095</v>
      </c>
      <c r="C12" s="3">
        <f t="shared" si="0"/>
        <v>20950</v>
      </c>
    </row>
    <row r="13" spans="1:7" x14ac:dyDescent="0.25">
      <c r="A13" s="3" t="s">
        <v>11</v>
      </c>
      <c r="B13" s="5">
        <v>2200</v>
      </c>
      <c r="C13" s="3">
        <f t="shared" si="0"/>
        <v>22000</v>
      </c>
    </row>
    <row r="14" spans="1:7" x14ac:dyDescent="0.25">
      <c r="A14" s="3" t="s">
        <v>12</v>
      </c>
      <c r="B14" s="5">
        <v>2358</v>
      </c>
      <c r="C14" s="3">
        <f t="shared" si="0"/>
        <v>23580</v>
      </c>
    </row>
    <row r="15" spans="1:7" x14ac:dyDescent="0.25">
      <c r="A15" s="3" t="s">
        <v>13</v>
      </c>
      <c r="B15" s="5">
        <v>2510</v>
      </c>
      <c r="C15" s="3">
        <f t="shared" si="0"/>
        <v>25100</v>
      </c>
    </row>
    <row r="16" spans="1:7" x14ac:dyDescent="0.25">
      <c r="A16" s="3" t="s">
        <v>14</v>
      </c>
      <c r="B16" s="5">
        <v>2668</v>
      </c>
      <c r="C16" s="3">
        <f t="shared" si="0"/>
        <v>26680</v>
      </c>
    </row>
    <row r="17" spans="1:3" x14ac:dyDescent="0.25">
      <c r="A17" s="3" t="s">
        <v>15</v>
      </c>
      <c r="B17" s="5">
        <v>2834</v>
      </c>
      <c r="C17" s="3">
        <f t="shared" si="0"/>
        <v>28340</v>
      </c>
    </row>
    <row r="18" spans="1:3" x14ac:dyDescent="0.25">
      <c r="A18" s="3" t="s">
        <v>16</v>
      </c>
      <c r="B18" s="5">
        <v>2970</v>
      </c>
      <c r="C18" s="3">
        <f>B18*КВТ</f>
        <v>29700</v>
      </c>
    </row>
    <row r="19" spans="1:3" x14ac:dyDescent="0.25">
      <c r="A19" s="3"/>
      <c r="B19" s="5" t="s">
        <v>17</v>
      </c>
      <c r="C19" s="3">
        <f>SUM(C6:C18)</f>
        <v>272370</v>
      </c>
    </row>
  </sheetData>
  <mergeCells count="2">
    <mergeCell ref="A1:G1"/>
    <mergeCell ref="A3:B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30CA-CAAC-489F-80A3-D2999FCDEDC1}">
  <dimension ref="A1:E6"/>
  <sheetViews>
    <sheetView topLeftCell="B1" workbookViewId="0">
      <selection activeCell="E9" sqref="E9"/>
    </sheetView>
  </sheetViews>
  <sheetFormatPr defaultRowHeight="15" x14ac:dyDescent="0.25"/>
  <cols>
    <col min="1" max="1" width="19" customWidth="1"/>
    <col min="2" max="2" width="12" customWidth="1"/>
    <col min="3" max="3" width="20.140625" bestFit="1" customWidth="1"/>
    <col min="4" max="4" width="25.7109375" customWidth="1"/>
    <col min="5" max="5" width="20.85546875" customWidth="1"/>
  </cols>
  <sheetData>
    <row r="1" spans="1:5" x14ac:dyDescent="0.25">
      <c r="A1" s="44" t="s">
        <v>168</v>
      </c>
      <c r="B1" s="44"/>
      <c r="C1" s="44"/>
      <c r="D1" s="44"/>
      <c r="E1" s="33">
        <v>0.05</v>
      </c>
    </row>
    <row r="2" spans="1:5" ht="17.25" customHeight="1" x14ac:dyDescent="0.25">
      <c r="A2" s="34" t="s">
        <v>169</v>
      </c>
      <c r="B2" s="34" t="s">
        <v>170</v>
      </c>
      <c r="C2" s="34" t="s">
        <v>171</v>
      </c>
      <c r="D2" s="34" t="s">
        <v>172</v>
      </c>
      <c r="E2" s="34" t="s">
        <v>173</v>
      </c>
    </row>
    <row r="3" spans="1:5" ht="30" x14ac:dyDescent="0.25">
      <c r="A3" s="2" t="s">
        <v>174</v>
      </c>
      <c r="B3">
        <v>2</v>
      </c>
      <c r="C3" s="32">
        <v>125</v>
      </c>
      <c r="D3">
        <f>B3*C3</f>
        <v>250</v>
      </c>
      <c r="E3">
        <f>D3+(D3*$E$1)</f>
        <v>262.5</v>
      </c>
    </row>
    <row r="4" spans="1:5" x14ac:dyDescent="0.25">
      <c r="A4" s="2" t="s">
        <v>175</v>
      </c>
      <c r="B4">
        <v>12</v>
      </c>
      <c r="C4" s="32">
        <v>15</v>
      </c>
      <c r="D4">
        <f t="shared" ref="D4:D5" si="0">B4*C4</f>
        <v>180</v>
      </c>
      <c r="E4">
        <f t="shared" ref="E4:E6" si="1">D4+(D4*$E$1)</f>
        <v>189</v>
      </c>
    </row>
    <row r="5" spans="1:5" ht="30" x14ac:dyDescent="0.25">
      <c r="A5" s="2" t="s">
        <v>176</v>
      </c>
      <c r="B5">
        <v>150</v>
      </c>
      <c r="C5" s="32">
        <v>3.75</v>
      </c>
      <c r="D5">
        <f t="shared" si="0"/>
        <v>562.5</v>
      </c>
      <c r="E5">
        <f t="shared" si="1"/>
        <v>590.625</v>
      </c>
    </row>
    <row r="6" spans="1:5" x14ac:dyDescent="0.25">
      <c r="A6" s="52" t="s">
        <v>112</v>
      </c>
      <c r="B6" s="52"/>
      <c r="C6" s="52"/>
      <c r="D6">
        <f>SUM(D3:D5)</f>
        <v>992.5</v>
      </c>
      <c r="E6">
        <f t="shared" si="1"/>
        <v>1042.125</v>
      </c>
    </row>
  </sheetData>
  <mergeCells count="2">
    <mergeCell ref="A1:D1"/>
    <mergeCell ref="A6:C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B281-1315-4C36-AEA6-1CF820A74F60}">
  <dimension ref="A1:C31"/>
  <sheetViews>
    <sheetView topLeftCell="A7" workbookViewId="0">
      <selection activeCell="A19" sqref="A19"/>
    </sheetView>
  </sheetViews>
  <sheetFormatPr defaultRowHeight="15" x14ac:dyDescent="0.25"/>
  <cols>
    <col min="1" max="1" width="23.7109375" customWidth="1"/>
    <col min="2" max="2" width="27.7109375" customWidth="1"/>
    <col min="3" max="3" width="16.140625" customWidth="1"/>
  </cols>
  <sheetData>
    <row r="1" spans="1:3" ht="54.75" customHeight="1" x14ac:dyDescent="0.25">
      <c r="A1" s="35" t="s">
        <v>178</v>
      </c>
      <c r="B1" s="36" t="s">
        <v>179</v>
      </c>
      <c r="C1" s="36" t="s">
        <v>180</v>
      </c>
    </row>
    <row r="2" spans="1:3" x14ac:dyDescent="0.25">
      <c r="A2" s="32">
        <v>50</v>
      </c>
      <c r="B2" s="32">
        <v>900</v>
      </c>
      <c r="C2" s="32">
        <v>1.5</v>
      </c>
    </row>
    <row r="3" spans="1:3" x14ac:dyDescent="0.25">
      <c r="A3" s="32"/>
      <c r="B3" s="32"/>
      <c r="C3" s="32"/>
    </row>
    <row r="4" spans="1:3" s="2" customFormat="1" ht="29.25" customHeight="1" x14ac:dyDescent="0.25">
      <c r="A4" s="37" t="s">
        <v>1</v>
      </c>
      <c r="B4" s="37" t="s">
        <v>181</v>
      </c>
      <c r="C4" s="37" t="s">
        <v>182</v>
      </c>
    </row>
    <row r="5" spans="1:3" x14ac:dyDescent="0.25">
      <c r="A5" s="32" t="s">
        <v>183</v>
      </c>
      <c r="B5" s="32">
        <f>B2</f>
        <v>900</v>
      </c>
      <c r="C5" s="32">
        <f>B5</f>
        <v>900</v>
      </c>
    </row>
    <row r="6" spans="1:3" x14ac:dyDescent="0.25">
      <c r="A6" s="32" t="s">
        <v>43</v>
      </c>
      <c r="B6" s="32">
        <f>B5+(B5*$C$2%)</f>
        <v>913.5</v>
      </c>
      <c r="C6" s="32">
        <f>B6</f>
        <v>913.5</v>
      </c>
    </row>
    <row r="7" spans="1:3" x14ac:dyDescent="0.25">
      <c r="A7" s="32" t="s">
        <v>183</v>
      </c>
      <c r="B7" s="32">
        <f>B6+(B6*$C$2%)</f>
        <v>927.20249999999999</v>
      </c>
      <c r="C7" s="32">
        <f>B7</f>
        <v>927.20249999999999</v>
      </c>
    </row>
    <row r="8" spans="1:3" x14ac:dyDescent="0.25">
      <c r="A8" s="32" t="s">
        <v>44</v>
      </c>
      <c r="B8" s="32">
        <f>B7+(B7*$C$2%)</f>
        <v>941.11053749999996</v>
      </c>
      <c r="C8" s="32">
        <f>B8</f>
        <v>941.11053749999996</v>
      </c>
    </row>
    <row r="9" spans="1:3" x14ac:dyDescent="0.25">
      <c r="A9" s="32" t="s">
        <v>183</v>
      </c>
      <c r="B9" s="32">
        <f t="shared" ref="B9:B17" si="0">B8+(B8*$C$2%)</f>
        <v>955.22719556250001</v>
      </c>
      <c r="C9" s="32">
        <f t="shared" ref="C9:C17" si="1">B9</f>
        <v>955.22719556250001</v>
      </c>
    </row>
    <row r="10" spans="1:3" x14ac:dyDescent="0.25">
      <c r="A10" s="32" t="s">
        <v>45</v>
      </c>
      <c r="B10" s="32">
        <f t="shared" si="0"/>
        <v>969.55560349593748</v>
      </c>
      <c r="C10" s="32">
        <f t="shared" si="1"/>
        <v>969.55560349593748</v>
      </c>
    </row>
    <row r="11" spans="1:3" x14ac:dyDescent="0.25">
      <c r="A11" s="32" t="s">
        <v>183</v>
      </c>
      <c r="B11" s="32">
        <f t="shared" si="0"/>
        <v>984.09893754837651</v>
      </c>
      <c r="C11" s="32">
        <f t="shared" si="1"/>
        <v>984.09893754837651</v>
      </c>
    </row>
    <row r="12" spans="1:3" x14ac:dyDescent="0.25">
      <c r="A12" s="32" t="s">
        <v>46</v>
      </c>
      <c r="B12" s="32">
        <f t="shared" si="0"/>
        <v>998.86042161160219</v>
      </c>
      <c r="C12" s="32">
        <f t="shared" si="1"/>
        <v>998.86042161160219</v>
      </c>
    </row>
    <row r="13" spans="1:3" x14ac:dyDescent="0.25">
      <c r="A13" s="32" t="s">
        <v>183</v>
      </c>
      <c r="B13" s="32">
        <f t="shared" si="0"/>
        <v>1013.8433279357762</v>
      </c>
      <c r="C13" s="32">
        <f t="shared" si="1"/>
        <v>1013.8433279357762</v>
      </c>
    </row>
    <row r="14" spans="1:3" x14ac:dyDescent="0.25">
      <c r="A14" s="32" t="s">
        <v>47</v>
      </c>
      <c r="B14" s="32">
        <f t="shared" si="0"/>
        <v>1029.0509778548128</v>
      </c>
      <c r="C14" s="32">
        <f t="shared" si="1"/>
        <v>1029.0509778548128</v>
      </c>
    </row>
    <row r="15" spans="1:3" x14ac:dyDescent="0.25">
      <c r="A15" s="32" t="s">
        <v>183</v>
      </c>
      <c r="B15" s="32">
        <f t="shared" si="0"/>
        <v>1044.486742522635</v>
      </c>
      <c r="C15" s="32">
        <f t="shared" si="1"/>
        <v>1044.486742522635</v>
      </c>
    </row>
    <row r="16" spans="1:3" x14ac:dyDescent="0.25">
      <c r="A16" s="32" t="s">
        <v>48</v>
      </c>
      <c r="B16" s="32">
        <f t="shared" si="0"/>
        <v>1060.1540436604746</v>
      </c>
      <c r="C16" s="32">
        <f t="shared" si="1"/>
        <v>1060.1540436604746</v>
      </c>
    </row>
    <row r="17" spans="1:3" x14ac:dyDescent="0.25">
      <c r="A17" s="32" t="s">
        <v>183</v>
      </c>
      <c r="B17" s="32">
        <f t="shared" si="0"/>
        <v>1076.0563543153817</v>
      </c>
      <c r="C17" s="32">
        <f t="shared" si="1"/>
        <v>1076.0563543153817</v>
      </c>
    </row>
    <row r="18" spans="1:3" x14ac:dyDescent="0.25">
      <c r="A18" s="53" t="s">
        <v>184</v>
      </c>
      <c r="B18" s="53"/>
      <c r="C18" s="32">
        <f>SUM(C5:C17)</f>
        <v>12813.146642007496</v>
      </c>
    </row>
    <row r="19" spans="1:3" x14ac:dyDescent="0.25">
      <c r="A19" s="32"/>
      <c r="B19" s="32"/>
      <c r="C19" s="32"/>
    </row>
    <row r="20" spans="1:3" x14ac:dyDescent="0.25">
      <c r="A20" s="32"/>
      <c r="B20" s="32"/>
      <c r="C20" s="32"/>
    </row>
    <row r="21" spans="1:3" x14ac:dyDescent="0.25">
      <c r="A21" s="32"/>
      <c r="B21" s="32"/>
      <c r="C21" s="32"/>
    </row>
    <row r="22" spans="1:3" x14ac:dyDescent="0.25">
      <c r="A22" s="32"/>
      <c r="B22" s="32"/>
      <c r="C22" s="32"/>
    </row>
    <row r="23" spans="1:3" x14ac:dyDescent="0.25">
      <c r="A23" s="32"/>
      <c r="B23" s="32"/>
      <c r="C23" s="32"/>
    </row>
    <row r="24" spans="1:3" x14ac:dyDescent="0.25">
      <c r="A24" s="32"/>
      <c r="B24" s="32"/>
      <c r="C24" s="32"/>
    </row>
    <row r="25" spans="1:3" x14ac:dyDescent="0.25">
      <c r="A25" s="32"/>
      <c r="B25" s="32"/>
      <c r="C25" s="32"/>
    </row>
    <row r="26" spans="1:3" x14ac:dyDescent="0.25">
      <c r="A26" s="32"/>
      <c r="B26" s="32"/>
      <c r="C26" s="32"/>
    </row>
    <row r="27" spans="1:3" x14ac:dyDescent="0.25">
      <c r="A27" s="32"/>
      <c r="B27" s="32"/>
      <c r="C27" s="32"/>
    </row>
    <row r="28" spans="1:3" x14ac:dyDescent="0.25">
      <c r="A28" s="32"/>
      <c r="B28" s="32"/>
      <c r="C28" s="32"/>
    </row>
    <row r="29" spans="1:3" x14ac:dyDescent="0.25">
      <c r="A29" s="32"/>
      <c r="B29" s="32"/>
      <c r="C29" s="32"/>
    </row>
    <row r="30" spans="1:3" x14ac:dyDescent="0.25">
      <c r="A30" s="32"/>
      <c r="B30" s="32"/>
      <c r="C30" s="32"/>
    </row>
    <row r="31" spans="1:3" x14ac:dyDescent="0.25">
      <c r="A31" s="32"/>
      <c r="B31" s="32"/>
      <c r="C31" s="32"/>
    </row>
  </sheetData>
  <mergeCells count="1">
    <mergeCell ref="A18:B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B40D-681E-46B1-A4CC-7FED340B2A8C}">
  <dimension ref="A1:C16"/>
  <sheetViews>
    <sheetView workbookViewId="0">
      <selection activeCell="E13" sqref="E13"/>
    </sheetView>
  </sheetViews>
  <sheetFormatPr defaultRowHeight="15" x14ac:dyDescent="0.25"/>
  <cols>
    <col min="1" max="1" width="27.28515625" customWidth="1"/>
    <col min="2" max="2" width="14.140625" bestFit="1" customWidth="1"/>
    <col min="3" max="3" width="15" bestFit="1" customWidth="1"/>
  </cols>
  <sheetData>
    <row r="1" spans="1:3" ht="17.25" customHeight="1" x14ac:dyDescent="0.25">
      <c r="A1" s="54" t="s">
        <v>185</v>
      </c>
      <c r="B1" s="55"/>
      <c r="C1" s="38">
        <v>0.1</v>
      </c>
    </row>
    <row r="2" spans="1:3" x14ac:dyDescent="0.25">
      <c r="A2" s="56" t="s">
        <v>186</v>
      </c>
      <c r="B2" s="57"/>
      <c r="C2" s="39">
        <v>0.28000000000000003</v>
      </c>
    </row>
    <row r="3" spans="1:3" x14ac:dyDescent="0.25">
      <c r="A3" t="s">
        <v>1</v>
      </c>
      <c r="B3" t="s">
        <v>189</v>
      </c>
      <c r="C3" t="s">
        <v>187</v>
      </c>
    </row>
    <row r="4" spans="1:3" x14ac:dyDescent="0.25">
      <c r="A4" t="s">
        <v>5</v>
      </c>
      <c r="B4">
        <v>100000</v>
      </c>
      <c r="C4">
        <f>B4-(B4*$C$2)</f>
        <v>72000</v>
      </c>
    </row>
    <row r="5" spans="1:3" x14ac:dyDescent="0.25">
      <c r="A5" t="s">
        <v>43</v>
      </c>
      <c r="B5">
        <f>B4+(B4*$C$1)</f>
        <v>110000</v>
      </c>
      <c r="C5">
        <f t="shared" ref="C5:C15" si="0">B5-(B5*$C$2)</f>
        <v>79200</v>
      </c>
    </row>
    <row r="6" spans="1:3" x14ac:dyDescent="0.25">
      <c r="A6" t="s">
        <v>188</v>
      </c>
      <c r="B6">
        <f t="shared" ref="B6:B15" si="1">B5+(B5*$C$1)</f>
        <v>121000</v>
      </c>
      <c r="C6">
        <f t="shared" si="0"/>
        <v>87120</v>
      </c>
    </row>
    <row r="7" spans="1:3" x14ac:dyDescent="0.25">
      <c r="A7" t="s">
        <v>8</v>
      </c>
      <c r="B7">
        <f t="shared" si="1"/>
        <v>133100</v>
      </c>
      <c r="C7">
        <f t="shared" si="0"/>
        <v>95832</v>
      </c>
    </row>
    <row r="8" spans="1:3" x14ac:dyDescent="0.25">
      <c r="A8" t="s">
        <v>9</v>
      </c>
      <c r="B8">
        <f t="shared" si="1"/>
        <v>146410</v>
      </c>
      <c r="C8">
        <f t="shared" si="0"/>
        <v>105415.2</v>
      </c>
    </row>
    <row r="9" spans="1:3" x14ac:dyDescent="0.25">
      <c r="A9" t="s">
        <v>10</v>
      </c>
      <c r="B9">
        <f t="shared" si="1"/>
        <v>161051</v>
      </c>
      <c r="C9">
        <f t="shared" si="0"/>
        <v>115956.72</v>
      </c>
    </row>
    <row r="10" spans="1:3" x14ac:dyDescent="0.25">
      <c r="A10" t="s">
        <v>11</v>
      </c>
      <c r="B10">
        <f t="shared" si="1"/>
        <v>177156.1</v>
      </c>
      <c r="C10">
        <f t="shared" si="0"/>
        <v>127552.39199999999</v>
      </c>
    </row>
    <row r="11" spans="1:3" x14ac:dyDescent="0.25">
      <c r="A11" t="s">
        <v>12</v>
      </c>
      <c r="B11">
        <f t="shared" si="1"/>
        <v>194871.71000000002</v>
      </c>
      <c r="C11">
        <f t="shared" si="0"/>
        <v>140307.6312</v>
      </c>
    </row>
    <row r="12" spans="1:3" x14ac:dyDescent="0.25">
      <c r="A12" t="s">
        <v>13</v>
      </c>
      <c r="B12">
        <f t="shared" si="1"/>
        <v>214358.88100000002</v>
      </c>
      <c r="C12">
        <f t="shared" si="0"/>
        <v>154338.39432000002</v>
      </c>
    </row>
    <row r="13" spans="1:3" x14ac:dyDescent="0.25">
      <c r="A13" t="s">
        <v>14</v>
      </c>
      <c r="B13">
        <f t="shared" si="1"/>
        <v>235794.76910000003</v>
      </c>
      <c r="C13">
        <f t="shared" si="0"/>
        <v>169772.23375200003</v>
      </c>
    </row>
    <row r="14" spans="1:3" x14ac:dyDescent="0.25">
      <c r="A14" t="s">
        <v>15</v>
      </c>
      <c r="B14">
        <f t="shared" si="1"/>
        <v>259374.24601000003</v>
      </c>
      <c r="C14">
        <f t="shared" si="0"/>
        <v>186749.45712720003</v>
      </c>
    </row>
    <row r="15" spans="1:3" x14ac:dyDescent="0.25">
      <c r="A15" t="s">
        <v>16</v>
      </c>
      <c r="B15">
        <f t="shared" si="1"/>
        <v>285311.67061100004</v>
      </c>
      <c r="C15">
        <f t="shared" si="0"/>
        <v>205424.40283992002</v>
      </c>
    </row>
    <row r="16" spans="1:3" x14ac:dyDescent="0.25">
      <c r="A16" s="58" t="s">
        <v>190</v>
      </c>
      <c r="B16" s="58"/>
      <c r="C16">
        <f>SUM(C4:C15)</f>
        <v>1539668.4312391202</v>
      </c>
    </row>
  </sheetData>
  <mergeCells count="3">
    <mergeCell ref="A1:B1"/>
    <mergeCell ref="A2:B2"/>
    <mergeCell ref="A16:B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DD9E-DBC0-410A-983E-1EB03F5FAD44}">
  <dimension ref="A1:J11"/>
  <sheetViews>
    <sheetView topLeftCell="A10" zoomScaleNormal="100" workbookViewId="0">
      <selection activeCell="D16" sqref="D16"/>
    </sheetView>
  </sheetViews>
  <sheetFormatPr defaultRowHeight="15" x14ac:dyDescent="0.25"/>
  <cols>
    <col min="2" max="2" width="21.7109375" bestFit="1" customWidth="1"/>
    <col min="4" max="4" width="10.140625" bestFit="1" customWidth="1"/>
    <col min="9" max="9" width="12" bestFit="1" customWidth="1"/>
  </cols>
  <sheetData>
    <row r="1" spans="1:10" x14ac:dyDescent="0.25">
      <c r="A1" s="3" t="s">
        <v>198</v>
      </c>
      <c r="B1" s="40">
        <f>TIME(9,2,44)</f>
        <v>0.37689814814814815</v>
      </c>
      <c r="C1" s="3" t="s">
        <v>199</v>
      </c>
      <c r="D1" s="41">
        <f>DATE(2022,5,3)</f>
        <v>44684</v>
      </c>
      <c r="E1" s="3"/>
      <c r="F1" s="3"/>
      <c r="G1" s="3"/>
      <c r="H1" s="3"/>
      <c r="I1" s="3"/>
      <c r="J1" s="3"/>
    </row>
    <row r="2" spans="1:10" ht="30" customHeight="1" x14ac:dyDescent="0.25">
      <c r="A2" s="3" t="s">
        <v>191</v>
      </c>
      <c r="B2" s="3" t="s">
        <v>156</v>
      </c>
      <c r="C2" s="3" t="s">
        <v>192</v>
      </c>
      <c r="D2" s="3" t="s">
        <v>193</v>
      </c>
      <c r="E2" s="3" t="s">
        <v>194</v>
      </c>
      <c r="F2" s="3" t="s">
        <v>68</v>
      </c>
      <c r="G2" s="3" t="s">
        <v>195</v>
      </c>
      <c r="H2" s="3" t="s">
        <v>177</v>
      </c>
      <c r="I2" s="3" t="s">
        <v>196</v>
      </c>
      <c r="J2" s="3" t="s">
        <v>197</v>
      </c>
    </row>
    <row r="3" spans="1:10" x14ac:dyDescent="0.25">
      <c r="A3" s="3">
        <v>1</v>
      </c>
      <c r="B3" s="3" t="s">
        <v>200</v>
      </c>
      <c r="C3" s="3" t="s">
        <v>201</v>
      </c>
      <c r="D3" s="3">
        <v>99.6</v>
      </c>
      <c r="E3" s="3">
        <v>8</v>
      </c>
      <c r="F3" s="3">
        <f>D3*E3</f>
        <v>796.8</v>
      </c>
      <c r="G3" s="3">
        <f>F3*20%</f>
        <v>159.36000000000001</v>
      </c>
      <c r="H3" s="3">
        <f>F3+G3</f>
        <v>956.16</v>
      </c>
      <c r="I3" s="3">
        <f>H3*40%</f>
        <v>382.464</v>
      </c>
      <c r="J3" s="3">
        <f>H3-I3</f>
        <v>573.69599999999991</v>
      </c>
    </row>
    <row r="4" spans="1:10" x14ac:dyDescent="0.25">
      <c r="A4" s="3">
        <v>2</v>
      </c>
      <c r="B4" s="3" t="s">
        <v>202</v>
      </c>
      <c r="C4" s="3" t="s">
        <v>201</v>
      </c>
      <c r="D4" s="3">
        <v>224.4</v>
      </c>
      <c r="E4" s="3">
        <v>6</v>
      </c>
      <c r="F4" s="3">
        <f t="shared" ref="F4:F10" si="0">D4*E4</f>
        <v>1346.4</v>
      </c>
      <c r="G4" s="3">
        <f t="shared" ref="G4:G10" si="1">F4*20%</f>
        <v>269.28000000000003</v>
      </c>
      <c r="H4" s="3">
        <f t="shared" ref="H4:H10" si="2">F4+G4</f>
        <v>1615.68</v>
      </c>
      <c r="I4" s="3">
        <f t="shared" ref="I4:I10" si="3">H4*40%</f>
        <v>646.27200000000005</v>
      </c>
      <c r="J4" s="3">
        <f t="shared" ref="J4:J10" si="4">H4-I4</f>
        <v>969.40800000000002</v>
      </c>
    </row>
    <row r="5" spans="1:10" x14ac:dyDescent="0.25">
      <c r="A5" s="3">
        <v>3</v>
      </c>
      <c r="B5" s="3" t="s">
        <v>203</v>
      </c>
      <c r="C5" s="3" t="s">
        <v>201</v>
      </c>
      <c r="D5" s="3">
        <v>172.8</v>
      </c>
      <c r="E5" s="3">
        <v>5</v>
      </c>
      <c r="F5" s="3">
        <f t="shared" si="0"/>
        <v>864</v>
      </c>
      <c r="G5" s="3">
        <f t="shared" si="1"/>
        <v>172.8</v>
      </c>
      <c r="H5" s="3">
        <f t="shared" si="2"/>
        <v>1036.8</v>
      </c>
      <c r="I5" s="3">
        <f t="shared" si="3"/>
        <v>414.72</v>
      </c>
      <c r="J5" s="3">
        <f t="shared" si="4"/>
        <v>622.07999999999993</v>
      </c>
    </row>
    <row r="6" spans="1:10" x14ac:dyDescent="0.25">
      <c r="A6" s="3">
        <v>4</v>
      </c>
      <c r="B6" s="3" t="s">
        <v>204</v>
      </c>
      <c r="C6" s="3" t="s">
        <v>201</v>
      </c>
      <c r="D6" s="3">
        <v>47.2</v>
      </c>
      <c r="E6" s="3">
        <v>11</v>
      </c>
      <c r="F6" s="3">
        <f t="shared" si="0"/>
        <v>519.20000000000005</v>
      </c>
      <c r="G6" s="3">
        <f t="shared" si="1"/>
        <v>103.84000000000002</v>
      </c>
      <c r="H6" s="3">
        <f t="shared" si="2"/>
        <v>623.04000000000008</v>
      </c>
      <c r="I6" s="3">
        <f t="shared" si="3"/>
        <v>249.21600000000004</v>
      </c>
      <c r="J6" s="3">
        <f t="shared" si="4"/>
        <v>373.82400000000007</v>
      </c>
    </row>
    <row r="7" spans="1:10" x14ac:dyDescent="0.25">
      <c r="A7" s="3">
        <v>5</v>
      </c>
      <c r="B7" s="3" t="s">
        <v>205</v>
      </c>
      <c r="C7" s="3" t="s">
        <v>201</v>
      </c>
      <c r="D7" s="3">
        <v>21.6</v>
      </c>
      <c r="E7" s="3">
        <v>14</v>
      </c>
      <c r="F7" s="3">
        <f t="shared" si="0"/>
        <v>302.40000000000003</v>
      </c>
      <c r="G7" s="3">
        <f t="shared" si="1"/>
        <v>60.480000000000011</v>
      </c>
      <c r="H7" s="3">
        <f t="shared" si="2"/>
        <v>362.88000000000005</v>
      </c>
      <c r="I7" s="3">
        <f t="shared" si="3"/>
        <v>145.15200000000002</v>
      </c>
      <c r="J7" s="3">
        <f t="shared" si="4"/>
        <v>217.72800000000004</v>
      </c>
    </row>
    <row r="8" spans="1:10" x14ac:dyDescent="0.25">
      <c r="A8" s="3">
        <v>6</v>
      </c>
      <c r="B8" s="3" t="s">
        <v>206</v>
      </c>
      <c r="C8" s="3" t="s">
        <v>209</v>
      </c>
      <c r="D8" s="3">
        <v>16.8</v>
      </c>
      <c r="E8" s="3">
        <v>7</v>
      </c>
      <c r="F8" s="3">
        <f t="shared" si="0"/>
        <v>117.60000000000001</v>
      </c>
      <c r="G8" s="3">
        <f t="shared" si="1"/>
        <v>23.520000000000003</v>
      </c>
      <c r="H8" s="3">
        <f t="shared" si="2"/>
        <v>141.12</v>
      </c>
      <c r="I8" s="3">
        <f t="shared" si="3"/>
        <v>56.448000000000008</v>
      </c>
      <c r="J8" s="3">
        <f t="shared" si="4"/>
        <v>84.671999999999997</v>
      </c>
    </row>
    <row r="9" spans="1:10" x14ac:dyDescent="0.25">
      <c r="A9" s="3">
        <v>7</v>
      </c>
      <c r="B9" s="3" t="s">
        <v>207</v>
      </c>
      <c r="C9" s="3" t="s">
        <v>201</v>
      </c>
      <c r="D9" s="3">
        <v>62.4</v>
      </c>
      <c r="E9" s="3">
        <v>3</v>
      </c>
      <c r="F9" s="3">
        <f t="shared" si="0"/>
        <v>187.2</v>
      </c>
      <c r="G9" s="3">
        <f t="shared" si="1"/>
        <v>37.44</v>
      </c>
      <c r="H9" s="3">
        <f t="shared" si="2"/>
        <v>224.64</v>
      </c>
      <c r="I9" s="3">
        <f t="shared" si="3"/>
        <v>89.855999999999995</v>
      </c>
      <c r="J9" s="3">
        <f t="shared" si="4"/>
        <v>134.78399999999999</v>
      </c>
    </row>
    <row r="10" spans="1:10" x14ac:dyDescent="0.25">
      <c r="A10" s="3">
        <v>8</v>
      </c>
      <c r="B10" s="3" t="s">
        <v>208</v>
      </c>
      <c r="C10" s="3" t="s">
        <v>201</v>
      </c>
      <c r="D10" s="3">
        <v>15.6</v>
      </c>
      <c r="E10" s="3">
        <v>6</v>
      </c>
      <c r="F10" s="3">
        <f t="shared" si="0"/>
        <v>93.6</v>
      </c>
      <c r="G10" s="3">
        <f t="shared" si="1"/>
        <v>18.72</v>
      </c>
      <c r="H10" s="3">
        <f t="shared" si="2"/>
        <v>112.32</v>
      </c>
      <c r="I10" s="3">
        <f t="shared" si="3"/>
        <v>44.927999999999997</v>
      </c>
      <c r="J10" s="3">
        <f t="shared" si="4"/>
        <v>67.391999999999996</v>
      </c>
    </row>
    <row r="11" spans="1:10" x14ac:dyDescent="0.25">
      <c r="A11" s="59" t="s">
        <v>177</v>
      </c>
      <c r="B11" s="59"/>
      <c r="C11" s="59"/>
      <c r="D11" s="59"/>
      <c r="E11" s="3">
        <f>SUM(E3:E10)</f>
        <v>60</v>
      </c>
      <c r="F11" s="3">
        <f t="shared" ref="F11:J11" si="5">SUM(F3:F10)</f>
        <v>4227.2</v>
      </c>
      <c r="G11" s="3">
        <f t="shared" si="5"/>
        <v>845.44</v>
      </c>
      <c r="H11" s="3">
        <f t="shared" si="5"/>
        <v>5072.6400000000003</v>
      </c>
      <c r="I11" s="3">
        <f t="shared" si="5"/>
        <v>2029.0560000000005</v>
      </c>
      <c r="J11" s="3">
        <f t="shared" si="5"/>
        <v>3043.5839999999998</v>
      </c>
    </row>
  </sheetData>
  <mergeCells count="1">
    <mergeCell ref="A11:D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529C-C299-4C8E-8F97-BC3E2E29D690}">
  <dimension ref="A1:H13"/>
  <sheetViews>
    <sheetView topLeftCell="B1" workbookViewId="0">
      <selection activeCell="G5" sqref="G5"/>
    </sheetView>
  </sheetViews>
  <sheetFormatPr defaultRowHeight="15" x14ac:dyDescent="0.25"/>
  <cols>
    <col min="1" max="1" width="22.42578125" customWidth="1"/>
    <col min="2" max="2" width="15.140625" customWidth="1"/>
    <col min="4" max="4" width="11" customWidth="1"/>
    <col min="5" max="5" width="11.28515625" customWidth="1"/>
  </cols>
  <sheetData>
    <row r="1" spans="1:8" x14ac:dyDescent="0.25">
      <c r="A1" t="s">
        <v>210</v>
      </c>
      <c r="B1">
        <v>1.1000000000000001</v>
      </c>
    </row>
    <row r="2" spans="1:8" x14ac:dyDescent="0.25">
      <c r="A2" t="s">
        <v>211</v>
      </c>
      <c r="B2">
        <v>6.4</v>
      </c>
    </row>
    <row r="3" spans="1:8" x14ac:dyDescent="0.25">
      <c r="A3" t="s">
        <v>212</v>
      </c>
      <c r="B3">
        <v>1</v>
      </c>
    </row>
    <row r="4" spans="1:8" x14ac:dyDescent="0.25">
      <c r="A4" t="s">
        <v>213</v>
      </c>
      <c r="B4">
        <v>9</v>
      </c>
    </row>
    <row r="6" spans="1:8" ht="51" customHeight="1" x14ac:dyDescent="0.25">
      <c r="A6" s="42" t="s">
        <v>191</v>
      </c>
      <c r="B6" s="42" t="s">
        <v>214</v>
      </c>
      <c r="C6" s="43" t="s">
        <v>215</v>
      </c>
      <c r="D6" s="43" t="s">
        <v>216</v>
      </c>
      <c r="E6" s="43" t="s">
        <v>217</v>
      </c>
      <c r="F6" s="43" t="s">
        <v>218</v>
      </c>
      <c r="G6" s="43" t="s">
        <v>219</v>
      </c>
      <c r="H6" s="43" t="s">
        <v>220</v>
      </c>
    </row>
    <row r="7" spans="1:8" x14ac:dyDescent="0.25">
      <c r="A7">
        <v>1</v>
      </c>
      <c r="B7" t="s">
        <v>221</v>
      </c>
      <c r="C7">
        <v>5</v>
      </c>
      <c r="D7">
        <f>$B$2+C7*$B$1+$B$3</f>
        <v>12.9</v>
      </c>
      <c r="E7">
        <v>2</v>
      </c>
      <c r="F7">
        <f>E7*$B$4</f>
        <v>18</v>
      </c>
      <c r="G7">
        <v>70</v>
      </c>
      <c r="H7">
        <f>D7+F7+G7</f>
        <v>100.9</v>
      </c>
    </row>
    <row r="8" spans="1:8" x14ac:dyDescent="0.25">
      <c r="A8">
        <v>2</v>
      </c>
      <c r="B8" t="s">
        <v>222</v>
      </c>
      <c r="C8">
        <v>12</v>
      </c>
      <c r="D8">
        <f>$B$2+C8*$B$1+$B$3</f>
        <v>20.6</v>
      </c>
      <c r="E8">
        <v>2</v>
      </c>
      <c r="F8">
        <f t="shared" ref="F8:F12" si="0">E8*$B$4</f>
        <v>18</v>
      </c>
      <c r="G8">
        <v>50</v>
      </c>
      <c r="H8">
        <f t="shared" ref="H8:H12" si="1">D8+F8+G8</f>
        <v>88.6</v>
      </c>
    </row>
    <row r="9" spans="1:8" x14ac:dyDescent="0.25">
      <c r="A9">
        <v>3</v>
      </c>
      <c r="B9" t="s">
        <v>223</v>
      </c>
      <c r="C9">
        <v>7</v>
      </c>
      <c r="D9">
        <f t="shared" ref="D9:D12" si="2">$B$2+C9*$B$1+$B$3</f>
        <v>15.100000000000001</v>
      </c>
      <c r="E9">
        <v>2</v>
      </c>
      <c r="F9">
        <f t="shared" si="0"/>
        <v>18</v>
      </c>
      <c r="G9">
        <v>90</v>
      </c>
      <c r="H9">
        <f t="shared" si="1"/>
        <v>123.1</v>
      </c>
    </row>
    <row r="10" spans="1:8" x14ac:dyDescent="0.25">
      <c r="A10">
        <v>4</v>
      </c>
      <c r="B10" t="s">
        <v>224</v>
      </c>
      <c r="C10">
        <v>3</v>
      </c>
      <c r="D10">
        <f t="shared" si="2"/>
        <v>10.700000000000001</v>
      </c>
      <c r="E10">
        <v>2</v>
      </c>
      <c r="F10">
        <f t="shared" si="0"/>
        <v>18</v>
      </c>
      <c r="G10">
        <v>120</v>
      </c>
      <c r="H10">
        <f t="shared" si="1"/>
        <v>148.69999999999999</v>
      </c>
    </row>
    <row r="11" spans="1:8" x14ac:dyDescent="0.25">
      <c r="A11">
        <v>5</v>
      </c>
      <c r="B11" t="s">
        <v>225</v>
      </c>
      <c r="C11">
        <v>4</v>
      </c>
      <c r="D11">
        <f t="shared" si="2"/>
        <v>11.8</v>
      </c>
      <c r="E11">
        <v>2</v>
      </c>
      <c r="F11">
        <f t="shared" si="0"/>
        <v>18</v>
      </c>
      <c r="G11">
        <v>40</v>
      </c>
      <c r="H11">
        <f t="shared" si="1"/>
        <v>69.8</v>
      </c>
    </row>
    <row r="12" spans="1:8" x14ac:dyDescent="0.25">
      <c r="A12">
        <v>6</v>
      </c>
      <c r="B12" t="s">
        <v>226</v>
      </c>
      <c r="C12">
        <v>8</v>
      </c>
      <c r="D12">
        <f t="shared" si="2"/>
        <v>16.200000000000003</v>
      </c>
      <c r="E12">
        <v>2</v>
      </c>
      <c r="F12">
        <f t="shared" si="0"/>
        <v>18</v>
      </c>
      <c r="G12">
        <v>70</v>
      </c>
      <c r="H12">
        <f t="shared" si="1"/>
        <v>104.2</v>
      </c>
    </row>
    <row r="13" spans="1:8" x14ac:dyDescent="0.25">
      <c r="A13" s="60" t="s">
        <v>177</v>
      </c>
      <c r="B13" s="60"/>
      <c r="C13">
        <f>SUM(C7:C12)</f>
        <v>39</v>
      </c>
      <c r="D13">
        <f t="shared" ref="D13:H13" si="3">SUM(D7:D12)</f>
        <v>87.300000000000011</v>
      </c>
      <c r="E13">
        <f t="shared" si="3"/>
        <v>12</v>
      </c>
      <c r="F13">
        <f t="shared" si="3"/>
        <v>108</v>
      </c>
      <c r="G13">
        <f t="shared" si="3"/>
        <v>440</v>
      </c>
      <c r="H13">
        <f t="shared" si="3"/>
        <v>635.30000000000007</v>
      </c>
    </row>
  </sheetData>
  <mergeCells count="1"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06DC-0B0B-4BB9-9829-759194B0B7D1}">
  <dimension ref="A1:G14"/>
  <sheetViews>
    <sheetView workbookViewId="0">
      <selection activeCell="G5" sqref="G5"/>
    </sheetView>
  </sheetViews>
  <sheetFormatPr defaultRowHeight="15" x14ac:dyDescent="0.25"/>
  <cols>
    <col min="1" max="1" width="12.5703125" customWidth="1"/>
    <col min="2" max="2" width="10.5703125" customWidth="1"/>
    <col min="7" max="7" width="10.85546875" customWidth="1"/>
  </cols>
  <sheetData>
    <row r="1" spans="1:7" x14ac:dyDescent="0.25">
      <c r="A1" s="45" t="s">
        <v>18</v>
      </c>
      <c r="B1" s="45"/>
      <c r="C1" s="45"/>
    </row>
    <row r="3" spans="1:7" x14ac:dyDescent="0.25">
      <c r="A3" s="3" t="s">
        <v>19</v>
      </c>
      <c r="B3" s="46" t="s">
        <v>20</v>
      </c>
      <c r="C3" s="46"/>
      <c r="D3" s="46"/>
      <c r="E3" s="46"/>
      <c r="F3" s="46"/>
      <c r="G3" s="3" t="s">
        <v>21</v>
      </c>
    </row>
    <row r="4" spans="1:7" x14ac:dyDescent="0.25">
      <c r="A4" s="3"/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/>
    </row>
    <row r="5" spans="1:7" x14ac:dyDescent="0.25">
      <c r="A5" s="3" t="s">
        <v>27</v>
      </c>
      <c r="B5" s="3">
        <v>6</v>
      </c>
      <c r="C5" s="3">
        <v>4</v>
      </c>
      <c r="D5" s="3">
        <v>2</v>
      </c>
      <c r="E5" s="3">
        <v>3</v>
      </c>
      <c r="F5" s="3">
        <v>4</v>
      </c>
      <c r="G5" s="3">
        <f t="shared" ref="G5:G11" si="0">((B5+C5)*Талон)+((D5+E5+F5)*Талон/0.5)</f>
        <v>1680</v>
      </c>
    </row>
    <row r="6" spans="1:7" x14ac:dyDescent="0.25">
      <c r="A6" s="3" t="s">
        <v>28</v>
      </c>
      <c r="B6" s="3">
        <v>5</v>
      </c>
      <c r="C6" s="3">
        <v>4</v>
      </c>
      <c r="D6" s="3">
        <v>2</v>
      </c>
      <c r="E6" s="3">
        <v>3</v>
      </c>
      <c r="F6" s="3">
        <v>0</v>
      </c>
      <c r="G6" s="3">
        <f t="shared" si="0"/>
        <v>1140</v>
      </c>
    </row>
    <row r="7" spans="1:7" x14ac:dyDescent="0.25">
      <c r="A7" s="3" t="s">
        <v>29</v>
      </c>
      <c r="B7" s="3">
        <v>4</v>
      </c>
      <c r="C7" s="3">
        <v>6</v>
      </c>
      <c r="D7" s="3">
        <v>2</v>
      </c>
      <c r="E7" s="3">
        <v>3</v>
      </c>
      <c r="F7" s="3">
        <v>5</v>
      </c>
      <c r="G7" s="3">
        <f t="shared" si="0"/>
        <v>1800</v>
      </c>
    </row>
    <row r="8" spans="1:7" x14ac:dyDescent="0.25">
      <c r="A8" s="3" t="s">
        <v>30</v>
      </c>
      <c r="B8" s="3">
        <v>5</v>
      </c>
      <c r="C8" s="3">
        <v>8</v>
      </c>
      <c r="D8" s="3">
        <v>2</v>
      </c>
      <c r="E8" s="3">
        <v>3</v>
      </c>
      <c r="F8" s="3">
        <v>0</v>
      </c>
      <c r="G8" s="3">
        <f t="shared" si="0"/>
        <v>1380</v>
      </c>
    </row>
    <row r="9" spans="1:7" x14ac:dyDescent="0.25">
      <c r="A9" s="3" t="s">
        <v>31</v>
      </c>
      <c r="B9" s="3">
        <v>4</v>
      </c>
      <c r="C9" s="3">
        <v>4</v>
      </c>
      <c r="D9" s="3">
        <v>2</v>
      </c>
      <c r="E9" s="3">
        <v>3</v>
      </c>
      <c r="F9" s="3">
        <v>0</v>
      </c>
      <c r="G9" s="3">
        <f t="shared" si="0"/>
        <v>1080</v>
      </c>
    </row>
    <row r="10" spans="1:7" x14ac:dyDescent="0.25">
      <c r="A10" s="3" t="s">
        <v>32</v>
      </c>
      <c r="B10" s="3">
        <v>2</v>
      </c>
      <c r="C10" s="3">
        <v>4</v>
      </c>
      <c r="D10" s="3">
        <v>2</v>
      </c>
      <c r="E10" s="3">
        <v>3</v>
      </c>
      <c r="F10" s="3">
        <v>6</v>
      </c>
      <c r="G10" s="3">
        <f t="shared" si="0"/>
        <v>1680</v>
      </c>
    </row>
    <row r="11" spans="1:7" x14ac:dyDescent="0.25">
      <c r="A11" s="3" t="s">
        <v>33</v>
      </c>
      <c r="B11" s="3">
        <v>0</v>
      </c>
      <c r="C11" s="3">
        <v>2</v>
      </c>
      <c r="D11" s="3">
        <v>0</v>
      </c>
      <c r="E11" s="3">
        <v>3</v>
      </c>
      <c r="F11" s="3">
        <v>2</v>
      </c>
      <c r="G11" s="3">
        <f t="shared" si="0"/>
        <v>720</v>
      </c>
    </row>
    <row r="12" spans="1:7" ht="29.25" customHeight="1" x14ac:dyDescent="0.25">
      <c r="A12" s="4" t="s">
        <v>34</v>
      </c>
      <c r="B12" s="3">
        <f>SUM(B5:B11)*Талон</f>
        <v>1560</v>
      </c>
      <c r="C12" s="3">
        <f>SUM(C5:C11)*Талон</f>
        <v>1920</v>
      </c>
      <c r="D12" s="3">
        <f>SUM(D5:D11)*0.5*Талон</f>
        <v>360</v>
      </c>
      <c r="E12" s="3">
        <f>SUM(E5:E11)*0.5*Талон</f>
        <v>630</v>
      </c>
      <c r="F12" s="3">
        <f>SUM(F5:F11)*0.5*Талон</f>
        <v>510</v>
      </c>
      <c r="G12" s="3">
        <f>SUM(G5:G11)+SUM(B12:F12)</f>
        <v>14460</v>
      </c>
    </row>
    <row r="13" spans="1:7" ht="13.5" customHeight="1" x14ac:dyDescent="0.25"/>
    <row r="14" spans="1:7" x14ac:dyDescent="0.25">
      <c r="A14" s="45" t="s">
        <v>35</v>
      </c>
      <c r="B14" s="45"/>
      <c r="C14">
        <v>60</v>
      </c>
    </row>
  </sheetData>
  <mergeCells count="3">
    <mergeCell ref="A1:C1"/>
    <mergeCell ref="B3:F3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5E47-9141-4696-B390-10DCD7B351CF}">
  <dimension ref="A1:F15"/>
  <sheetViews>
    <sheetView workbookViewId="0">
      <selection activeCell="E16" sqref="E16"/>
    </sheetView>
  </sheetViews>
  <sheetFormatPr defaultRowHeight="15" x14ac:dyDescent="0.25"/>
  <cols>
    <col min="2" max="2" width="13.42578125" customWidth="1"/>
    <col min="3" max="3" width="12.85546875" bestFit="1" customWidth="1"/>
    <col min="4" max="4" width="13.140625" bestFit="1" customWidth="1"/>
    <col min="5" max="5" width="11.7109375" bestFit="1" customWidth="1"/>
    <col min="6" max="6" width="10.42578125" bestFit="1" customWidth="1"/>
  </cols>
  <sheetData>
    <row r="1" spans="1:6" x14ac:dyDescent="0.25">
      <c r="A1" s="45" t="s">
        <v>36</v>
      </c>
      <c r="B1" s="45"/>
      <c r="C1" s="45"/>
    </row>
    <row r="3" spans="1:6" ht="32.25" customHeight="1" x14ac:dyDescent="0.25">
      <c r="A3" t="s">
        <v>1</v>
      </c>
      <c r="B3" s="2" t="s">
        <v>37</v>
      </c>
      <c r="C3" t="s">
        <v>38</v>
      </c>
      <c r="D3" t="s">
        <v>39</v>
      </c>
      <c r="E3" t="s">
        <v>40</v>
      </c>
      <c r="F3" t="s">
        <v>41</v>
      </c>
    </row>
    <row r="4" spans="1:6" x14ac:dyDescent="0.25">
      <c r="A4" t="s">
        <v>42</v>
      </c>
      <c r="B4" s="6">
        <v>38032</v>
      </c>
      <c r="C4" s="6">
        <v>38029</v>
      </c>
      <c r="D4" s="7">
        <v>42650</v>
      </c>
      <c r="E4">
        <f>IF(C4-B4 &lt;0,D4*1.5%*(B4-C4),0)</f>
        <v>1919.25</v>
      </c>
      <c r="F4" s="8">
        <f>D4+E4</f>
        <v>44569.25</v>
      </c>
    </row>
    <row r="5" spans="1:6" x14ac:dyDescent="0.25">
      <c r="A5" t="s">
        <v>43</v>
      </c>
      <c r="B5" s="6">
        <v>38061</v>
      </c>
      <c r="C5" s="6">
        <v>38034</v>
      </c>
      <c r="D5" s="7">
        <v>42850</v>
      </c>
      <c r="E5">
        <f>IF(C5-B5 &lt;0,D5*1.5%*(B5-C5),0)</f>
        <v>17354.25</v>
      </c>
      <c r="F5" s="8">
        <f t="shared" ref="F5:F15" si="0">D5+E5</f>
        <v>60204.25</v>
      </c>
    </row>
    <row r="6" spans="1:6" x14ac:dyDescent="0.25">
      <c r="A6" t="s">
        <v>44</v>
      </c>
      <c r="B6" s="6">
        <v>38092</v>
      </c>
      <c r="C6" s="6">
        <v>38087</v>
      </c>
      <c r="D6" s="7">
        <v>42780</v>
      </c>
      <c r="E6">
        <f t="shared" ref="E6:E15" si="1">IF(B6-C6 &gt;0,D6*1.5%*(B6-C6),0)</f>
        <v>3208.4999999999995</v>
      </c>
      <c r="F6" s="8">
        <f t="shared" si="0"/>
        <v>45988.5</v>
      </c>
    </row>
    <row r="7" spans="1:6" x14ac:dyDescent="0.25">
      <c r="A7" t="s">
        <v>45</v>
      </c>
      <c r="B7" s="6">
        <v>38122</v>
      </c>
      <c r="C7" s="6">
        <v>38129</v>
      </c>
      <c r="D7" s="7">
        <v>42695</v>
      </c>
      <c r="E7">
        <f t="shared" si="1"/>
        <v>0</v>
      </c>
      <c r="F7" s="8">
        <f t="shared" si="0"/>
        <v>42695</v>
      </c>
    </row>
    <row r="8" spans="1:6" x14ac:dyDescent="0.25">
      <c r="A8" t="s">
        <v>46</v>
      </c>
      <c r="B8" s="6">
        <v>38153</v>
      </c>
      <c r="C8" s="6">
        <v>38161</v>
      </c>
      <c r="D8" s="7">
        <v>42750</v>
      </c>
      <c r="E8">
        <f t="shared" si="1"/>
        <v>0</v>
      </c>
      <c r="F8" s="8">
        <f t="shared" si="0"/>
        <v>42750</v>
      </c>
    </row>
    <row r="9" spans="1:6" x14ac:dyDescent="0.25">
      <c r="A9" t="s">
        <v>47</v>
      </c>
      <c r="B9" s="6">
        <v>38183</v>
      </c>
      <c r="C9" s="6">
        <v>38173</v>
      </c>
      <c r="D9" s="7">
        <v>42566</v>
      </c>
      <c r="E9">
        <f t="shared" si="1"/>
        <v>6384.9</v>
      </c>
      <c r="F9" s="8">
        <f t="shared" si="0"/>
        <v>48950.9</v>
      </c>
    </row>
    <row r="10" spans="1:6" x14ac:dyDescent="0.25">
      <c r="A10" t="s">
        <v>48</v>
      </c>
      <c r="B10" s="6">
        <v>38214</v>
      </c>
      <c r="C10" s="6">
        <v>38202</v>
      </c>
      <c r="D10" s="7">
        <v>43566</v>
      </c>
      <c r="E10">
        <f t="shared" si="1"/>
        <v>7841.88</v>
      </c>
      <c r="F10" s="8">
        <f t="shared" si="0"/>
        <v>51407.88</v>
      </c>
    </row>
    <row r="11" spans="1:6" x14ac:dyDescent="0.25">
      <c r="A11" t="s">
        <v>49</v>
      </c>
      <c r="B11" s="6">
        <v>38245</v>
      </c>
      <c r="C11" s="6">
        <v>38233</v>
      </c>
      <c r="D11" s="7">
        <v>44287</v>
      </c>
      <c r="E11">
        <f t="shared" si="1"/>
        <v>7971.66</v>
      </c>
      <c r="F11" s="8">
        <f t="shared" si="0"/>
        <v>52258.66</v>
      </c>
    </row>
    <row r="12" spans="1:6" x14ac:dyDescent="0.25">
      <c r="A12" t="s">
        <v>50</v>
      </c>
      <c r="B12" s="6">
        <v>38275</v>
      </c>
      <c r="C12" s="6">
        <v>38279</v>
      </c>
      <c r="D12" s="7">
        <v>44287</v>
      </c>
      <c r="E12">
        <f t="shared" si="1"/>
        <v>0</v>
      </c>
      <c r="F12" s="8">
        <f t="shared" si="0"/>
        <v>44287</v>
      </c>
    </row>
    <row r="13" spans="1:6" x14ac:dyDescent="0.25">
      <c r="A13" t="s">
        <v>51</v>
      </c>
      <c r="B13" s="6">
        <v>38306</v>
      </c>
      <c r="C13" s="6">
        <v>38303</v>
      </c>
      <c r="D13" s="7">
        <v>50120</v>
      </c>
      <c r="E13">
        <f t="shared" si="1"/>
        <v>2255.3999999999996</v>
      </c>
      <c r="F13" s="8">
        <f t="shared" si="0"/>
        <v>52375.4</v>
      </c>
    </row>
    <row r="14" spans="1:6" x14ac:dyDescent="0.25">
      <c r="A14" t="s">
        <v>52</v>
      </c>
      <c r="B14" s="6">
        <v>38336</v>
      </c>
      <c r="C14" s="6">
        <v>38397</v>
      </c>
      <c r="D14" s="7">
        <v>56487</v>
      </c>
      <c r="E14">
        <f t="shared" si="1"/>
        <v>0</v>
      </c>
      <c r="F14" s="8">
        <f t="shared" si="0"/>
        <v>56487</v>
      </c>
    </row>
    <row r="15" spans="1:6" x14ac:dyDescent="0.25">
      <c r="A15" t="s">
        <v>53</v>
      </c>
      <c r="B15" s="6">
        <v>38367</v>
      </c>
      <c r="C15" s="6">
        <v>38413</v>
      </c>
      <c r="D15" s="7">
        <v>56487</v>
      </c>
      <c r="E15">
        <f t="shared" si="1"/>
        <v>0</v>
      </c>
      <c r="F15" s="8">
        <f t="shared" si="0"/>
        <v>56487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28B7-D5AA-42A8-94BF-B1EBA59CEF50}">
  <dimension ref="A1:H17"/>
  <sheetViews>
    <sheetView workbookViewId="0">
      <selection activeCell="H5" sqref="H5"/>
    </sheetView>
  </sheetViews>
  <sheetFormatPr defaultRowHeight="15" x14ac:dyDescent="0.25"/>
  <cols>
    <col min="1" max="1" width="11.7109375" customWidth="1"/>
    <col min="2" max="2" width="16.28515625" customWidth="1"/>
    <col min="5" max="5" width="13" customWidth="1"/>
  </cols>
  <sheetData>
    <row r="1" spans="1:8" x14ac:dyDescent="0.25">
      <c r="A1" s="45" t="s">
        <v>54</v>
      </c>
      <c r="B1" s="45"/>
      <c r="C1" s="45"/>
      <c r="D1" s="45"/>
      <c r="E1" s="45"/>
      <c r="F1" s="45"/>
      <c r="G1" s="45"/>
      <c r="H1" s="45"/>
    </row>
    <row r="2" spans="1:8" ht="15.75" thickBot="1" x14ac:dyDescent="0.3"/>
    <row r="3" spans="1:8" ht="16.5" thickTop="1" thickBot="1" x14ac:dyDescent="0.3">
      <c r="A3" s="45" t="s">
        <v>55</v>
      </c>
      <c r="B3" s="47" t="s">
        <v>56</v>
      </c>
      <c r="C3" s="45" t="s">
        <v>57</v>
      </c>
      <c r="D3" s="45"/>
      <c r="E3" s="45"/>
      <c r="F3" s="48" t="s">
        <v>58</v>
      </c>
      <c r="G3" s="49"/>
      <c r="H3" s="50"/>
    </row>
    <row r="4" spans="1:8" ht="40.5" customHeight="1" thickTop="1" x14ac:dyDescent="0.25">
      <c r="A4" s="45"/>
      <c r="B4" s="47"/>
      <c r="C4" t="s">
        <v>59</v>
      </c>
      <c r="D4" t="s">
        <v>60</v>
      </c>
      <c r="E4" s="9" t="s">
        <v>61</v>
      </c>
      <c r="F4" t="s">
        <v>62</v>
      </c>
      <c r="G4" s="10" t="s">
        <v>63</v>
      </c>
      <c r="H4" s="10" t="s">
        <v>64</v>
      </c>
    </row>
    <row r="5" spans="1:8" x14ac:dyDescent="0.25">
      <c r="A5" t="s">
        <v>5</v>
      </c>
      <c r="B5">
        <v>696</v>
      </c>
      <c r="C5">
        <v>748</v>
      </c>
      <c r="D5">
        <v>733</v>
      </c>
      <c r="E5">
        <f>D5/C5*100%</f>
        <v>0.97994652406417115</v>
      </c>
      <c r="F5">
        <f>C5-D5</f>
        <v>15</v>
      </c>
    </row>
    <row r="6" spans="1:8" x14ac:dyDescent="0.25">
      <c r="A6" t="s">
        <v>6</v>
      </c>
      <c r="B6">
        <v>683</v>
      </c>
      <c r="C6">
        <v>741</v>
      </c>
      <c r="D6">
        <v>723</v>
      </c>
      <c r="E6">
        <f t="shared" ref="E6:E16" si="0">D6/C6*100%</f>
        <v>0.97570850202429149</v>
      </c>
      <c r="F6">
        <f t="shared" ref="F6:F16" si="1">C6-D6</f>
        <v>18</v>
      </c>
    </row>
    <row r="7" spans="1:8" x14ac:dyDescent="0.25">
      <c r="A7" t="s">
        <v>7</v>
      </c>
      <c r="B7">
        <v>725</v>
      </c>
      <c r="C7">
        <v>770</v>
      </c>
      <c r="D7">
        <v>838</v>
      </c>
      <c r="E7">
        <f t="shared" si="0"/>
        <v>1.0883116883116883</v>
      </c>
      <c r="F7">
        <f t="shared" si="1"/>
        <v>-68</v>
      </c>
    </row>
    <row r="8" spans="1:8" x14ac:dyDescent="0.25">
      <c r="A8" t="s">
        <v>8</v>
      </c>
      <c r="B8">
        <v>761</v>
      </c>
      <c r="C8">
        <v>799</v>
      </c>
      <c r="D8">
        <v>791</v>
      </c>
      <c r="E8">
        <f t="shared" si="0"/>
        <v>0.98998748435544426</v>
      </c>
      <c r="F8">
        <f t="shared" si="1"/>
        <v>8</v>
      </c>
    </row>
    <row r="9" spans="1:8" x14ac:dyDescent="0.25">
      <c r="A9" t="s">
        <v>9</v>
      </c>
      <c r="B9">
        <v>742</v>
      </c>
      <c r="C9">
        <v>787</v>
      </c>
      <c r="D9">
        <v>833</v>
      </c>
      <c r="E9">
        <f t="shared" si="0"/>
        <v>1.0584498094027954</v>
      </c>
      <c r="F9">
        <f t="shared" si="1"/>
        <v>-46</v>
      </c>
    </row>
    <row r="10" spans="1:8" x14ac:dyDescent="0.25">
      <c r="A10" t="s">
        <v>10</v>
      </c>
      <c r="B10">
        <v>754</v>
      </c>
      <c r="C10">
        <v>796</v>
      </c>
      <c r="D10">
        <v>880</v>
      </c>
      <c r="E10">
        <f t="shared" si="0"/>
        <v>1.1055276381909547</v>
      </c>
      <c r="F10">
        <f t="shared" si="1"/>
        <v>-84</v>
      </c>
    </row>
    <row r="11" spans="1:8" x14ac:dyDescent="0.25">
      <c r="A11" t="s">
        <v>11</v>
      </c>
      <c r="B11">
        <v>744</v>
      </c>
      <c r="C11">
        <v>790</v>
      </c>
      <c r="D11">
        <v>823</v>
      </c>
      <c r="E11">
        <f t="shared" si="0"/>
        <v>1.0417721518987342</v>
      </c>
      <c r="F11">
        <f t="shared" si="1"/>
        <v>-33</v>
      </c>
    </row>
    <row r="12" spans="1:8" x14ac:dyDescent="0.25">
      <c r="A12" t="s">
        <v>12</v>
      </c>
      <c r="B12">
        <v>740</v>
      </c>
      <c r="C12">
        <v>781</v>
      </c>
      <c r="D12">
        <v>820</v>
      </c>
      <c r="E12">
        <f t="shared" si="0"/>
        <v>1.0499359795134442</v>
      </c>
      <c r="F12">
        <f t="shared" si="1"/>
        <v>-39</v>
      </c>
    </row>
    <row r="13" spans="1:8" x14ac:dyDescent="0.25">
      <c r="A13" t="s">
        <v>13</v>
      </c>
      <c r="B13">
        <v>746</v>
      </c>
      <c r="C13">
        <v>792</v>
      </c>
      <c r="D13">
        <v>831</v>
      </c>
      <c r="E13">
        <f t="shared" si="0"/>
        <v>1.0492424242424243</v>
      </c>
      <c r="F13">
        <f t="shared" si="1"/>
        <v>-39</v>
      </c>
    </row>
    <row r="14" spans="1:8" x14ac:dyDescent="0.25">
      <c r="A14" t="s">
        <v>14</v>
      </c>
      <c r="B14">
        <v>801</v>
      </c>
      <c r="C14">
        <v>846</v>
      </c>
      <c r="D14">
        <v>889</v>
      </c>
      <c r="E14">
        <f t="shared" si="0"/>
        <v>1.0508274231678487</v>
      </c>
      <c r="F14">
        <f t="shared" si="1"/>
        <v>-43</v>
      </c>
    </row>
    <row r="15" spans="1:8" x14ac:dyDescent="0.25">
      <c r="A15" t="s">
        <v>15</v>
      </c>
      <c r="B15">
        <v>789</v>
      </c>
      <c r="C15">
        <v>780</v>
      </c>
      <c r="D15">
        <v>861</v>
      </c>
      <c r="E15">
        <f t="shared" si="0"/>
        <v>1.1038461538461539</v>
      </c>
      <c r="F15">
        <f t="shared" si="1"/>
        <v>-81</v>
      </c>
    </row>
    <row r="16" spans="1:8" x14ac:dyDescent="0.25">
      <c r="A16" t="s">
        <v>16</v>
      </c>
      <c r="B16">
        <v>847</v>
      </c>
      <c r="C16">
        <v>898</v>
      </c>
      <c r="D16">
        <v>954</v>
      </c>
      <c r="E16">
        <f t="shared" si="0"/>
        <v>1.0623608017817372</v>
      </c>
      <c r="F16">
        <f t="shared" si="1"/>
        <v>-56</v>
      </c>
    </row>
    <row r="17" spans="1:8" x14ac:dyDescent="0.25">
      <c r="A17" t="s">
        <v>17</v>
      </c>
      <c r="B17">
        <f>SUM(B5:B16)</f>
        <v>9028</v>
      </c>
      <c r="C17">
        <f>SUM(C5:C16)</f>
        <v>9528</v>
      </c>
      <c r="D17">
        <f>SUM(D5:D16)</f>
        <v>9976</v>
      </c>
      <c r="E17">
        <f>SUM(E5:E16)</f>
        <v>12.555916580799687</v>
      </c>
      <c r="F17">
        <f>SUM(F5:F16)</f>
        <v>-448</v>
      </c>
      <c r="G17">
        <f t="shared" ref="G17:H17" si="2">SUM(G5:G16)</f>
        <v>0</v>
      </c>
      <c r="H17">
        <f t="shared" si="2"/>
        <v>0</v>
      </c>
    </row>
  </sheetData>
  <mergeCells count="5">
    <mergeCell ref="A1:H1"/>
    <mergeCell ref="A3:A4"/>
    <mergeCell ref="B3:B4"/>
    <mergeCell ref="C3:E3"/>
    <mergeCell ref="F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B161-FB4F-4761-B36D-C2EB8F9BFB71}">
  <dimension ref="A1:K21"/>
  <sheetViews>
    <sheetView topLeftCell="B1" zoomScale="85" zoomScaleNormal="85" workbookViewId="0">
      <selection activeCell="M13" sqref="M13"/>
    </sheetView>
  </sheetViews>
  <sheetFormatPr defaultRowHeight="15" x14ac:dyDescent="0.25"/>
  <cols>
    <col min="1" max="1" width="20.140625" customWidth="1"/>
  </cols>
  <sheetData>
    <row r="1" spans="1:11" x14ac:dyDescent="0.25">
      <c r="A1" s="45" t="s">
        <v>65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3" spans="1:11" x14ac:dyDescent="0.25">
      <c r="A3" s="47" t="s">
        <v>66</v>
      </c>
      <c r="B3" s="45" t="s">
        <v>67</v>
      </c>
      <c r="C3" s="45"/>
      <c r="D3" s="45" t="s">
        <v>57</v>
      </c>
      <c r="E3" s="45"/>
      <c r="F3" s="45"/>
      <c r="G3" s="45"/>
      <c r="H3" s="45"/>
      <c r="I3" s="45"/>
      <c r="J3" s="45"/>
      <c r="K3" s="45"/>
    </row>
    <row r="4" spans="1:11" x14ac:dyDescent="0.25">
      <c r="A4" s="47"/>
      <c r="B4" s="45" t="s">
        <v>68</v>
      </c>
      <c r="C4" s="47" t="s">
        <v>69</v>
      </c>
      <c r="D4" s="45" t="s">
        <v>59</v>
      </c>
      <c r="E4" s="45"/>
      <c r="F4" s="45" t="s">
        <v>70</v>
      </c>
      <c r="G4" s="45"/>
      <c r="H4" s="45"/>
      <c r="I4" s="45"/>
      <c r="J4" s="45" t="s">
        <v>61</v>
      </c>
      <c r="K4" s="45"/>
    </row>
    <row r="5" spans="1:11" x14ac:dyDescent="0.25">
      <c r="A5" s="47"/>
      <c r="B5" s="45"/>
      <c r="C5" s="47"/>
      <c r="D5" s="45" t="s">
        <v>71</v>
      </c>
      <c r="E5" s="45" t="s">
        <v>72</v>
      </c>
      <c r="F5" s="45" t="s">
        <v>73</v>
      </c>
      <c r="G5" s="45"/>
      <c r="H5" s="45" t="s">
        <v>74</v>
      </c>
      <c r="I5" s="45"/>
      <c r="J5" s="45" t="s">
        <v>75</v>
      </c>
      <c r="K5" s="45" t="s">
        <v>76</v>
      </c>
    </row>
    <row r="6" spans="1:11" x14ac:dyDescent="0.25">
      <c r="A6" s="47"/>
      <c r="B6" s="45"/>
      <c r="C6" s="47"/>
      <c r="D6" s="45"/>
      <c r="E6" s="45"/>
      <c r="F6" t="s">
        <v>71</v>
      </c>
      <c r="G6" t="s">
        <v>72</v>
      </c>
      <c r="H6" t="s">
        <v>71</v>
      </c>
      <c r="I6" t="s">
        <v>72</v>
      </c>
      <c r="J6" s="45"/>
      <c r="K6" s="45"/>
    </row>
    <row r="7" spans="1:11" x14ac:dyDescent="0.25">
      <c r="A7" t="s">
        <v>77</v>
      </c>
      <c r="B7">
        <v>1182</v>
      </c>
      <c r="C7" s="11">
        <f>B7/$B$21*100%</f>
        <v>0.13239247311827956</v>
      </c>
      <c r="D7">
        <v>1153</v>
      </c>
      <c r="E7" s="11">
        <f>D7/$D$21*100%</f>
        <v>0.12897091722595078</v>
      </c>
      <c r="F7">
        <v>1436</v>
      </c>
      <c r="G7" s="12">
        <f>F7/$F$21*100%</f>
        <v>0.14394546912590217</v>
      </c>
      <c r="H7">
        <v>1349</v>
      </c>
      <c r="I7" s="12">
        <f>H7/$H$21*100%</f>
        <v>0.14043306266916511</v>
      </c>
      <c r="J7" s="12">
        <f>F7/D7*100%</f>
        <v>1.2454466608846488</v>
      </c>
      <c r="K7" s="12">
        <f>H7/D7*100%</f>
        <v>1.1699913269731137</v>
      </c>
    </row>
    <row r="8" spans="1:11" x14ac:dyDescent="0.25">
      <c r="A8" t="s">
        <v>78</v>
      </c>
      <c r="B8">
        <v>1174</v>
      </c>
      <c r="C8" s="11">
        <f t="shared" ref="C8:C20" si="0">B8/$B$21*100%</f>
        <v>0.13149641577060933</v>
      </c>
      <c r="D8">
        <v>1229</v>
      </c>
      <c r="E8" s="11">
        <f t="shared" ref="E8:E20" si="1">D8/$D$21*100%</f>
        <v>0.13747203579418343</v>
      </c>
      <c r="F8">
        <v>1296</v>
      </c>
      <c r="G8" s="12">
        <f t="shared" ref="G8:G20" si="2">F8/$F$21*100%</f>
        <v>0.12991178829190056</v>
      </c>
      <c r="H8">
        <v>1228</v>
      </c>
      <c r="I8" s="12">
        <f t="shared" ref="I8:I20" si="3">H8/$H$21*100%</f>
        <v>0.12783676868623778</v>
      </c>
      <c r="J8" s="12">
        <f t="shared" ref="J8:J20" si="4">F8/D8*100%</f>
        <v>1.0545158665581773</v>
      </c>
      <c r="K8" s="12">
        <f t="shared" ref="K8:K20" si="5">H8/D8*100%</f>
        <v>0.99918633034987792</v>
      </c>
    </row>
    <row r="9" spans="1:11" x14ac:dyDescent="0.25">
      <c r="A9" t="s">
        <v>79</v>
      </c>
      <c r="B9">
        <v>262</v>
      </c>
      <c r="C9" s="11">
        <f t="shared" si="0"/>
        <v>2.9345878136200716E-2</v>
      </c>
      <c r="D9">
        <v>276</v>
      </c>
      <c r="E9" s="11">
        <f t="shared" si="1"/>
        <v>3.087248322147651E-2</v>
      </c>
      <c r="F9">
        <v>290</v>
      </c>
      <c r="G9" s="12">
        <f t="shared" si="2"/>
        <v>2.9069767441860465E-2</v>
      </c>
      <c r="H9">
        <v>277</v>
      </c>
      <c r="I9" s="12">
        <f t="shared" si="3"/>
        <v>2.8836144076618778E-2</v>
      </c>
      <c r="J9" s="12">
        <f t="shared" si="4"/>
        <v>1.0507246376811594</v>
      </c>
      <c r="K9" s="12">
        <f t="shared" si="5"/>
        <v>1.0036231884057971</v>
      </c>
    </row>
    <row r="10" spans="1:11" x14ac:dyDescent="0.25">
      <c r="A10" t="s">
        <v>80</v>
      </c>
      <c r="B10">
        <v>334</v>
      </c>
      <c r="C10" s="11">
        <f t="shared" si="0"/>
        <v>3.7410394265232974E-2</v>
      </c>
      <c r="D10">
        <v>352</v>
      </c>
      <c r="E10" s="11">
        <f t="shared" si="1"/>
        <v>3.9373601789709174E-2</v>
      </c>
      <c r="F10">
        <v>369</v>
      </c>
      <c r="G10" s="12">
        <f t="shared" si="2"/>
        <v>3.6988773055332796E-2</v>
      </c>
      <c r="H10">
        <v>354</v>
      </c>
      <c r="I10" s="12">
        <f t="shared" si="3"/>
        <v>3.685196752029981E-2</v>
      </c>
      <c r="J10" s="12">
        <f t="shared" si="4"/>
        <v>1.0482954545454546</v>
      </c>
      <c r="K10" s="12">
        <f t="shared" si="5"/>
        <v>1.0056818181818181</v>
      </c>
    </row>
    <row r="11" spans="1:11" x14ac:dyDescent="0.25">
      <c r="A11" t="s">
        <v>81</v>
      </c>
      <c r="B11">
        <v>740</v>
      </c>
      <c r="C11" s="11">
        <f t="shared" si="0"/>
        <v>8.2885304659498213E-2</v>
      </c>
      <c r="D11">
        <v>772</v>
      </c>
      <c r="E11" s="11">
        <f t="shared" si="1"/>
        <v>8.6353467561521249E-2</v>
      </c>
      <c r="F11">
        <v>799</v>
      </c>
      <c r="G11" s="12">
        <f t="shared" si="2"/>
        <v>8.0092221331194868E-2</v>
      </c>
      <c r="H11">
        <v>760</v>
      </c>
      <c r="I11" s="12">
        <f t="shared" si="3"/>
        <v>7.9117218405163434E-2</v>
      </c>
      <c r="J11" s="12">
        <f t="shared" si="4"/>
        <v>1.0349740932642486</v>
      </c>
      <c r="K11" s="12">
        <f t="shared" si="5"/>
        <v>0.98445595854922274</v>
      </c>
    </row>
    <row r="12" spans="1:11" x14ac:dyDescent="0.25">
      <c r="A12" t="s">
        <v>82</v>
      </c>
      <c r="B12">
        <v>235</v>
      </c>
      <c r="C12" s="11">
        <f t="shared" si="0"/>
        <v>2.6321684587813619E-2</v>
      </c>
      <c r="D12">
        <v>257</v>
      </c>
      <c r="E12" s="11">
        <f t="shared" si="1"/>
        <v>2.8747203579418346E-2</v>
      </c>
      <c r="F12">
        <v>260</v>
      </c>
      <c r="G12" s="12">
        <f t="shared" si="2"/>
        <v>2.6062550120288693E-2</v>
      </c>
      <c r="H12">
        <v>250</v>
      </c>
      <c r="I12" s="12">
        <f t="shared" si="3"/>
        <v>2.6025400791172184E-2</v>
      </c>
      <c r="J12" s="12">
        <f t="shared" si="4"/>
        <v>1.0116731517509727</v>
      </c>
      <c r="K12" s="12">
        <f t="shared" si="5"/>
        <v>0.97276264591439687</v>
      </c>
    </row>
    <row r="13" spans="1:11" x14ac:dyDescent="0.25">
      <c r="A13" t="s">
        <v>83</v>
      </c>
      <c r="B13">
        <v>280</v>
      </c>
      <c r="C13" s="11">
        <f t="shared" si="0"/>
        <v>3.1362007168458779E-2</v>
      </c>
      <c r="D13">
        <v>295</v>
      </c>
      <c r="E13" s="11">
        <f t="shared" si="1"/>
        <v>3.2997762863534674E-2</v>
      </c>
      <c r="F13">
        <v>319</v>
      </c>
      <c r="G13" s="12">
        <f t="shared" si="2"/>
        <v>3.1976744186046513E-2</v>
      </c>
      <c r="H13">
        <v>301</v>
      </c>
      <c r="I13" s="12">
        <f t="shared" si="3"/>
        <v>3.1334582552571308E-2</v>
      </c>
      <c r="J13" s="12">
        <f t="shared" si="4"/>
        <v>1.0813559322033899</v>
      </c>
      <c r="K13" s="12">
        <f t="shared" si="5"/>
        <v>1.0203389830508474</v>
      </c>
    </row>
    <row r="14" spans="1:11" x14ac:dyDescent="0.25">
      <c r="A14" t="s">
        <v>84</v>
      </c>
      <c r="B14">
        <v>542</v>
      </c>
      <c r="C14" s="11">
        <f t="shared" si="0"/>
        <v>6.0707885304659495E-2</v>
      </c>
      <c r="D14">
        <v>590</v>
      </c>
      <c r="E14" s="11">
        <f t="shared" si="1"/>
        <v>6.5995525727069348E-2</v>
      </c>
      <c r="F14">
        <v>600</v>
      </c>
      <c r="G14" s="12">
        <f t="shared" si="2"/>
        <v>6.0144346431435444E-2</v>
      </c>
      <c r="H14">
        <v>575</v>
      </c>
      <c r="I14" s="12">
        <f t="shared" si="3"/>
        <v>5.9858421819696021E-2</v>
      </c>
      <c r="J14" s="12">
        <f t="shared" si="4"/>
        <v>1.0169491525423728</v>
      </c>
      <c r="K14" s="12">
        <f t="shared" si="5"/>
        <v>0.97457627118644063</v>
      </c>
    </row>
    <row r="15" spans="1:11" x14ac:dyDescent="0.25">
      <c r="A15" t="s">
        <v>85</v>
      </c>
      <c r="B15">
        <v>406</v>
      </c>
      <c r="C15" s="11">
        <f t="shared" si="0"/>
        <v>4.5474910394265232E-2</v>
      </c>
      <c r="D15">
        <v>419</v>
      </c>
      <c r="E15" s="11">
        <f t="shared" si="1"/>
        <v>4.6868008948545863E-2</v>
      </c>
      <c r="F15">
        <v>439</v>
      </c>
      <c r="G15" s="12">
        <f t="shared" si="2"/>
        <v>4.4005613472333602E-2</v>
      </c>
      <c r="H15">
        <v>421</v>
      </c>
      <c r="I15" s="12">
        <f t="shared" si="3"/>
        <v>4.3826774932333959E-2</v>
      </c>
      <c r="J15" s="12">
        <f t="shared" si="4"/>
        <v>1.0477326968973748</v>
      </c>
      <c r="K15" s="12">
        <f t="shared" si="5"/>
        <v>1.0047732696897376</v>
      </c>
    </row>
    <row r="16" spans="1:11" x14ac:dyDescent="0.25">
      <c r="A16" t="s">
        <v>86</v>
      </c>
      <c r="B16">
        <v>216</v>
      </c>
      <c r="C16" s="11">
        <f t="shared" si="0"/>
        <v>2.4193548387096774E-2</v>
      </c>
      <c r="D16">
        <v>229</v>
      </c>
      <c r="E16" s="11">
        <f t="shared" si="1"/>
        <v>2.5615212527964205E-2</v>
      </c>
      <c r="F16">
        <v>240</v>
      </c>
      <c r="G16" s="12">
        <f t="shared" si="2"/>
        <v>2.4057738572574178E-2</v>
      </c>
      <c r="H16">
        <v>230</v>
      </c>
      <c r="I16" s="12">
        <f t="shared" si="3"/>
        <v>2.394336872787841E-2</v>
      </c>
      <c r="J16" s="12">
        <f t="shared" si="4"/>
        <v>1.0480349344978166</v>
      </c>
      <c r="K16" s="12">
        <f t="shared" si="5"/>
        <v>1.0043668122270741</v>
      </c>
    </row>
    <row r="17" spans="1:11" x14ac:dyDescent="0.25">
      <c r="A17" t="s">
        <v>87</v>
      </c>
      <c r="B17">
        <v>1083</v>
      </c>
      <c r="C17" s="11">
        <f t="shared" si="0"/>
        <v>0.12130376344086022</v>
      </c>
      <c r="D17">
        <v>1115</v>
      </c>
      <c r="E17" s="11">
        <f t="shared" si="1"/>
        <v>0.12472035794183445</v>
      </c>
      <c r="F17">
        <v>1207</v>
      </c>
      <c r="G17" s="12">
        <f t="shared" si="2"/>
        <v>0.12099037690457097</v>
      </c>
      <c r="H17">
        <v>1159</v>
      </c>
      <c r="I17" s="12">
        <f t="shared" si="3"/>
        <v>0.12065375806787425</v>
      </c>
      <c r="J17" s="12">
        <f t="shared" si="4"/>
        <v>1.0825112107623318</v>
      </c>
      <c r="K17" s="12">
        <f t="shared" si="5"/>
        <v>1.0394618834080718</v>
      </c>
    </row>
    <row r="18" spans="1:11" x14ac:dyDescent="0.25">
      <c r="A18" t="s">
        <v>88</v>
      </c>
      <c r="B18">
        <v>975</v>
      </c>
      <c r="C18" s="11">
        <f t="shared" si="0"/>
        <v>0.10920698924731183</v>
      </c>
      <c r="D18">
        <v>680</v>
      </c>
      <c r="E18" s="11">
        <f t="shared" si="1"/>
        <v>7.6062639821029079E-2</v>
      </c>
      <c r="F18">
        <v>1058</v>
      </c>
      <c r="G18" s="12">
        <f t="shared" si="2"/>
        <v>0.10605453087409783</v>
      </c>
      <c r="H18">
        <v>1007</v>
      </c>
      <c r="I18" s="12">
        <f t="shared" si="3"/>
        <v>0.10483031438684155</v>
      </c>
      <c r="J18" s="12">
        <f t="shared" si="4"/>
        <v>1.5558823529411765</v>
      </c>
      <c r="K18" s="12">
        <f t="shared" si="5"/>
        <v>1.4808823529411765</v>
      </c>
    </row>
    <row r="19" spans="1:11" x14ac:dyDescent="0.25">
      <c r="A19" t="s">
        <v>89</v>
      </c>
      <c r="B19">
        <v>587</v>
      </c>
      <c r="C19" s="11">
        <f t="shared" si="0"/>
        <v>6.5748207885304666E-2</v>
      </c>
      <c r="D19">
        <v>610</v>
      </c>
      <c r="E19" s="11">
        <f t="shared" si="1"/>
        <v>6.8232662192393739E-2</v>
      </c>
      <c r="F19">
        <v>629</v>
      </c>
      <c r="G19" s="12">
        <f t="shared" si="2"/>
        <v>6.3051323175621496E-2</v>
      </c>
      <c r="H19">
        <v>603</v>
      </c>
      <c r="I19" s="12">
        <f t="shared" si="3"/>
        <v>6.277326670830731E-2</v>
      </c>
      <c r="J19" s="12">
        <f t="shared" si="4"/>
        <v>1.0311475409836066</v>
      </c>
      <c r="K19" s="12">
        <f t="shared" si="5"/>
        <v>0.98852459016393446</v>
      </c>
    </row>
    <row r="20" spans="1:11" x14ac:dyDescent="0.25">
      <c r="A20" t="s">
        <v>90</v>
      </c>
      <c r="B20">
        <v>912</v>
      </c>
      <c r="C20" s="11">
        <f t="shared" si="0"/>
        <v>0.10215053763440861</v>
      </c>
      <c r="D20">
        <v>963</v>
      </c>
      <c r="E20" s="11">
        <f t="shared" si="1"/>
        <v>0.10771812080536913</v>
      </c>
      <c r="F20">
        <v>1034</v>
      </c>
      <c r="G20" s="12">
        <f t="shared" si="2"/>
        <v>0.10364875701684041</v>
      </c>
      <c r="H20">
        <v>1092</v>
      </c>
      <c r="I20" s="12">
        <f t="shared" si="3"/>
        <v>0.11367895065584011</v>
      </c>
      <c r="J20" s="12">
        <f t="shared" si="4"/>
        <v>1.0737279335410177</v>
      </c>
      <c r="K20" s="12">
        <f t="shared" si="5"/>
        <v>1.1339563862928348</v>
      </c>
    </row>
    <row r="21" spans="1:11" x14ac:dyDescent="0.25">
      <c r="A21" t="s">
        <v>91</v>
      </c>
      <c r="B21">
        <f t="shared" ref="B21:I21" si="6">SUM(B7:B20)</f>
        <v>8928</v>
      </c>
      <c r="C21" s="12">
        <f t="shared" si="6"/>
        <v>1</v>
      </c>
      <c r="D21">
        <f t="shared" si="6"/>
        <v>8940</v>
      </c>
      <c r="E21" s="11">
        <f t="shared" si="6"/>
        <v>1</v>
      </c>
      <c r="F21">
        <f t="shared" si="6"/>
        <v>9976</v>
      </c>
      <c r="G21" s="12">
        <f t="shared" si="6"/>
        <v>1</v>
      </c>
      <c r="H21">
        <f t="shared" si="6"/>
        <v>9606</v>
      </c>
      <c r="I21" s="12">
        <f t="shared" si="6"/>
        <v>1</v>
      </c>
      <c r="J21" s="12"/>
      <c r="K21" s="12"/>
    </row>
  </sheetData>
  <mergeCells count="15">
    <mergeCell ref="J4:K4"/>
    <mergeCell ref="A1:K1"/>
    <mergeCell ref="F5:G5"/>
    <mergeCell ref="H5:I5"/>
    <mergeCell ref="J5:J6"/>
    <mergeCell ref="K5:K6"/>
    <mergeCell ref="A3:A6"/>
    <mergeCell ref="B3:C3"/>
    <mergeCell ref="D3:K3"/>
    <mergeCell ref="D4:E4"/>
    <mergeCell ref="C4:C6"/>
    <mergeCell ref="B4:B6"/>
    <mergeCell ref="D5:D6"/>
    <mergeCell ref="E5:E6"/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CFA7-D0CD-474B-BE78-D24DB89B8489}">
  <dimension ref="A1:E20"/>
  <sheetViews>
    <sheetView topLeftCell="A13" workbookViewId="0">
      <selection activeCell="E6" sqref="E6"/>
    </sheetView>
  </sheetViews>
  <sheetFormatPr defaultRowHeight="15" x14ac:dyDescent="0.25"/>
  <cols>
    <col min="1" max="1" width="24" customWidth="1"/>
    <col min="2" max="2" width="20" customWidth="1"/>
    <col min="3" max="3" width="19.28515625" customWidth="1"/>
    <col min="4" max="4" width="13.7109375" customWidth="1"/>
    <col min="5" max="5" width="11.28515625" customWidth="1"/>
  </cols>
  <sheetData>
    <row r="1" spans="1:5" x14ac:dyDescent="0.25">
      <c r="A1" s="45" t="s">
        <v>92</v>
      </c>
      <c r="B1" s="45"/>
      <c r="C1" s="45"/>
    </row>
    <row r="3" spans="1:5" ht="33.75" customHeight="1" x14ac:dyDescent="0.25">
      <c r="A3" s="45" t="s">
        <v>93</v>
      </c>
      <c r="B3" s="47" t="s">
        <v>94</v>
      </c>
      <c r="C3" s="47"/>
      <c r="D3" s="47" t="s">
        <v>98</v>
      </c>
      <c r="E3" s="47" t="s">
        <v>61</v>
      </c>
    </row>
    <row r="4" spans="1:5" ht="33.75" customHeight="1" x14ac:dyDescent="0.25">
      <c r="A4" s="45"/>
      <c r="B4" s="14" t="s">
        <v>95</v>
      </c>
      <c r="C4" s="2" t="s">
        <v>96</v>
      </c>
      <c r="D4" s="47"/>
      <c r="E4" s="47"/>
    </row>
    <row r="5" spans="1:5" x14ac:dyDescent="0.25">
      <c r="A5" t="s">
        <v>97</v>
      </c>
      <c r="B5" s="13">
        <v>41338</v>
      </c>
      <c r="C5" s="13">
        <v>40754</v>
      </c>
      <c r="D5" s="15">
        <f>B5-C5</f>
        <v>584</v>
      </c>
      <c r="E5" s="12">
        <f>C5/(B5/100%)</f>
        <v>0.98587256277517055</v>
      </c>
    </row>
    <row r="6" spans="1:5" ht="40.5" customHeight="1" x14ac:dyDescent="0.25">
      <c r="A6" s="2" t="s">
        <v>99</v>
      </c>
      <c r="B6" s="13">
        <v>114354</v>
      </c>
      <c r="C6" s="13">
        <v>111375</v>
      </c>
      <c r="D6" s="15">
        <f t="shared" ref="D6:D18" si="0">B6-C6</f>
        <v>2979</v>
      </c>
      <c r="E6" s="12">
        <f t="shared" ref="E6:E18" si="1">C6/(B6/100%)</f>
        <v>0.97394931528411777</v>
      </c>
    </row>
    <row r="7" spans="1:5" x14ac:dyDescent="0.25">
      <c r="A7" s="2" t="s">
        <v>100</v>
      </c>
      <c r="B7" s="13">
        <v>356</v>
      </c>
      <c r="C7" s="13">
        <v>315</v>
      </c>
      <c r="D7" s="15">
        <f t="shared" si="0"/>
        <v>41</v>
      </c>
      <c r="E7" s="12">
        <f t="shared" si="1"/>
        <v>0.8848314606741573</v>
      </c>
    </row>
    <row r="8" spans="1:5" ht="30" x14ac:dyDescent="0.25">
      <c r="A8" s="2" t="s">
        <v>101</v>
      </c>
      <c r="B8" s="13">
        <v>9628</v>
      </c>
      <c r="C8" s="13">
        <v>7190</v>
      </c>
      <c r="D8" s="15">
        <f t="shared" si="0"/>
        <v>2438</v>
      </c>
      <c r="E8" s="12">
        <f t="shared" si="1"/>
        <v>0.74678022434565849</v>
      </c>
    </row>
    <row r="9" spans="1:5" ht="45.75" customHeight="1" x14ac:dyDescent="0.25">
      <c r="A9" s="2" t="s">
        <v>102</v>
      </c>
      <c r="B9" s="13">
        <v>25557</v>
      </c>
      <c r="C9" s="13">
        <v>25571</v>
      </c>
      <c r="D9" s="15">
        <f t="shared" si="0"/>
        <v>-14</v>
      </c>
      <c r="E9" s="12">
        <f t="shared" si="1"/>
        <v>1.0005477951246233</v>
      </c>
    </row>
    <row r="10" spans="1:5" ht="60" x14ac:dyDescent="0.25">
      <c r="A10" s="2" t="s">
        <v>109</v>
      </c>
      <c r="B10" s="13">
        <v>2216</v>
      </c>
      <c r="C10" s="13">
        <v>1962</v>
      </c>
      <c r="D10" s="15">
        <f t="shared" si="0"/>
        <v>254</v>
      </c>
      <c r="E10" s="12">
        <f t="shared" si="1"/>
        <v>0.88537906137184119</v>
      </c>
    </row>
    <row r="11" spans="1:5" ht="30" x14ac:dyDescent="0.25">
      <c r="A11" s="2" t="s">
        <v>103</v>
      </c>
      <c r="B11" s="13">
        <v>7221</v>
      </c>
      <c r="C11" s="13">
        <v>7002</v>
      </c>
      <c r="D11" s="15">
        <f t="shared" si="0"/>
        <v>219</v>
      </c>
      <c r="E11" s="12">
        <f t="shared" si="1"/>
        <v>0.96967179061071873</v>
      </c>
    </row>
    <row r="12" spans="1:5" ht="30" x14ac:dyDescent="0.25">
      <c r="A12" s="2" t="s">
        <v>106</v>
      </c>
      <c r="B12" s="13">
        <v>19614</v>
      </c>
      <c r="C12" s="13">
        <v>19268</v>
      </c>
      <c r="D12" s="15">
        <f t="shared" si="0"/>
        <v>346</v>
      </c>
      <c r="E12" s="12">
        <f t="shared" si="1"/>
        <v>0.98235953910472107</v>
      </c>
    </row>
    <row r="13" spans="1:5" x14ac:dyDescent="0.25">
      <c r="A13" s="2" t="s">
        <v>104</v>
      </c>
      <c r="B13" s="13">
        <v>7859</v>
      </c>
      <c r="C13" s="13">
        <v>7330</v>
      </c>
      <c r="D13" s="15">
        <f t="shared" si="0"/>
        <v>529</v>
      </c>
      <c r="E13" s="12">
        <f t="shared" si="1"/>
        <v>0.93268863723119988</v>
      </c>
    </row>
    <row r="14" spans="1:5" ht="30" x14ac:dyDescent="0.25">
      <c r="A14" s="2" t="s">
        <v>105</v>
      </c>
      <c r="B14" s="13">
        <v>13124</v>
      </c>
      <c r="C14" s="13">
        <v>13621</v>
      </c>
      <c r="D14" s="15">
        <f t="shared" si="0"/>
        <v>-497</v>
      </c>
      <c r="E14" s="12">
        <f t="shared" si="1"/>
        <v>1.0378695519658641</v>
      </c>
    </row>
    <row r="15" spans="1:5" x14ac:dyDescent="0.25">
      <c r="A15" s="2" t="s">
        <v>110</v>
      </c>
      <c r="B15" s="13">
        <v>22104</v>
      </c>
      <c r="C15" s="13">
        <v>22173</v>
      </c>
      <c r="D15" s="15">
        <f t="shared" si="0"/>
        <v>-69</v>
      </c>
      <c r="E15" s="12">
        <f t="shared" si="1"/>
        <v>1.0031216069489686</v>
      </c>
    </row>
    <row r="16" spans="1:5" x14ac:dyDescent="0.25">
      <c r="A16" s="2" t="s">
        <v>107</v>
      </c>
      <c r="B16" s="13">
        <v>228</v>
      </c>
      <c r="C16" s="13">
        <v>222</v>
      </c>
      <c r="D16" s="15">
        <f t="shared" si="0"/>
        <v>6</v>
      </c>
      <c r="E16" s="12">
        <f t="shared" si="1"/>
        <v>0.97368421052631582</v>
      </c>
    </row>
    <row r="17" spans="1:5" ht="45" x14ac:dyDescent="0.25">
      <c r="A17" s="2" t="s">
        <v>108</v>
      </c>
      <c r="B17" s="13">
        <v>113</v>
      </c>
      <c r="C17" s="13">
        <v>148</v>
      </c>
      <c r="D17" s="15">
        <f t="shared" si="0"/>
        <v>-35</v>
      </c>
      <c r="E17" s="12">
        <f t="shared" si="1"/>
        <v>1.3097345132743363</v>
      </c>
    </row>
    <row r="18" spans="1:5" x14ac:dyDescent="0.25">
      <c r="A18" s="2" t="s">
        <v>111</v>
      </c>
      <c r="B18" s="13">
        <v>905</v>
      </c>
      <c r="C18" s="13">
        <v>743</v>
      </c>
      <c r="D18" s="15">
        <f t="shared" si="0"/>
        <v>162</v>
      </c>
      <c r="E18" s="12">
        <f t="shared" si="1"/>
        <v>0.82099447513812152</v>
      </c>
    </row>
    <row r="19" spans="1:5" x14ac:dyDescent="0.25">
      <c r="A19" s="2" t="s">
        <v>112</v>
      </c>
      <c r="B19" s="13">
        <f>SUM(B5:B18)</f>
        <v>264617</v>
      </c>
      <c r="C19" s="13">
        <f>SUM(C5:C18)</f>
        <v>257674</v>
      </c>
      <c r="D19" s="15">
        <f>SUM(D5:D18)</f>
        <v>6943</v>
      </c>
    </row>
    <row r="20" spans="1:5" x14ac:dyDescent="0.25">
      <c r="B20" s="13"/>
      <c r="C20" s="13"/>
    </row>
  </sheetData>
  <mergeCells count="5">
    <mergeCell ref="A1:C1"/>
    <mergeCell ref="A3:A4"/>
    <mergeCell ref="B3:C3"/>
    <mergeCell ref="D3:D4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E024-8083-4E0C-AC86-0D6FDF77C736}">
  <dimension ref="A1:D18"/>
  <sheetViews>
    <sheetView workbookViewId="0">
      <selection activeCell="D17" sqref="D17"/>
    </sheetView>
  </sheetViews>
  <sheetFormatPr defaultRowHeight="15" x14ac:dyDescent="0.25"/>
  <cols>
    <col min="1" max="1" width="31.140625" customWidth="1"/>
    <col min="2" max="2" width="17" customWidth="1"/>
    <col min="3" max="3" width="16.28515625" customWidth="1"/>
    <col min="4" max="4" width="18.28515625" customWidth="1"/>
  </cols>
  <sheetData>
    <row r="1" spans="1:4" x14ac:dyDescent="0.25">
      <c r="A1" s="45" t="s">
        <v>113</v>
      </c>
      <c r="B1" s="45"/>
      <c r="C1" s="45"/>
      <c r="D1" s="45"/>
    </row>
    <row r="3" spans="1:4" x14ac:dyDescent="0.25">
      <c r="A3" t="s">
        <v>114</v>
      </c>
      <c r="B3" t="s">
        <v>42</v>
      </c>
      <c r="C3" t="s">
        <v>43</v>
      </c>
      <c r="D3" t="s">
        <v>44</v>
      </c>
    </row>
    <row r="4" spans="1:4" x14ac:dyDescent="0.25">
      <c r="A4" t="s">
        <v>115</v>
      </c>
      <c r="B4" s="16">
        <v>150.678</v>
      </c>
      <c r="C4" s="16">
        <v>169.958</v>
      </c>
      <c r="D4" s="16">
        <v>198.82</v>
      </c>
    </row>
    <row r="5" spans="1:4" x14ac:dyDescent="0.25">
      <c r="A5" t="s">
        <v>116</v>
      </c>
      <c r="B5" s="16">
        <f>B4*$B$17</f>
        <v>30.1356</v>
      </c>
      <c r="C5" s="16">
        <f t="shared" ref="C5:D5" si="0">C4*$B$17</f>
        <v>33.991599999999998</v>
      </c>
      <c r="D5" s="16">
        <f t="shared" si="0"/>
        <v>39.764000000000003</v>
      </c>
    </row>
    <row r="6" spans="1:4" x14ac:dyDescent="0.25">
      <c r="A6" t="s">
        <v>117</v>
      </c>
      <c r="B6" s="16">
        <f>B4-B5</f>
        <v>120.5424</v>
      </c>
      <c r="C6" s="16">
        <f t="shared" ref="C6:D6" si="1">C4-C5</f>
        <v>135.96639999999999</v>
      </c>
      <c r="D6" s="16">
        <f t="shared" si="1"/>
        <v>159.05599999999998</v>
      </c>
    </row>
    <row r="7" spans="1:4" ht="30" x14ac:dyDescent="0.25">
      <c r="A7" s="2" t="s">
        <v>118</v>
      </c>
      <c r="B7" s="16"/>
      <c r="C7" s="16"/>
      <c r="D7" s="16"/>
    </row>
    <row r="8" spans="1:4" x14ac:dyDescent="0.25">
      <c r="A8" t="s">
        <v>119</v>
      </c>
      <c r="B8" s="16">
        <v>0.6</v>
      </c>
      <c r="C8" s="16">
        <v>0.6</v>
      </c>
      <c r="D8" s="16">
        <v>0.6</v>
      </c>
    </row>
    <row r="9" spans="1:4" x14ac:dyDescent="0.25">
      <c r="A9" t="s">
        <v>120</v>
      </c>
      <c r="B9" s="16">
        <v>2.5</v>
      </c>
      <c r="C9" s="16">
        <v>2.5</v>
      </c>
      <c r="D9" s="16">
        <v>2.5</v>
      </c>
    </row>
    <row r="10" spans="1:4" x14ac:dyDescent="0.25">
      <c r="A10" t="s">
        <v>121</v>
      </c>
      <c r="B10" s="16">
        <v>1.5</v>
      </c>
      <c r="C10" s="16">
        <v>1.5</v>
      </c>
      <c r="D10" s="16">
        <v>1.5</v>
      </c>
    </row>
    <row r="11" spans="1:4" x14ac:dyDescent="0.25">
      <c r="A11" t="s">
        <v>122</v>
      </c>
      <c r="B11" s="16">
        <v>86.263999999999996</v>
      </c>
      <c r="C11" s="16">
        <v>116.396</v>
      </c>
      <c r="D11" s="16">
        <v>132.56700000000001</v>
      </c>
    </row>
    <row r="12" spans="1:4" x14ac:dyDescent="0.25">
      <c r="A12" t="s">
        <v>123</v>
      </c>
      <c r="B12" s="16">
        <f>B6-B8+B9+B10+B11</f>
        <v>210.2064</v>
      </c>
      <c r="C12" s="16">
        <f t="shared" ref="C12:D12" si="2">C6-C8+C9+C10+C11</f>
        <v>255.76240000000001</v>
      </c>
      <c r="D12" s="16">
        <f t="shared" si="2"/>
        <v>295.02300000000002</v>
      </c>
    </row>
    <row r="13" spans="1:4" x14ac:dyDescent="0.25">
      <c r="A13" t="s">
        <v>124</v>
      </c>
      <c r="B13" s="16">
        <f>B12+B8</f>
        <v>210.8064</v>
      </c>
      <c r="C13" s="16">
        <f t="shared" ref="C13:D13" si="3">C12+C8</f>
        <v>256.36240000000004</v>
      </c>
      <c r="D13" s="16">
        <f t="shared" si="3"/>
        <v>295.62300000000005</v>
      </c>
    </row>
    <row r="14" spans="1:4" x14ac:dyDescent="0.25">
      <c r="A14" t="s">
        <v>125</v>
      </c>
      <c r="B14" s="1">
        <f>B13*0.22</f>
        <v>46.377408000000003</v>
      </c>
      <c r="C14" s="1">
        <f t="shared" ref="C14:D14" si="4">C13*0.22</f>
        <v>56.39972800000001</v>
      </c>
      <c r="D14" s="1">
        <f t="shared" si="4"/>
        <v>65.037060000000011</v>
      </c>
    </row>
    <row r="15" spans="1:4" x14ac:dyDescent="0.25">
      <c r="A15" t="s">
        <v>126</v>
      </c>
      <c r="B15" s="16">
        <f>B12-B14</f>
        <v>163.828992</v>
      </c>
      <c r="C15" s="16">
        <f t="shared" ref="C15:D15" si="5">C12-C14</f>
        <v>199.362672</v>
      </c>
      <c r="D15" s="16">
        <f t="shared" si="5"/>
        <v>229.98594000000003</v>
      </c>
    </row>
    <row r="16" spans="1:4" x14ac:dyDescent="0.25">
      <c r="B16" s="1"/>
      <c r="C16" s="1"/>
      <c r="D16" s="1"/>
    </row>
    <row r="17" spans="1:4" x14ac:dyDescent="0.25">
      <c r="A17" t="s">
        <v>127</v>
      </c>
      <c r="B17" s="17">
        <v>0.2</v>
      </c>
      <c r="C17" s="1"/>
      <c r="D17" s="1"/>
    </row>
    <row r="18" spans="1:4" x14ac:dyDescent="0.25">
      <c r="A18" t="s">
        <v>128</v>
      </c>
      <c r="B18" s="17">
        <v>0.22</v>
      </c>
      <c r="C18" s="1"/>
      <c r="D18" s="1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3FDA-4A1F-4079-AD44-5271A152CF4A}">
  <dimension ref="A1:K14"/>
  <sheetViews>
    <sheetView workbookViewId="0">
      <selection activeCell="A6" sqref="A6:B11"/>
    </sheetView>
  </sheetViews>
  <sheetFormatPr defaultRowHeight="15" x14ac:dyDescent="0.25"/>
  <cols>
    <col min="1" max="1" width="22.28515625" customWidth="1"/>
    <col min="2" max="2" width="14.140625" customWidth="1"/>
    <col min="3" max="3" width="15.140625" customWidth="1"/>
    <col min="4" max="4" width="17.85546875" customWidth="1"/>
  </cols>
  <sheetData>
    <row r="1" spans="1:11" x14ac:dyDescent="0.25">
      <c r="A1" s="51" t="s">
        <v>136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45" x14ac:dyDescent="0.25">
      <c r="A2" s="18" t="s">
        <v>129</v>
      </c>
      <c r="B2" s="18" t="s">
        <v>130</v>
      </c>
      <c r="C2" s="18" t="s">
        <v>131</v>
      </c>
      <c r="D2" s="18" t="s">
        <v>132</v>
      </c>
      <c r="E2" s="18" t="s">
        <v>133</v>
      </c>
      <c r="F2" s="18" t="s">
        <v>134</v>
      </c>
      <c r="G2" s="18" t="s">
        <v>135</v>
      </c>
      <c r="H2" s="18" t="s">
        <v>147</v>
      </c>
    </row>
    <row r="3" spans="1:11" x14ac:dyDescent="0.25">
      <c r="A3" s="3">
        <v>3.09</v>
      </c>
      <c r="B3" s="3">
        <v>1.33</v>
      </c>
      <c r="C3" s="3">
        <v>16.04</v>
      </c>
      <c r="D3" s="3">
        <v>31.75</v>
      </c>
      <c r="E3" s="3">
        <v>7.09</v>
      </c>
      <c r="F3" s="3">
        <v>42.54</v>
      </c>
      <c r="G3" s="3">
        <v>5.81</v>
      </c>
      <c r="H3" s="3">
        <v>70</v>
      </c>
    </row>
    <row r="5" spans="1:11" ht="60" x14ac:dyDescent="0.25">
      <c r="A5" s="22" t="s">
        <v>137</v>
      </c>
      <c r="B5" s="22" t="s">
        <v>138</v>
      </c>
      <c r="C5" s="27" t="s">
        <v>148</v>
      </c>
      <c r="D5" s="22" t="s">
        <v>139</v>
      </c>
      <c r="E5" s="22" t="s">
        <v>140</v>
      </c>
      <c r="F5" s="22" t="s">
        <v>141</v>
      </c>
      <c r="G5" s="22" t="s">
        <v>142</v>
      </c>
      <c r="H5" s="22" t="s">
        <v>143</v>
      </c>
      <c r="I5" s="22" t="s">
        <v>144</v>
      </c>
      <c r="J5" s="22" t="s">
        <v>145</v>
      </c>
      <c r="K5" s="21" t="s">
        <v>146</v>
      </c>
    </row>
    <row r="6" spans="1:11" x14ac:dyDescent="0.25">
      <c r="A6" s="23">
        <v>125</v>
      </c>
      <c r="B6" s="23">
        <v>5</v>
      </c>
      <c r="C6" s="3">
        <f>$H$3</f>
        <v>70</v>
      </c>
      <c r="D6" s="23">
        <f t="shared" ref="D6:D11" si="0">A6*$A$3</f>
        <v>386.25</v>
      </c>
      <c r="E6" s="23">
        <f t="shared" ref="E6:E11" si="1">A6*$B$3</f>
        <v>166.25</v>
      </c>
      <c r="F6" s="23">
        <f t="shared" ref="F6:F11" si="2">B6*$C$3</f>
        <v>80.199999999999989</v>
      </c>
      <c r="G6" s="23">
        <f t="shared" ref="G6:G11" si="3">B6*$D$3</f>
        <v>158.75</v>
      </c>
      <c r="H6" s="23">
        <f t="shared" ref="H6:H11" si="4">B6*$E$3</f>
        <v>35.450000000000003</v>
      </c>
      <c r="I6" s="23">
        <f t="shared" ref="I6:I11" si="5">B6*$F$3</f>
        <v>212.7</v>
      </c>
      <c r="J6" s="23">
        <f t="shared" ref="J6:J11" si="6">B6*$G$3</f>
        <v>29.049999999999997</v>
      </c>
      <c r="K6" s="24">
        <f>SUM(C6:J6)</f>
        <v>1138.6500000000001</v>
      </c>
    </row>
    <row r="7" spans="1:11" x14ac:dyDescent="0.25">
      <c r="A7" s="23">
        <v>45</v>
      </c>
      <c r="B7" s="23">
        <v>3</v>
      </c>
      <c r="C7" s="3">
        <f t="shared" ref="C7:C10" si="7">$H$3</f>
        <v>70</v>
      </c>
      <c r="D7" s="23">
        <f t="shared" si="0"/>
        <v>139.04999999999998</v>
      </c>
      <c r="E7" s="23">
        <f t="shared" si="1"/>
        <v>59.85</v>
      </c>
      <c r="F7" s="23">
        <f t="shared" si="2"/>
        <v>48.12</v>
      </c>
      <c r="G7" s="23">
        <f t="shared" si="3"/>
        <v>95.25</v>
      </c>
      <c r="H7" s="23">
        <f t="shared" si="4"/>
        <v>21.27</v>
      </c>
      <c r="I7" s="23">
        <f t="shared" si="5"/>
        <v>127.62</v>
      </c>
      <c r="J7" s="23">
        <f t="shared" si="6"/>
        <v>17.43</v>
      </c>
      <c r="K7" s="24">
        <f t="shared" ref="K7:K11" si="8">SUM(C7:J7)</f>
        <v>578.58999999999992</v>
      </c>
    </row>
    <row r="8" spans="1:11" x14ac:dyDescent="0.25">
      <c r="A8" s="23">
        <v>36</v>
      </c>
      <c r="B8" s="23">
        <v>2</v>
      </c>
      <c r="C8" s="3">
        <f t="shared" si="7"/>
        <v>70</v>
      </c>
      <c r="D8" s="23">
        <f t="shared" si="0"/>
        <v>111.24</v>
      </c>
      <c r="E8" s="23">
        <f t="shared" si="1"/>
        <v>47.88</v>
      </c>
      <c r="F8" s="23">
        <f t="shared" si="2"/>
        <v>32.08</v>
      </c>
      <c r="G8" s="23">
        <f t="shared" si="3"/>
        <v>63.5</v>
      </c>
      <c r="H8" s="23">
        <f t="shared" si="4"/>
        <v>14.18</v>
      </c>
      <c r="I8" s="23">
        <f t="shared" si="5"/>
        <v>85.08</v>
      </c>
      <c r="J8" s="23">
        <f t="shared" si="6"/>
        <v>11.62</v>
      </c>
      <c r="K8" s="24">
        <f t="shared" si="8"/>
        <v>435.58</v>
      </c>
    </row>
    <row r="9" spans="1:11" x14ac:dyDescent="0.25">
      <c r="A9" s="23">
        <v>60</v>
      </c>
      <c r="B9" s="23">
        <v>5</v>
      </c>
      <c r="C9" s="3">
        <f t="shared" si="7"/>
        <v>70</v>
      </c>
      <c r="D9" s="23">
        <f t="shared" si="0"/>
        <v>185.39999999999998</v>
      </c>
      <c r="E9" s="23">
        <f t="shared" si="1"/>
        <v>79.800000000000011</v>
      </c>
      <c r="F9" s="23">
        <f t="shared" si="2"/>
        <v>80.199999999999989</v>
      </c>
      <c r="G9" s="23">
        <f t="shared" si="3"/>
        <v>158.75</v>
      </c>
      <c r="H9" s="23">
        <f t="shared" si="4"/>
        <v>35.450000000000003</v>
      </c>
      <c r="I9" s="23">
        <f t="shared" si="5"/>
        <v>212.7</v>
      </c>
      <c r="J9" s="23">
        <f t="shared" si="6"/>
        <v>29.049999999999997</v>
      </c>
      <c r="K9" s="24">
        <f t="shared" si="8"/>
        <v>851.34999999999991</v>
      </c>
    </row>
    <row r="10" spans="1:11" x14ac:dyDescent="0.25">
      <c r="A10" s="23">
        <v>58</v>
      </c>
      <c r="B10" s="23">
        <v>4</v>
      </c>
      <c r="C10" s="3">
        <f t="shared" si="7"/>
        <v>70</v>
      </c>
      <c r="D10" s="23">
        <f t="shared" si="0"/>
        <v>179.22</v>
      </c>
      <c r="E10" s="23">
        <f t="shared" si="1"/>
        <v>77.14</v>
      </c>
      <c r="F10" s="23">
        <f t="shared" si="2"/>
        <v>64.16</v>
      </c>
      <c r="G10" s="23">
        <f t="shared" si="3"/>
        <v>127</v>
      </c>
      <c r="H10" s="23">
        <f t="shared" si="4"/>
        <v>28.36</v>
      </c>
      <c r="I10" s="23">
        <f t="shared" si="5"/>
        <v>170.16</v>
      </c>
      <c r="J10" s="23">
        <f t="shared" si="6"/>
        <v>23.24</v>
      </c>
      <c r="K10" s="24">
        <f t="shared" si="8"/>
        <v>739.28</v>
      </c>
    </row>
    <row r="11" spans="1:11" x14ac:dyDescent="0.25">
      <c r="A11" s="23">
        <v>45</v>
      </c>
      <c r="B11" s="23">
        <v>1</v>
      </c>
      <c r="C11" s="3">
        <f>$H$3</f>
        <v>70</v>
      </c>
      <c r="D11" s="23">
        <f t="shared" si="0"/>
        <v>139.04999999999998</v>
      </c>
      <c r="E11" s="23">
        <f t="shared" si="1"/>
        <v>59.85</v>
      </c>
      <c r="F11" s="23">
        <f t="shared" si="2"/>
        <v>16.04</v>
      </c>
      <c r="G11" s="23">
        <f t="shared" si="3"/>
        <v>31.75</v>
      </c>
      <c r="H11" s="23">
        <f t="shared" si="4"/>
        <v>7.09</v>
      </c>
      <c r="I11" s="23">
        <f t="shared" si="5"/>
        <v>42.54</v>
      </c>
      <c r="J11" s="23">
        <f t="shared" si="6"/>
        <v>5.81</v>
      </c>
      <c r="K11" s="24">
        <f t="shared" si="8"/>
        <v>372.13</v>
      </c>
    </row>
    <row r="12" spans="1:1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 spans="1:1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4603-C68E-4916-AFAB-F0A626413FDF}">
  <dimension ref="A1:H22"/>
  <sheetViews>
    <sheetView topLeftCell="A10" workbookViewId="0">
      <selection activeCell="D16" sqref="D16"/>
    </sheetView>
  </sheetViews>
  <sheetFormatPr defaultRowHeight="15" x14ac:dyDescent="0.25"/>
  <cols>
    <col min="1" max="1" width="20.85546875" customWidth="1"/>
    <col min="2" max="2" width="12.42578125" customWidth="1"/>
    <col min="3" max="3" width="15.5703125" customWidth="1"/>
    <col min="4" max="4" width="14.85546875" customWidth="1"/>
    <col min="5" max="5" width="15.140625" customWidth="1"/>
  </cols>
  <sheetData>
    <row r="1" spans="1:8" ht="30" customHeight="1" x14ac:dyDescent="0.25">
      <c r="A1" s="26" t="s">
        <v>149</v>
      </c>
      <c r="B1" s="26" t="s">
        <v>150</v>
      </c>
      <c r="C1" s="2"/>
      <c r="D1" s="2"/>
      <c r="E1" s="2"/>
      <c r="F1" s="2"/>
      <c r="G1" s="2"/>
      <c r="H1" s="2"/>
    </row>
    <row r="2" spans="1:8" x14ac:dyDescent="0.25">
      <c r="A2" s="4">
        <v>3.45</v>
      </c>
      <c r="B2" s="4">
        <v>12.45</v>
      </c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ht="45" x14ac:dyDescent="0.25">
      <c r="A4" s="27" t="s">
        <v>151</v>
      </c>
      <c r="B4" s="27" t="s">
        <v>138</v>
      </c>
      <c r="C4" s="27" t="s">
        <v>152</v>
      </c>
      <c r="D4" s="27" t="s">
        <v>153</v>
      </c>
      <c r="E4" s="27" t="s">
        <v>154</v>
      </c>
      <c r="F4" s="2"/>
      <c r="G4" s="2"/>
      <c r="H4" s="2"/>
    </row>
    <row r="5" spans="1:8" x14ac:dyDescent="0.25">
      <c r="A5" s="4">
        <v>125</v>
      </c>
      <c r="B5" s="4">
        <v>5</v>
      </c>
      <c r="C5" s="4">
        <f>$A$2*A5</f>
        <v>431.25</v>
      </c>
      <c r="D5" s="4">
        <f>$B$2*B5</f>
        <v>62.25</v>
      </c>
      <c r="E5" s="4">
        <f>SUM(C5:D5)</f>
        <v>493.5</v>
      </c>
      <c r="F5" s="2"/>
      <c r="G5" s="2"/>
      <c r="H5" s="2"/>
    </row>
    <row r="6" spans="1:8" x14ac:dyDescent="0.25">
      <c r="A6" s="4">
        <v>45</v>
      </c>
      <c r="B6" s="4">
        <v>2</v>
      </c>
      <c r="C6" s="4">
        <f>$A$2*A6</f>
        <v>155.25</v>
      </c>
      <c r="D6" s="4">
        <f t="shared" ref="D6:D10" si="0">$B$2*B6</f>
        <v>24.9</v>
      </c>
      <c r="E6" s="4">
        <f t="shared" ref="E6:E10" si="1">SUM(C6:D6)</f>
        <v>180.15</v>
      </c>
      <c r="F6" s="2"/>
      <c r="G6" s="2"/>
      <c r="H6" s="2"/>
    </row>
    <row r="7" spans="1:8" x14ac:dyDescent="0.25">
      <c r="A7" s="4">
        <v>36</v>
      </c>
      <c r="B7" s="4">
        <v>3</v>
      </c>
      <c r="C7" s="4">
        <f t="shared" ref="C7:C10" si="2">$A$2*A7</f>
        <v>124.2</v>
      </c>
      <c r="D7" s="4">
        <f t="shared" si="0"/>
        <v>37.349999999999994</v>
      </c>
      <c r="E7" s="4">
        <f t="shared" si="1"/>
        <v>161.55000000000001</v>
      </c>
      <c r="F7" s="2"/>
      <c r="G7" s="2"/>
      <c r="H7" s="2"/>
    </row>
    <row r="8" spans="1:8" x14ac:dyDescent="0.25">
      <c r="A8" s="4">
        <v>60</v>
      </c>
      <c r="B8" s="4">
        <v>6</v>
      </c>
      <c r="C8" s="4">
        <f t="shared" si="2"/>
        <v>207</v>
      </c>
      <c r="D8" s="4">
        <f t="shared" si="0"/>
        <v>74.699999999999989</v>
      </c>
      <c r="E8" s="4">
        <f t="shared" si="1"/>
        <v>281.7</v>
      </c>
      <c r="F8" s="2"/>
      <c r="G8" s="2"/>
      <c r="H8" s="2"/>
    </row>
    <row r="9" spans="1:8" x14ac:dyDescent="0.25">
      <c r="A9" s="4">
        <v>58</v>
      </c>
      <c r="B9" s="4">
        <v>3</v>
      </c>
      <c r="C9" s="4">
        <f t="shared" si="2"/>
        <v>200.10000000000002</v>
      </c>
      <c r="D9" s="4">
        <f t="shared" si="0"/>
        <v>37.349999999999994</v>
      </c>
      <c r="E9" s="4">
        <f t="shared" si="1"/>
        <v>237.45000000000002</v>
      </c>
      <c r="F9" s="2"/>
      <c r="G9" s="2"/>
      <c r="H9" s="2"/>
    </row>
    <row r="10" spans="1:8" x14ac:dyDescent="0.25">
      <c r="A10" s="4">
        <v>45</v>
      </c>
      <c r="B10" s="4">
        <v>1</v>
      </c>
      <c r="C10" s="4">
        <f t="shared" si="2"/>
        <v>155.25</v>
      </c>
      <c r="D10" s="4">
        <f t="shared" si="0"/>
        <v>12.45</v>
      </c>
      <c r="E10" s="4">
        <f t="shared" si="1"/>
        <v>167.7</v>
      </c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47.25" customHeight="1" x14ac:dyDescent="0.25">
      <c r="A12" s="28" t="s">
        <v>155</v>
      </c>
      <c r="B12" s="28">
        <v>30.23</v>
      </c>
      <c r="C12" s="2"/>
      <c r="D12" s="2"/>
      <c r="E12" s="2"/>
      <c r="F12" s="2"/>
      <c r="G12" s="2"/>
      <c r="H12" s="2"/>
    </row>
    <row r="13" spans="1:8" ht="30" x14ac:dyDescent="0.25">
      <c r="A13" s="29" t="s">
        <v>156</v>
      </c>
      <c r="B13" s="30" t="s">
        <v>157</v>
      </c>
      <c r="C13" s="31" t="s">
        <v>158</v>
      </c>
      <c r="D13" s="2"/>
      <c r="E13" s="2"/>
      <c r="F13" s="2"/>
      <c r="G13" s="2"/>
      <c r="H13" s="2"/>
    </row>
    <row r="14" spans="1:8" x14ac:dyDescent="0.25">
      <c r="A14" s="2" t="s">
        <v>159</v>
      </c>
      <c r="B14" s="2">
        <v>125</v>
      </c>
      <c r="C14" s="2">
        <f>B14/$B$12</f>
        <v>4.1349652662917631</v>
      </c>
      <c r="D14" s="2"/>
      <c r="E14" s="2"/>
      <c r="F14" s="2"/>
      <c r="G14" s="2"/>
      <c r="H14" s="2"/>
    </row>
    <row r="15" spans="1:8" x14ac:dyDescent="0.25">
      <c r="A15" s="2" t="s">
        <v>160</v>
      </c>
      <c r="B15" s="2">
        <v>2.5</v>
      </c>
      <c r="C15" s="2">
        <f t="shared" ref="C15:C21" si="3">B15/$B$12</f>
        <v>8.2699305325835262E-2</v>
      </c>
      <c r="D15" s="2"/>
      <c r="E15" s="2"/>
      <c r="F15" s="2"/>
      <c r="G15" s="2"/>
      <c r="H15" s="2"/>
    </row>
    <row r="16" spans="1:8" x14ac:dyDescent="0.25">
      <c r="A16" s="2" t="s">
        <v>161</v>
      </c>
      <c r="B16" s="2">
        <v>15</v>
      </c>
      <c r="C16" s="2">
        <f t="shared" si="3"/>
        <v>0.49619583195501155</v>
      </c>
      <c r="D16" s="2"/>
      <c r="E16" s="2"/>
      <c r="F16" s="2"/>
      <c r="G16" s="2"/>
      <c r="H16" s="2"/>
    </row>
    <row r="17" spans="1:8" x14ac:dyDescent="0.25">
      <c r="A17" s="2" t="s">
        <v>162</v>
      </c>
      <c r="B17" s="2">
        <v>5.5</v>
      </c>
      <c r="C17" s="2">
        <f t="shared" si="3"/>
        <v>0.18193847171683758</v>
      </c>
      <c r="D17" s="2"/>
      <c r="E17" s="2"/>
      <c r="F17" s="2"/>
      <c r="G17" s="2"/>
      <c r="H17" s="2"/>
    </row>
    <row r="18" spans="1:8" x14ac:dyDescent="0.25">
      <c r="A18" s="2" t="s">
        <v>163</v>
      </c>
      <c r="B18" s="2">
        <v>7</v>
      </c>
      <c r="C18" s="2">
        <f t="shared" si="3"/>
        <v>0.23155805491233875</v>
      </c>
    </row>
    <row r="19" spans="1:8" x14ac:dyDescent="0.25">
      <c r="A19" s="2" t="s">
        <v>164</v>
      </c>
      <c r="B19" s="2">
        <v>5</v>
      </c>
      <c r="C19" s="2">
        <f t="shared" si="3"/>
        <v>0.16539861065167052</v>
      </c>
    </row>
    <row r="20" spans="1:8" x14ac:dyDescent="0.25">
      <c r="A20" s="2" t="s">
        <v>165</v>
      </c>
      <c r="B20" s="2">
        <v>30</v>
      </c>
      <c r="C20" s="2">
        <f t="shared" si="3"/>
        <v>0.99239166391002309</v>
      </c>
    </row>
    <row r="21" spans="1:8" x14ac:dyDescent="0.25">
      <c r="A21" s="2" t="s">
        <v>166</v>
      </c>
      <c r="B21" s="2">
        <v>10</v>
      </c>
      <c r="C21" s="2">
        <f t="shared" si="3"/>
        <v>0.33079722130334105</v>
      </c>
    </row>
    <row r="22" spans="1:8" x14ac:dyDescent="0.25">
      <c r="A22" s="25" t="s">
        <v>167</v>
      </c>
      <c r="B22" s="25">
        <f>SUM(B14:B21)</f>
        <v>200</v>
      </c>
      <c r="C22" s="25">
        <f>SUM(C14:C21)</f>
        <v>6.6159444260668216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2</vt:i4>
      </vt:variant>
    </vt:vector>
  </HeadingPairs>
  <TitlesOfParts>
    <vt:vector size="16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КВТ</vt:lpstr>
      <vt:lpstr>Талон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2022-05-03T06:15:21Z</dcterms:modified>
</cp:coreProperties>
</file>