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A6A8FA13-D938-4B61-AC1B-BEBCAF7FBA78}" xr6:coauthVersionLast="45" xr6:coauthVersionMax="45" xr10:uidLastSave="{00000000-0000-0000-0000-000000000000}"/>
  <bookViews>
    <workbookView xWindow="9405" yWindow="3420" windowWidth="18180" windowHeight="15750" activeTab="1" xr2:uid="{00000000-000D-0000-FFFF-FFFF00000000}"/>
  </bookViews>
  <sheets>
    <sheet name="breakeven" sheetId="1" r:id="rId1"/>
    <sheet name="prodcut pricing" sheetId="3" r:id="rId2"/>
    <sheet name="budget" sheetId="2" r:id="rId3"/>
  </sheets>
  <definedNames>
    <definedName name="_xlnm._FilterDatabase" localSheetId="0" hidden="1">breakeven!$A$1:$P$1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E23" i="2"/>
  <c r="D23" i="2"/>
  <c r="E32" i="2"/>
  <c r="E26" i="2"/>
  <c r="D30" i="2"/>
  <c r="E30" i="2"/>
  <c r="AE84" i="3"/>
  <c r="AE85" i="3"/>
  <c r="E9" i="2"/>
  <c r="AD78" i="3"/>
  <c r="AE78" i="3"/>
  <c r="AE80" i="3"/>
  <c r="AE81" i="3"/>
  <c r="AE61" i="3"/>
  <c r="AE66" i="3"/>
  <c r="AE67" i="3"/>
  <c r="AE68" i="3"/>
  <c r="AD61" i="3"/>
  <c r="AE63" i="3"/>
  <c r="AE64" i="3"/>
  <c r="AE20" i="3"/>
  <c r="AE21" i="3"/>
  <c r="AE25" i="3"/>
  <c r="AE30" i="3"/>
  <c r="AE32" i="3"/>
  <c r="AE33" i="3"/>
  <c r="AD25" i="3"/>
  <c r="AE27" i="3"/>
  <c r="AE28" i="3"/>
  <c r="AE3" i="3"/>
  <c r="E2" i="3"/>
  <c r="E3" i="3"/>
  <c r="E4" i="3"/>
  <c r="F2" i="3"/>
  <c r="Y4" i="3"/>
  <c r="AE4" i="3"/>
  <c r="AE5" i="3"/>
  <c r="AE6" i="3"/>
  <c r="AE7" i="3"/>
  <c r="AE8" i="3"/>
  <c r="AE12" i="3"/>
  <c r="AE14" i="3"/>
  <c r="AE15" i="3"/>
  <c r="AD8" i="3"/>
  <c r="AE10" i="3"/>
  <c r="AE11" i="3"/>
  <c r="D9" i="2"/>
  <c r="D10" i="2"/>
  <c r="D22" i="2"/>
  <c r="D14" i="2"/>
  <c r="D15" i="2"/>
  <c r="D25" i="2"/>
  <c r="D37" i="2"/>
  <c r="E31" i="2"/>
  <c r="E37" i="2"/>
  <c r="K5" i="2"/>
  <c r="C25" i="2"/>
  <c r="C14" i="2"/>
  <c r="T5" i="3"/>
  <c r="S5" i="3"/>
  <c r="T6" i="3"/>
  <c r="B11" i="1"/>
  <c r="B15" i="1"/>
  <c r="E22" i="3"/>
  <c r="F22" i="3"/>
  <c r="I15" i="3"/>
  <c r="J15" i="3"/>
  <c r="E21" i="3"/>
  <c r="F21" i="3"/>
  <c r="E19" i="3"/>
  <c r="F15" i="3"/>
  <c r="E20" i="3"/>
  <c r="E23" i="3"/>
  <c r="E24" i="3"/>
  <c r="E25" i="3"/>
  <c r="F23" i="3"/>
  <c r="I23" i="3"/>
  <c r="E40" i="3"/>
  <c r="E39" i="3"/>
  <c r="F39" i="3"/>
  <c r="I39" i="3"/>
  <c r="J39" i="3"/>
  <c r="E38" i="3"/>
  <c r="F38" i="3"/>
  <c r="I38" i="3"/>
  <c r="J38" i="3"/>
  <c r="E37" i="3"/>
  <c r="F37" i="3"/>
  <c r="I37" i="3"/>
  <c r="J37" i="3"/>
  <c r="E36" i="3"/>
  <c r="F36" i="3"/>
  <c r="I36" i="3"/>
  <c r="J36" i="3"/>
  <c r="E32" i="3"/>
  <c r="E31" i="3"/>
  <c r="F30" i="3"/>
  <c r="I30" i="3"/>
  <c r="J30" i="3"/>
  <c r="H29" i="3"/>
  <c r="F29" i="3"/>
  <c r="I29" i="3"/>
  <c r="J29" i="3"/>
  <c r="F26" i="3"/>
  <c r="I26" i="3"/>
  <c r="J26" i="3"/>
  <c r="E6" i="3"/>
  <c r="E7" i="3"/>
  <c r="F5" i="3"/>
  <c r="I5" i="3"/>
  <c r="J5" i="3"/>
  <c r="Y84" i="3"/>
  <c r="Y85" i="3"/>
  <c r="X78" i="3"/>
  <c r="Y78" i="3"/>
  <c r="Y80" i="3"/>
  <c r="Y81" i="3"/>
  <c r="Y67" i="3"/>
  <c r="Y68" i="3"/>
  <c r="X61" i="3"/>
  <c r="Y61" i="3"/>
  <c r="Y63" i="3"/>
  <c r="Y64" i="3"/>
  <c r="Y50" i="3"/>
  <c r="Y51" i="3"/>
  <c r="X43" i="3"/>
  <c r="Y43" i="3"/>
  <c r="Y45" i="3"/>
  <c r="Y46" i="3"/>
  <c r="Y32" i="3"/>
  <c r="Y33" i="3"/>
  <c r="X25" i="3"/>
  <c r="Y20" i="3"/>
  <c r="Y21" i="3"/>
  <c r="Y25" i="3"/>
  <c r="Y27" i="3"/>
  <c r="Y28" i="3"/>
  <c r="Y14" i="3"/>
  <c r="Y15" i="3"/>
  <c r="X8" i="3"/>
  <c r="Y3" i="3"/>
  <c r="Y5" i="3"/>
  <c r="Y6" i="3"/>
  <c r="Y7" i="3"/>
  <c r="Y8" i="3"/>
  <c r="Y10" i="3"/>
  <c r="Y11" i="3"/>
  <c r="I2" i="3"/>
  <c r="J2" i="3"/>
  <c r="P2" i="1"/>
  <c r="P4" i="1"/>
  <c r="P5" i="1"/>
  <c r="P12" i="1"/>
  <c r="P18" i="1"/>
  <c r="P19" i="1"/>
  <c r="P22" i="1"/>
  <c r="P24" i="1"/>
  <c r="P25" i="1"/>
  <c r="P26" i="1"/>
  <c r="P27" i="1"/>
  <c r="P31" i="1"/>
  <c r="P32" i="1"/>
  <c r="P36" i="1"/>
  <c r="P37" i="1"/>
  <c r="P38" i="1"/>
  <c r="P39" i="1"/>
  <c r="P40" i="1"/>
  <c r="P41" i="1"/>
  <c r="P42" i="1"/>
  <c r="P43" i="1"/>
  <c r="P44" i="1"/>
  <c r="P52" i="1"/>
  <c r="P53" i="1"/>
  <c r="P55" i="1"/>
  <c r="P56" i="1"/>
  <c r="P57" i="1"/>
  <c r="P60" i="1"/>
  <c r="E18" i="1"/>
  <c r="E20" i="1"/>
  <c r="E22" i="1"/>
  <c r="B12" i="1"/>
  <c r="B13" i="1"/>
  <c r="G17" i="1"/>
  <c r="G16" i="1"/>
  <c r="G18" i="1"/>
</calcChain>
</file>

<file path=xl/sharedStrings.xml><?xml version="1.0" encoding="utf-8"?>
<sst xmlns="http://schemas.openxmlformats.org/spreadsheetml/2006/main" count="572" uniqueCount="292">
  <si>
    <t>Fixed Costs</t>
  </si>
  <si>
    <t>Average price</t>
  </si>
  <si>
    <t>variable costs</t>
  </si>
  <si>
    <t>contribution margin</t>
  </si>
  <si>
    <t>breakeven units</t>
  </si>
  <si>
    <t>Amount</t>
  </si>
  <si>
    <t>Variable Costs</t>
  </si>
  <si>
    <t>Rent</t>
  </si>
  <si>
    <t xml:space="preserve">electricity </t>
  </si>
  <si>
    <t>salaries</t>
  </si>
  <si>
    <t>internet</t>
  </si>
  <si>
    <t>Direct materisl</t>
  </si>
  <si>
    <t>artform</t>
  </si>
  <si>
    <t>material required</t>
  </si>
  <si>
    <t>Collage making</t>
  </si>
  <si>
    <t>a3  size white sheets</t>
  </si>
  <si>
    <t>colour papers</t>
  </si>
  <si>
    <t>fevicol</t>
  </si>
  <si>
    <t>acrylic paints</t>
  </si>
  <si>
    <t>oil pastels</t>
  </si>
  <si>
    <t xml:space="preserve">leaf printing </t>
  </si>
  <si>
    <t xml:space="preserve">fresh leaves </t>
  </si>
  <si>
    <t>black 1 size pens or brush pens</t>
  </si>
  <si>
    <t>flower printing</t>
  </si>
  <si>
    <t>fresh flowers</t>
  </si>
  <si>
    <t>vegetable printing</t>
  </si>
  <si>
    <t>ladys finger, brinjal</t>
  </si>
  <si>
    <t>object drawing</t>
  </si>
  <si>
    <t xml:space="preserve">old vases </t>
  </si>
  <si>
    <t>artificial flowers</t>
  </si>
  <si>
    <t>steel/aluminium objects</t>
  </si>
  <si>
    <t>trees/plants</t>
  </si>
  <si>
    <t xml:space="preserve">shading pencils </t>
  </si>
  <si>
    <t>monochrome colour pencils</t>
  </si>
  <si>
    <t>sparkle painting</t>
  </si>
  <si>
    <t>sparkles</t>
  </si>
  <si>
    <t>glass painting</t>
  </si>
  <si>
    <t>glass</t>
  </si>
  <si>
    <t>glass paints</t>
  </si>
  <si>
    <t>paper</t>
  </si>
  <si>
    <t>pot painting</t>
  </si>
  <si>
    <t>clay pot</t>
  </si>
  <si>
    <t>ceramic painting</t>
  </si>
  <si>
    <t>ceramic</t>
  </si>
  <si>
    <t>ceramic paints</t>
  </si>
  <si>
    <t xml:space="preserve">face painting </t>
  </si>
  <si>
    <t>face paints</t>
  </si>
  <si>
    <t>acrylic painting</t>
  </si>
  <si>
    <t>canvas board</t>
  </si>
  <si>
    <t>a3, a4, a5</t>
  </si>
  <si>
    <t>watercolours</t>
  </si>
  <si>
    <t>pencil shading</t>
  </si>
  <si>
    <t>diya painting</t>
  </si>
  <si>
    <t>diyas</t>
  </si>
  <si>
    <t>self</t>
  </si>
  <si>
    <t>AC</t>
  </si>
  <si>
    <t>coffee machine</t>
  </si>
  <si>
    <t>revenue/person</t>
  </si>
  <si>
    <t>cost incurred/person</t>
  </si>
  <si>
    <t>contribution</t>
  </si>
  <si>
    <t>breakeven</t>
  </si>
  <si>
    <t>maintenance</t>
  </si>
  <si>
    <t>serial number</t>
  </si>
  <si>
    <t>equipment</t>
  </si>
  <si>
    <t>INITIAL INVESTMENT BUDGET</t>
  </si>
  <si>
    <t xml:space="preserve">water dispenser </t>
  </si>
  <si>
    <t>Easels</t>
  </si>
  <si>
    <t>quantity</t>
  </si>
  <si>
    <t>sqaure tables</t>
  </si>
  <si>
    <t>watercolour brushes</t>
  </si>
  <si>
    <t>actual price</t>
  </si>
  <si>
    <t>expected price</t>
  </si>
  <si>
    <t>led logo board</t>
  </si>
  <si>
    <t>refrigerator</t>
  </si>
  <si>
    <t>white wash and painting</t>
  </si>
  <si>
    <t>easel sitting stools</t>
  </si>
  <si>
    <t>artificial grass</t>
  </si>
  <si>
    <t>office desk</t>
  </si>
  <si>
    <t>office chair</t>
  </si>
  <si>
    <t>trolley</t>
  </si>
  <si>
    <t>lighting</t>
  </si>
  <si>
    <t>art material</t>
  </si>
  <si>
    <t>colourful magazines</t>
  </si>
  <si>
    <t xml:space="preserve">acrylic paints </t>
  </si>
  <si>
    <t xml:space="preserve">old bottles </t>
  </si>
  <si>
    <t>old vases</t>
  </si>
  <si>
    <t>pots</t>
  </si>
  <si>
    <t>ceramics</t>
  </si>
  <si>
    <t>soft pastels</t>
  </si>
  <si>
    <t>gouche</t>
  </si>
  <si>
    <t>oil paints</t>
  </si>
  <si>
    <t xml:space="preserve">acrylic brushes </t>
  </si>
  <si>
    <t>diya</t>
  </si>
  <si>
    <t xml:space="preserve">other brushes </t>
  </si>
  <si>
    <t xml:space="preserve">palette knives </t>
  </si>
  <si>
    <t>watercolour paper a3,4,5</t>
  </si>
  <si>
    <t>shading pencils</t>
  </si>
  <si>
    <t>h, hb pencils</t>
  </si>
  <si>
    <t>erasers sharpners</t>
  </si>
  <si>
    <t>water cleaning bowls</t>
  </si>
  <si>
    <t>water colour palette</t>
  </si>
  <si>
    <t>acrylic palette</t>
  </si>
  <si>
    <t xml:space="preserve">canvas boards </t>
  </si>
  <si>
    <t>easels</t>
  </si>
  <si>
    <t xml:space="preserve">alcohol inks </t>
  </si>
  <si>
    <t>S.No</t>
  </si>
  <si>
    <t>colour pencils</t>
  </si>
  <si>
    <t>crayons</t>
  </si>
  <si>
    <t>watercolour pencils</t>
  </si>
  <si>
    <t>fabric paint</t>
  </si>
  <si>
    <t>medium 1</t>
  </si>
  <si>
    <t>medium 2</t>
  </si>
  <si>
    <t>silk scarves</t>
  </si>
  <si>
    <t>charcoal pencils</t>
  </si>
  <si>
    <t>markers</t>
  </si>
  <si>
    <t>rate</t>
  </si>
  <si>
    <t>discount</t>
  </si>
  <si>
    <t>wooden crafts_1</t>
  </si>
  <si>
    <t>wooden crafts_2</t>
  </si>
  <si>
    <t>wooden coaster 5 inch</t>
  </si>
  <si>
    <t>wooden coaster 4 inch</t>
  </si>
  <si>
    <t>wooden block</t>
  </si>
  <si>
    <t>pouring acrylic medium</t>
  </si>
  <si>
    <t>sparkles box</t>
  </si>
  <si>
    <t>coloured papers pack-a4</t>
  </si>
  <si>
    <t>artist pen pack</t>
  </si>
  <si>
    <t>charcoal blending tool pack</t>
  </si>
  <si>
    <t>yupo paper a5 pack</t>
  </si>
  <si>
    <t>yupo paper a4 pack</t>
  </si>
  <si>
    <t>sketch pens pack</t>
  </si>
  <si>
    <t>oil pastels pack</t>
  </si>
  <si>
    <t>without ddiscount</t>
  </si>
  <si>
    <t>acryling pouring</t>
  </si>
  <si>
    <t>sketching paper a3,4</t>
  </si>
  <si>
    <t>cutter</t>
  </si>
  <si>
    <t>kids painting kit</t>
  </si>
  <si>
    <t>approx material cost</t>
  </si>
  <si>
    <t>total cost</t>
  </si>
  <si>
    <t>sale price</t>
  </si>
  <si>
    <t>profit margin</t>
  </si>
  <si>
    <t>difference</t>
  </si>
  <si>
    <t>how many?</t>
  </si>
  <si>
    <t>concrete pot</t>
  </si>
  <si>
    <t>fabric paints</t>
  </si>
  <si>
    <t>acrylic pouring</t>
  </si>
  <si>
    <t>alcohol ink art</t>
  </si>
  <si>
    <t>LIST</t>
  </si>
  <si>
    <t>water colour pencils</t>
  </si>
  <si>
    <t>plastic crayons</t>
  </si>
  <si>
    <t>still life sketching</t>
  </si>
  <si>
    <t>penwork</t>
  </si>
  <si>
    <t>water colours</t>
  </si>
  <si>
    <t>acrlyic painting</t>
  </si>
  <si>
    <t>15 years and above</t>
  </si>
  <si>
    <t>sketching</t>
  </si>
  <si>
    <t>still life drawing</t>
  </si>
  <si>
    <t>Human Anatomy</t>
  </si>
  <si>
    <t>knife painting</t>
  </si>
  <si>
    <t>alcohol ink</t>
  </si>
  <si>
    <t>acrylic on woodden blocks</t>
  </si>
  <si>
    <t>block printing</t>
  </si>
  <si>
    <t>fabric painting</t>
  </si>
  <si>
    <t>face painting</t>
  </si>
  <si>
    <t>PRICE</t>
  </si>
  <si>
    <t>1200+</t>
  </si>
  <si>
    <t>Subscription</t>
  </si>
  <si>
    <t>Price</t>
  </si>
  <si>
    <t>sand paper</t>
  </si>
  <si>
    <t>c. sand paper</t>
  </si>
  <si>
    <t>d. oil pastels</t>
  </si>
  <si>
    <t>e. soft pastels</t>
  </si>
  <si>
    <t>a. watercolour pencils</t>
  </si>
  <si>
    <t>e. sparkle painting</t>
  </si>
  <si>
    <t>b. collage making</t>
  </si>
  <si>
    <t>after discount</t>
  </si>
  <si>
    <t>number of sessions</t>
  </si>
  <si>
    <t>mode of payment</t>
  </si>
  <si>
    <t>prepayment</t>
  </si>
  <si>
    <t>Category</t>
  </si>
  <si>
    <t>sketching with</t>
  </si>
  <si>
    <t>a. oil pastels</t>
  </si>
  <si>
    <t>b. penwork</t>
  </si>
  <si>
    <t>c. pencil shading</t>
  </si>
  <si>
    <t>d. watercolours</t>
  </si>
  <si>
    <t>a. pencil shading</t>
  </si>
  <si>
    <t>b. still life sketching</t>
  </si>
  <si>
    <t>c. acrylic painting</t>
  </si>
  <si>
    <t>d. acrylic painting</t>
  </si>
  <si>
    <t>15years and above</t>
  </si>
  <si>
    <t>a. water colours</t>
  </si>
  <si>
    <t>b. pen work</t>
  </si>
  <si>
    <t>c. oil pastels</t>
  </si>
  <si>
    <t>d. soft pastels</t>
  </si>
  <si>
    <t>e. pencil shading</t>
  </si>
  <si>
    <t>b. still life drawing</t>
  </si>
  <si>
    <t>d. knife painting</t>
  </si>
  <si>
    <t>raw material</t>
  </si>
  <si>
    <t>Quantity</t>
  </si>
  <si>
    <t>duration</t>
  </si>
  <si>
    <t>1- a3</t>
  </si>
  <si>
    <t>2 hours</t>
  </si>
  <si>
    <t>1 hour</t>
  </si>
  <si>
    <t>1- a4</t>
  </si>
  <si>
    <t>1-a3</t>
  </si>
  <si>
    <t>2 coasters, 1 clock</t>
  </si>
  <si>
    <t>2 blocks</t>
  </si>
  <si>
    <t>one scarf or one shirt</t>
  </si>
  <si>
    <t>3 hours</t>
  </si>
  <si>
    <t>profit margin*</t>
  </si>
  <si>
    <t>profit margin**</t>
  </si>
  <si>
    <t>profit margin*= profit calculated w.r.t raw material cost occurred and sale price before discount.</t>
  </si>
  <si>
    <t>profit margin**= profit calculated w.r.t raw material cost occurred and sale price after discount.</t>
  </si>
  <si>
    <t>stll life sketching</t>
  </si>
  <si>
    <t xml:space="preserve"> </t>
  </si>
  <si>
    <t>pouring medium</t>
  </si>
  <si>
    <t>colours</t>
  </si>
  <si>
    <t>metallic shade</t>
  </si>
  <si>
    <t>primary ink</t>
  </si>
  <si>
    <t>alcohol 99%</t>
  </si>
  <si>
    <t>blocks</t>
  </si>
  <si>
    <t>cloth</t>
  </si>
  <si>
    <t>a3 size white sheets</t>
  </si>
  <si>
    <t>pencils</t>
  </si>
  <si>
    <t>white sheet</t>
  </si>
  <si>
    <t>pencil</t>
  </si>
  <si>
    <t>2hours</t>
  </si>
  <si>
    <t>planters</t>
  </si>
  <si>
    <t>plants</t>
  </si>
  <si>
    <t>Advance</t>
  </si>
  <si>
    <t>geometrical shelf</t>
  </si>
  <si>
    <t>Cash/Bank</t>
  </si>
  <si>
    <t>cash</t>
  </si>
  <si>
    <t>bank</t>
  </si>
  <si>
    <t>cane 2 seaters</t>
  </si>
  <si>
    <t>1-2hours</t>
  </si>
  <si>
    <t>transportation</t>
  </si>
  <si>
    <t>miscelleneous</t>
  </si>
  <si>
    <t>electrical service charge</t>
  </si>
  <si>
    <t>my account</t>
  </si>
  <si>
    <t>from dad</t>
  </si>
  <si>
    <t>spent</t>
  </si>
  <si>
    <t>paid</t>
  </si>
  <si>
    <t>account</t>
  </si>
  <si>
    <t>swetha</t>
  </si>
  <si>
    <t>dad-swetha</t>
  </si>
  <si>
    <t>slab removal</t>
  </si>
  <si>
    <t>swetha+mom</t>
  </si>
  <si>
    <t>450bank-swetha</t>
  </si>
  <si>
    <t>to-be paid</t>
  </si>
  <si>
    <t>dad</t>
  </si>
  <si>
    <t>hexagon mirrors</t>
  </si>
  <si>
    <t>one time</t>
  </si>
  <si>
    <t>subscriptions</t>
  </si>
  <si>
    <t>25-days</t>
  </si>
  <si>
    <t>events</t>
  </si>
  <si>
    <t>birthdays</t>
  </si>
  <si>
    <t>corporate</t>
  </si>
  <si>
    <t>casual</t>
  </si>
  <si>
    <t>add on</t>
  </si>
  <si>
    <t>cake</t>
  </si>
  <si>
    <t>photoshoot</t>
  </si>
  <si>
    <t>price</t>
  </si>
  <si>
    <t>Full course</t>
  </si>
  <si>
    <t xml:space="preserve">prepayment </t>
  </si>
  <si>
    <t xml:space="preserve">difference </t>
  </si>
  <si>
    <t xml:space="preserve">mode of payment </t>
  </si>
  <si>
    <t xml:space="preserve"> table chairs</t>
  </si>
  <si>
    <t>mom</t>
  </si>
  <si>
    <t>bamboo fencing</t>
  </si>
  <si>
    <t>Number of sessions</t>
  </si>
  <si>
    <t>8 years- 11 years</t>
  </si>
  <si>
    <t>11 years-15years</t>
  </si>
  <si>
    <t>8 years - 11 years</t>
  </si>
  <si>
    <t>11 years- 15 years</t>
  </si>
  <si>
    <t>11 years- 15years</t>
  </si>
  <si>
    <t>workshops</t>
  </si>
  <si>
    <t>other artist</t>
  </si>
  <si>
    <t>z</t>
  </si>
  <si>
    <t>5500 bank</t>
  </si>
  <si>
    <t xml:space="preserve">5000 bank </t>
  </si>
  <si>
    <t>8000 cash</t>
  </si>
  <si>
    <t>10,000 cash</t>
  </si>
  <si>
    <t>quoattion prints and framing</t>
  </si>
  <si>
    <t>cash, 2400 bank</t>
  </si>
  <si>
    <t>bank, 3200 cash</t>
  </si>
  <si>
    <t>led lights</t>
  </si>
  <si>
    <t>lanterns</t>
  </si>
  <si>
    <t>card</t>
  </si>
  <si>
    <t>easel side table (plus kid stools)</t>
  </si>
  <si>
    <t>pedestial fans_home</t>
  </si>
  <si>
    <t>table for coffee equipment_home</t>
  </si>
  <si>
    <t>2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</si>
</sst>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 (Body)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0" fontId="0" fillId="0" borderId="0" xfId="0" applyFill="1" applyBorder="1"/>
    <xf numFmtId="0" fontId="3" fillId="0" borderId="0" xfId="0" applyFont="1"/>
    <xf numFmtId="0" fontId="4" fillId="4" borderId="3" xfId="0" applyFont="1" applyFill="1" applyBorder="1"/>
    <xf numFmtId="0" fontId="5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/>
    <xf numFmtId="0" fontId="5" fillId="4" borderId="4" xfId="0" applyFont="1" applyFill="1" applyBorder="1" applyAlignment="1">
      <alignment horizontal="center"/>
    </xf>
    <xf numFmtId="165" fontId="4" fillId="4" borderId="4" xfId="1" applyNumberFormat="1" applyFont="1" applyFill="1" applyBorder="1"/>
    <xf numFmtId="3" fontId="4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165" fontId="4" fillId="4" borderId="4" xfId="0" applyNumberFormat="1" applyFont="1" applyFill="1" applyBorder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Fill="1"/>
    <xf numFmtId="3" fontId="0" fillId="0" borderId="0" xfId="0" applyNumberFormat="1" applyFill="1"/>
    <xf numFmtId="0" fontId="0" fillId="5" borderId="0" xfId="0" applyFont="1" applyFill="1"/>
    <xf numFmtId="0" fontId="0" fillId="0" borderId="2" xfId="0" applyFill="1" applyBorder="1"/>
    <xf numFmtId="0" fontId="0" fillId="0" borderId="3" xfId="0" applyFill="1" applyBorder="1"/>
    <xf numFmtId="0" fontId="6" fillId="0" borderId="0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6" xfId="0" applyFill="1" applyBorder="1"/>
    <xf numFmtId="0" fontId="6" fillId="0" borderId="6" xfId="0" applyFont="1" applyFill="1" applyBorder="1"/>
    <xf numFmtId="0" fontId="0" fillId="0" borderId="0" xfId="0" applyFill="1" applyAlignment="1">
      <alignment horizontal="center"/>
    </xf>
    <xf numFmtId="0" fontId="8" fillId="8" borderId="5" xfId="0" applyFont="1" applyFill="1" applyBorder="1"/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1" fontId="0" fillId="0" borderId="7" xfId="0" applyNumberFormat="1" applyFill="1" applyBorder="1"/>
    <xf numFmtId="1" fontId="0" fillId="0" borderId="3" xfId="0" applyNumberFormat="1" applyFill="1" applyBorder="1"/>
    <xf numFmtId="9" fontId="0" fillId="0" borderId="3" xfId="2" applyFont="1" applyFill="1" applyBorder="1"/>
    <xf numFmtId="0" fontId="0" fillId="0" borderId="7" xfId="0" applyFill="1" applyBorder="1"/>
    <xf numFmtId="0" fontId="0" fillId="9" borderId="0" xfId="0" applyFill="1" applyBorder="1"/>
    <xf numFmtId="0" fontId="6" fillId="9" borderId="0" xfId="0" applyFont="1" applyFill="1" applyBorder="1"/>
    <xf numFmtId="0" fontId="0" fillId="0" borderId="9" xfId="0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6" fillId="9" borderId="2" xfId="0" applyFont="1" applyFill="1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6" xfId="2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/>
    <xf numFmtId="9" fontId="0" fillId="0" borderId="0" xfId="2" applyFont="1" applyFill="1"/>
    <xf numFmtId="9" fontId="0" fillId="0" borderId="0" xfId="2" applyFont="1" applyFill="1" applyBorder="1"/>
    <xf numFmtId="1" fontId="0" fillId="0" borderId="0" xfId="0" applyNumberFormat="1" applyFill="1"/>
    <xf numFmtId="3" fontId="4" fillId="4" borderId="3" xfId="0" applyNumberFormat="1" applyFont="1" applyFill="1" applyBorder="1"/>
    <xf numFmtId="0" fontId="3" fillId="10" borderId="0" xfId="0" applyFont="1" applyFill="1"/>
    <xf numFmtId="0" fontId="4" fillId="4" borderId="3" xfId="0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4" fillId="4" borderId="4" xfId="0" applyFont="1" applyFill="1" applyBorder="1" applyAlignment="1">
      <alignment horizontal="center"/>
    </xf>
    <xf numFmtId="3" fontId="3" fillId="0" borderId="0" xfId="0" applyNumberFormat="1" applyFont="1"/>
    <xf numFmtId="16" fontId="3" fillId="0" borderId="0" xfId="0" applyNumberFormat="1" applyFont="1"/>
    <xf numFmtId="3" fontId="3" fillId="0" borderId="6" xfId="0" applyNumberFormat="1" applyFont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right"/>
    </xf>
    <xf numFmtId="3" fontId="4" fillId="4" borderId="3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165" fontId="0" fillId="0" borderId="0" xfId="0" applyNumberFormat="1"/>
    <xf numFmtId="164" fontId="4" fillId="4" borderId="4" xfId="1" applyFont="1" applyFill="1" applyBorder="1"/>
    <xf numFmtId="2" fontId="4" fillId="4" borderId="4" xfId="1" applyNumberFormat="1" applyFont="1" applyFill="1" applyBorder="1"/>
    <xf numFmtId="164" fontId="4" fillId="4" borderId="0" xfId="0" applyNumberFormat="1" applyFont="1" applyFill="1"/>
    <xf numFmtId="0" fontId="0" fillId="5" borderId="0" xfId="0" applyFill="1" applyAlignment="1">
      <alignment horizontal="center"/>
    </xf>
    <xf numFmtId="0" fontId="4" fillId="11" borderId="3" xfId="0" applyFont="1" applyFill="1" applyBorder="1"/>
    <xf numFmtId="0" fontId="4" fillId="11" borderId="3" xfId="0" applyFont="1" applyFill="1" applyBorder="1" applyAlignment="1">
      <alignment horizontal="right"/>
    </xf>
    <xf numFmtId="0" fontId="4" fillId="11" borderId="3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3" fontId="0" fillId="0" borderId="6" xfId="0" applyNumberFormat="1" applyFill="1" applyBorder="1"/>
    <xf numFmtId="0" fontId="4" fillId="0" borderId="3" xfId="0" applyFont="1" applyFill="1" applyBorder="1" applyAlignment="1">
      <alignment horizontal="right"/>
    </xf>
    <xf numFmtId="0" fontId="0" fillId="0" borderId="11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ill="1" applyBorder="1"/>
    <xf numFmtId="0" fontId="1" fillId="7" borderId="2" xfId="0" applyFont="1" applyFill="1" applyBorder="1" applyAlignment="1">
      <alignment horizontal="center"/>
    </xf>
    <xf numFmtId="0" fontId="0" fillId="9" borderId="2" xfId="0" applyFill="1" applyBorder="1"/>
    <xf numFmtId="0" fontId="0" fillId="0" borderId="2" xfId="0" applyBorder="1"/>
    <xf numFmtId="0" fontId="0" fillId="0" borderId="11" xfId="0" applyBorder="1"/>
    <xf numFmtId="0" fontId="0" fillId="9" borderId="0" xfId="0" applyFill="1" applyBorder="1" applyAlignment="1">
      <alignment horizontal="center"/>
    </xf>
    <xf numFmtId="3" fontId="0" fillId="0" borderId="3" xfId="0" applyNumberFormat="1" applyFill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H40" totalsRowCount="1" headerRowDxfId="17" dataDxfId="16">
  <autoFilter ref="A3:H39" xr:uid="{00000000-0009-0000-0100-000001000000}"/>
  <tableColumns count="8">
    <tableColumn id="1" xr3:uid="{00000000-0010-0000-0000-000001000000}" name="serial number" dataDxfId="15" totalsRowDxfId="14"/>
    <tableColumn id="2" xr3:uid="{00000000-0010-0000-0000-000002000000}" name="equipment" dataDxfId="13" totalsRowDxfId="12"/>
    <tableColumn id="5" xr3:uid="{00000000-0010-0000-0000-000005000000}" name="quantity" dataDxfId="11" totalsRowDxfId="10"/>
    <tableColumn id="3" xr3:uid="{00000000-0010-0000-0000-000003000000}" name="expected price" dataDxfId="9" totalsRowDxfId="8"/>
    <tableColumn id="4" xr3:uid="{00000000-0010-0000-0000-000004000000}" name="actual price" dataDxfId="7" totalsRowDxfId="6"/>
    <tableColumn id="6" xr3:uid="{00000000-0010-0000-0000-000006000000}" name="Advance" dataDxfId="5" totalsRowDxfId="4"/>
    <tableColumn id="7" xr3:uid="{00000000-0010-0000-0000-000007000000}" name="Cash/Bank" dataDxfId="3" totalsRowDxfId="2"/>
    <tableColumn id="8" xr3:uid="{00000000-0010-0000-0000-000008000000}" name="ac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zoomScale="119" workbookViewId="0">
      <pane ySplit="1" topLeftCell="A2" activePane="bottomLeft" state="frozen"/>
      <selection pane="bottomLeft" activeCell="C22" sqref="C22"/>
    </sheetView>
  </sheetViews>
  <sheetFormatPr defaultColWidth="11" defaultRowHeight="15.75"/>
  <cols>
    <col min="1" max="1" width="14.125" customWidth="1"/>
    <col min="2" max="2" width="16.125" customWidth="1"/>
    <col min="3" max="3" width="15.5" customWidth="1"/>
    <col min="4" max="4" width="21.625" customWidth="1"/>
    <col min="5" max="5" width="18.5" customWidth="1"/>
    <col min="8" max="8" width="13.875" customWidth="1"/>
    <col min="12" max="12" width="24.125" customWidth="1"/>
    <col min="13" max="13" width="15" customWidth="1"/>
    <col min="14" max="14" width="13.5" customWidth="1"/>
    <col min="16" max="16" width="20" customWidth="1"/>
  </cols>
  <sheetData>
    <row r="1" spans="1:1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7" t="s">
        <v>105</v>
      </c>
      <c r="L1" s="19" t="s">
        <v>81</v>
      </c>
      <c r="M1" s="19" t="s">
        <v>67</v>
      </c>
      <c r="N1" s="17" t="s">
        <v>115</v>
      </c>
      <c r="O1" s="17" t="s">
        <v>116</v>
      </c>
      <c r="P1" s="17" t="s">
        <v>131</v>
      </c>
    </row>
    <row r="2" spans="1:16">
      <c r="A2" s="2"/>
      <c r="B2" s="2"/>
      <c r="C2" s="2"/>
      <c r="D2" s="2"/>
      <c r="E2" s="2"/>
      <c r="K2" s="16">
        <v>1</v>
      </c>
      <c r="L2" t="s">
        <v>124</v>
      </c>
      <c r="M2">
        <v>2</v>
      </c>
      <c r="N2">
        <v>180</v>
      </c>
      <c r="O2">
        <v>0</v>
      </c>
      <c r="P2">
        <f>N2*M2</f>
        <v>360</v>
      </c>
    </row>
    <row r="3" spans="1:16">
      <c r="H3" s="22"/>
      <c r="I3" s="22"/>
      <c r="J3" s="22"/>
      <c r="K3" s="16">
        <v>2</v>
      </c>
      <c r="L3" s="20" t="s">
        <v>82</v>
      </c>
    </row>
    <row r="4" spans="1:16">
      <c r="A4" s="3" t="s">
        <v>0</v>
      </c>
      <c r="B4" s="3" t="s">
        <v>5</v>
      </c>
      <c r="D4" s="3" t="s">
        <v>6</v>
      </c>
      <c r="E4" s="3" t="s">
        <v>5</v>
      </c>
      <c r="H4" s="5"/>
      <c r="I4" s="5"/>
      <c r="J4" s="5"/>
      <c r="K4" s="16">
        <v>3</v>
      </c>
      <c r="L4" t="s">
        <v>83</v>
      </c>
      <c r="O4">
        <v>0.15</v>
      </c>
      <c r="P4">
        <f>((4*300)+(4*330)+(6*100)+(2*140))</f>
        <v>3400</v>
      </c>
    </row>
    <row r="5" spans="1:16">
      <c r="A5" t="s">
        <v>7</v>
      </c>
      <c r="B5" s="4">
        <v>35000</v>
      </c>
      <c r="D5" t="s">
        <v>11</v>
      </c>
      <c r="H5" s="22"/>
      <c r="I5" s="23"/>
      <c r="J5" s="23"/>
      <c r="K5" s="16">
        <v>4</v>
      </c>
      <c r="L5" t="s">
        <v>122</v>
      </c>
      <c r="M5">
        <v>3</v>
      </c>
      <c r="N5">
        <v>425</v>
      </c>
      <c r="O5">
        <v>0</v>
      </c>
      <c r="P5">
        <f>N5*M5</f>
        <v>1275</v>
      </c>
    </row>
    <row r="6" spans="1:16">
      <c r="A6" t="s">
        <v>8</v>
      </c>
      <c r="B6" s="4">
        <v>2500</v>
      </c>
      <c r="H6" s="22"/>
      <c r="I6" s="22"/>
      <c r="J6" s="22"/>
      <c r="K6" s="16">
        <v>5</v>
      </c>
      <c r="L6" s="20" t="s">
        <v>84</v>
      </c>
    </row>
    <row r="7" spans="1:16">
      <c r="A7" t="s">
        <v>61</v>
      </c>
      <c r="B7">
        <v>500</v>
      </c>
      <c r="H7" s="22"/>
      <c r="I7" s="23"/>
      <c r="J7" s="23"/>
      <c r="K7" s="16">
        <v>6</v>
      </c>
      <c r="L7" s="20" t="s">
        <v>85</v>
      </c>
    </row>
    <row r="8" spans="1:16">
      <c r="A8" t="s">
        <v>54</v>
      </c>
      <c r="B8" s="4">
        <v>30000</v>
      </c>
      <c r="H8" s="22"/>
      <c r="I8" s="22"/>
      <c r="J8" s="22"/>
      <c r="K8" s="16">
        <v>7</v>
      </c>
      <c r="L8" s="20" t="s">
        <v>37</v>
      </c>
    </row>
    <row r="9" spans="1:16">
      <c r="A9" t="s">
        <v>9</v>
      </c>
      <c r="B9" s="4">
        <v>10000</v>
      </c>
      <c r="H9" s="22"/>
      <c r="I9" s="22"/>
      <c r="J9" s="22"/>
      <c r="K9" s="16">
        <v>8</v>
      </c>
      <c r="L9" s="20" t="s">
        <v>86</v>
      </c>
    </row>
    <row r="10" spans="1:16">
      <c r="A10" t="s">
        <v>10</v>
      </c>
      <c r="B10" s="4">
        <v>1500</v>
      </c>
      <c r="H10" s="22"/>
      <c r="I10" s="22"/>
      <c r="J10" s="22"/>
      <c r="K10" s="16">
        <v>9</v>
      </c>
      <c r="L10" s="20" t="s">
        <v>92</v>
      </c>
    </row>
    <row r="11" spans="1:16">
      <c r="B11" s="4">
        <f>SUM(B5:B10)</f>
        <v>79500</v>
      </c>
      <c r="H11" s="22"/>
      <c r="I11" s="22"/>
      <c r="J11" s="22"/>
      <c r="K11" s="16">
        <v>10</v>
      </c>
      <c r="L11" s="20" t="s">
        <v>87</v>
      </c>
    </row>
    <row r="12" spans="1:16">
      <c r="B12">
        <f>B11/200</f>
        <v>397.5</v>
      </c>
      <c r="H12" s="22"/>
      <c r="I12" s="22"/>
      <c r="J12" s="22"/>
      <c r="K12" s="16">
        <v>11</v>
      </c>
      <c r="L12" t="s">
        <v>123</v>
      </c>
      <c r="M12">
        <v>1</v>
      </c>
      <c r="N12">
        <v>960</v>
      </c>
      <c r="O12">
        <v>0</v>
      </c>
      <c r="P12">
        <f>N12*M12</f>
        <v>960</v>
      </c>
    </row>
    <row r="13" spans="1:16">
      <c r="B13">
        <f>B12/30</f>
        <v>13.25</v>
      </c>
      <c r="H13" s="22"/>
      <c r="I13" s="22"/>
      <c r="J13" s="22"/>
      <c r="K13" s="16">
        <v>12</v>
      </c>
      <c r="L13" s="21" t="s">
        <v>50</v>
      </c>
    </row>
    <row r="14" spans="1:16">
      <c r="H14" s="22"/>
      <c r="I14" s="22"/>
      <c r="J14" s="22"/>
      <c r="K14" s="16">
        <v>13</v>
      </c>
      <c r="L14" t="s">
        <v>88</v>
      </c>
      <c r="M14">
        <v>2</v>
      </c>
      <c r="N14">
        <v>100</v>
      </c>
      <c r="O14">
        <v>0.15</v>
      </c>
      <c r="P14">
        <v>200</v>
      </c>
    </row>
    <row r="15" spans="1:16">
      <c r="B15" s="68">
        <f>B11/26</f>
        <v>3057.6923076923076</v>
      </c>
      <c r="H15" s="22"/>
      <c r="I15" s="22"/>
      <c r="J15" s="22"/>
      <c r="K15" s="16">
        <v>14</v>
      </c>
      <c r="L15" t="s">
        <v>130</v>
      </c>
      <c r="M15">
        <v>2</v>
      </c>
      <c r="N15">
        <v>170</v>
      </c>
      <c r="O15">
        <v>0.15</v>
      </c>
      <c r="P15">
        <v>340</v>
      </c>
    </row>
    <row r="16" spans="1:16">
      <c r="D16" t="s">
        <v>57</v>
      </c>
      <c r="E16">
        <v>500</v>
      </c>
      <c r="F16">
        <v>857</v>
      </c>
      <c r="G16">
        <f>E16*F16</f>
        <v>428500</v>
      </c>
      <c r="K16" s="16">
        <v>15</v>
      </c>
      <c r="L16" s="20" t="s">
        <v>89</v>
      </c>
    </row>
    <row r="17" spans="2:16">
      <c r="D17" t="s">
        <v>58</v>
      </c>
      <c r="E17">
        <v>200</v>
      </c>
      <c r="F17">
        <v>857</v>
      </c>
      <c r="G17">
        <f>E17*F17</f>
        <v>171400</v>
      </c>
      <c r="K17" s="16">
        <v>16</v>
      </c>
      <c r="L17" s="20" t="s">
        <v>90</v>
      </c>
    </row>
    <row r="18" spans="2:16">
      <c r="D18" t="s">
        <v>59</v>
      </c>
      <c r="E18">
        <f>E16-E17</f>
        <v>300</v>
      </c>
      <c r="G18">
        <f>G16-G17</f>
        <v>257100</v>
      </c>
      <c r="K18" s="16">
        <v>17</v>
      </c>
      <c r="L18" t="s">
        <v>17</v>
      </c>
      <c r="M18">
        <v>2</v>
      </c>
      <c r="N18">
        <v>225</v>
      </c>
      <c r="O18">
        <v>0.1</v>
      </c>
      <c r="P18">
        <f>N18*M18</f>
        <v>450</v>
      </c>
    </row>
    <row r="19" spans="2:16">
      <c r="K19" s="16">
        <v>18</v>
      </c>
      <c r="L19" t="s">
        <v>69</v>
      </c>
      <c r="O19" s="117">
        <v>0.5</v>
      </c>
      <c r="P19" s="117">
        <f>(1*450)+(3*300)+(3*170)+(1*550)+(1*425)</f>
        <v>2835</v>
      </c>
    </row>
    <row r="20" spans="2:16">
      <c r="D20" t="s">
        <v>60</v>
      </c>
      <c r="E20">
        <f>B11/E18</f>
        <v>265</v>
      </c>
      <c r="K20" s="16">
        <v>19</v>
      </c>
      <c r="L20" t="s">
        <v>91</v>
      </c>
      <c r="O20" s="117"/>
      <c r="P20" s="117"/>
    </row>
    <row r="21" spans="2:16">
      <c r="E21">
        <v>30</v>
      </c>
      <c r="K21" s="16">
        <v>20</v>
      </c>
      <c r="L21" t="s">
        <v>93</v>
      </c>
      <c r="O21" s="117"/>
      <c r="P21" s="117"/>
    </row>
    <row r="22" spans="2:16">
      <c r="E22">
        <f>E20/E21</f>
        <v>8.8333333333333339</v>
      </c>
      <c r="K22" s="16">
        <v>21</v>
      </c>
      <c r="L22" t="s">
        <v>94</v>
      </c>
      <c r="M22">
        <v>3</v>
      </c>
      <c r="N22">
        <v>270</v>
      </c>
      <c r="O22">
        <v>0.1</v>
      </c>
      <c r="P22">
        <f>N22*M22</f>
        <v>810</v>
      </c>
    </row>
    <row r="23" spans="2:16">
      <c r="K23" s="16">
        <v>22</v>
      </c>
      <c r="L23" t="s">
        <v>38</v>
      </c>
      <c r="M23">
        <v>2</v>
      </c>
      <c r="N23">
        <v>190</v>
      </c>
      <c r="O23">
        <v>0.1</v>
      </c>
      <c r="P23">
        <v>380</v>
      </c>
    </row>
    <row r="24" spans="2:16">
      <c r="K24" s="16">
        <v>23</v>
      </c>
      <c r="L24" t="s">
        <v>95</v>
      </c>
      <c r="M24">
        <v>7</v>
      </c>
      <c r="N24">
        <v>200</v>
      </c>
      <c r="O24">
        <v>0.1</v>
      </c>
      <c r="P24">
        <f>N24*M24</f>
        <v>1400</v>
      </c>
    </row>
    <row r="25" spans="2:16">
      <c r="K25" s="16">
        <v>24</v>
      </c>
      <c r="L25" t="s">
        <v>133</v>
      </c>
      <c r="M25">
        <v>4</v>
      </c>
      <c r="P25">
        <f>(220*2)+(180*2)</f>
        <v>800</v>
      </c>
    </row>
    <row r="26" spans="2:16">
      <c r="B26" t="s">
        <v>47</v>
      </c>
      <c r="C26" t="s">
        <v>225</v>
      </c>
      <c r="K26" s="16">
        <v>25</v>
      </c>
      <c r="L26" t="s">
        <v>96</v>
      </c>
      <c r="M26">
        <v>6</v>
      </c>
      <c r="N26">
        <v>50</v>
      </c>
      <c r="O26">
        <v>0.1</v>
      </c>
      <c r="P26">
        <f>N26*M26</f>
        <v>300</v>
      </c>
    </row>
    <row r="27" spans="2:16">
      <c r="K27" s="16">
        <v>26</v>
      </c>
      <c r="L27" t="s">
        <v>125</v>
      </c>
      <c r="M27">
        <v>2</v>
      </c>
      <c r="N27">
        <v>500</v>
      </c>
      <c r="O27">
        <v>0</v>
      </c>
      <c r="P27">
        <f>N27*M27</f>
        <v>1000</v>
      </c>
    </row>
    <row r="28" spans="2:16">
      <c r="K28" s="16">
        <v>27</v>
      </c>
      <c r="L28" s="20" t="s">
        <v>97</v>
      </c>
    </row>
    <row r="29" spans="2:16">
      <c r="K29" s="16">
        <v>28</v>
      </c>
      <c r="L29" s="20" t="s">
        <v>98</v>
      </c>
    </row>
    <row r="30" spans="2:16">
      <c r="K30" s="16">
        <v>29</v>
      </c>
      <c r="L30" s="20" t="s">
        <v>99</v>
      </c>
    </row>
    <row r="31" spans="2:16">
      <c r="K31" s="16">
        <v>30</v>
      </c>
      <c r="L31" t="s">
        <v>100</v>
      </c>
      <c r="M31">
        <v>4</v>
      </c>
      <c r="N31">
        <v>60</v>
      </c>
      <c r="O31">
        <v>0.1</v>
      </c>
      <c r="P31">
        <f>N31*M31</f>
        <v>240</v>
      </c>
    </row>
    <row r="32" spans="2:16">
      <c r="K32" s="16">
        <v>31</v>
      </c>
      <c r="L32" t="s">
        <v>101</v>
      </c>
      <c r="M32">
        <v>2</v>
      </c>
      <c r="N32">
        <v>135</v>
      </c>
      <c r="O32">
        <v>0</v>
      </c>
      <c r="P32">
        <f>N32*M32</f>
        <v>270</v>
      </c>
    </row>
    <row r="33" spans="11:16">
      <c r="K33" s="16">
        <v>32</v>
      </c>
      <c r="L33" s="20" t="s">
        <v>46</v>
      </c>
    </row>
    <row r="34" spans="11:16">
      <c r="K34" s="16">
        <v>33</v>
      </c>
      <c r="L34" s="20" t="s">
        <v>102</v>
      </c>
    </row>
    <row r="35" spans="11:16">
      <c r="K35" s="16">
        <v>34</v>
      </c>
      <c r="L35" s="20" t="s">
        <v>103</v>
      </c>
    </row>
    <row r="36" spans="11:16">
      <c r="K36" s="16">
        <v>35</v>
      </c>
      <c r="L36" t="s">
        <v>104</v>
      </c>
      <c r="M36">
        <v>7</v>
      </c>
      <c r="N36">
        <v>165</v>
      </c>
      <c r="O36">
        <v>0</v>
      </c>
      <c r="P36">
        <f t="shared" ref="P36:P44" si="0">N36*M36</f>
        <v>1155</v>
      </c>
    </row>
    <row r="37" spans="11:16">
      <c r="K37" s="16">
        <v>36</v>
      </c>
      <c r="L37" t="s">
        <v>117</v>
      </c>
      <c r="M37">
        <v>3</v>
      </c>
      <c r="N37">
        <v>135</v>
      </c>
      <c r="O37">
        <v>0</v>
      </c>
      <c r="P37">
        <f t="shared" si="0"/>
        <v>405</v>
      </c>
    </row>
    <row r="38" spans="11:16">
      <c r="K38" s="16">
        <v>37</v>
      </c>
      <c r="L38" t="s">
        <v>118</v>
      </c>
      <c r="M38">
        <v>1</v>
      </c>
      <c r="N38">
        <v>90</v>
      </c>
      <c r="O38">
        <v>0</v>
      </c>
      <c r="P38">
        <f t="shared" si="0"/>
        <v>90</v>
      </c>
    </row>
    <row r="39" spans="11:16">
      <c r="K39" s="16">
        <v>38</v>
      </c>
      <c r="L39" t="s">
        <v>119</v>
      </c>
      <c r="M39">
        <v>2</v>
      </c>
      <c r="N39">
        <v>165</v>
      </c>
      <c r="O39">
        <v>0</v>
      </c>
      <c r="P39">
        <f t="shared" si="0"/>
        <v>330</v>
      </c>
    </row>
    <row r="40" spans="11:16">
      <c r="K40" s="16">
        <v>39</v>
      </c>
      <c r="L40" t="s">
        <v>120</v>
      </c>
      <c r="M40">
        <v>2</v>
      </c>
      <c r="N40">
        <v>140</v>
      </c>
      <c r="O40">
        <v>0</v>
      </c>
      <c r="P40">
        <f t="shared" si="0"/>
        <v>280</v>
      </c>
    </row>
    <row r="41" spans="11:16">
      <c r="K41" s="16">
        <v>40</v>
      </c>
      <c r="L41" t="s">
        <v>121</v>
      </c>
      <c r="M41">
        <v>1</v>
      </c>
      <c r="N41">
        <v>165</v>
      </c>
      <c r="O41">
        <v>0</v>
      </c>
      <c r="P41">
        <f t="shared" si="0"/>
        <v>165</v>
      </c>
    </row>
    <row r="42" spans="11:16">
      <c r="K42" s="16">
        <v>41</v>
      </c>
      <c r="L42" t="s">
        <v>121</v>
      </c>
      <c r="M42">
        <v>2</v>
      </c>
      <c r="N42">
        <v>25</v>
      </c>
      <c r="O42">
        <v>0</v>
      </c>
      <c r="P42">
        <f t="shared" si="0"/>
        <v>50</v>
      </c>
    </row>
    <row r="43" spans="11:16">
      <c r="K43" s="16">
        <v>42</v>
      </c>
      <c r="L43" t="s">
        <v>121</v>
      </c>
      <c r="M43">
        <v>3</v>
      </c>
      <c r="N43">
        <v>125</v>
      </c>
      <c r="O43">
        <v>0</v>
      </c>
      <c r="P43">
        <f t="shared" si="0"/>
        <v>375</v>
      </c>
    </row>
    <row r="44" spans="11:16">
      <c r="K44" s="16">
        <v>43</v>
      </c>
      <c r="L44" t="s">
        <v>121</v>
      </c>
      <c r="M44">
        <v>1</v>
      </c>
      <c r="N44">
        <v>60</v>
      </c>
      <c r="O44">
        <v>0</v>
      </c>
      <c r="P44">
        <f t="shared" si="0"/>
        <v>60</v>
      </c>
    </row>
    <row r="45" spans="11:16">
      <c r="K45" s="16">
        <v>44</v>
      </c>
      <c r="L45" t="s">
        <v>106</v>
      </c>
      <c r="M45">
        <v>2</v>
      </c>
      <c r="N45">
        <v>100</v>
      </c>
      <c r="O45">
        <v>0.15</v>
      </c>
      <c r="P45">
        <v>200</v>
      </c>
    </row>
    <row r="46" spans="11:16">
      <c r="K46" s="16">
        <v>45</v>
      </c>
      <c r="L46" t="s">
        <v>107</v>
      </c>
      <c r="M46">
        <v>2</v>
      </c>
      <c r="N46">
        <v>100</v>
      </c>
      <c r="O46">
        <v>0.15</v>
      </c>
      <c r="P46">
        <v>200</v>
      </c>
    </row>
    <row r="47" spans="11:16">
      <c r="K47" s="16">
        <v>46</v>
      </c>
      <c r="L47" t="s">
        <v>108</v>
      </c>
      <c r="M47">
        <v>4</v>
      </c>
      <c r="N47">
        <v>120</v>
      </c>
      <c r="O47">
        <v>0.15</v>
      </c>
      <c r="P47">
        <v>480</v>
      </c>
    </row>
    <row r="48" spans="11:16">
      <c r="K48" s="16">
        <v>47</v>
      </c>
      <c r="L48" s="20" t="s">
        <v>109</v>
      </c>
    </row>
    <row r="49" spans="11:16">
      <c r="K49" s="16">
        <v>48</v>
      </c>
      <c r="L49" s="20" t="s">
        <v>110</v>
      </c>
    </row>
    <row r="50" spans="11:16">
      <c r="K50" s="16">
        <v>49</v>
      </c>
      <c r="L50" s="20" t="s">
        <v>111</v>
      </c>
    </row>
    <row r="51" spans="11:16">
      <c r="K51" s="16">
        <v>50</v>
      </c>
      <c r="L51" s="20" t="s">
        <v>112</v>
      </c>
    </row>
    <row r="52" spans="11:16">
      <c r="K52" s="16">
        <v>51</v>
      </c>
      <c r="L52" t="s">
        <v>113</v>
      </c>
      <c r="M52">
        <v>2</v>
      </c>
      <c r="N52">
        <v>299</v>
      </c>
      <c r="O52">
        <v>0.1</v>
      </c>
      <c r="P52">
        <f>N52*M52</f>
        <v>598</v>
      </c>
    </row>
    <row r="53" spans="11:16">
      <c r="K53" s="16">
        <v>52</v>
      </c>
      <c r="L53" t="s">
        <v>129</v>
      </c>
      <c r="M53">
        <v>2</v>
      </c>
      <c r="N53">
        <v>100</v>
      </c>
      <c r="O53">
        <v>0.15</v>
      </c>
      <c r="P53">
        <f>N53*M53</f>
        <v>200</v>
      </c>
    </row>
    <row r="54" spans="11:16">
      <c r="K54" s="16">
        <v>53</v>
      </c>
      <c r="L54" s="20" t="s">
        <v>114</v>
      </c>
    </row>
    <row r="55" spans="11:16">
      <c r="K55" s="16">
        <v>54</v>
      </c>
      <c r="L55" t="s">
        <v>126</v>
      </c>
      <c r="M55">
        <v>1</v>
      </c>
      <c r="N55">
        <v>80</v>
      </c>
      <c r="O55">
        <v>0</v>
      </c>
      <c r="P55">
        <f>N55*M55</f>
        <v>80</v>
      </c>
    </row>
    <row r="56" spans="11:16">
      <c r="K56" s="16">
        <v>55</v>
      </c>
      <c r="L56" t="s">
        <v>127</v>
      </c>
      <c r="M56">
        <v>1</v>
      </c>
      <c r="N56">
        <v>250</v>
      </c>
      <c r="O56">
        <v>0</v>
      </c>
      <c r="P56">
        <f>N56*M56</f>
        <v>250</v>
      </c>
    </row>
    <row r="57" spans="11:16">
      <c r="K57" s="16">
        <v>56</v>
      </c>
      <c r="L57" t="s">
        <v>128</v>
      </c>
      <c r="M57">
        <v>1</v>
      </c>
      <c r="N57">
        <v>450</v>
      </c>
      <c r="O57">
        <v>0</v>
      </c>
      <c r="P57">
        <f>450*M57</f>
        <v>450</v>
      </c>
    </row>
    <row r="58" spans="11:16">
      <c r="K58" s="16">
        <v>57</v>
      </c>
      <c r="L58" t="s">
        <v>132</v>
      </c>
      <c r="M58">
        <v>8</v>
      </c>
      <c r="N58">
        <v>300</v>
      </c>
      <c r="O58">
        <v>0.1</v>
      </c>
      <c r="P58">
        <v>2400</v>
      </c>
    </row>
    <row r="59" spans="11:16">
      <c r="K59" s="16">
        <v>58</v>
      </c>
      <c r="L59" t="s">
        <v>134</v>
      </c>
      <c r="M59">
        <v>2</v>
      </c>
      <c r="N59">
        <v>40</v>
      </c>
      <c r="O59">
        <v>0.1</v>
      </c>
      <c r="P59">
        <v>80</v>
      </c>
    </row>
    <row r="60" spans="11:16">
      <c r="K60" s="16">
        <v>59</v>
      </c>
      <c r="L60" t="s">
        <v>135</v>
      </c>
      <c r="M60">
        <v>2</v>
      </c>
      <c r="N60">
        <v>199</v>
      </c>
      <c r="O60">
        <v>0.1</v>
      </c>
      <c r="P60">
        <f>N60*M60</f>
        <v>398</v>
      </c>
    </row>
    <row r="62" spans="11:16">
      <c r="P62" s="4">
        <v>21577</v>
      </c>
    </row>
  </sheetData>
  <mergeCells count="2">
    <mergeCell ref="P19:P21"/>
    <mergeCell ref="O19:O21"/>
  </mergeCells>
  <pageMargins left="0.7" right="0.7" top="0.75" bottom="0.75" header="0.3" footer="0.3"/>
  <ignoredErrors>
    <ignoredError sqref="P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2"/>
  <sheetViews>
    <sheetView tabSelected="1" topLeftCell="K11" zoomScale="88" workbookViewId="0">
      <selection activeCell="AG2" sqref="AG2"/>
    </sheetView>
  </sheetViews>
  <sheetFormatPr defaultColWidth="10.875" defaultRowHeight="15.75"/>
  <cols>
    <col min="1" max="1" width="10.875" style="33"/>
    <col min="2" max="2" width="20.875" customWidth="1"/>
    <col min="3" max="3" width="33.375" customWidth="1"/>
    <col min="4" max="4" width="12.125" style="52" customWidth="1"/>
    <col min="5" max="5" width="21.375" style="52" customWidth="1"/>
    <col min="6" max="6" width="13" style="52" customWidth="1"/>
    <col min="7" max="7" width="13" customWidth="1"/>
    <col min="8" max="8" width="12" style="51" customWidth="1"/>
    <col min="9" max="9" width="15.5" style="52" customWidth="1"/>
    <col min="10" max="10" width="16.125" customWidth="1"/>
    <col min="11" max="13" width="10.875" style="22"/>
    <col min="14" max="14" width="28" style="22" customWidth="1"/>
    <col min="15" max="15" width="10.875" style="22"/>
    <col min="16" max="16" width="17.875" style="22" customWidth="1"/>
    <col min="17" max="17" width="14.125" style="22" customWidth="1"/>
    <col min="18" max="20" width="10.875" style="22"/>
    <col min="21" max="21" width="17.875" style="22" customWidth="1"/>
    <col min="22" max="22" width="10.875" style="33"/>
    <col min="23" max="23" width="18.625" style="22" customWidth="1"/>
    <col min="24" max="26" width="10.875" style="22"/>
    <col min="27" max="27" width="16.5" customWidth="1"/>
    <col min="28" max="28" width="20.125" style="22" customWidth="1"/>
    <col min="29" max="29" width="18.875" style="22" customWidth="1"/>
    <col min="30" max="32" width="10.875" style="22"/>
    <col min="33" max="33" width="13.125" style="22" customWidth="1"/>
    <col min="34" max="16384" width="10.875" style="22"/>
  </cols>
  <sheetData>
    <row r="1" spans="1:37" ht="18.75">
      <c r="A1" s="19" t="s">
        <v>105</v>
      </c>
      <c r="B1" s="18" t="s">
        <v>12</v>
      </c>
      <c r="C1" s="18" t="s">
        <v>13</v>
      </c>
      <c r="D1" s="132" t="s">
        <v>136</v>
      </c>
      <c r="E1" s="133"/>
      <c r="F1" s="19" t="s">
        <v>137</v>
      </c>
      <c r="G1" s="19" t="s">
        <v>141</v>
      </c>
      <c r="H1" s="63" t="s">
        <v>138</v>
      </c>
      <c r="I1" s="19" t="s">
        <v>140</v>
      </c>
      <c r="J1" s="19" t="s">
        <v>139</v>
      </c>
      <c r="M1" s="137" t="s">
        <v>146</v>
      </c>
      <c r="N1" s="138"/>
      <c r="O1" s="47" t="s">
        <v>163</v>
      </c>
      <c r="P1" s="44" t="s">
        <v>197</v>
      </c>
      <c r="Q1" s="48" t="s">
        <v>198</v>
      </c>
      <c r="U1" s="34" t="s">
        <v>178</v>
      </c>
      <c r="V1" s="139" t="s">
        <v>165</v>
      </c>
      <c r="W1" s="140"/>
      <c r="X1" s="127" t="s">
        <v>166</v>
      </c>
      <c r="Y1" s="128"/>
      <c r="AA1" s="110" t="s">
        <v>178</v>
      </c>
      <c r="AB1" s="129" t="s">
        <v>262</v>
      </c>
      <c r="AC1" s="129"/>
      <c r="AD1" s="130" t="s">
        <v>261</v>
      </c>
      <c r="AE1" s="131"/>
      <c r="AF1" s="22">
        <v>1</v>
      </c>
      <c r="AG1" s="22" t="s">
        <v>251</v>
      </c>
    </row>
    <row r="2" spans="1:37">
      <c r="A2" s="33">
        <v>1</v>
      </c>
      <c r="B2" t="s">
        <v>14</v>
      </c>
      <c r="C2" t="s">
        <v>15</v>
      </c>
      <c r="D2" s="53">
        <v>220</v>
      </c>
      <c r="E2" s="53">
        <f>D2/30</f>
        <v>7.333333333333333</v>
      </c>
      <c r="F2" s="134">
        <f>E2+E3+E4</f>
        <v>23.833333333333332</v>
      </c>
      <c r="G2" s="136">
        <v>2</v>
      </c>
      <c r="H2" s="117">
        <v>299</v>
      </c>
      <c r="I2" s="136">
        <f>H2-(F2*G2)</f>
        <v>251.33333333333334</v>
      </c>
      <c r="J2" s="141">
        <f>I2/H2</f>
        <v>0.84057971014492761</v>
      </c>
      <c r="M2" s="25"/>
      <c r="N2" s="50" t="s">
        <v>270</v>
      </c>
      <c r="O2" s="5"/>
      <c r="P2" s="35"/>
      <c r="Q2" s="46"/>
      <c r="U2" s="55" t="s">
        <v>272</v>
      </c>
      <c r="V2" s="35">
        <v>1</v>
      </c>
      <c r="W2" s="5" t="s">
        <v>179</v>
      </c>
      <c r="X2" s="5"/>
      <c r="Y2" s="26"/>
      <c r="AA2" s="111" t="s">
        <v>270</v>
      </c>
      <c r="AB2" s="33">
        <v>1</v>
      </c>
      <c r="AC2" s="5" t="s">
        <v>179</v>
      </c>
      <c r="AD2" s="5"/>
      <c r="AE2" s="26"/>
      <c r="AF2" s="22">
        <v>2</v>
      </c>
      <c r="AG2" s="22" t="s">
        <v>252</v>
      </c>
    </row>
    <row r="3" spans="1:37">
      <c r="C3" t="s">
        <v>16</v>
      </c>
      <c r="D3" s="52">
        <v>180</v>
      </c>
      <c r="E3" s="52">
        <f>D3/20</f>
        <v>9</v>
      </c>
      <c r="F3" s="135"/>
      <c r="G3" s="136"/>
      <c r="H3" s="117"/>
      <c r="I3" s="136"/>
      <c r="J3" s="141"/>
      <c r="M3" s="25">
        <v>1</v>
      </c>
      <c r="N3" s="5" t="s">
        <v>14</v>
      </c>
      <c r="O3" s="5">
        <v>299</v>
      </c>
      <c r="P3" s="35" t="s">
        <v>199</v>
      </c>
      <c r="Q3" s="46" t="s">
        <v>200</v>
      </c>
      <c r="R3" s="22">
        <v>10</v>
      </c>
      <c r="S3" s="69">
        <v>0.84</v>
      </c>
      <c r="T3" s="22">
        <v>299</v>
      </c>
      <c r="U3" s="25"/>
      <c r="V3" s="35"/>
      <c r="W3" s="5" t="s">
        <v>171</v>
      </c>
      <c r="X3" s="5">
        <v>350</v>
      </c>
      <c r="Y3" s="26">
        <f>(170/5)+10+5</f>
        <v>49</v>
      </c>
      <c r="AA3" s="112"/>
      <c r="AC3" s="5" t="s">
        <v>171</v>
      </c>
      <c r="AD3" s="5">
        <v>350</v>
      </c>
      <c r="AE3" s="26">
        <f>(170/5)+10+5</f>
        <v>49</v>
      </c>
      <c r="AF3" s="22">
        <v>3</v>
      </c>
      <c r="AG3" s="22" t="s">
        <v>253</v>
      </c>
    </row>
    <row r="4" spans="1:37">
      <c r="C4" t="s">
        <v>17</v>
      </c>
      <c r="D4" s="52">
        <v>225</v>
      </c>
      <c r="E4" s="53">
        <f>D4/30</f>
        <v>7.5</v>
      </c>
      <c r="F4" s="135"/>
      <c r="G4" s="136"/>
      <c r="H4" s="117"/>
      <c r="I4" s="136"/>
      <c r="J4" s="141"/>
      <c r="M4" s="25">
        <v>2</v>
      </c>
      <c r="N4" s="146" t="s">
        <v>40</v>
      </c>
      <c r="O4" s="5">
        <v>450</v>
      </c>
      <c r="P4" s="35">
        <v>1</v>
      </c>
      <c r="Q4" s="46" t="s">
        <v>200</v>
      </c>
      <c r="R4" s="5">
        <v>3</v>
      </c>
      <c r="S4" s="70">
        <v>0.4</v>
      </c>
      <c r="T4" s="5">
        <v>800</v>
      </c>
      <c r="U4" s="25"/>
      <c r="V4" s="35"/>
      <c r="W4" s="5" t="s">
        <v>173</v>
      </c>
      <c r="X4" s="5">
        <v>299</v>
      </c>
      <c r="Y4" s="36">
        <f>F2</f>
        <v>23.833333333333332</v>
      </c>
      <c r="AA4" s="112"/>
      <c r="AC4" s="5" t="s">
        <v>173</v>
      </c>
      <c r="AD4" s="5">
        <v>299</v>
      </c>
      <c r="AE4" s="36">
        <f>Y4</f>
        <v>23.833333333333332</v>
      </c>
      <c r="AF4" s="22">
        <v>4</v>
      </c>
      <c r="AG4" s="22" t="s">
        <v>254</v>
      </c>
      <c r="AH4" s="22" t="s">
        <v>255</v>
      </c>
      <c r="AI4" s="22" t="s">
        <v>256</v>
      </c>
      <c r="AJ4" s="5" t="s">
        <v>257</v>
      </c>
      <c r="AK4" s="5" t="s">
        <v>275</v>
      </c>
    </row>
    <row r="5" spans="1:37">
      <c r="A5" s="56">
        <v>2</v>
      </c>
      <c r="B5" s="57" t="s">
        <v>20</v>
      </c>
      <c r="C5" s="57" t="s">
        <v>21</v>
      </c>
      <c r="D5" s="58"/>
      <c r="E5" s="58"/>
      <c r="F5" s="123">
        <f>E6+E7</f>
        <v>56.785714285714285</v>
      </c>
      <c r="G5" s="57"/>
      <c r="H5" s="123">
        <v>299</v>
      </c>
      <c r="I5" s="119">
        <f>H5-F5</f>
        <v>242.21428571428572</v>
      </c>
      <c r="J5" s="142">
        <f>I5/H5</f>
        <v>0.81008122312470143</v>
      </c>
      <c r="M5" s="25">
        <v>3</v>
      </c>
      <c r="N5" s="5" t="s">
        <v>34</v>
      </c>
      <c r="O5" s="5">
        <v>399</v>
      </c>
      <c r="P5" s="35" t="s">
        <v>199</v>
      </c>
      <c r="Q5" s="46" t="s">
        <v>200</v>
      </c>
      <c r="S5" s="69">
        <f>((S3*R3)+(S4*R4))/(R3+R4)</f>
        <v>0.73846153846153861</v>
      </c>
      <c r="T5" s="22">
        <f>R3*(T3)+R4*(T4)</f>
        <v>5390</v>
      </c>
      <c r="U5" s="25"/>
      <c r="V5" s="35"/>
      <c r="W5" s="5" t="s">
        <v>168</v>
      </c>
      <c r="X5" s="5">
        <v>350</v>
      </c>
      <c r="Y5" s="26">
        <f>20+(170/5)</f>
        <v>54</v>
      </c>
      <c r="AA5" s="112"/>
      <c r="AC5" s="5" t="s">
        <v>168</v>
      </c>
      <c r="AD5" s="5">
        <v>350</v>
      </c>
      <c r="AE5" s="26">
        <f>20+(170/5)</f>
        <v>54</v>
      </c>
      <c r="AH5" s="33">
        <v>6</v>
      </c>
      <c r="AI5" s="33">
        <v>6</v>
      </c>
      <c r="AJ5" s="33">
        <v>6</v>
      </c>
      <c r="AK5" s="35">
        <v>6</v>
      </c>
    </row>
    <row r="6" spans="1:37">
      <c r="A6" s="35"/>
      <c r="B6" s="59"/>
      <c r="C6" s="59" t="s">
        <v>18</v>
      </c>
      <c r="D6" s="60">
        <v>85</v>
      </c>
      <c r="E6" s="61">
        <f>D6/2</f>
        <v>42.5</v>
      </c>
      <c r="F6" s="124"/>
      <c r="G6" s="59"/>
      <c r="H6" s="124"/>
      <c r="I6" s="120"/>
      <c r="J6" s="143"/>
      <c r="M6" s="25">
        <v>4</v>
      </c>
      <c r="N6" s="5" t="s">
        <v>88</v>
      </c>
      <c r="O6" s="5">
        <v>399</v>
      </c>
      <c r="P6" s="35" t="s">
        <v>199</v>
      </c>
      <c r="Q6" s="46" t="s">
        <v>200</v>
      </c>
      <c r="T6" s="71">
        <f>T5*S5</f>
        <v>3980.3076923076933</v>
      </c>
      <c r="U6" s="25"/>
      <c r="V6" s="35"/>
      <c r="W6" s="5" t="s">
        <v>169</v>
      </c>
      <c r="X6" s="5">
        <v>399</v>
      </c>
      <c r="Y6" s="26">
        <f>(170/10)</f>
        <v>17</v>
      </c>
      <c r="AA6" s="112"/>
      <c r="AC6" s="5" t="s">
        <v>169</v>
      </c>
      <c r="AD6" s="5">
        <v>399</v>
      </c>
      <c r="AE6" s="26">
        <f>(170/10)</f>
        <v>17</v>
      </c>
      <c r="AH6" s="22" t="s">
        <v>207</v>
      </c>
      <c r="AI6" s="22" t="s">
        <v>207</v>
      </c>
      <c r="AJ6" s="22" t="s">
        <v>207</v>
      </c>
      <c r="AK6" s="5" t="s">
        <v>207</v>
      </c>
    </row>
    <row r="7" spans="1:37">
      <c r="A7" s="35"/>
      <c r="B7" s="59"/>
      <c r="C7" s="59" t="s">
        <v>22</v>
      </c>
      <c r="D7" s="60">
        <v>100</v>
      </c>
      <c r="E7" s="61">
        <f>100/7</f>
        <v>14.285714285714286</v>
      </c>
      <c r="F7" s="125"/>
      <c r="G7" s="59"/>
      <c r="H7" s="124"/>
      <c r="I7" s="126"/>
      <c r="J7" s="144"/>
      <c r="M7" s="25">
        <v>5</v>
      </c>
      <c r="N7" s="5" t="s">
        <v>19</v>
      </c>
      <c r="O7" s="5">
        <v>399</v>
      </c>
      <c r="P7" s="35" t="s">
        <v>199</v>
      </c>
      <c r="Q7" s="46" t="s">
        <v>200</v>
      </c>
      <c r="U7" s="25"/>
      <c r="V7" s="35"/>
      <c r="W7" s="5" t="s">
        <v>172</v>
      </c>
      <c r="X7" s="5">
        <v>399</v>
      </c>
      <c r="Y7" s="26">
        <f>10+20+20+100</f>
        <v>150</v>
      </c>
      <c r="AA7" s="112"/>
      <c r="AC7" s="5" t="s">
        <v>172</v>
      </c>
      <c r="AD7" s="5">
        <v>399</v>
      </c>
      <c r="AE7" s="26">
        <f>10+20+20+100</f>
        <v>150</v>
      </c>
      <c r="AG7" s="22" t="s">
        <v>258</v>
      </c>
      <c r="AH7" s="22" t="s">
        <v>259</v>
      </c>
      <c r="AK7" s="22" t="s">
        <v>276</v>
      </c>
    </row>
    <row r="8" spans="1:37">
      <c r="A8" s="56">
        <v>3</v>
      </c>
      <c r="B8" s="57" t="s">
        <v>23</v>
      </c>
      <c r="C8" s="57" t="s">
        <v>24</v>
      </c>
      <c r="D8" s="58"/>
      <c r="E8" s="58"/>
      <c r="F8" s="58"/>
      <c r="G8" s="57"/>
      <c r="H8" s="64"/>
      <c r="I8" s="58"/>
      <c r="J8" s="57"/>
      <c r="M8" s="25">
        <v>6</v>
      </c>
      <c r="N8" s="5" t="s">
        <v>106</v>
      </c>
      <c r="O8" s="5">
        <v>350</v>
      </c>
      <c r="P8" s="35" t="s">
        <v>199</v>
      </c>
      <c r="Q8" s="46" t="s">
        <v>200</v>
      </c>
      <c r="U8" s="25"/>
      <c r="V8" s="35"/>
      <c r="W8" s="5"/>
      <c r="X8" s="31">
        <f>SUM(X3:X7)</f>
        <v>1797</v>
      </c>
      <c r="Y8" s="37">
        <f>SUM(Y3:Y7)</f>
        <v>293.83333333333331</v>
      </c>
      <c r="AA8" s="112"/>
      <c r="AD8" s="31">
        <f>SUM(AD3:AD7)</f>
        <v>1797</v>
      </c>
      <c r="AE8" s="37">
        <f>SUM(AE3:AE7)</f>
        <v>293.83333333333331</v>
      </c>
    </row>
    <row r="9" spans="1:37">
      <c r="A9" s="35"/>
      <c r="B9" s="59"/>
      <c r="C9" s="59" t="s">
        <v>15</v>
      </c>
      <c r="D9" s="60"/>
      <c r="E9" s="60"/>
      <c r="F9" s="60"/>
      <c r="G9" s="59"/>
      <c r="H9" s="65"/>
      <c r="I9" s="60"/>
      <c r="J9" s="59"/>
      <c r="M9" s="25">
        <v>7</v>
      </c>
      <c r="N9" s="5" t="s">
        <v>147</v>
      </c>
      <c r="O9" s="5">
        <v>399</v>
      </c>
      <c r="P9" s="35" t="s">
        <v>199</v>
      </c>
      <c r="Q9" s="46" t="s">
        <v>200</v>
      </c>
      <c r="U9" s="25"/>
      <c r="V9" s="35"/>
      <c r="W9" s="5"/>
      <c r="X9" s="5"/>
      <c r="Y9" s="26"/>
      <c r="AA9" s="112"/>
      <c r="AD9" s="5"/>
      <c r="AE9" s="26"/>
    </row>
    <row r="10" spans="1:37">
      <c r="C10" t="s">
        <v>22</v>
      </c>
      <c r="M10" s="25">
        <v>8</v>
      </c>
      <c r="N10" s="5" t="s">
        <v>148</v>
      </c>
      <c r="O10" s="5">
        <v>350</v>
      </c>
      <c r="P10" s="35" t="s">
        <v>199</v>
      </c>
      <c r="Q10" s="46" t="s">
        <v>200</v>
      </c>
      <c r="U10" s="25"/>
      <c r="V10" s="35"/>
      <c r="W10" s="5" t="s">
        <v>140</v>
      </c>
      <c r="X10" s="5"/>
      <c r="Y10" s="38">
        <f>X8-Y8</f>
        <v>1503.1666666666667</v>
      </c>
      <c r="AA10" s="112"/>
      <c r="AB10" s="69"/>
      <c r="AC10" s="22" t="s">
        <v>140</v>
      </c>
      <c r="AD10" s="5"/>
      <c r="AE10" s="38">
        <f>AD8-AE8</f>
        <v>1503.1666666666667</v>
      </c>
    </row>
    <row r="11" spans="1:37">
      <c r="A11" s="56">
        <v>4</v>
      </c>
      <c r="B11" s="57" t="s">
        <v>25</v>
      </c>
      <c r="C11" s="57" t="s">
        <v>26</v>
      </c>
      <c r="D11" s="58"/>
      <c r="E11" s="58"/>
      <c r="F11" s="58"/>
      <c r="G11" s="57"/>
      <c r="H11" s="64"/>
      <c r="I11" s="58"/>
      <c r="J11" s="57"/>
      <c r="M11" s="25">
        <v>9</v>
      </c>
      <c r="N11" s="5" t="s">
        <v>167</v>
      </c>
      <c r="O11" s="5">
        <v>350</v>
      </c>
      <c r="P11" s="35" t="s">
        <v>202</v>
      </c>
      <c r="Q11" s="46" t="s">
        <v>200</v>
      </c>
      <c r="U11" s="25"/>
      <c r="V11" s="35"/>
      <c r="W11" s="5" t="s">
        <v>208</v>
      </c>
      <c r="X11" s="5"/>
      <c r="Y11" s="39">
        <f>Y10/X8</f>
        <v>0.83648673715451682</v>
      </c>
      <c r="AA11" s="112"/>
      <c r="AC11" s="22" t="s">
        <v>208</v>
      </c>
      <c r="AD11" s="5"/>
      <c r="AE11" s="39">
        <f>AE10/AD8</f>
        <v>0.83648673715451682</v>
      </c>
    </row>
    <row r="12" spans="1:37">
      <c r="A12" s="35"/>
      <c r="B12" s="59"/>
      <c r="C12" s="59" t="s">
        <v>18</v>
      </c>
      <c r="D12" s="60"/>
      <c r="E12" s="60"/>
      <c r="F12" s="60"/>
      <c r="G12" s="59"/>
      <c r="H12" s="65"/>
      <c r="I12" s="60"/>
      <c r="J12" s="59"/>
      <c r="M12" s="25">
        <v>10</v>
      </c>
      <c r="N12" s="5" t="s">
        <v>52</v>
      </c>
      <c r="O12" s="5">
        <v>299</v>
      </c>
      <c r="P12" s="35">
        <v>2</v>
      </c>
      <c r="Q12" s="46" t="s">
        <v>234</v>
      </c>
      <c r="U12" s="25"/>
      <c r="V12" s="35"/>
      <c r="W12" s="5" t="s">
        <v>174</v>
      </c>
      <c r="X12" s="32">
        <v>1500</v>
      </c>
      <c r="Y12" s="40">
        <v>294</v>
      </c>
      <c r="AA12" s="112"/>
      <c r="AC12" s="22" t="s">
        <v>163</v>
      </c>
      <c r="AD12" s="31">
        <v>8000</v>
      </c>
      <c r="AE12" s="37">
        <f>AE8*5</f>
        <v>1469.1666666666665</v>
      </c>
    </row>
    <row r="13" spans="1:37" ht="16.5" thickBot="1">
      <c r="A13" s="35"/>
      <c r="B13" s="59"/>
      <c r="C13" s="59" t="s">
        <v>15</v>
      </c>
      <c r="D13" s="60"/>
      <c r="E13" s="60"/>
      <c r="F13" s="60"/>
      <c r="G13" s="59"/>
      <c r="H13" s="65"/>
      <c r="I13" s="60"/>
      <c r="J13" s="59"/>
      <c r="M13" s="105"/>
      <c r="N13" s="106"/>
      <c r="O13" s="106"/>
      <c r="P13" s="107"/>
      <c r="Q13" s="108"/>
      <c r="U13" s="25"/>
      <c r="V13" s="35"/>
      <c r="W13" s="5"/>
      <c r="X13" s="5"/>
      <c r="Y13" s="26"/>
      <c r="AA13" s="112"/>
      <c r="AD13" s="5"/>
      <c r="AE13" s="26"/>
    </row>
    <row r="14" spans="1:37">
      <c r="A14" s="35"/>
      <c r="B14" s="59"/>
      <c r="C14" s="59" t="s">
        <v>22</v>
      </c>
      <c r="D14" s="60"/>
      <c r="E14" s="60"/>
      <c r="F14" s="60"/>
      <c r="G14" s="59"/>
      <c r="H14" s="65"/>
      <c r="I14" s="60"/>
      <c r="J14" s="59"/>
      <c r="M14" s="25"/>
      <c r="N14" s="27"/>
      <c r="O14" s="5"/>
      <c r="P14" s="5"/>
      <c r="Q14" s="46"/>
      <c r="U14" s="25"/>
      <c r="V14" s="35"/>
      <c r="W14" s="5" t="s">
        <v>140</v>
      </c>
      <c r="X14" s="5"/>
      <c r="Y14" s="26">
        <f>X12-Y12</f>
        <v>1206</v>
      </c>
      <c r="AA14" s="112"/>
      <c r="AC14" s="22" t="s">
        <v>140</v>
      </c>
      <c r="AD14" s="5"/>
      <c r="AE14" s="38">
        <f>AD12-AE12</f>
        <v>6530.8333333333339</v>
      </c>
    </row>
    <row r="15" spans="1:37">
      <c r="A15" s="56">
        <v>5</v>
      </c>
      <c r="B15" s="57" t="s">
        <v>27</v>
      </c>
      <c r="C15" s="57" t="s">
        <v>28</v>
      </c>
      <c r="D15" s="58">
        <v>150</v>
      </c>
      <c r="E15" s="58">
        <v>5</v>
      </c>
      <c r="F15" s="121">
        <f>E15+E16+E17+E19</f>
        <v>22.333333333333332</v>
      </c>
      <c r="G15" s="58">
        <v>1</v>
      </c>
      <c r="H15" s="64">
        <v>499</v>
      </c>
      <c r="I15" s="58">
        <f>H15-F22</f>
        <v>450</v>
      </c>
      <c r="J15" s="66">
        <f>I15/H15</f>
        <v>0.90180360721442887</v>
      </c>
      <c r="M15" s="25"/>
      <c r="N15" s="42" t="s">
        <v>271</v>
      </c>
      <c r="O15" s="5"/>
      <c r="P15" s="5"/>
      <c r="Q15" s="46"/>
      <c r="U15" s="25"/>
      <c r="V15" s="35"/>
      <c r="W15" s="5" t="s">
        <v>209</v>
      </c>
      <c r="X15" s="5"/>
      <c r="Y15" s="39">
        <f>Y14/X12</f>
        <v>0.80400000000000005</v>
      </c>
      <c r="AA15" s="112"/>
      <c r="AC15" s="22" t="s">
        <v>209</v>
      </c>
      <c r="AD15" s="5"/>
      <c r="AE15" s="39">
        <f>AE14/AD12</f>
        <v>0.81635416666666671</v>
      </c>
    </row>
    <row r="16" spans="1:37">
      <c r="A16" s="35"/>
      <c r="B16" s="59"/>
      <c r="C16" s="59" t="s">
        <v>29</v>
      </c>
      <c r="D16" s="60">
        <v>200</v>
      </c>
      <c r="E16" s="60">
        <v>5</v>
      </c>
      <c r="F16" s="122"/>
      <c r="G16" s="60"/>
      <c r="H16" s="65"/>
      <c r="I16" s="60"/>
      <c r="J16" s="62"/>
      <c r="M16" s="25">
        <v>1</v>
      </c>
      <c r="N16" s="5" t="s">
        <v>14</v>
      </c>
      <c r="O16" s="5">
        <v>350</v>
      </c>
      <c r="P16" s="35" t="s">
        <v>203</v>
      </c>
      <c r="Q16" s="46" t="s">
        <v>200</v>
      </c>
      <c r="U16" s="25"/>
      <c r="V16" s="35"/>
      <c r="W16" s="41" t="s">
        <v>175</v>
      </c>
      <c r="X16" s="42">
        <v>5</v>
      </c>
      <c r="Y16" s="26"/>
      <c r="AA16" s="112"/>
      <c r="AC16" s="102" t="s">
        <v>175</v>
      </c>
      <c r="AD16" s="114">
        <v>25</v>
      </c>
      <c r="AE16" s="26"/>
    </row>
    <row r="17" spans="1:31" ht="16.5" thickBot="1">
      <c r="C17" t="s">
        <v>30</v>
      </c>
      <c r="D17" s="52">
        <v>200</v>
      </c>
      <c r="E17" s="52">
        <v>5</v>
      </c>
      <c r="F17" s="122"/>
      <c r="G17" s="52"/>
      <c r="J17" s="54"/>
      <c r="M17" s="25">
        <v>2</v>
      </c>
      <c r="N17" s="5" t="s">
        <v>40</v>
      </c>
      <c r="O17" s="5">
        <v>699</v>
      </c>
      <c r="P17" s="35">
        <v>1</v>
      </c>
      <c r="Q17" s="46" t="s">
        <v>200</v>
      </c>
      <c r="U17" s="105"/>
      <c r="V17" s="107"/>
      <c r="W17" s="106" t="s">
        <v>176</v>
      </c>
      <c r="X17" s="106" t="s">
        <v>177</v>
      </c>
      <c r="Y17" s="109"/>
      <c r="AA17" s="113"/>
      <c r="AB17" s="106"/>
      <c r="AC17" s="106" t="s">
        <v>176</v>
      </c>
      <c r="AD17" s="106" t="s">
        <v>263</v>
      </c>
      <c r="AE17" s="109"/>
    </row>
    <row r="18" spans="1:31">
      <c r="C18" t="s">
        <v>31</v>
      </c>
      <c r="D18" s="52">
        <v>0</v>
      </c>
      <c r="E18" s="52">
        <v>0</v>
      </c>
      <c r="M18" s="25">
        <v>3</v>
      </c>
      <c r="N18" s="5" t="s">
        <v>88</v>
      </c>
      <c r="O18" s="5">
        <v>550</v>
      </c>
      <c r="P18" s="35" t="s">
        <v>203</v>
      </c>
      <c r="Q18" s="46" t="s">
        <v>200</v>
      </c>
      <c r="U18" s="25"/>
      <c r="V18" s="35"/>
      <c r="W18" s="5"/>
      <c r="X18" s="5"/>
      <c r="Y18" s="26"/>
      <c r="AA18" s="112"/>
      <c r="AD18" s="5"/>
      <c r="AE18" s="26"/>
    </row>
    <row r="19" spans="1:31">
      <c r="C19" t="s">
        <v>15</v>
      </c>
      <c r="D19" s="52">
        <v>220</v>
      </c>
      <c r="E19" s="53">
        <f>D19/30</f>
        <v>7.333333333333333</v>
      </c>
      <c r="M19" s="25">
        <v>4</v>
      </c>
      <c r="N19" s="5" t="s">
        <v>19</v>
      </c>
      <c r="O19" s="5">
        <v>550</v>
      </c>
      <c r="P19" s="35" t="s">
        <v>203</v>
      </c>
      <c r="Q19" s="46" t="s">
        <v>200</v>
      </c>
      <c r="U19" s="55" t="s">
        <v>273</v>
      </c>
      <c r="V19" s="35">
        <v>1</v>
      </c>
      <c r="W19" s="5" t="s">
        <v>179</v>
      </c>
      <c r="X19" s="5"/>
      <c r="Y19" s="26"/>
      <c r="AA19" s="111" t="s">
        <v>274</v>
      </c>
      <c r="AB19" s="33">
        <v>1</v>
      </c>
      <c r="AC19" s="5" t="s">
        <v>179</v>
      </c>
      <c r="AD19" s="5"/>
      <c r="AE19" s="26"/>
    </row>
    <row r="20" spans="1:31">
      <c r="C20" t="s">
        <v>32</v>
      </c>
      <c r="D20" s="52">
        <v>50</v>
      </c>
      <c r="E20" s="52">
        <f>D20/5</f>
        <v>10</v>
      </c>
      <c r="M20" s="25">
        <v>5</v>
      </c>
      <c r="N20" s="5" t="s">
        <v>149</v>
      </c>
      <c r="O20" s="5">
        <v>499</v>
      </c>
      <c r="P20" s="35" t="s">
        <v>203</v>
      </c>
      <c r="Q20" s="46" t="s">
        <v>200</v>
      </c>
      <c r="U20" s="25"/>
      <c r="V20" s="35"/>
      <c r="W20" s="5" t="s">
        <v>180</v>
      </c>
      <c r="X20" s="5">
        <v>550</v>
      </c>
      <c r="Y20" s="26">
        <f>170/5</f>
        <v>34</v>
      </c>
      <c r="AA20" s="112"/>
      <c r="AC20" s="5" t="s">
        <v>180</v>
      </c>
      <c r="AD20" s="5">
        <v>550</v>
      </c>
      <c r="AE20" s="26">
        <f>170/5</f>
        <v>34</v>
      </c>
    </row>
    <row r="21" spans="1:31">
      <c r="C21" t="s">
        <v>33</v>
      </c>
      <c r="D21" s="52">
        <v>120</v>
      </c>
      <c r="E21" s="52">
        <f>D21/12</f>
        <v>10</v>
      </c>
      <c r="F21" s="52">
        <f>E15+E17+E16+E21</f>
        <v>25</v>
      </c>
      <c r="M21" s="25">
        <v>6</v>
      </c>
      <c r="N21" s="5" t="s">
        <v>150</v>
      </c>
      <c r="O21" s="5">
        <v>599</v>
      </c>
      <c r="P21" s="35" t="s">
        <v>203</v>
      </c>
      <c r="Q21" s="46" t="s">
        <v>200</v>
      </c>
      <c r="U21" s="25"/>
      <c r="V21" s="35"/>
      <c r="W21" s="5" t="s">
        <v>181</v>
      </c>
      <c r="X21" s="5">
        <v>599</v>
      </c>
      <c r="Y21" s="38">
        <f>(100/3)*5</f>
        <v>166.66666666666669</v>
      </c>
      <c r="AA21" s="112"/>
      <c r="AC21" s="5" t="s">
        <v>181</v>
      </c>
      <c r="AD21" s="5">
        <v>599</v>
      </c>
      <c r="AE21" s="38">
        <f>(100/3)*5</f>
        <v>166.66666666666669</v>
      </c>
    </row>
    <row r="22" spans="1:31">
      <c r="A22" s="35"/>
      <c r="B22" s="59"/>
      <c r="C22" s="59" t="s">
        <v>19</v>
      </c>
      <c r="D22" s="60">
        <v>170</v>
      </c>
      <c r="E22" s="60">
        <f>D22/5</f>
        <v>34</v>
      </c>
      <c r="F22" s="60">
        <f>E15+E16+E17+E22</f>
        <v>49</v>
      </c>
      <c r="G22" s="59"/>
      <c r="H22" s="65"/>
      <c r="I22" s="60"/>
      <c r="J22" s="59"/>
      <c r="M22" s="25">
        <v>7</v>
      </c>
      <c r="N22" s="5" t="s">
        <v>51</v>
      </c>
      <c r="O22" s="5">
        <v>499</v>
      </c>
      <c r="P22" s="35" t="s">
        <v>203</v>
      </c>
      <c r="Q22" s="46" t="s">
        <v>200</v>
      </c>
      <c r="U22" s="25"/>
      <c r="V22" s="35"/>
      <c r="W22" s="5" t="s">
        <v>182</v>
      </c>
      <c r="X22" s="5">
        <v>499</v>
      </c>
      <c r="Y22" s="26">
        <v>50</v>
      </c>
      <c r="AA22" s="112"/>
      <c r="AC22" s="5" t="s">
        <v>182</v>
      </c>
      <c r="AD22" s="5">
        <v>499</v>
      </c>
      <c r="AE22" s="26">
        <v>50</v>
      </c>
    </row>
    <row r="23" spans="1:31">
      <c r="A23" s="56">
        <v>6</v>
      </c>
      <c r="B23" s="57" t="s">
        <v>34</v>
      </c>
      <c r="C23" s="57" t="s">
        <v>35</v>
      </c>
      <c r="D23" s="58">
        <v>100</v>
      </c>
      <c r="E23" s="67">
        <f>D23/3</f>
        <v>33.333333333333336</v>
      </c>
      <c r="F23" s="119">
        <f>E23+E24+E25</f>
        <v>49.666666666666671</v>
      </c>
      <c r="G23" s="123">
        <v>2</v>
      </c>
      <c r="H23" s="123">
        <v>399</v>
      </c>
      <c r="I23" s="119">
        <f>H23-(F23*2)</f>
        <v>299.66666666666663</v>
      </c>
      <c r="J23" s="57"/>
      <c r="M23" s="25">
        <v>8</v>
      </c>
      <c r="N23" s="5" t="s">
        <v>106</v>
      </c>
      <c r="O23" s="5">
        <v>550</v>
      </c>
      <c r="P23" s="35" t="s">
        <v>203</v>
      </c>
      <c r="Q23" s="46" t="s">
        <v>200</v>
      </c>
      <c r="U23" s="25"/>
      <c r="V23" s="35"/>
      <c r="W23" s="5" t="s">
        <v>183</v>
      </c>
      <c r="X23" s="5">
        <v>599</v>
      </c>
      <c r="Y23" s="26">
        <v>100</v>
      </c>
      <c r="AA23" s="112"/>
      <c r="AC23" s="5" t="s">
        <v>183</v>
      </c>
      <c r="AD23" s="5">
        <v>599</v>
      </c>
      <c r="AE23" s="26">
        <v>100</v>
      </c>
    </row>
    <row r="24" spans="1:31">
      <c r="A24" s="35"/>
      <c r="B24" s="59"/>
      <c r="C24" s="59" t="s">
        <v>17</v>
      </c>
      <c r="D24" s="60">
        <v>225</v>
      </c>
      <c r="E24" s="60">
        <f>D24/25</f>
        <v>9</v>
      </c>
      <c r="F24" s="124"/>
      <c r="G24" s="124"/>
      <c r="H24" s="124"/>
      <c r="I24" s="120"/>
      <c r="J24" s="59"/>
      <c r="M24" s="25">
        <v>9</v>
      </c>
      <c r="N24" s="5" t="s">
        <v>147</v>
      </c>
      <c r="O24" s="5">
        <v>599</v>
      </c>
      <c r="P24" s="35" t="s">
        <v>203</v>
      </c>
      <c r="Q24" s="46" t="s">
        <v>200</v>
      </c>
      <c r="U24" s="25"/>
      <c r="V24" s="35"/>
      <c r="W24" s="5" t="s">
        <v>170</v>
      </c>
      <c r="X24" s="5">
        <v>550</v>
      </c>
      <c r="Y24" s="30">
        <v>50</v>
      </c>
      <c r="AA24" s="112"/>
      <c r="AC24" s="5" t="s">
        <v>170</v>
      </c>
      <c r="AD24" s="5">
        <v>550</v>
      </c>
      <c r="AE24" s="26">
        <v>50</v>
      </c>
    </row>
    <row r="25" spans="1:31">
      <c r="A25" s="35"/>
      <c r="B25" s="59"/>
      <c r="C25" s="59" t="s">
        <v>15</v>
      </c>
      <c r="D25" s="60">
        <v>220</v>
      </c>
      <c r="E25" s="61">
        <f>D25/30</f>
        <v>7.333333333333333</v>
      </c>
      <c r="F25" s="124"/>
      <c r="G25" s="124"/>
      <c r="H25" s="124"/>
      <c r="I25" s="120"/>
      <c r="J25" s="59"/>
      <c r="M25" s="25">
        <v>10</v>
      </c>
      <c r="N25" s="5" t="s">
        <v>151</v>
      </c>
      <c r="O25" s="5">
        <v>599</v>
      </c>
      <c r="P25" s="35" t="s">
        <v>203</v>
      </c>
      <c r="Q25" s="46" t="s">
        <v>200</v>
      </c>
      <c r="U25" s="25"/>
      <c r="V25" s="35"/>
      <c r="W25" s="5"/>
      <c r="X25" s="31">
        <f>SUM(X20:X24)</f>
        <v>2797</v>
      </c>
      <c r="Y25" s="37">
        <f>SUM(Y20:Y24)</f>
        <v>400.66666666666669</v>
      </c>
      <c r="AA25" s="112"/>
      <c r="AD25" s="31">
        <f>SUM(AD20:AD24)</f>
        <v>2797</v>
      </c>
      <c r="AE25" s="37">
        <f>SUM(AE20:AE24)</f>
        <v>400.66666666666669</v>
      </c>
    </row>
    <row r="26" spans="1:31">
      <c r="A26" s="35">
        <v>7</v>
      </c>
      <c r="B26" s="59" t="s">
        <v>36</v>
      </c>
      <c r="C26" s="59" t="s">
        <v>37</v>
      </c>
      <c r="D26" s="60">
        <v>250</v>
      </c>
      <c r="E26" s="60">
        <v>250</v>
      </c>
      <c r="F26" s="60">
        <f>E26+E27+E28</f>
        <v>445</v>
      </c>
      <c r="G26" s="60">
        <v>1</v>
      </c>
      <c r="H26" s="65">
        <v>899</v>
      </c>
      <c r="I26" s="60">
        <f>H26-F26</f>
        <v>454</v>
      </c>
      <c r="J26" s="62">
        <f>I26/H26</f>
        <v>0.50500556173526145</v>
      </c>
      <c r="M26" s="25">
        <v>11</v>
      </c>
      <c r="N26" s="5" t="s">
        <v>152</v>
      </c>
      <c r="O26" s="45" t="s">
        <v>164</v>
      </c>
      <c r="P26" s="35">
        <v>1</v>
      </c>
      <c r="Q26" s="46" t="s">
        <v>200</v>
      </c>
      <c r="U26" s="25"/>
      <c r="V26" s="35"/>
      <c r="W26" s="5"/>
      <c r="X26" s="5"/>
      <c r="Y26" s="26"/>
      <c r="AA26" s="112"/>
      <c r="AD26" s="5"/>
      <c r="AE26" s="26"/>
    </row>
    <row r="27" spans="1:31">
      <c r="A27" s="35"/>
      <c r="B27" s="59"/>
      <c r="C27" s="59" t="s">
        <v>38</v>
      </c>
      <c r="D27" s="60">
        <v>190</v>
      </c>
      <c r="E27" s="60">
        <v>190</v>
      </c>
      <c r="F27" s="60"/>
      <c r="G27" s="60"/>
      <c r="H27" s="65"/>
      <c r="I27" s="60"/>
      <c r="J27" s="62"/>
      <c r="M27" s="25">
        <v>12</v>
      </c>
      <c r="N27" s="5" t="s">
        <v>144</v>
      </c>
      <c r="O27" s="5">
        <v>2500</v>
      </c>
      <c r="P27" s="35">
        <v>1</v>
      </c>
      <c r="Q27" s="46" t="s">
        <v>201</v>
      </c>
      <c r="U27" s="25"/>
      <c r="V27" s="35"/>
      <c r="W27" s="5" t="s">
        <v>140</v>
      </c>
      <c r="X27" s="5"/>
      <c r="Y27" s="38">
        <f>X25-Y25</f>
        <v>2396.3333333333335</v>
      </c>
      <c r="AA27" s="112"/>
      <c r="AC27" s="22" t="s">
        <v>264</v>
      </c>
      <c r="AD27" s="5"/>
      <c r="AE27" s="38">
        <f>AD25-AE25</f>
        <v>2396.3333333333335</v>
      </c>
    </row>
    <row r="28" spans="1:31">
      <c r="C28" t="s">
        <v>39</v>
      </c>
      <c r="D28" s="52">
        <v>5</v>
      </c>
      <c r="E28" s="52">
        <v>5</v>
      </c>
      <c r="G28" s="52"/>
      <c r="J28" s="54"/>
      <c r="M28" s="25">
        <v>13</v>
      </c>
      <c r="N28" s="5" t="s">
        <v>36</v>
      </c>
      <c r="O28" s="5">
        <v>899</v>
      </c>
      <c r="P28" s="35">
        <v>1</v>
      </c>
      <c r="Q28" s="46" t="s">
        <v>200</v>
      </c>
      <c r="U28" s="25"/>
      <c r="V28" s="35"/>
      <c r="W28" s="5" t="s">
        <v>208</v>
      </c>
      <c r="X28" s="5"/>
      <c r="Y28" s="39">
        <f>Y27/X25</f>
        <v>0.85675128113454901</v>
      </c>
      <c r="AA28" s="112"/>
      <c r="AC28" s="22" t="s">
        <v>139</v>
      </c>
      <c r="AD28" s="5"/>
      <c r="AE28" s="39">
        <f>AE27/AD25</f>
        <v>0.85675128113454901</v>
      </c>
    </row>
    <row r="29" spans="1:31">
      <c r="A29" s="33">
        <v>8</v>
      </c>
      <c r="B29" s="24" t="s">
        <v>40</v>
      </c>
      <c r="C29" t="s">
        <v>41</v>
      </c>
      <c r="D29" s="52">
        <v>200</v>
      </c>
      <c r="F29" s="52">
        <f>D29+E31+E32</f>
        <v>400</v>
      </c>
      <c r="G29" s="52">
        <v>1</v>
      </c>
      <c r="H29" s="51">
        <f>699</f>
        <v>699</v>
      </c>
      <c r="I29" s="52">
        <f>H29-F29</f>
        <v>299</v>
      </c>
      <c r="J29" s="54">
        <f>I29/H29</f>
        <v>0.42775393419170243</v>
      </c>
      <c r="M29" s="25">
        <v>14</v>
      </c>
      <c r="N29" s="5" t="s">
        <v>52</v>
      </c>
      <c r="O29" s="5">
        <v>399</v>
      </c>
      <c r="P29" s="35">
        <v>4</v>
      </c>
      <c r="Q29" s="46" t="s">
        <v>200</v>
      </c>
      <c r="U29" s="25"/>
      <c r="V29" s="35"/>
      <c r="W29" s="5"/>
      <c r="X29" s="5"/>
      <c r="Y29" s="26"/>
      <c r="AA29" s="112"/>
      <c r="AD29" s="5"/>
      <c r="AE29" s="26"/>
    </row>
    <row r="30" spans="1:31" ht="16.5" thickBot="1">
      <c r="C30" t="s">
        <v>142</v>
      </c>
      <c r="D30" s="52">
        <v>500</v>
      </c>
      <c r="F30" s="52">
        <f>D30+E31+E32</f>
        <v>700</v>
      </c>
      <c r="G30" s="52"/>
      <c r="H30" s="51">
        <v>999</v>
      </c>
      <c r="I30" s="52">
        <f>H30-F30</f>
        <v>299</v>
      </c>
      <c r="J30" s="54">
        <f>I30/H30</f>
        <v>0.29929929929929933</v>
      </c>
      <c r="M30" s="105"/>
      <c r="N30" s="106"/>
      <c r="O30" s="106"/>
      <c r="P30" s="106"/>
      <c r="Q30" s="109"/>
      <c r="U30" s="25"/>
      <c r="V30" s="35"/>
      <c r="W30" s="5" t="s">
        <v>174</v>
      </c>
      <c r="X30" s="32">
        <v>2199</v>
      </c>
      <c r="Y30" s="40">
        <v>401</v>
      </c>
      <c r="AA30" s="112"/>
      <c r="AC30" s="22" t="s">
        <v>163</v>
      </c>
      <c r="AD30" s="103">
        <v>10000</v>
      </c>
      <c r="AE30" s="37">
        <f>AE25*5</f>
        <v>2003.3333333333335</v>
      </c>
    </row>
    <row r="31" spans="1:31">
      <c r="C31" t="s">
        <v>18</v>
      </c>
      <c r="D31" s="52">
        <v>200</v>
      </c>
      <c r="E31" s="52">
        <f>D31/2</f>
        <v>100</v>
      </c>
      <c r="G31" s="52"/>
      <c r="M31" s="25"/>
      <c r="N31" s="5"/>
      <c r="O31" s="5"/>
      <c r="P31" s="5"/>
      <c r="Q31" s="26"/>
      <c r="U31" s="25"/>
      <c r="V31" s="35"/>
      <c r="W31" s="5"/>
      <c r="X31" s="5"/>
      <c r="Y31" s="26"/>
      <c r="AA31" s="112"/>
      <c r="AD31" s="5"/>
      <c r="AE31" s="26"/>
    </row>
    <row r="32" spans="1:31">
      <c r="C32" t="s">
        <v>143</v>
      </c>
      <c r="D32" s="52">
        <v>200</v>
      </c>
      <c r="E32" s="52">
        <f>D32/2</f>
        <v>100</v>
      </c>
      <c r="G32" s="52"/>
      <c r="M32" s="25"/>
      <c r="N32" s="42" t="s">
        <v>153</v>
      </c>
      <c r="O32" s="5"/>
      <c r="P32" s="5"/>
      <c r="Q32" s="46"/>
      <c r="U32" s="25"/>
      <c r="V32" s="35"/>
      <c r="W32" s="5" t="s">
        <v>140</v>
      </c>
      <c r="X32" s="5"/>
      <c r="Y32" s="26">
        <f>X30-Y30</f>
        <v>1798</v>
      </c>
      <c r="AA32" s="112"/>
      <c r="AC32" s="22" t="s">
        <v>140</v>
      </c>
      <c r="AD32" s="5"/>
      <c r="AE32" s="115">
        <f>AD30-AE30</f>
        <v>7996.6666666666661</v>
      </c>
    </row>
    <row r="33" spans="1:31">
      <c r="A33" s="33">
        <v>9</v>
      </c>
      <c r="B33" t="s">
        <v>42</v>
      </c>
      <c r="C33" t="s">
        <v>43</v>
      </c>
      <c r="D33" s="52">
        <v>300</v>
      </c>
      <c r="M33" s="25">
        <v>1</v>
      </c>
      <c r="N33" s="146" t="s">
        <v>154</v>
      </c>
      <c r="O33" s="5">
        <v>499</v>
      </c>
      <c r="P33" s="35" t="s">
        <v>203</v>
      </c>
      <c r="Q33" s="46" t="s">
        <v>200</v>
      </c>
      <c r="U33" s="25"/>
      <c r="V33" s="35"/>
      <c r="W33" s="5" t="s">
        <v>209</v>
      </c>
      <c r="X33" s="5"/>
      <c r="Y33" s="39">
        <f>Y32/X30</f>
        <v>0.81764438381082305</v>
      </c>
      <c r="AA33" s="112"/>
      <c r="AC33" s="22" t="s">
        <v>139</v>
      </c>
      <c r="AD33" s="5"/>
      <c r="AE33" s="39">
        <f>AE32/AD30</f>
        <v>0.79966666666666664</v>
      </c>
    </row>
    <row r="34" spans="1:31">
      <c r="C34" t="s">
        <v>44</v>
      </c>
      <c r="M34" s="25">
        <v>2</v>
      </c>
      <c r="N34" s="146" t="s">
        <v>155</v>
      </c>
      <c r="O34" s="5">
        <v>699</v>
      </c>
      <c r="P34" s="35" t="s">
        <v>203</v>
      </c>
      <c r="Q34" s="46" t="s">
        <v>200</v>
      </c>
      <c r="U34" s="25"/>
      <c r="V34" s="35"/>
      <c r="W34" s="5"/>
      <c r="X34" s="5"/>
      <c r="Y34" s="26"/>
      <c r="AA34" s="112"/>
      <c r="AD34" s="5"/>
      <c r="AE34" s="26"/>
    </row>
    <row r="35" spans="1:31">
      <c r="A35" s="33">
        <v>10</v>
      </c>
      <c r="B35" t="s">
        <v>45</v>
      </c>
      <c r="C35" t="s">
        <v>46</v>
      </c>
      <c r="M35" s="25">
        <v>3</v>
      </c>
      <c r="N35" s="5" t="s">
        <v>156</v>
      </c>
      <c r="O35" s="5">
        <v>699</v>
      </c>
      <c r="P35" s="35" t="s">
        <v>203</v>
      </c>
      <c r="Q35" s="46" t="s">
        <v>200</v>
      </c>
      <c r="U35" s="25"/>
      <c r="V35" s="35"/>
      <c r="W35" s="41" t="s">
        <v>175</v>
      </c>
      <c r="X35" s="42">
        <v>5</v>
      </c>
      <c r="Y35" s="26"/>
      <c r="AA35" s="112"/>
      <c r="AC35" s="102" t="s">
        <v>175</v>
      </c>
      <c r="AD35" s="41">
        <v>25</v>
      </c>
      <c r="AE35" s="26"/>
    </row>
    <row r="36" spans="1:31">
      <c r="A36" s="33">
        <v>11</v>
      </c>
      <c r="B36" t="s">
        <v>47</v>
      </c>
      <c r="C36" t="s">
        <v>48</v>
      </c>
      <c r="D36" s="52">
        <v>485</v>
      </c>
      <c r="E36" s="52">
        <f>D36/1</f>
        <v>485</v>
      </c>
      <c r="F36" s="52">
        <f>E36+E40</f>
        <v>685</v>
      </c>
      <c r="G36" s="52">
        <v>1</v>
      </c>
      <c r="H36" s="51">
        <v>1500</v>
      </c>
      <c r="I36" s="52">
        <f>H36-F36</f>
        <v>815</v>
      </c>
      <c r="J36" s="54">
        <f>I36/H36</f>
        <v>0.54333333333333333</v>
      </c>
      <c r="M36" s="25">
        <v>4</v>
      </c>
      <c r="N36" s="5" t="s">
        <v>151</v>
      </c>
      <c r="O36" s="5">
        <v>599</v>
      </c>
      <c r="P36" s="35" t="s">
        <v>203</v>
      </c>
      <c r="Q36" s="46" t="s">
        <v>200</v>
      </c>
      <c r="U36" s="25"/>
      <c r="V36" s="35"/>
      <c r="W36" s="5" t="s">
        <v>176</v>
      </c>
      <c r="X36" s="5" t="s">
        <v>177</v>
      </c>
      <c r="Y36" s="26"/>
      <c r="AA36" s="112"/>
      <c r="AC36" s="22" t="s">
        <v>265</v>
      </c>
      <c r="AD36" s="5" t="s">
        <v>177</v>
      </c>
      <c r="AE36" s="26"/>
    </row>
    <row r="37" spans="1:31">
      <c r="D37" s="52">
        <v>250</v>
      </c>
      <c r="E37" s="52">
        <f>D37/1</f>
        <v>250</v>
      </c>
      <c r="F37" s="52">
        <f>E37+E40</f>
        <v>450</v>
      </c>
      <c r="G37" s="52"/>
      <c r="H37" s="51">
        <v>1350</v>
      </c>
      <c r="I37" s="52">
        <f>H37-F37</f>
        <v>900</v>
      </c>
      <c r="J37" s="54">
        <f>I37/H37</f>
        <v>0.66666666666666663</v>
      </c>
      <c r="M37" s="25">
        <v>5</v>
      </c>
      <c r="N37" s="5" t="s">
        <v>47</v>
      </c>
      <c r="O37" s="45" t="s">
        <v>164</v>
      </c>
      <c r="P37" s="35">
        <v>1</v>
      </c>
      <c r="Q37" s="46" t="s">
        <v>200</v>
      </c>
      <c r="U37" s="25"/>
      <c r="V37" s="35"/>
      <c r="W37" s="5"/>
      <c r="X37" s="5"/>
      <c r="Y37" s="26"/>
      <c r="AA37" s="112"/>
      <c r="AD37" s="5"/>
      <c r="AE37" s="26"/>
    </row>
    <row r="38" spans="1:31">
      <c r="D38" s="52">
        <v>225</v>
      </c>
      <c r="E38" s="52">
        <f>D38/1</f>
        <v>225</v>
      </c>
      <c r="F38" s="52">
        <f>E38+E40</f>
        <v>425</v>
      </c>
      <c r="G38" s="52"/>
      <c r="H38" s="51">
        <v>1300</v>
      </c>
      <c r="I38" s="52">
        <f>H38-F38</f>
        <v>875</v>
      </c>
      <c r="J38" s="54">
        <f>I38/H38</f>
        <v>0.67307692307692313</v>
      </c>
      <c r="M38" s="25">
        <v>6</v>
      </c>
      <c r="N38" s="146" t="s">
        <v>157</v>
      </c>
      <c r="O38" s="45" t="s">
        <v>164</v>
      </c>
      <c r="P38" s="35">
        <v>1</v>
      </c>
      <c r="Q38" s="46" t="s">
        <v>200</v>
      </c>
      <c r="U38" s="55" t="s">
        <v>273</v>
      </c>
      <c r="V38" s="35">
        <v>2</v>
      </c>
      <c r="W38" s="5" t="s">
        <v>179</v>
      </c>
      <c r="X38" s="5"/>
      <c r="Y38" s="26"/>
      <c r="AA38" s="112"/>
      <c r="AD38" s="5"/>
      <c r="AE38" s="26"/>
    </row>
    <row r="39" spans="1:31">
      <c r="D39" s="33">
        <v>170</v>
      </c>
      <c r="E39" s="33">
        <f>D39/1</f>
        <v>170</v>
      </c>
      <c r="F39" s="33">
        <f>E39+E40</f>
        <v>370</v>
      </c>
      <c r="G39" s="52"/>
      <c r="H39" s="51">
        <v>1200</v>
      </c>
      <c r="I39" s="52">
        <f>H39-F39</f>
        <v>830</v>
      </c>
      <c r="J39" s="54">
        <f>I39/H39</f>
        <v>0.69166666666666665</v>
      </c>
      <c r="M39" s="25">
        <v>7</v>
      </c>
      <c r="N39" s="146" t="s">
        <v>144</v>
      </c>
      <c r="O39" s="5">
        <v>2500</v>
      </c>
      <c r="P39" s="35">
        <v>1</v>
      </c>
      <c r="Q39" s="46" t="s">
        <v>201</v>
      </c>
      <c r="U39" s="25"/>
      <c r="V39" s="35"/>
      <c r="W39" s="5" t="s">
        <v>184</v>
      </c>
      <c r="X39" s="5">
        <v>499</v>
      </c>
      <c r="Y39" s="26">
        <v>50</v>
      </c>
      <c r="AA39" s="112"/>
      <c r="AD39" s="5"/>
      <c r="AE39" s="26"/>
    </row>
    <row r="40" spans="1:31">
      <c r="C40" t="s">
        <v>18</v>
      </c>
      <c r="D40" s="52">
        <v>200</v>
      </c>
      <c r="E40" s="52">
        <f>D40/1</f>
        <v>200</v>
      </c>
      <c r="M40" s="25">
        <v>8</v>
      </c>
      <c r="N40" s="5" t="s">
        <v>158</v>
      </c>
      <c r="O40" s="5">
        <v>2999</v>
      </c>
      <c r="P40" s="35" t="s">
        <v>204</v>
      </c>
      <c r="Q40" s="46" t="s">
        <v>200</v>
      </c>
      <c r="U40" s="25"/>
      <c r="V40" s="35"/>
      <c r="W40" s="5" t="s">
        <v>185</v>
      </c>
      <c r="X40" s="5">
        <v>499</v>
      </c>
      <c r="Y40" s="26">
        <v>50</v>
      </c>
      <c r="AA40" s="112"/>
      <c r="AD40" s="5"/>
      <c r="AE40" s="26"/>
    </row>
    <row r="41" spans="1:31">
      <c r="A41" s="33">
        <v>12</v>
      </c>
      <c r="B41" t="s">
        <v>212</v>
      </c>
      <c r="C41" t="s">
        <v>49</v>
      </c>
      <c r="M41" s="25">
        <v>9</v>
      </c>
      <c r="N41" s="5" t="s">
        <v>159</v>
      </c>
      <c r="O41" s="5">
        <v>699</v>
      </c>
      <c r="P41" s="35" t="s">
        <v>205</v>
      </c>
      <c r="Q41" s="46" t="s">
        <v>200</v>
      </c>
      <c r="U41" s="25"/>
      <c r="V41" s="35"/>
      <c r="W41" s="5" t="s">
        <v>186</v>
      </c>
      <c r="X41" s="5">
        <v>1500</v>
      </c>
      <c r="Y41" s="26">
        <v>685</v>
      </c>
      <c r="AA41" s="112"/>
      <c r="AD41" s="5"/>
      <c r="AE41" s="26"/>
    </row>
    <row r="42" spans="1:31">
      <c r="C42" t="s">
        <v>50</v>
      </c>
      <c r="M42" s="25">
        <v>10</v>
      </c>
      <c r="N42" s="5" t="s">
        <v>160</v>
      </c>
      <c r="O42" s="5">
        <v>1200</v>
      </c>
      <c r="P42" s="35" t="s">
        <v>206</v>
      </c>
      <c r="Q42" s="46" t="s">
        <v>200</v>
      </c>
      <c r="U42" s="25"/>
      <c r="V42" s="35"/>
      <c r="W42" s="5" t="s">
        <v>187</v>
      </c>
      <c r="X42" s="5">
        <v>1500</v>
      </c>
      <c r="Y42" s="26">
        <v>685</v>
      </c>
      <c r="AA42" s="112"/>
      <c r="AD42" s="5"/>
      <c r="AE42" s="26"/>
    </row>
    <row r="43" spans="1:31">
      <c r="C43" t="s">
        <v>18</v>
      </c>
      <c r="M43" s="25">
        <v>11</v>
      </c>
      <c r="N43" s="5" t="s">
        <v>161</v>
      </c>
      <c r="O43" s="5">
        <v>1200</v>
      </c>
      <c r="P43" s="35"/>
      <c r="Q43" s="46" t="s">
        <v>207</v>
      </c>
      <c r="U43" s="25"/>
      <c r="V43" s="35"/>
      <c r="W43" s="5"/>
      <c r="X43" s="31">
        <f>SUM(X39:X42)</f>
        <v>3998</v>
      </c>
      <c r="Y43" s="40">
        <f>SUM(Y39:Y42)</f>
        <v>1470</v>
      </c>
      <c r="AA43" s="112"/>
      <c r="AD43" s="5"/>
      <c r="AE43" s="26"/>
    </row>
    <row r="44" spans="1:31">
      <c r="C44" t="s">
        <v>51</v>
      </c>
      <c r="M44" s="25">
        <v>12</v>
      </c>
      <c r="N44" s="146" t="s">
        <v>36</v>
      </c>
      <c r="O44" s="5">
        <v>999</v>
      </c>
      <c r="P44" s="35">
        <v>1</v>
      </c>
      <c r="Q44" s="46" t="s">
        <v>200</v>
      </c>
      <c r="U44" s="25"/>
      <c r="V44" s="35"/>
      <c r="W44" s="5"/>
      <c r="X44" s="5"/>
      <c r="Y44" s="26"/>
      <c r="AA44" s="112"/>
      <c r="AD44" s="5"/>
      <c r="AE44" s="26"/>
    </row>
    <row r="45" spans="1:31">
      <c r="A45" s="33">
        <v>13</v>
      </c>
      <c r="B45" t="s">
        <v>52</v>
      </c>
      <c r="C45" t="s">
        <v>53</v>
      </c>
      <c r="M45" s="25">
        <v>13</v>
      </c>
      <c r="N45" s="5" t="s">
        <v>52</v>
      </c>
      <c r="O45" s="5">
        <v>399</v>
      </c>
      <c r="P45" s="35">
        <v>4</v>
      </c>
      <c r="Q45" s="46" t="s">
        <v>200</v>
      </c>
      <c r="U45" s="25"/>
      <c r="V45" s="35"/>
      <c r="W45" s="5" t="s">
        <v>140</v>
      </c>
      <c r="X45" s="5"/>
      <c r="Y45" s="26">
        <f>X43-Y43</f>
        <v>2528</v>
      </c>
      <c r="AA45" s="112"/>
      <c r="AD45" s="5"/>
      <c r="AE45" s="26"/>
    </row>
    <row r="46" spans="1:31">
      <c r="C46" t="s">
        <v>18</v>
      </c>
      <c r="F46" s="52" t="s">
        <v>213</v>
      </c>
      <c r="M46" s="25">
        <v>15</v>
      </c>
      <c r="N46" s="146" t="s">
        <v>42</v>
      </c>
      <c r="O46" s="5">
        <v>899</v>
      </c>
      <c r="P46" s="35">
        <v>2</v>
      </c>
      <c r="Q46" s="46" t="s">
        <v>200</v>
      </c>
      <c r="U46" s="25"/>
      <c r="V46" s="35"/>
      <c r="W46" s="5" t="s">
        <v>208</v>
      </c>
      <c r="X46" s="5"/>
      <c r="Y46" s="39">
        <f>Y45/X43</f>
        <v>0.63231615807903951</v>
      </c>
      <c r="AA46" s="112"/>
      <c r="AD46" s="5"/>
      <c r="AE46" s="26"/>
    </row>
    <row r="47" spans="1:31">
      <c r="A47" s="33">
        <v>14</v>
      </c>
      <c r="B47" t="s">
        <v>144</v>
      </c>
      <c r="C47" t="s">
        <v>214</v>
      </c>
      <c r="M47" s="25">
        <v>16</v>
      </c>
      <c r="N47" s="146" t="s">
        <v>162</v>
      </c>
      <c r="O47" s="5">
        <v>999</v>
      </c>
      <c r="P47" s="35" t="s">
        <v>291</v>
      </c>
      <c r="Q47" s="46" t="s">
        <v>200</v>
      </c>
      <c r="U47" s="25"/>
      <c r="V47" s="35"/>
      <c r="W47" s="5"/>
      <c r="X47" s="5"/>
      <c r="Y47" s="26"/>
      <c r="AA47" s="112"/>
      <c r="AD47" s="5"/>
      <c r="AE47" s="26"/>
    </row>
    <row r="48" spans="1:31">
      <c r="C48" t="s">
        <v>215</v>
      </c>
      <c r="M48" s="25">
        <v>17</v>
      </c>
      <c r="N48" s="5" t="s">
        <v>147</v>
      </c>
      <c r="O48" s="5">
        <v>699</v>
      </c>
      <c r="P48" s="35" t="s">
        <v>203</v>
      </c>
      <c r="Q48" s="46" t="s">
        <v>200</v>
      </c>
      <c r="U48" s="25"/>
      <c r="V48" s="35"/>
      <c r="W48" s="5" t="s">
        <v>174</v>
      </c>
      <c r="X48" s="32">
        <v>3499</v>
      </c>
      <c r="Y48" s="40">
        <v>1470</v>
      </c>
      <c r="AA48" s="112"/>
      <c r="AD48" s="5"/>
      <c r="AE48" s="26"/>
    </row>
    <row r="49" spans="1:31">
      <c r="C49" t="s">
        <v>48</v>
      </c>
      <c r="M49" s="25">
        <v>18</v>
      </c>
      <c r="N49" s="5" t="s">
        <v>150</v>
      </c>
      <c r="O49" s="5">
        <v>599</v>
      </c>
      <c r="P49" s="35" t="s">
        <v>203</v>
      </c>
      <c r="Q49" s="46" t="s">
        <v>200</v>
      </c>
      <c r="U49" s="25"/>
      <c r="V49" s="35"/>
      <c r="W49" s="5"/>
      <c r="X49" s="5"/>
      <c r="Y49" s="26"/>
      <c r="AA49" s="112"/>
      <c r="AD49" s="5"/>
      <c r="AE49" s="26"/>
    </row>
    <row r="50" spans="1:31">
      <c r="A50" s="33">
        <v>15</v>
      </c>
      <c r="B50" t="s">
        <v>145</v>
      </c>
      <c r="C50" t="s">
        <v>216</v>
      </c>
      <c r="M50" s="25">
        <v>19</v>
      </c>
      <c r="N50" s="5" t="s">
        <v>88</v>
      </c>
      <c r="O50" s="5">
        <v>550</v>
      </c>
      <c r="P50" s="35" t="s">
        <v>203</v>
      </c>
      <c r="Q50" s="46" t="s">
        <v>200</v>
      </c>
      <c r="U50" s="25"/>
      <c r="V50" s="35"/>
      <c r="W50" s="5" t="s">
        <v>140</v>
      </c>
      <c r="X50" s="5"/>
      <c r="Y50" s="26">
        <f>X48-Y48</f>
        <v>2029</v>
      </c>
      <c r="AA50" s="112"/>
      <c r="AD50" s="5"/>
      <c r="AE50" s="26"/>
    </row>
    <row r="51" spans="1:31">
      <c r="C51" t="s">
        <v>217</v>
      </c>
      <c r="M51" s="25">
        <v>20</v>
      </c>
      <c r="N51" s="5" t="s">
        <v>19</v>
      </c>
      <c r="O51" s="5">
        <v>550</v>
      </c>
      <c r="P51" s="35" t="s">
        <v>203</v>
      </c>
      <c r="Q51" s="46" t="s">
        <v>200</v>
      </c>
      <c r="U51" s="25"/>
      <c r="V51" s="35"/>
      <c r="W51" s="5" t="s">
        <v>209</v>
      </c>
      <c r="X51" s="5"/>
      <c r="Y51" s="39">
        <f>Y50/X48</f>
        <v>0.57987996570448697</v>
      </c>
      <c r="AA51" s="112"/>
      <c r="AD51" s="5"/>
      <c r="AE51" s="26"/>
    </row>
    <row r="52" spans="1:31">
      <c r="C52" t="s">
        <v>218</v>
      </c>
      <c r="M52" s="25">
        <v>21</v>
      </c>
      <c r="N52" s="5" t="s">
        <v>51</v>
      </c>
      <c r="O52" s="5">
        <v>599</v>
      </c>
      <c r="P52" s="43" t="s">
        <v>203</v>
      </c>
      <c r="Q52" s="49" t="s">
        <v>200</v>
      </c>
      <c r="U52" s="25"/>
      <c r="V52" s="35"/>
      <c r="W52" s="41" t="s">
        <v>175</v>
      </c>
      <c r="X52" s="42">
        <v>4</v>
      </c>
      <c r="Y52" s="26"/>
      <c r="AA52" s="112"/>
      <c r="AB52" s="5"/>
      <c r="AC52" s="5"/>
      <c r="AD52" s="5"/>
      <c r="AE52" s="26"/>
    </row>
    <row r="53" spans="1:31" ht="16.5" thickBot="1">
      <c r="A53" s="33">
        <v>16</v>
      </c>
      <c r="B53" t="s">
        <v>160</v>
      </c>
      <c r="C53" t="s">
        <v>219</v>
      </c>
      <c r="M53" s="31"/>
      <c r="N53" s="31"/>
      <c r="O53" s="31"/>
      <c r="P53" s="5"/>
      <c r="Q53" s="5"/>
      <c r="U53" s="105"/>
      <c r="V53" s="107"/>
      <c r="W53" s="106" t="s">
        <v>176</v>
      </c>
      <c r="X53" s="106" t="s">
        <v>177</v>
      </c>
      <c r="Y53" s="109"/>
      <c r="AA53" s="113"/>
      <c r="AB53" s="106"/>
      <c r="AC53" s="106"/>
      <c r="AD53" s="106"/>
      <c r="AE53" s="109"/>
    </row>
    <row r="54" spans="1:31">
      <c r="C54" t="s">
        <v>220</v>
      </c>
      <c r="U54" s="25"/>
      <c r="V54" s="35"/>
      <c r="W54" s="5"/>
      <c r="X54" s="5"/>
      <c r="Y54" s="26"/>
      <c r="AA54" s="112"/>
      <c r="AD54" s="5"/>
      <c r="AE54" s="26"/>
    </row>
    <row r="55" spans="1:31">
      <c r="C55" t="s">
        <v>143</v>
      </c>
      <c r="U55" s="55" t="s">
        <v>188</v>
      </c>
      <c r="V55" s="35">
        <v>1</v>
      </c>
      <c r="W55" s="5" t="s">
        <v>179</v>
      </c>
      <c r="X55" s="5"/>
      <c r="Y55" s="26"/>
      <c r="AA55" s="55" t="s">
        <v>188</v>
      </c>
      <c r="AB55" s="35">
        <v>1</v>
      </c>
      <c r="AC55" s="5" t="s">
        <v>179</v>
      </c>
      <c r="AD55" s="5"/>
      <c r="AE55" s="26"/>
    </row>
    <row r="56" spans="1:31">
      <c r="A56" s="33">
        <v>17</v>
      </c>
      <c r="B56" t="s">
        <v>19</v>
      </c>
      <c r="C56" t="s">
        <v>19</v>
      </c>
      <c r="U56" s="25"/>
      <c r="V56" s="35"/>
      <c r="W56" s="5" t="s">
        <v>189</v>
      </c>
      <c r="X56" s="5">
        <v>599</v>
      </c>
      <c r="Y56" s="26">
        <v>100</v>
      </c>
      <c r="AA56" s="25"/>
      <c r="AB56" s="35"/>
      <c r="AC56" s="5" t="s">
        <v>189</v>
      </c>
      <c r="AD56" s="5">
        <v>599</v>
      </c>
      <c r="AE56" s="26">
        <v>100</v>
      </c>
    </row>
    <row r="57" spans="1:31">
      <c r="C57" t="s">
        <v>15</v>
      </c>
      <c r="U57" s="25"/>
      <c r="V57" s="35"/>
      <c r="W57" s="5" t="s">
        <v>190</v>
      </c>
      <c r="X57" s="5">
        <v>599</v>
      </c>
      <c r="Y57" s="26">
        <v>200</v>
      </c>
      <c r="AA57" s="25"/>
      <c r="AB57" s="35"/>
      <c r="AC57" s="5" t="s">
        <v>190</v>
      </c>
      <c r="AD57" s="5">
        <v>599</v>
      </c>
      <c r="AE57" s="26">
        <v>200</v>
      </c>
    </row>
    <row r="58" spans="1:31">
      <c r="U58" s="25"/>
      <c r="V58" s="35"/>
      <c r="W58" s="5" t="s">
        <v>191</v>
      </c>
      <c r="X58" s="5">
        <v>550</v>
      </c>
      <c r="Y58" s="26">
        <v>50</v>
      </c>
      <c r="AA58" s="25"/>
      <c r="AB58" s="35"/>
      <c r="AC58" s="5" t="s">
        <v>191</v>
      </c>
      <c r="AD58" s="5">
        <v>550</v>
      </c>
      <c r="AE58" s="26">
        <v>50</v>
      </c>
    </row>
    <row r="59" spans="1:31">
      <c r="A59" s="33">
        <v>18</v>
      </c>
      <c r="B59" t="s">
        <v>88</v>
      </c>
      <c r="C59" t="s">
        <v>88</v>
      </c>
      <c r="U59" s="25"/>
      <c r="V59" s="35"/>
      <c r="W59" s="5" t="s">
        <v>192</v>
      </c>
      <c r="X59" s="5">
        <v>550</v>
      </c>
      <c r="Y59" s="26">
        <v>50</v>
      </c>
      <c r="AA59" s="25"/>
      <c r="AB59" s="35"/>
      <c r="AC59" s="5" t="s">
        <v>192</v>
      </c>
      <c r="AD59" s="5">
        <v>550</v>
      </c>
      <c r="AE59" s="26">
        <v>50</v>
      </c>
    </row>
    <row r="60" spans="1:31">
      <c r="C60" t="s">
        <v>221</v>
      </c>
      <c r="U60" s="25"/>
      <c r="V60" s="35"/>
      <c r="W60" s="5" t="s">
        <v>193</v>
      </c>
      <c r="X60" s="5">
        <v>599</v>
      </c>
      <c r="Y60" s="26">
        <v>50</v>
      </c>
      <c r="AA60" s="25"/>
      <c r="AB60" s="35"/>
      <c r="AC60" s="5" t="s">
        <v>193</v>
      </c>
      <c r="AD60" s="5">
        <v>599</v>
      </c>
      <c r="AE60" s="26">
        <v>50</v>
      </c>
    </row>
    <row r="61" spans="1:31">
      <c r="C61" t="s">
        <v>222</v>
      </c>
      <c r="U61" s="25"/>
      <c r="V61" s="35"/>
      <c r="W61" s="5"/>
      <c r="X61" s="31">
        <f>SUM(X56:X60)</f>
        <v>2897</v>
      </c>
      <c r="Y61" s="40">
        <f>SUM(Y56:Y60)</f>
        <v>450</v>
      </c>
      <c r="AA61" s="25"/>
      <c r="AB61" s="35"/>
      <c r="AC61" s="5"/>
      <c r="AD61" s="31">
        <f>SUM(AD56:AD60)</f>
        <v>2897</v>
      </c>
      <c r="AE61" s="40">
        <f>SUM(AE56:AE60)</f>
        <v>450</v>
      </c>
    </row>
    <row r="62" spans="1:31">
      <c r="U62" s="25"/>
      <c r="V62" s="35"/>
      <c r="W62" s="5"/>
      <c r="X62" s="5"/>
      <c r="Y62" s="26"/>
      <c r="AA62" s="112"/>
      <c r="AD62" s="5"/>
      <c r="AE62" s="26"/>
    </row>
    <row r="63" spans="1:31">
      <c r="A63" s="33">
        <v>19</v>
      </c>
      <c r="B63" t="s">
        <v>106</v>
      </c>
      <c r="C63" t="s">
        <v>106</v>
      </c>
      <c r="U63" s="25"/>
      <c r="V63" s="35"/>
      <c r="W63" s="5" t="s">
        <v>140</v>
      </c>
      <c r="X63" s="5"/>
      <c r="Y63" s="26">
        <f>X61-Y61</f>
        <v>2447</v>
      </c>
      <c r="AA63" s="112"/>
      <c r="AC63" s="22" t="s">
        <v>140</v>
      </c>
      <c r="AD63" s="5"/>
      <c r="AE63" s="26">
        <f>AD61-AE61</f>
        <v>2447</v>
      </c>
    </row>
    <row r="64" spans="1:31">
      <c r="C64" t="s">
        <v>223</v>
      </c>
      <c r="U64" s="25"/>
      <c r="V64" s="35"/>
      <c r="W64" s="5" t="s">
        <v>208</v>
      </c>
      <c r="X64" s="5"/>
      <c r="Y64" s="39">
        <f>Y63/X61</f>
        <v>0.84466689678978257</v>
      </c>
      <c r="AA64" s="112"/>
      <c r="AC64" s="22" t="s">
        <v>139</v>
      </c>
      <c r="AD64" s="5"/>
      <c r="AE64" s="39">
        <f>AE63/AD61</f>
        <v>0.84466689678978257</v>
      </c>
    </row>
    <row r="65" spans="1:34">
      <c r="C65" t="s">
        <v>224</v>
      </c>
      <c r="U65" s="25"/>
      <c r="V65" s="35"/>
      <c r="W65" s="5" t="s">
        <v>174</v>
      </c>
      <c r="X65" s="31">
        <v>2500</v>
      </c>
      <c r="Y65" s="40">
        <v>450</v>
      </c>
      <c r="AA65" s="112"/>
      <c r="AD65" s="5"/>
      <c r="AE65" s="26"/>
    </row>
    <row r="66" spans="1:34">
      <c r="U66" s="25"/>
      <c r="V66" s="35"/>
      <c r="W66" s="5"/>
      <c r="X66" s="5"/>
      <c r="Y66" s="26"/>
      <c r="AA66" s="112"/>
      <c r="AC66" s="22" t="s">
        <v>163</v>
      </c>
      <c r="AD66" s="103">
        <v>12000</v>
      </c>
      <c r="AE66" s="40">
        <f>AE61*5</f>
        <v>2250</v>
      </c>
    </row>
    <row r="67" spans="1:34">
      <c r="A67" s="33">
        <v>20</v>
      </c>
      <c r="B67" t="s">
        <v>108</v>
      </c>
      <c r="C67" t="s">
        <v>106</v>
      </c>
      <c r="U67" s="25"/>
      <c r="V67" s="35"/>
      <c r="W67" s="5" t="s">
        <v>140</v>
      </c>
      <c r="X67" s="5"/>
      <c r="Y67" s="26">
        <f>X65-Y65</f>
        <v>2050</v>
      </c>
      <c r="AA67" s="112"/>
      <c r="AC67" s="22" t="s">
        <v>140</v>
      </c>
      <c r="AD67" s="5"/>
      <c r="AE67" s="115">
        <f>AD66-AE66</f>
        <v>9750</v>
      </c>
    </row>
    <row r="68" spans="1:34">
      <c r="C68" t="s">
        <v>224</v>
      </c>
      <c r="U68" s="25"/>
      <c r="V68" s="35"/>
      <c r="W68" s="5" t="s">
        <v>209</v>
      </c>
      <c r="X68" s="5"/>
      <c r="Y68" s="39">
        <f>Y67/X65</f>
        <v>0.82</v>
      </c>
      <c r="AA68" s="112"/>
      <c r="AC68" s="22" t="s">
        <v>139</v>
      </c>
      <c r="AD68" s="5"/>
      <c r="AE68" s="39">
        <f>AE67/AD66</f>
        <v>0.8125</v>
      </c>
    </row>
    <row r="69" spans="1:34">
      <c r="D69" s="101"/>
      <c r="E69" s="101"/>
      <c r="F69" s="101"/>
      <c r="H69" s="100"/>
      <c r="I69" s="101"/>
      <c r="U69" s="25"/>
      <c r="V69" s="35"/>
      <c r="W69" s="5"/>
      <c r="X69" s="5"/>
      <c r="Y69" s="39"/>
      <c r="AA69" s="112"/>
      <c r="AD69" s="5"/>
      <c r="AE69" s="39"/>
    </row>
    <row r="70" spans="1:34">
      <c r="C70" t="s">
        <v>223</v>
      </c>
      <c r="U70" s="25"/>
      <c r="V70" s="35"/>
      <c r="W70" s="41" t="s">
        <v>175</v>
      </c>
      <c r="X70" s="42">
        <v>5</v>
      </c>
      <c r="Y70" s="26"/>
      <c r="AA70" s="112"/>
      <c r="AC70" s="102" t="s">
        <v>269</v>
      </c>
      <c r="AD70" s="41">
        <v>25</v>
      </c>
      <c r="AE70" s="26"/>
      <c r="AH70" s="69"/>
    </row>
    <row r="71" spans="1:34">
      <c r="U71" s="25"/>
      <c r="V71" s="35"/>
      <c r="W71" s="5" t="s">
        <v>176</v>
      </c>
      <c r="X71" s="5" t="s">
        <v>177</v>
      </c>
      <c r="Y71" s="26"/>
      <c r="AA71" s="112"/>
      <c r="AC71" s="22" t="s">
        <v>176</v>
      </c>
      <c r="AD71" s="5" t="s">
        <v>177</v>
      </c>
      <c r="AE71" s="26"/>
    </row>
    <row r="72" spans="1:34">
      <c r="A72" s="33">
        <v>21</v>
      </c>
      <c r="B72" t="s">
        <v>148</v>
      </c>
      <c r="U72" s="25"/>
      <c r="V72" s="35"/>
      <c r="W72" s="5"/>
      <c r="X72" s="5"/>
      <c r="Y72" s="26"/>
      <c r="AA72" s="112"/>
      <c r="AD72" s="5"/>
      <c r="AE72" s="26"/>
    </row>
    <row r="73" spans="1:34">
      <c r="U73" s="55" t="s">
        <v>188</v>
      </c>
      <c r="V73" s="35">
        <v>2</v>
      </c>
      <c r="W73" s="5" t="s">
        <v>179</v>
      </c>
      <c r="X73" s="5"/>
      <c r="Y73" s="26"/>
      <c r="AA73" s="55" t="s">
        <v>188</v>
      </c>
      <c r="AB73" s="35">
        <v>2</v>
      </c>
      <c r="AC73" s="5" t="s">
        <v>179</v>
      </c>
      <c r="AD73" s="5"/>
      <c r="AE73" s="26"/>
      <c r="AF73" s="5"/>
    </row>
    <row r="74" spans="1:34">
      <c r="U74" s="25"/>
      <c r="V74" s="35"/>
      <c r="W74" s="5" t="s">
        <v>184</v>
      </c>
      <c r="X74" s="5">
        <v>599</v>
      </c>
      <c r="Y74" s="26">
        <v>50</v>
      </c>
      <c r="AA74" s="25"/>
      <c r="AB74" s="35"/>
      <c r="AC74" s="5" t="s">
        <v>184</v>
      </c>
      <c r="AD74" s="5">
        <v>599</v>
      </c>
      <c r="AE74" s="26">
        <v>50</v>
      </c>
      <c r="AF74" s="5"/>
    </row>
    <row r="75" spans="1:34">
      <c r="U75" s="25"/>
      <c r="V75" s="35"/>
      <c r="W75" s="5" t="s">
        <v>194</v>
      </c>
      <c r="X75" s="5">
        <v>699</v>
      </c>
      <c r="Y75" s="26">
        <v>50</v>
      </c>
      <c r="AA75" s="25"/>
      <c r="AB75" s="35"/>
      <c r="AC75" s="5" t="s">
        <v>194</v>
      </c>
      <c r="AD75" s="5">
        <v>699</v>
      </c>
      <c r="AE75" s="26">
        <v>50</v>
      </c>
      <c r="AF75" s="5"/>
    </row>
    <row r="76" spans="1:34">
      <c r="A76" s="33">
        <v>22</v>
      </c>
      <c r="B76" t="s">
        <v>167</v>
      </c>
      <c r="U76" s="25"/>
      <c r="V76" s="35"/>
      <c r="W76" s="5" t="s">
        <v>186</v>
      </c>
      <c r="X76" s="5">
        <v>1500</v>
      </c>
      <c r="Y76" s="26">
        <v>685</v>
      </c>
      <c r="AA76" s="25"/>
      <c r="AB76" s="35"/>
      <c r="AC76" s="5" t="s">
        <v>186</v>
      </c>
      <c r="AD76" s="5">
        <v>1500</v>
      </c>
      <c r="AE76" s="26">
        <v>685</v>
      </c>
      <c r="AF76" s="5"/>
    </row>
    <row r="77" spans="1:34">
      <c r="U77" s="25"/>
      <c r="V77" s="35"/>
      <c r="W77" s="5" t="s">
        <v>195</v>
      </c>
      <c r="X77" s="5">
        <v>1500</v>
      </c>
      <c r="Y77" s="26">
        <v>685</v>
      </c>
      <c r="AA77" s="25"/>
      <c r="AB77" s="35"/>
      <c r="AC77" s="5" t="s">
        <v>195</v>
      </c>
      <c r="AD77" s="5">
        <v>1500</v>
      </c>
      <c r="AE77" s="26">
        <v>685</v>
      </c>
      <c r="AF77" s="5"/>
    </row>
    <row r="78" spans="1:34">
      <c r="U78" s="25"/>
      <c r="V78" s="35"/>
      <c r="W78" s="5"/>
      <c r="X78" s="31">
        <f>SUM(X74:X77)</f>
        <v>4298</v>
      </c>
      <c r="Y78" s="40">
        <f>SUM(Y74:Y77)</f>
        <v>1470</v>
      </c>
      <c r="AA78" s="25"/>
      <c r="AB78" s="35"/>
      <c r="AC78" s="5"/>
      <c r="AD78" s="31">
        <f>SUM(AD74:AD77)</f>
        <v>4298</v>
      </c>
      <c r="AE78" s="40">
        <f>SUM(AE74:AE77)</f>
        <v>1470</v>
      </c>
      <c r="AF78" s="5"/>
    </row>
    <row r="79" spans="1:34">
      <c r="U79" s="25"/>
      <c r="V79" s="35"/>
      <c r="W79" s="5"/>
      <c r="X79" s="5"/>
      <c r="Y79" s="26"/>
      <c r="AA79" s="25"/>
      <c r="AB79" s="35"/>
      <c r="AC79" s="5"/>
      <c r="AD79" s="5"/>
      <c r="AE79" s="26"/>
      <c r="AF79" s="5"/>
    </row>
    <row r="80" spans="1:34">
      <c r="U80" s="25"/>
      <c r="V80" s="35"/>
      <c r="W80" s="5" t="s">
        <v>140</v>
      </c>
      <c r="X80" s="5"/>
      <c r="Y80" s="26">
        <f>X78-Y78</f>
        <v>2828</v>
      </c>
      <c r="AA80" s="25"/>
      <c r="AB80" s="35"/>
      <c r="AC80" s="5" t="s">
        <v>140</v>
      </c>
      <c r="AD80" s="5"/>
      <c r="AE80" s="26">
        <f>AD78-AE78</f>
        <v>2828</v>
      </c>
      <c r="AF80" s="5"/>
    </row>
    <row r="81" spans="1:32">
      <c r="A81" s="33">
        <v>23</v>
      </c>
      <c r="B81" t="s">
        <v>50</v>
      </c>
      <c r="U81" s="25"/>
      <c r="V81" s="35"/>
      <c r="W81" s="5" t="s">
        <v>208</v>
      </c>
      <c r="X81" s="5"/>
      <c r="Y81" s="39">
        <f>Y80/X78</f>
        <v>0.65798045602605859</v>
      </c>
      <c r="AA81" s="25"/>
      <c r="AB81" s="35"/>
      <c r="AC81" s="5" t="s">
        <v>208</v>
      </c>
      <c r="AD81" s="5"/>
      <c r="AE81" s="39">
        <f>AE80/AD78</f>
        <v>0.65798045602605859</v>
      </c>
      <c r="AF81" s="70"/>
    </row>
    <row r="82" spans="1:32">
      <c r="U82" s="25"/>
      <c r="V82" s="35"/>
      <c r="W82" s="5"/>
      <c r="X82" s="31">
        <v>3799</v>
      </c>
      <c r="Y82" s="40">
        <v>1470</v>
      </c>
      <c r="AA82" s="25"/>
      <c r="AB82" s="35"/>
      <c r="AC82" s="5" t="s">
        <v>163</v>
      </c>
      <c r="AD82" s="103">
        <v>28000</v>
      </c>
      <c r="AE82" s="40">
        <v>6280</v>
      </c>
      <c r="AF82" s="5"/>
    </row>
    <row r="83" spans="1:32">
      <c r="U83" s="25"/>
      <c r="V83" s="35"/>
      <c r="W83" s="5"/>
      <c r="X83" s="5"/>
      <c r="Y83" s="26"/>
      <c r="AA83" s="25"/>
      <c r="AD83" s="5"/>
      <c r="AE83" s="26"/>
    </row>
    <row r="84" spans="1:32">
      <c r="U84" s="25"/>
      <c r="V84" s="35"/>
      <c r="W84" s="5" t="s">
        <v>140</v>
      </c>
      <c r="X84" s="5"/>
      <c r="Y84" s="26">
        <f>X82-Y82</f>
        <v>2329</v>
      </c>
      <c r="AA84" s="25"/>
      <c r="AC84" s="22" t="s">
        <v>140</v>
      </c>
      <c r="AD84" s="5"/>
      <c r="AE84" s="115">
        <f>AD82-AE82</f>
        <v>21720</v>
      </c>
    </row>
    <row r="85" spans="1:32">
      <c r="A85" s="33">
        <v>24</v>
      </c>
      <c r="B85" t="s">
        <v>150</v>
      </c>
      <c r="U85" s="25"/>
      <c r="V85" s="35"/>
      <c r="W85" s="5" t="s">
        <v>209</v>
      </c>
      <c r="X85" s="5"/>
      <c r="Y85" s="39">
        <f>Y84/X82</f>
        <v>0.61305606738615426</v>
      </c>
      <c r="AA85" s="25"/>
      <c r="AC85" s="22" t="s">
        <v>139</v>
      </c>
      <c r="AD85" s="5"/>
      <c r="AE85" s="39">
        <f>AE84/AD82</f>
        <v>0.77571428571428569</v>
      </c>
    </row>
    <row r="86" spans="1:32">
      <c r="D86" s="101"/>
      <c r="E86" s="101"/>
      <c r="F86" s="101"/>
      <c r="H86" s="100"/>
      <c r="I86" s="101"/>
      <c r="U86" s="25"/>
      <c r="V86" s="35"/>
      <c r="W86" s="5"/>
      <c r="X86" s="5"/>
      <c r="Y86" s="39"/>
      <c r="AA86" s="112"/>
      <c r="AD86" s="5"/>
      <c r="AE86" s="26"/>
    </row>
    <row r="87" spans="1:32">
      <c r="U87" s="25"/>
      <c r="V87" s="35"/>
      <c r="W87" s="41" t="s">
        <v>175</v>
      </c>
      <c r="X87" s="42">
        <v>4</v>
      </c>
      <c r="Y87" s="26"/>
      <c r="AA87" s="112"/>
      <c r="AB87" s="5"/>
      <c r="AC87" s="5" t="s">
        <v>175</v>
      </c>
      <c r="AD87" s="5">
        <v>25</v>
      </c>
      <c r="AE87" s="26"/>
    </row>
    <row r="88" spans="1:32">
      <c r="U88" s="28"/>
      <c r="V88" s="43"/>
      <c r="W88" s="29" t="s">
        <v>176</v>
      </c>
      <c r="X88" s="29" t="s">
        <v>177</v>
      </c>
      <c r="Y88" s="30"/>
      <c r="AA88" s="116"/>
      <c r="AB88" s="29"/>
      <c r="AC88" s="29" t="s">
        <v>176</v>
      </c>
      <c r="AD88" s="29" t="s">
        <v>177</v>
      </c>
      <c r="AE88" s="30"/>
    </row>
    <row r="91" spans="1:32">
      <c r="U91" s="118" t="s">
        <v>210</v>
      </c>
      <c r="V91" s="118"/>
      <c r="W91" s="118"/>
      <c r="X91" s="118"/>
      <c r="Y91" s="118"/>
      <c r="Z91" s="118"/>
      <c r="AB91" s="90"/>
      <c r="AC91" s="90"/>
      <c r="AD91" s="90"/>
      <c r="AE91" s="90"/>
      <c r="AF91" s="90"/>
    </row>
    <row r="92" spans="1:32">
      <c r="U92" s="118" t="s">
        <v>211</v>
      </c>
      <c r="V92" s="118"/>
      <c r="W92" s="118"/>
      <c r="X92" s="118"/>
      <c r="Y92" s="118"/>
      <c r="Z92" s="118"/>
      <c r="AB92" s="90"/>
      <c r="AC92" s="90"/>
      <c r="AD92" s="90"/>
      <c r="AE92" s="90"/>
      <c r="AF92" s="90"/>
    </row>
  </sheetData>
  <mergeCells count="22">
    <mergeCell ref="X1:Y1"/>
    <mergeCell ref="AB1:AC1"/>
    <mergeCell ref="AD1:AE1"/>
    <mergeCell ref="U92:Z92"/>
    <mergeCell ref="D1:E1"/>
    <mergeCell ref="F2:F4"/>
    <mergeCell ref="G2:G4"/>
    <mergeCell ref="H2:H4"/>
    <mergeCell ref="M1:N1"/>
    <mergeCell ref="V1:W1"/>
    <mergeCell ref="I2:I4"/>
    <mergeCell ref="J2:J4"/>
    <mergeCell ref="J5:J7"/>
    <mergeCell ref="F23:F25"/>
    <mergeCell ref="G23:G25"/>
    <mergeCell ref="H23:H25"/>
    <mergeCell ref="U91:Z91"/>
    <mergeCell ref="I23:I25"/>
    <mergeCell ref="F15:F17"/>
    <mergeCell ref="F5:F7"/>
    <mergeCell ref="I5:I7"/>
    <mergeCell ref="H5:H7"/>
  </mergeCells>
  <pageMargins left="0.7" right="0.7" top="0.75" bottom="0.75" header="0.3" footer="0.3"/>
  <ignoredErrors>
    <ignoredError sqref="E21 E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zoomScale="75" workbookViewId="0">
      <selection activeCell="I7" sqref="I7"/>
    </sheetView>
  </sheetViews>
  <sheetFormatPr defaultColWidth="11" defaultRowHeight="15.75"/>
  <cols>
    <col min="1" max="1" width="15.125" customWidth="1"/>
    <col min="2" max="2" width="42.5" customWidth="1"/>
    <col min="3" max="3" width="21.375" customWidth="1"/>
    <col min="4" max="4" width="21" customWidth="1"/>
    <col min="5" max="5" width="21.625" customWidth="1"/>
    <col min="6" max="6" width="21.125" customWidth="1"/>
    <col min="7" max="7" width="19.625" customWidth="1"/>
    <col min="8" max="8" width="22.625" customWidth="1"/>
    <col min="9" max="9" width="22.375" customWidth="1"/>
    <col min="10" max="10" width="13.875" customWidth="1"/>
  </cols>
  <sheetData>
    <row r="1" spans="1:13" ht="23.25">
      <c r="A1" s="145" t="s">
        <v>64</v>
      </c>
      <c r="B1" s="145"/>
      <c r="C1" s="145"/>
      <c r="D1" s="145"/>
    </row>
    <row r="3" spans="1:13" s="6" customFormat="1" ht="21">
      <c r="A3" s="6" t="s">
        <v>62</v>
      </c>
      <c r="B3" s="6" t="s">
        <v>63</v>
      </c>
      <c r="C3" s="6" t="s">
        <v>67</v>
      </c>
      <c r="D3" s="6" t="s">
        <v>71</v>
      </c>
      <c r="E3" s="6" t="s">
        <v>70</v>
      </c>
      <c r="F3" s="73" t="s">
        <v>228</v>
      </c>
      <c r="G3" s="73" t="s">
        <v>230</v>
      </c>
      <c r="H3" s="73" t="s">
        <v>242</v>
      </c>
      <c r="J3" s="6" t="s">
        <v>238</v>
      </c>
      <c r="K3" s="78">
        <v>18000</v>
      </c>
      <c r="L3" s="6" t="s">
        <v>239</v>
      </c>
      <c r="M3" s="79">
        <v>44103</v>
      </c>
    </row>
    <row r="4" spans="1:13" s="6" customFormat="1" ht="21">
      <c r="A4" s="7">
        <v>1</v>
      </c>
      <c r="B4" s="8" t="s">
        <v>65</v>
      </c>
      <c r="C4" s="11">
        <v>1</v>
      </c>
      <c r="D4" s="12">
        <v>8000</v>
      </c>
      <c r="E4" s="91"/>
      <c r="F4" s="91"/>
      <c r="G4" s="93"/>
      <c r="H4" s="93"/>
      <c r="J4" s="6" t="s">
        <v>240</v>
      </c>
      <c r="K4" s="6">
        <v>14780</v>
      </c>
    </row>
    <row r="5" spans="1:13" s="6" customFormat="1" ht="21">
      <c r="A5" s="7">
        <v>2</v>
      </c>
      <c r="B5" s="10" t="s">
        <v>56</v>
      </c>
      <c r="C5" s="14">
        <v>1</v>
      </c>
      <c r="D5" s="13">
        <v>90000</v>
      </c>
      <c r="E5" s="91"/>
      <c r="F5" s="91"/>
      <c r="G5" s="93"/>
      <c r="H5" s="93"/>
      <c r="K5" s="80">
        <f>K3-K4</f>
        <v>3220</v>
      </c>
    </row>
    <row r="6" spans="1:13" s="6" customFormat="1" ht="21">
      <c r="A6" s="7">
        <v>3</v>
      </c>
      <c r="B6" s="10" t="s">
        <v>290</v>
      </c>
      <c r="C6" s="14">
        <v>1</v>
      </c>
      <c r="D6" s="9"/>
      <c r="E6" s="7"/>
      <c r="F6" s="7"/>
      <c r="G6" s="74"/>
      <c r="H6" s="74"/>
    </row>
    <row r="7" spans="1:13" s="6" customFormat="1" ht="21">
      <c r="A7" s="99">
        <v>4</v>
      </c>
      <c r="B7" s="94" t="s">
        <v>55</v>
      </c>
      <c r="C7" s="95">
        <v>1</v>
      </c>
      <c r="D7" s="96"/>
      <c r="E7" s="97"/>
      <c r="F7" s="97"/>
      <c r="G7" s="98"/>
      <c r="H7" s="98"/>
    </row>
    <row r="8" spans="1:13" s="6" customFormat="1" ht="21">
      <c r="A8" s="7">
        <v>5</v>
      </c>
      <c r="B8" s="10" t="s">
        <v>66</v>
      </c>
      <c r="C8" s="14">
        <v>6</v>
      </c>
      <c r="D8" s="9">
        <v>30000</v>
      </c>
      <c r="E8" s="7">
        <v>14700</v>
      </c>
      <c r="F8" s="83" t="s">
        <v>241</v>
      </c>
      <c r="G8" s="74" t="s">
        <v>232</v>
      </c>
      <c r="H8" s="74" t="s">
        <v>244</v>
      </c>
    </row>
    <row r="9" spans="1:13" s="6" customFormat="1" ht="21">
      <c r="A9" s="7">
        <v>6</v>
      </c>
      <c r="B9" s="10" t="s">
        <v>75</v>
      </c>
      <c r="C9" s="14">
        <v>6</v>
      </c>
      <c r="D9" s="9">
        <f>1400*Table1[[#This Row],[quantity]]</f>
        <v>8400</v>
      </c>
      <c r="E9" s="97">
        <f>1200*6</f>
        <v>7200</v>
      </c>
      <c r="F9" s="104" t="s">
        <v>241</v>
      </c>
      <c r="G9" s="98" t="s">
        <v>232</v>
      </c>
      <c r="H9" s="98" t="s">
        <v>249</v>
      </c>
    </row>
    <row r="10" spans="1:13" s="6" customFormat="1" ht="21">
      <c r="A10" s="7">
        <v>7</v>
      </c>
      <c r="B10" s="10" t="s">
        <v>288</v>
      </c>
      <c r="C10" s="14">
        <v>8</v>
      </c>
      <c r="D10" s="9">
        <f>3000*Table1[[#This Row],[quantity]]</f>
        <v>24000</v>
      </c>
      <c r="E10" s="72">
        <v>15500</v>
      </c>
      <c r="F10" s="83" t="s">
        <v>241</v>
      </c>
      <c r="G10" s="74" t="s">
        <v>278</v>
      </c>
      <c r="H10" s="74" t="s">
        <v>243</v>
      </c>
    </row>
    <row r="11" spans="1:13" s="6" customFormat="1" ht="21">
      <c r="A11" s="7"/>
      <c r="B11" s="9"/>
      <c r="C11" s="77"/>
      <c r="D11" s="9"/>
      <c r="E11" s="72"/>
      <c r="F11" s="83"/>
      <c r="G11" s="74" t="s">
        <v>281</v>
      </c>
      <c r="H11" s="74"/>
    </row>
    <row r="12" spans="1:13" s="6" customFormat="1" ht="21">
      <c r="A12" s="7">
        <v>8</v>
      </c>
      <c r="B12" s="10" t="s">
        <v>68</v>
      </c>
      <c r="C12" s="14">
        <v>3</v>
      </c>
      <c r="D12" s="13">
        <v>25000</v>
      </c>
      <c r="E12" s="72">
        <v>25000</v>
      </c>
      <c r="F12" s="83" t="s">
        <v>241</v>
      </c>
      <c r="G12" s="74" t="s">
        <v>232</v>
      </c>
      <c r="H12" s="74" t="s">
        <v>267</v>
      </c>
    </row>
    <row r="13" spans="1:13" s="6" customFormat="1" ht="21">
      <c r="A13" s="7">
        <v>9</v>
      </c>
      <c r="B13" s="10" t="s">
        <v>266</v>
      </c>
      <c r="C13" s="14">
        <v>6</v>
      </c>
      <c r="D13" s="13">
        <v>10000</v>
      </c>
      <c r="E13" s="72">
        <v>10000</v>
      </c>
      <c r="F13" s="83" t="s">
        <v>241</v>
      </c>
      <c r="G13" s="74" t="s">
        <v>232</v>
      </c>
      <c r="H13" s="74" t="s">
        <v>249</v>
      </c>
    </row>
    <row r="14" spans="1:13" s="6" customFormat="1" ht="21">
      <c r="A14" s="7">
        <v>10</v>
      </c>
      <c r="B14" s="10" t="s">
        <v>226</v>
      </c>
      <c r="C14" s="14">
        <f>6+6</f>
        <v>12</v>
      </c>
      <c r="D14" s="9">
        <f>1700+1100</f>
        <v>2800</v>
      </c>
      <c r="E14" s="7">
        <v>2800</v>
      </c>
      <c r="F14" s="83" t="s">
        <v>241</v>
      </c>
      <c r="G14" s="74" t="s">
        <v>231</v>
      </c>
      <c r="H14" s="74"/>
    </row>
    <row r="15" spans="1:13" s="6" customFormat="1" ht="21">
      <c r="A15" s="7">
        <v>11</v>
      </c>
      <c r="B15" s="10" t="s">
        <v>289</v>
      </c>
      <c r="C15" s="14">
        <v>2</v>
      </c>
      <c r="D15" s="9">
        <f>2000*2</f>
        <v>4000</v>
      </c>
      <c r="E15" s="91"/>
      <c r="F15" s="92"/>
      <c r="G15" s="93"/>
      <c r="H15" s="93"/>
    </row>
    <row r="16" spans="1:13" s="6" customFormat="1" ht="21">
      <c r="A16" s="7">
        <v>12</v>
      </c>
      <c r="B16" s="10" t="s">
        <v>72</v>
      </c>
      <c r="C16" s="14">
        <v>1</v>
      </c>
      <c r="D16" s="13">
        <v>15000</v>
      </c>
      <c r="E16" s="72">
        <v>10400</v>
      </c>
      <c r="F16" s="83" t="s">
        <v>241</v>
      </c>
      <c r="G16" s="74" t="s">
        <v>231</v>
      </c>
      <c r="H16" s="74"/>
    </row>
    <row r="17" spans="1:11" s="6" customFormat="1" ht="21">
      <c r="A17" s="7">
        <v>13</v>
      </c>
      <c r="B17" s="10" t="s">
        <v>73</v>
      </c>
      <c r="C17" s="14">
        <v>1</v>
      </c>
      <c r="D17" s="15">
        <v>12000</v>
      </c>
      <c r="E17" s="91"/>
      <c r="F17" s="92"/>
      <c r="G17" s="93"/>
      <c r="H17" s="93"/>
    </row>
    <row r="18" spans="1:11" s="6" customFormat="1" ht="21">
      <c r="A18" s="7">
        <v>14</v>
      </c>
      <c r="B18" s="10" t="s">
        <v>74</v>
      </c>
      <c r="C18" s="14">
        <v>1</v>
      </c>
      <c r="D18" s="13">
        <v>20000</v>
      </c>
      <c r="E18" s="72">
        <v>19600</v>
      </c>
      <c r="F18" s="84">
        <v>10000</v>
      </c>
      <c r="G18" s="75" t="s">
        <v>231</v>
      </c>
      <c r="H18" s="75"/>
    </row>
    <row r="19" spans="1:11" s="6" customFormat="1" ht="21">
      <c r="A19" s="7">
        <v>15</v>
      </c>
      <c r="B19" s="10" t="s">
        <v>76</v>
      </c>
      <c r="C19" s="14">
        <v>1</v>
      </c>
      <c r="D19" s="15">
        <v>27800</v>
      </c>
      <c r="E19" s="72">
        <v>27800</v>
      </c>
      <c r="F19" s="83" t="s">
        <v>241</v>
      </c>
      <c r="G19" s="74" t="s">
        <v>231</v>
      </c>
      <c r="H19" s="74"/>
    </row>
    <row r="20" spans="1:11" s="6" customFormat="1" ht="21">
      <c r="A20" s="7">
        <v>16</v>
      </c>
      <c r="B20" s="10" t="s">
        <v>77</v>
      </c>
      <c r="C20" s="14">
        <v>1</v>
      </c>
      <c r="D20" s="9">
        <v>8000</v>
      </c>
      <c r="E20" s="72">
        <v>16000</v>
      </c>
      <c r="F20" s="83" t="s">
        <v>241</v>
      </c>
      <c r="G20" s="74" t="s">
        <v>232</v>
      </c>
      <c r="H20" s="74" t="s">
        <v>249</v>
      </c>
      <c r="J20" s="6" t="s">
        <v>285</v>
      </c>
      <c r="K20" s="6" t="s">
        <v>231</v>
      </c>
    </row>
    <row r="21" spans="1:11" s="6" customFormat="1" ht="21">
      <c r="A21" s="7">
        <v>17</v>
      </c>
      <c r="B21" s="10" t="s">
        <v>78</v>
      </c>
      <c r="C21" s="14">
        <v>1</v>
      </c>
      <c r="D21" s="9">
        <v>8000</v>
      </c>
      <c r="E21" s="72">
        <v>10000</v>
      </c>
      <c r="F21" s="83" t="s">
        <v>241</v>
      </c>
      <c r="G21" s="74" t="s">
        <v>232</v>
      </c>
      <c r="H21" s="74" t="s">
        <v>249</v>
      </c>
      <c r="J21" s="6" t="s">
        <v>286</v>
      </c>
      <c r="K21" s="6" t="s">
        <v>287</v>
      </c>
    </row>
    <row r="22" spans="1:11" s="6" customFormat="1" ht="21">
      <c r="A22" s="7">
        <v>18</v>
      </c>
      <c r="B22" s="10" t="s">
        <v>79</v>
      </c>
      <c r="C22" s="14">
        <v>2</v>
      </c>
      <c r="D22" s="9">
        <f>2000*Table1[[#This Row],[quantity]]</f>
        <v>4000</v>
      </c>
      <c r="E22" s="91"/>
      <c r="F22" s="92"/>
      <c r="G22" s="93"/>
      <c r="H22" s="93"/>
    </row>
    <row r="23" spans="1:11" s="6" customFormat="1" ht="21">
      <c r="A23" s="7">
        <v>19</v>
      </c>
      <c r="B23" s="76" t="s">
        <v>80</v>
      </c>
      <c r="C23" s="9"/>
      <c r="D23" s="9">
        <f>1627+5100+8000</f>
        <v>14727</v>
      </c>
      <c r="E23" s="7">
        <f>1627+5100+3600</f>
        <v>10327</v>
      </c>
      <c r="F23" s="83" t="s">
        <v>241</v>
      </c>
      <c r="G23" s="74" t="s">
        <v>284</v>
      </c>
      <c r="H23" s="74" t="s">
        <v>246</v>
      </c>
    </row>
    <row r="24" spans="1:11" s="6" customFormat="1" ht="21">
      <c r="A24" s="7">
        <v>20</v>
      </c>
      <c r="B24" s="10" t="s">
        <v>196</v>
      </c>
      <c r="C24" s="14" t="s">
        <v>277</v>
      </c>
      <c r="D24" s="15">
        <v>21577</v>
      </c>
      <c r="E24" s="72">
        <v>21577</v>
      </c>
      <c r="F24" s="84" t="s">
        <v>241</v>
      </c>
      <c r="G24" s="75" t="s">
        <v>232</v>
      </c>
      <c r="H24" s="75" t="s">
        <v>243</v>
      </c>
    </row>
    <row r="25" spans="1:11" s="6" customFormat="1" ht="21">
      <c r="A25" s="7">
        <v>21</v>
      </c>
      <c r="B25" s="10" t="s">
        <v>227</v>
      </c>
      <c r="C25" s="14">
        <f>2+1+1</f>
        <v>4</v>
      </c>
      <c r="D25" s="9">
        <f>150*4</f>
        <v>600</v>
      </c>
      <c r="E25" s="7">
        <v>600</v>
      </c>
      <c r="F25" s="83" t="s">
        <v>241</v>
      </c>
      <c r="G25" s="74" t="s">
        <v>231</v>
      </c>
      <c r="H25" s="74"/>
    </row>
    <row r="26" spans="1:11" s="6" customFormat="1" ht="21">
      <c r="A26" s="7">
        <v>22</v>
      </c>
      <c r="B26" s="10" t="s">
        <v>282</v>
      </c>
      <c r="C26" s="14">
        <v>12</v>
      </c>
      <c r="D26" s="9">
        <v>1500</v>
      </c>
      <c r="E26" s="7">
        <f>1500+500+600+2400</f>
        <v>5000</v>
      </c>
      <c r="F26" s="83">
        <v>1000</v>
      </c>
      <c r="G26" s="74" t="s">
        <v>283</v>
      </c>
      <c r="H26" s="74" t="s">
        <v>267</v>
      </c>
    </row>
    <row r="27" spans="1:11" s="6" customFormat="1" ht="21">
      <c r="A27" s="7">
        <v>23</v>
      </c>
      <c r="B27" s="10" t="s">
        <v>229</v>
      </c>
      <c r="C27" s="14">
        <v>3</v>
      </c>
      <c r="D27" s="9">
        <v>1637</v>
      </c>
      <c r="E27" s="7">
        <v>1637</v>
      </c>
      <c r="F27" s="83" t="s">
        <v>241</v>
      </c>
      <c r="G27" s="74" t="s">
        <v>232</v>
      </c>
      <c r="H27" s="74" t="s">
        <v>243</v>
      </c>
    </row>
    <row r="28" spans="1:11" s="6" customFormat="1" ht="21">
      <c r="A28" s="7">
        <v>24</v>
      </c>
      <c r="B28" s="10" t="s">
        <v>250</v>
      </c>
      <c r="C28" s="14">
        <v>10</v>
      </c>
      <c r="D28" s="9">
        <v>1200</v>
      </c>
      <c r="E28" s="91"/>
      <c r="F28" s="92"/>
      <c r="G28" s="93"/>
      <c r="H28" s="93"/>
    </row>
    <row r="29" spans="1:11" s="6" customFormat="1" ht="21">
      <c r="A29" s="7">
        <v>25</v>
      </c>
      <c r="B29" s="10" t="s">
        <v>233</v>
      </c>
      <c r="C29" s="14">
        <v>2</v>
      </c>
      <c r="D29" s="9">
        <v>7000</v>
      </c>
      <c r="E29" s="7">
        <v>17000</v>
      </c>
      <c r="F29" s="83" t="s">
        <v>241</v>
      </c>
      <c r="G29" s="74" t="s">
        <v>232</v>
      </c>
      <c r="H29" s="74" t="s">
        <v>249</v>
      </c>
    </row>
    <row r="30" spans="1:11" s="6" customFormat="1" ht="21">
      <c r="A30" s="7">
        <v>26</v>
      </c>
      <c r="B30" s="10" t="s">
        <v>235</v>
      </c>
      <c r="C30" s="14">
        <v>1</v>
      </c>
      <c r="D30" s="9">
        <f>350+1000+100+500</f>
        <v>1950</v>
      </c>
      <c r="E30" s="7">
        <f>Table1[[#This Row],[expected price]]</f>
        <v>1950</v>
      </c>
      <c r="F30" s="83" t="s">
        <v>241</v>
      </c>
      <c r="G30" s="74" t="s">
        <v>231</v>
      </c>
      <c r="H30" s="74"/>
    </row>
    <row r="31" spans="1:11" s="6" customFormat="1" ht="21">
      <c r="A31" s="7">
        <v>27</v>
      </c>
      <c r="B31" s="9" t="s">
        <v>236</v>
      </c>
      <c r="C31" s="14">
        <v>1</v>
      </c>
      <c r="D31" s="9">
        <f>550+450+450+1000</f>
        <v>2450</v>
      </c>
      <c r="E31" s="7">
        <f>Table1[[#This Row],[expected price]]</f>
        <v>2450</v>
      </c>
      <c r="F31" s="83" t="s">
        <v>241</v>
      </c>
      <c r="G31" s="74" t="s">
        <v>231</v>
      </c>
      <c r="H31" s="74" t="s">
        <v>247</v>
      </c>
    </row>
    <row r="32" spans="1:11" s="6" customFormat="1" ht="21">
      <c r="A32" s="7">
        <v>28</v>
      </c>
      <c r="B32" s="9" t="s">
        <v>237</v>
      </c>
      <c r="C32" s="14">
        <v>1</v>
      </c>
      <c r="D32" s="15">
        <v>3000</v>
      </c>
      <c r="E32" s="7">
        <f>1000+2000</f>
        <v>3000</v>
      </c>
      <c r="F32" s="83" t="s">
        <v>241</v>
      </c>
      <c r="G32" s="74" t="s">
        <v>231</v>
      </c>
      <c r="H32" s="74"/>
    </row>
    <row r="33" spans="1:8" s="6" customFormat="1" ht="21">
      <c r="A33" s="7">
        <v>29</v>
      </c>
      <c r="B33" s="9" t="s">
        <v>245</v>
      </c>
      <c r="C33" s="14">
        <v>1</v>
      </c>
      <c r="D33" s="9">
        <v>750</v>
      </c>
      <c r="E33" s="7">
        <v>750</v>
      </c>
      <c r="F33" s="83" t="s">
        <v>248</v>
      </c>
      <c r="G33" s="74" t="s">
        <v>232</v>
      </c>
      <c r="H33" s="74" t="s">
        <v>243</v>
      </c>
    </row>
    <row r="34" spans="1:8" s="6" customFormat="1" ht="21">
      <c r="A34" s="7">
        <v>30</v>
      </c>
      <c r="B34" s="9" t="s">
        <v>260</v>
      </c>
      <c r="C34" s="9">
        <v>1</v>
      </c>
      <c r="D34" s="13">
        <v>14000</v>
      </c>
      <c r="E34" s="7"/>
      <c r="F34" s="83"/>
      <c r="G34" s="74"/>
      <c r="H34" s="74"/>
    </row>
    <row r="35" spans="1:8" ht="21">
      <c r="A35" s="7">
        <v>31</v>
      </c>
      <c r="B35" s="9" t="s">
        <v>268</v>
      </c>
      <c r="C35" s="9">
        <v>1</v>
      </c>
      <c r="D35" s="13">
        <v>13000</v>
      </c>
      <c r="E35" s="13">
        <v>13000</v>
      </c>
      <c r="F35" s="85" t="s">
        <v>241</v>
      </c>
      <c r="G35" s="77" t="s">
        <v>279</v>
      </c>
      <c r="H35" s="74" t="s">
        <v>243</v>
      </c>
    </row>
    <row r="36" spans="1:8" ht="21">
      <c r="A36" s="7"/>
      <c r="B36" s="9"/>
      <c r="C36" s="9"/>
      <c r="D36" s="13"/>
      <c r="E36" s="13"/>
      <c r="F36" s="85"/>
      <c r="G36" s="77" t="s">
        <v>280</v>
      </c>
      <c r="H36" s="74"/>
    </row>
    <row r="37" spans="1:8" ht="21">
      <c r="A37" s="7"/>
      <c r="B37" s="9"/>
      <c r="C37" s="9"/>
      <c r="D37" s="87">
        <f>SUM(D4:D34)</f>
        <v>367391</v>
      </c>
      <c r="E37" s="87">
        <f>SUM(E4:E32)</f>
        <v>222541</v>
      </c>
      <c r="F37" s="9"/>
      <c r="G37" s="77"/>
      <c r="H37" s="74"/>
    </row>
    <row r="38" spans="1:8" ht="21">
      <c r="A38" s="7"/>
      <c r="B38" s="9"/>
      <c r="C38" s="9"/>
      <c r="D38" s="9"/>
      <c r="E38" s="88"/>
      <c r="F38" s="9"/>
      <c r="G38" s="77"/>
      <c r="H38" s="74"/>
    </row>
    <row r="39" spans="1:8" ht="21">
      <c r="A39" s="7"/>
      <c r="B39" s="9"/>
      <c r="C39" s="9"/>
      <c r="D39" s="9"/>
      <c r="E39" s="86"/>
      <c r="F39" s="9"/>
      <c r="G39" s="77"/>
      <c r="H39" s="74"/>
    </row>
    <row r="40" spans="1:8" ht="21">
      <c r="A40" s="7"/>
      <c r="B40" s="9"/>
      <c r="C40" s="9"/>
      <c r="D40" s="9"/>
      <c r="E40" s="89"/>
      <c r="F40" s="81"/>
      <c r="G40" s="82"/>
      <c r="H40" s="74"/>
    </row>
    <row r="41" spans="1:8">
      <c r="E41" s="4"/>
    </row>
    <row r="43" spans="1:8">
      <c r="E43" s="4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breakeven</vt:lpstr>
      <vt:lpstr>prodcut pricing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</cp:lastModifiedBy>
  <dcterms:created xsi:type="dcterms:W3CDTF">2020-08-07T16:24:08Z</dcterms:created>
  <dcterms:modified xsi:type="dcterms:W3CDTF">2020-10-15T01:44:42Z</dcterms:modified>
</cp:coreProperties>
</file>